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340" yWindow="420" windowWidth="23660" windowHeight="13520" firstSheet="2" activeTab="2"/>
  </bookViews>
  <sheets>
    <sheet name="Sources &amp; Notes" sheetId="1" r:id="rId1"/>
    <sheet name="(1) Occ groups by place" sheetId="2" r:id="rId2"/>
    <sheet name="(2) Free LF earnings 1800" sheetId="3" r:id="rId3"/>
    <sheet name="(3) Slave LF earnings 1800" sheetId="4" r:id="rId4"/>
  </sheets>
  <definedNames/>
  <calcPr fullCalcOnLoad="1"/>
</workbook>
</file>

<file path=xl/sharedStrings.xml><?xml version="1.0" encoding="utf-8"?>
<sst xmlns="http://schemas.openxmlformats.org/spreadsheetml/2006/main" count="695" uniqueCount="191">
  <si>
    <t>artisan pay,</t>
  </si>
  <si>
    <t>white-col pay,</t>
  </si>
  <si>
    <t>Assume =</t>
  </si>
  <si>
    <t>unskilled</t>
  </si>
  <si>
    <t>pay rate</t>
  </si>
  <si>
    <t>Lindert-Williamson "Big Cities 1800 by occ.xls" file.  The six city estimates are for Baltimore 1799, Boston 1800, Charleston 1800, New York City 1799, Norfolk 1801, and Philadelphia1800.</t>
  </si>
  <si>
    <t>Lindert-Williamson "Small town occ dists 1774, c1800" and "Rural Chester Co 8 towns 1799-1802" files.</t>
  </si>
  <si>
    <t>Unskilled earnings are the weighted average of female and male unskilled earnings, the gender earnings data taken from the "Wage data survey 1774-1860.xls" file.</t>
  </si>
  <si>
    <t>-1860.xls" file.The same is true of white collar workers.</t>
  </si>
  <si>
    <t xml:space="preserve">Unskilled earnings are the weighted average of female and male unskilled earnings. The gender earnings data taken from the rural non-farm in the </t>
  </si>
  <si>
    <t>Big City</t>
  </si>
  <si>
    <t>Small Town</t>
  </si>
  <si>
    <t>Non-farm</t>
  </si>
  <si>
    <t>Labor force (00, 10+) from Weiss (1992: Table 1A.1, 1A.7, 1A.9, and data underlying sent by Thomas Weiss) and Census.</t>
  </si>
  <si>
    <t>Norfolk and Philadelphia to the 1800 Census urban population total, times the urban labor force, with small town as an urban residual.</t>
  </si>
  <si>
    <t>Lindert-Williamson "Slave earnings retention 1800.xls" file.</t>
  </si>
  <si>
    <t xml:space="preserve">Adams (1970): Donald R. Adams, “Some Evidence on English and American Wage Rates, 1790-1830.” Journal of Economic History 30, 3 (September 1970): 499-520. </t>
  </si>
  <si>
    <t>State</t>
  </si>
  <si>
    <t>Connecticut</t>
  </si>
  <si>
    <t>Maine</t>
  </si>
  <si>
    <t>Massachusetts</t>
  </si>
  <si>
    <t>the assumed slave retention rate (see " Slave earnings retention 1774 &amp; 1800" file). The retention rates (%) are:</t>
  </si>
  <si>
    <t>Artisans, manuf</t>
  </si>
  <si>
    <t>[White collar = LW groups 1 and 2, consisting of officials, titled, professionals, merchants, and shopkeepers]</t>
  </si>
  <si>
    <t>Small Town:</t>
  </si>
  <si>
    <t>Total annual earnings (00, $).</t>
  </si>
  <si>
    <t>Rural Non-Farm:</t>
  </si>
  <si>
    <t>Agriculture earnings per worker are taken from the same as for farm work.</t>
  </si>
  <si>
    <t>Unskilled (male-female ave)</t>
  </si>
  <si>
    <t>Total ($)</t>
  </si>
  <si>
    <t>Rural non-farm</t>
  </si>
  <si>
    <t>Unskilled = 0.76* big city (Carey)</t>
  </si>
  <si>
    <t xml:space="preserve">12,493, and our PSR 2896 (1800 Census) file reports VA urban pop = 16184. This is not consistent with Weiss's big urban LF numbers </t>
  </si>
  <si>
    <r>
      <rPr>
        <b/>
        <sz val="10"/>
        <rFont val="Arial"/>
        <family val="2"/>
      </rPr>
      <t>Non-farm occupation distribution</t>
    </r>
    <r>
      <rPr>
        <sz val="10"/>
        <rFont val="Arial"/>
        <family val="0"/>
      </rPr>
      <t>: Rural or urban slaves doing non-farm work are assumed to have been either artisans, construction workers, or unskilled (females = domestics, maids, cooks, laundresses, etc.; males = house servants, grooms, porters, coach and carriage drivers, teamsters, gardeners, etc.). The small numbers in other trades are ignored. The distribution of slaves between artisan and construction are assumed to have been equal. The share of non-farm slaves unskilled is taken to have been 66% (for Baltimore, Charleston and Norfolk the average total labor force share of unskilled in the sum of artisans, construction workers and unskilled), except for Charleston by itself, where we assume 76% unskilled. Also, to accommodate rounding unskilled is taken as a residual within location. For a defense of these assumptions, see the "Slave Occ Distribution 1800.xls" file.</t>
    </r>
  </si>
  <si>
    <t>White collar: weighted average of male and female white collar earnings, applying city-specific professional gender weights.</t>
  </si>
  <si>
    <t>South</t>
  </si>
  <si>
    <t>Rural:</t>
  </si>
  <si>
    <t>Urban:</t>
  </si>
  <si>
    <t>Farm</t>
  </si>
  <si>
    <t>and agricultural laborers (gardeners and such) are taken directly from the "Wage data survey 1774-1860.xls" file, but</t>
  </si>
  <si>
    <r>
      <rPr>
        <sz val="12"/>
        <rFont val="Arial"/>
        <family val="0"/>
      </rPr>
      <t xml:space="preserve">The </t>
    </r>
    <r>
      <rPr>
        <b/>
        <u val="single"/>
        <sz val="12"/>
        <rFont val="Arial"/>
        <family val="0"/>
      </rPr>
      <t>occupational grouping</t>
    </r>
    <r>
      <rPr>
        <b/>
        <sz val="12"/>
        <rFont val="Arial"/>
        <family val="0"/>
      </rPr>
      <t>s</t>
    </r>
    <r>
      <rPr>
        <sz val="12"/>
        <rFont val="Arial"/>
        <family val="0"/>
      </rPr>
      <t xml:space="preserve"> that make up the four urban and rural "sectors" are:</t>
    </r>
  </si>
  <si>
    <t xml:space="preserve">Grand Total  </t>
  </si>
  <si>
    <t xml:space="preserve">Total Rural Farm </t>
  </si>
  <si>
    <t>Total Urban and Rural Non-Farm</t>
  </si>
  <si>
    <t>West (KY + MS +TN)</t>
  </si>
  <si>
    <t>Total (13 original + DC + ME)</t>
  </si>
  <si>
    <t>Total (13 original + DC + ME + West)</t>
  </si>
  <si>
    <t>na</t>
  </si>
  <si>
    <t>West</t>
  </si>
  <si>
    <t>Construction: weighted average of ship builders and house builders earnings, using city-specific weights.</t>
  </si>
  <si>
    <t>Lindert-Williamson "Slave LF 1800.xls" file.</t>
  </si>
  <si>
    <t>Lindert-Williamson "Wage summary 1800.xls" file.</t>
  </si>
  <si>
    <t>Caution: fixed</t>
  </si>
  <si>
    <t>artisan pay,</t>
  </si>
  <si>
    <t>all regions</t>
  </si>
  <si>
    <r>
      <rPr>
        <b/>
        <sz val="10"/>
        <rFont val="Arial"/>
        <family val="2"/>
      </rPr>
      <t>Slave labor force</t>
    </r>
    <r>
      <rPr>
        <sz val="10"/>
        <rFont val="Arial"/>
        <family val="0"/>
      </rPr>
      <t>: Total, farm, rural non-farm and urban non-farm slave labor force (male and female, 10+) from data underlying Weiss (1992). The distribution of slave labor between big city and small town is assumed the same as free labor force (see "Free LF earnings 1800" worksheet in this file).</t>
    </r>
  </si>
  <si>
    <t>Thus for slaves, it includes only what they retained, and not what the part of their earnings (or marginal product) that was expropriated by the owner or renter, which appears elsewhere as property income.</t>
  </si>
  <si>
    <t>Agricultural workers</t>
  </si>
  <si>
    <t>New Hampshire</t>
  </si>
  <si>
    <t>Rhode Island</t>
  </si>
  <si>
    <t>Vermont</t>
  </si>
  <si>
    <t>New England</t>
  </si>
  <si>
    <t>Delaware</t>
  </si>
  <si>
    <t>District of Columbia</t>
  </si>
  <si>
    <t>Maryland</t>
  </si>
  <si>
    <t>New Jersey</t>
  </si>
  <si>
    <t>New York</t>
  </si>
  <si>
    <t>Pennsylvania</t>
  </si>
  <si>
    <t>Mid Atlantic</t>
  </si>
  <si>
    <t>Georgia</t>
  </si>
  <si>
    <t>Kentucky</t>
  </si>
  <si>
    <t>Mississippi</t>
  </si>
  <si>
    <t>North Carolina</t>
  </si>
  <si>
    <t>South Carolina</t>
  </si>
  <si>
    <t>Tennessee</t>
  </si>
  <si>
    <t>Virginia</t>
  </si>
  <si>
    <t xml:space="preserve">South </t>
  </si>
  <si>
    <t>US Earnings c1800: Combining Weiss labor force estimates with LW occupation distributions and occupation wage data.</t>
  </si>
  <si>
    <t>Annual earnings</t>
  </si>
  <si>
    <t>per earner</t>
  </si>
  <si>
    <t>total</t>
  </si>
  <si>
    <t xml:space="preserve">Labor Force </t>
  </si>
  <si>
    <t xml:space="preserve">The big city labor force is calculated by applying the ratio of the 1800 Census population sum of Baltimore, Boston, Charleston, New York City, </t>
  </si>
  <si>
    <t>Total</t>
  </si>
  <si>
    <t>Artisans</t>
  </si>
  <si>
    <t>Construction</t>
  </si>
  <si>
    <t>Agriculture</t>
  </si>
  <si>
    <t>Unskilled</t>
  </si>
  <si>
    <t>White Collar</t>
  </si>
  <si>
    <t>(all figures, except per earner, in hundreds)</t>
  </si>
  <si>
    <t xml:space="preserve">South Carolina and Virginia urban labor force calculated as other states are implausible. Thus, the 1800 census reports Norfolk pop = </t>
  </si>
  <si>
    <t xml:space="preserve">Sources and Notes: </t>
  </si>
  <si>
    <t>Big City:</t>
  </si>
  <si>
    <t>General:</t>
  </si>
  <si>
    <t>1800 by occ.xls" file (MA, NY, MD, PA, VA, SC only), "short occ dist" sheet, adjusted.</t>
  </si>
  <si>
    <t>Lindert-Williamson</t>
  </si>
  <si>
    <t xml:space="preserve">White collar earnings are the weighted average of male and females white collar earnings. The gender earnings data taken from the rural non-farm in the </t>
  </si>
  <si>
    <t>North</t>
  </si>
  <si>
    <t>Rural non-farm</t>
  </si>
  <si>
    <t>Small town</t>
  </si>
  <si>
    <t>Big city</t>
  </si>
  <si>
    <t>Farm</t>
  </si>
  <si>
    <t>Labor Force</t>
  </si>
  <si>
    <t>Rural Non-Farm</t>
  </si>
  <si>
    <t>Urban: Small Town Non-Farm</t>
  </si>
  <si>
    <t>Urban: Big City Non-Farm</t>
  </si>
  <si>
    <r>
      <rPr>
        <b/>
        <sz val="10"/>
        <rFont val="Arial"/>
        <family val="2"/>
      </rPr>
      <t>Slave annual earnings</t>
    </r>
    <r>
      <rPr>
        <sz val="10"/>
        <rFont val="Arial"/>
        <family val="0"/>
      </rPr>
      <t>: Derived as free labor force earnings (see "Free LF earnings 1800" worksheet in this file) times the assumed slave retention rate (see the "Slave earnings retention 1800.xls" file). The regional/occupational retention rates (%) thus applied are:</t>
    </r>
  </si>
  <si>
    <t>All annual earnings rates ($) by occupation are from "Wage data survey 1774-1860.xls" file.</t>
  </si>
  <si>
    <t xml:space="preserve">The occupational distribution (artisan, construction, agriculture, unskilled, white collar) for big cities is taken from the "Big cities </t>
  </si>
  <si>
    <t xml:space="preserve">Small town labor force is the residual urban minus big city, to which is applied the occupation distribution from the "1800 Small Town Occ Dist.xls" file. </t>
  </si>
  <si>
    <t>Rural farm</t>
  </si>
  <si>
    <t>Farm operators</t>
  </si>
  <si>
    <t>Farm laborers</t>
  </si>
  <si>
    <t>Non-farm slaves are distributed between unskilled, artisan and construction. How they were distributed is elaborated in the sheet "Slave LF earnings 1800".</t>
  </si>
  <si>
    <t xml:space="preserve">Slave annual earnings retained are derived as free labor force average location/occupation earnings (see "Total LF earnings 1800" worksheet) times </t>
  </si>
  <si>
    <t xml:space="preserve">(Retained) earnings for the 1800 slave labor force: </t>
  </si>
  <si>
    <t>Category</t>
  </si>
  <si>
    <t>Earnings per worker</t>
  </si>
  <si>
    <t>Urban</t>
  </si>
  <si>
    <t>Rural</t>
  </si>
  <si>
    <t>Artisan</t>
  </si>
  <si>
    <t>Earnings Structure 1800</t>
  </si>
  <si>
    <t>Urban unskilled</t>
  </si>
  <si>
    <t>Earnings (00)</t>
  </si>
  <si>
    <t>Labor force (00)</t>
  </si>
  <si>
    <t xml:space="preserve">for VA (36,900). The same is true of South Carolina and Charleston. Instead, the big city average labor participations rates </t>
  </si>
  <si>
    <t>implied by the other four are applied to these two, and small town urban labor force is the residual.</t>
  </si>
  <si>
    <t>(1) "Occ groups by place" reporting occupations/location in the files;</t>
  </si>
  <si>
    <t>(2) "Free LF (labor force) earnings 1800" by occupation group and location;</t>
  </si>
  <si>
    <t>Construction workers</t>
  </si>
  <si>
    <t>Unskilled workers</t>
  </si>
  <si>
    <t>White collar</t>
  </si>
  <si>
    <t>Lower South (NC, SC, GA)</t>
  </si>
  <si>
    <t>Lower South (NC, SC, GA)</t>
  </si>
  <si>
    <t>Rural farm labor force</t>
  </si>
  <si>
    <t>Farm operator LF</t>
  </si>
  <si>
    <t xml:space="preserve">The annual earnings per worker estimates are taken from the "Wage data survey 1774-1860.xls" file, using big city averages. Artisans </t>
  </si>
  <si>
    <t>The small town occupational distribution from the "Small town data c1800.xls" file uses the 3 town average, adjusted.</t>
  </si>
  <si>
    <t>Artisan and construction are from the "Wage data survey 1774-1869.xls" file, applying Carey's Rule. Henry Carey, writing in the early 1830s about the 1820s,</t>
  </si>
  <si>
    <t xml:space="preserve">"Wage data survey 1774-1860.xls" file. The unskilled gender employment weights are from small town. </t>
  </si>
  <si>
    <t xml:space="preserve">"Wage data survey 1774-1860.xls" file. The white collar gender employment weights are from small town. </t>
  </si>
  <si>
    <t>Total small-town nonfarm</t>
  </si>
  <si>
    <t>Total rural nonfarm</t>
  </si>
  <si>
    <t>Total big-city nonfarm</t>
  </si>
  <si>
    <t>Total rural farm</t>
  </si>
  <si>
    <t>$ per earner</t>
  </si>
  <si>
    <t>Earnings for the 1800 free labor force (assuming farm operators earn the same as farm laborers)</t>
  </si>
  <si>
    <t>Farm Operators</t>
  </si>
  <si>
    <t xml:space="preserve">Farm Laborers </t>
  </si>
  <si>
    <t>Delaware is treated three ways, with implications for regional totals. First, it is included in the Middle Colonies, while Maryland and the District of Columbia are included in the South, to be consistent with the Alice Hanson Jones 1774 regionalization of wealth. This is the definition used in our working paper "American Incomes Before and After the Revolution" (June 2011). Second, DE is moved South. Third, all three are moved to the Middle Atlantic to be consistent with subsequent census definitions and will be used in subsequent papers covering 1800-1870.</t>
  </si>
  <si>
    <t>Mid Atlantic with DE, DC, MD</t>
  </si>
  <si>
    <t>Mid Atlantic with DE</t>
  </si>
  <si>
    <t>South without DE</t>
  </si>
  <si>
    <t>$/worker relative to total</t>
  </si>
  <si>
    <t xml:space="preserve">See other notes in this file and in the "Total incomes 1800.xls" file for discussions of the separation of farm operators' free labor earnings, property earnings, and residual profits.  </t>
  </si>
  <si>
    <t>Unskilled: weighted average of male and female.</t>
  </si>
  <si>
    <r>
      <t xml:space="preserve">Census 1800: Michael Haines and the Inter-university Consortium for Political and Social Research, </t>
    </r>
    <r>
      <rPr>
        <i/>
        <sz val="12"/>
        <rFont val="Calibri"/>
        <family val="0"/>
      </rPr>
      <t>Historical, Demographic, Economic, and Social Data: The United States, 1790-2000</t>
    </r>
    <r>
      <rPr>
        <sz val="12"/>
        <rFont val="Calibri"/>
        <family val="0"/>
      </rPr>
      <t xml:space="preserve"> [Computer file]. ICPSR02896-v2. Hamilton, NY: Colgate University/Ann Arbor: MI: Inter-university Consortium for Political and Social Research [producers], 2004. Ann Arbor, MI: Inter-university Consortium for Political and Social Research [distributor], 2005-04-29.</t>
    </r>
  </si>
  <si>
    <r>
      <t>General notes</t>
    </r>
    <r>
      <rPr>
        <b/>
        <sz val="12"/>
        <rFont val="Calibri"/>
        <family val="0"/>
      </rPr>
      <t>:</t>
    </r>
  </si>
  <si>
    <r>
      <t>Labor force and occupations</t>
    </r>
    <r>
      <rPr>
        <sz val="12"/>
        <rFont val="Calibri"/>
        <family val="0"/>
      </rPr>
      <t xml:space="preserve">: Lindert-Williamson estimates, in the "LF &amp; Occs 1800" file, broken down by big city, small town and rural non-farm in the sub-files, September-October 2010. Based on the 1800 census in </t>
    </r>
    <r>
      <rPr>
        <i/>
        <sz val="12"/>
        <rFont val="Calibri"/>
        <family val="0"/>
      </rPr>
      <t>Historical Statistics, Millennial Edition</t>
    </r>
    <r>
      <rPr>
        <sz val="12"/>
        <rFont val="Calibri"/>
        <family val="0"/>
      </rPr>
      <t xml:space="preserve"> (2006), and on Thomas Weiss's estimates of labor force participation rates.</t>
    </r>
  </si>
  <si>
    <t>South without DE, DC, MD</t>
  </si>
  <si>
    <t>Mid Atlantic + DE</t>
  </si>
  <si>
    <t>Mid Atlantic + DE + DC + MD</t>
  </si>
  <si>
    <r>
      <t xml:space="preserve">Mid Atlantic </t>
    </r>
    <r>
      <rPr>
        <b/>
        <sz val="10"/>
        <color indexed="10"/>
        <rFont val="Calibri"/>
        <family val="0"/>
      </rPr>
      <t>(NJ, NY, PA only)</t>
    </r>
  </si>
  <si>
    <r>
      <t xml:space="preserve">Total (13 original </t>
    </r>
    <r>
      <rPr>
        <b/>
        <sz val="10"/>
        <color indexed="10"/>
        <rFont val="Calibri"/>
        <family val="0"/>
      </rPr>
      <t>colonies = 15 states + DC</t>
    </r>
    <r>
      <rPr>
        <b/>
        <sz val="10"/>
        <color indexed="8"/>
        <rFont val="Calibri"/>
        <family val="2"/>
      </rPr>
      <t>)</t>
    </r>
  </si>
  <si>
    <r>
      <t xml:space="preserve">South </t>
    </r>
    <r>
      <rPr>
        <b/>
        <sz val="10"/>
        <color indexed="10"/>
        <rFont val="Calibri"/>
        <family val="0"/>
      </rPr>
      <t>Atlantic</t>
    </r>
    <r>
      <rPr>
        <b/>
        <sz val="10"/>
        <rFont val="Calibri"/>
        <family val="2"/>
      </rPr>
      <t xml:space="preserve"> - DE (</t>
    </r>
    <r>
      <rPr>
        <b/>
        <sz val="10"/>
        <color indexed="10"/>
        <rFont val="Calibri"/>
        <family val="0"/>
      </rPr>
      <t>for comparison with 1774</t>
    </r>
    <r>
      <rPr>
        <b/>
        <sz val="10"/>
        <rFont val="Calibri"/>
        <family val="2"/>
      </rPr>
      <t>)</t>
    </r>
  </si>
  <si>
    <r>
      <t>South</t>
    </r>
    <r>
      <rPr>
        <b/>
        <sz val="10"/>
        <color indexed="10"/>
        <rFont val="Calibri"/>
        <family val="0"/>
      </rPr>
      <t xml:space="preserve"> Atlantic</t>
    </r>
  </si>
  <si>
    <r>
      <t xml:space="preserve">South </t>
    </r>
    <r>
      <rPr>
        <b/>
        <sz val="10"/>
        <color indexed="10"/>
        <rFont val="Calibri"/>
        <family val="0"/>
      </rPr>
      <t xml:space="preserve">Atlantic </t>
    </r>
    <r>
      <rPr>
        <b/>
        <sz val="10"/>
        <rFont val="Calibri"/>
        <family val="2"/>
      </rPr>
      <t>- DE - DC - MD</t>
    </r>
  </si>
  <si>
    <r>
      <t xml:space="preserve">Total </t>
    </r>
    <r>
      <rPr>
        <b/>
        <sz val="10"/>
        <color indexed="10"/>
        <rFont val="Calibri"/>
        <family val="0"/>
      </rPr>
      <t>(same + West, below</t>
    </r>
    <r>
      <rPr>
        <b/>
        <sz val="10"/>
        <color indexed="8"/>
        <rFont val="Calibri"/>
        <family val="2"/>
      </rPr>
      <t>)</t>
    </r>
  </si>
  <si>
    <t xml:space="preserve">noted that while big city wages were 11, they dropped to 8 in small towns, or 76% of the big cities. Cited in Adams (1970: p. 505). This is consistent with the common labor data above: female earnings were 75% of big cities, while male earnings were 77% (if boatmen and woodcutters -- not small town activities -- are excluded). </t>
  </si>
  <si>
    <t xml:space="preserve">The occupational distributions are derived from the Chester PA evidence in the "Rural Non-Farm Occ Dist.xls" file (8 Chester County PA towns, without </t>
  </si>
  <si>
    <t>agriculture).</t>
  </si>
  <si>
    <t>Artisan and construction are from the "Wage data survey 1774-1860.xls" file, applying Carey's Rule (see above).</t>
  </si>
  <si>
    <t>Labor force (100s)</t>
  </si>
  <si>
    <t>Total ($100s)</t>
  </si>
  <si>
    <t>Summary: Free Labor</t>
  </si>
  <si>
    <t>The remaining worksheets in this Excel file:</t>
  </si>
  <si>
    <t>Urban (big city, small town)</t>
  </si>
  <si>
    <t>labor rate</t>
  </si>
  <si>
    <r>
      <t>Occupation categories</t>
    </r>
    <r>
      <rPr>
        <b/>
        <sz val="12"/>
        <rFont val="Calibri"/>
        <family val="0"/>
      </rPr>
      <t xml:space="preserve">: </t>
    </r>
    <r>
      <rPr>
        <sz val="12"/>
        <rFont val="Calibri"/>
        <family val="0"/>
      </rPr>
      <t>Because the occupational and occupation wage detail thins out as we disaggregate, we report the labor force and earnings by the following aggregates (consistent with 1774):</t>
    </r>
  </si>
  <si>
    <r>
      <t xml:space="preserve">Note: </t>
    </r>
    <r>
      <rPr>
        <sz val="12"/>
        <rFont val="Calibri"/>
        <family val="0"/>
      </rPr>
      <t>Unskilled include seaman, and construction includes ship building. Unskilled and white collar are a weighted average of male and female.</t>
    </r>
  </si>
  <si>
    <r>
      <t xml:space="preserve">Average annual earnings of free labor </t>
    </r>
    <r>
      <rPr>
        <sz val="12"/>
        <rFont val="Calibri"/>
        <family val="0"/>
      </rPr>
      <t>by occupation/region are derived by converting daily or monthly wage rates to annual by the per year work rates described in "Free LF earnings 1800" sheet. They include in-kind payments.</t>
    </r>
  </si>
  <si>
    <r>
      <t>Slave occupations and retained earnings</t>
    </r>
    <r>
      <rPr>
        <sz val="12"/>
        <rFont val="Calibri"/>
        <family val="0"/>
      </rPr>
      <t>:</t>
    </r>
  </si>
  <si>
    <t>The places and years used are Hartford CT 1799, Lexington KY 1806, Lancaster PA 1800, J.T. Main's lesser northern town estimates, Non-Philadelphia PA cities c1800, and 8 rural Chester County PA townships 1800.</t>
  </si>
  <si>
    <t>Sources and notes to the "Own-labor incomes 1800 *" file</t>
  </si>
  <si>
    <t>"Own-labor incomes" here means annual (not necessarily full-time) earnings from human sources, as received by the working person.</t>
  </si>
  <si>
    <t>(3) "Slave LF earnings 1800" divided between earnings retained by slaves and earnings expropriated by owners;</t>
  </si>
  <si>
    <r>
      <t>Sources</t>
    </r>
    <r>
      <rPr>
        <sz val="12"/>
        <rFont val="Calibri"/>
        <family val="0"/>
      </rPr>
      <t>:</t>
    </r>
  </si>
  <si>
    <r>
      <t xml:space="preserve">Weiss (1992): Thomas Weiss, "U.S. Labor Force Estimates and Economic Growth, 1800-1860," in Robert E. Gallman and John Joseph Wallis (eds.), </t>
    </r>
    <r>
      <rPr>
        <i/>
        <sz val="12"/>
        <rFont val="Calibri"/>
        <family val="0"/>
      </rPr>
      <t>American Economic Growth and Standards of Living before the Civil War</t>
    </r>
    <r>
      <rPr>
        <sz val="12"/>
        <rFont val="Calibri"/>
        <family val="0"/>
      </rPr>
      <t>, The University of Chicago Press, 1992. Professor Weiss has also supplied us with data underlying his 1992 paper.</t>
    </r>
  </si>
  <si>
    <t>This file is a building block in estimating total incomes, from property as well as from own-labor sources.</t>
  </si>
  <si>
    <t>Assume =</t>
  </si>
  <si>
    <t>rural farm</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</si>
</sst>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0.000"/>
    <numFmt numFmtId="170" formatCode="00"/>
    <numFmt numFmtId="171" formatCode="&quot;Yes&quot;;&quot;Yes&quot;;&quot;No&quot;"/>
    <numFmt numFmtId="172" formatCode="&quot;True&quot;;&quot;True&quot;;&quot;False&quot;"/>
    <numFmt numFmtId="173" formatCode="&quot;On&quot;;&quot;On&quot;;&quot;Off&quot;"/>
    <numFmt numFmtId="174" formatCode="[$€-2]\ #,##0.00_);[Red]\([$€-2]\ #,##0.00\)"/>
    <numFmt numFmtId="175" formatCode="[$-409]dddd\,\ mmmm\ dd\,\ yyyy"/>
    <numFmt numFmtId="176" formatCode="[$-409]h:mm:ss\ AM/PM"/>
    <numFmt numFmtId="177" formatCode="#,##0"/>
    <numFmt numFmtId="178" formatCode="0.00"/>
    <numFmt numFmtId="179" formatCode="#,##0"/>
    <numFmt numFmtId="180" formatCode="0.0"/>
    <numFmt numFmtId="181" formatCode="0.00"/>
    <numFmt numFmtId="182" formatCode="0"/>
  </numFmts>
  <fonts count="50">
    <font>
      <sz val="10"/>
      <name val="Arial"/>
      <family val="0"/>
    </font>
    <font>
      <b/>
      <sz val="11"/>
      <color indexed="8"/>
      <name val="Calibri"/>
      <family val="2"/>
    </font>
    <font>
      <b/>
      <sz val="14"/>
      <color indexed="8"/>
      <name val="Calibri"/>
      <family val="2"/>
    </font>
    <font>
      <b/>
      <sz val="10"/>
      <name val="Arial"/>
      <family val="2"/>
    </font>
    <font>
      <b/>
      <sz val="14"/>
      <name val="Arial"/>
      <family val="2"/>
    </font>
    <font>
      <sz val="10"/>
      <color indexed="8"/>
      <name val="Arial"/>
      <family val="2"/>
    </font>
    <font>
      <sz val="10"/>
      <color indexed="8"/>
      <name val="Calibri"/>
      <family val="2"/>
    </font>
    <font>
      <b/>
      <sz val="10"/>
      <color indexed="8"/>
      <name val="Calibri"/>
      <family val="2"/>
    </font>
    <font>
      <b/>
      <sz val="11"/>
      <name val="Arial"/>
      <family val="2"/>
    </font>
    <font>
      <b/>
      <sz val="9"/>
      <color indexed="8"/>
      <name val="Calibri"/>
      <family val="2"/>
    </font>
    <font>
      <sz val="9"/>
      <color indexed="8"/>
      <name val="Calibri"/>
      <family val="2"/>
    </font>
    <font>
      <b/>
      <sz val="16"/>
      <name val="Arial"/>
      <family val="2"/>
    </font>
    <font>
      <sz val="10"/>
      <name val="Times New Roman"/>
      <family val="0"/>
    </font>
    <font>
      <b/>
      <sz val="10"/>
      <color indexed="8"/>
      <name val="Arial"/>
      <family val="2"/>
    </font>
    <font>
      <sz val="12"/>
      <name val="Arial"/>
      <family val="0"/>
    </font>
    <font>
      <b/>
      <u val="single"/>
      <sz val="12"/>
      <name val="Arial"/>
      <family val="0"/>
    </font>
    <font>
      <b/>
      <sz val="12"/>
      <name val="Arial"/>
      <family val="0"/>
    </font>
    <font>
      <u val="single"/>
      <sz val="12"/>
      <name val="Arial"/>
      <family val="0"/>
    </font>
    <font>
      <u val="single"/>
      <sz val="10"/>
      <color indexed="20"/>
      <name val="Arial"/>
      <family val="2"/>
    </font>
    <font>
      <u val="single"/>
      <sz val="10"/>
      <color indexed="12"/>
      <name val="Arial"/>
      <family val="0"/>
    </font>
    <font>
      <b/>
      <sz val="10"/>
      <name val="Calibri"/>
      <family val="2"/>
    </font>
    <font>
      <sz val="8"/>
      <name val="Verdana"/>
      <family val="0"/>
    </font>
    <font>
      <b/>
      <sz val="10"/>
      <color indexed="10"/>
      <name val="Calibri"/>
      <family val="0"/>
    </font>
    <font>
      <b/>
      <sz val="10"/>
      <color indexed="10"/>
      <name val="Arial"/>
      <family val="0"/>
    </font>
    <font>
      <b/>
      <sz val="14"/>
      <color indexed="10"/>
      <name val="Arial"/>
      <family val="0"/>
    </font>
    <font>
      <b/>
      <sz val="12"/>
      <color indexed="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2"/>
      <name val="Calibri"/>
      <family val="0"/>
    </font>
    <font>
      <b/>
      <sz val="14"/>
      <color indexed="10"/>
      <name val="Calibri"/>
      <family val="0"/>
    </font>
    <font>
      <b/>
      <sz val="12"/>
      <name val="Calibri"/>
      <family val="0"/>
    </font>
    <font>
      <b/>
      <u val="single"/>
      <sz val="12"/>
      <name val="Calibri"/>
      <family val="0"/>
    </font>
    <font>
      <i/>
      <sz val="12"/>
      <name val="Calibri"/>
      <family val="0"/>
    </font>
    <font>
      <u val="single"/>
      <sz val="12"/>
      <name val="Calibri"/>
      <family val="0"/>
    </font>
    <font>
      <i/>
      <sz val="10"/>
      <name val="Arial"/>
      <family val="0"/>
    </font>
    <font>
      <sz val="10"/>
      <color indexed="10"/>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3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18" fillId="0" borderId="0" applyNumberFormat="0" applyFill="0" applyBorder="0" applyAlignment="0" applyProtection="0"/>
    <xf numFmtId="0" fontId="32" fillId="4"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9" fillId="0" borderId="0" applyNumberFormat="0" applyFill="0" applyBorder="0" applyAlignment="0" applyProtection="0"/>
    <xf numFmtId="0" fontId="36" fillId="7" borderId="1" applyNumberFormat="0" applyAlignment="0" applyProtection="0"/>
    <xf numFmtId="0" fontId="37" fillId="0" borderId="6" applyNumberFormat="0" applyFill="0" applyAlignment="0" applyProtection="0"/>
    <xf numFmtId="0" fontId="38" fillId="22" borderId="0" applyNumberFormat="0" applyBorder="0" applyAlignment="0" applyProtection="0"/>
    <xf numFmtId="0" fontId="0" fillId="23" borderId="7" applyNumberFormat="0" applyFont="0" applyAlignment="0" applyProtection="0"/>
    <xf numFmtId="0" fontId="39" fillId="20"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1" fillId="0" borderId="9" applyNumberFormat="0" applyFill="0" applyAlignment="0" applyProtection="0"/>
    <xf numFmtId="0" fontId="41" fillId="0" borderId="0" applyNumberFormat="0" applyFill="0" applyBorder="0" applyAlignment="0" applyProtection="0"/>
  </cellStyleXfs>
  <cellXfs count="164">
    <xf numFmtId="0" fontId="0" fillId="0" borderId="0" xfId="0" applyAlignment="1">
      <alignment/>
    </xf>
    <xf numFmtId="0" fontId="1" fillId="0" borderId="0" xfId="0" applyFont="1" applyAlignment="1">
      <alignment wrapText="1"/>
    </xf>
    <xf numFmtId="0" fontId="1" fillId="0" borderId="0" xfId="0" applyFont="1" applyAlignment="1">
      <alignment horizontal="center" wrapText="1"/>
    </xf>
    <xf numFmtId="0" fontId="2" fillId="0" borderId="0" xfId="0" applyFont="1" applyAlignment="1">
      <alignment/>
    </xf>
    <xf numFmtId="0" fontId="2" fillId="0" borderId="0" xfId="0" applyFont="1" applyAlignment="1">
      <alignment/>
    </xf>
    <xf numFmtId="0" fontId="4" fillId="0" borderId="0" xfId="0" applyFont="1" applyAlignment="1">
      <alignment/>
    </xf>
    <xf numFmtId="0" fontId="3" fillId="0" borderId="0" xfId="0" applyFont="1" applyAlignment="1">
      <alignment/>
    </xf>
    <xf numFmtId="0" fontId="0" fillId="0" borderId="0" xfId="0" applyFont="1" applyAlignment="1">
      <alignment/>
    </xf>
    <xf numFmtId="2" fontId="0" fillId="0" borderId="0" xfId="0" applyNumberFormat="1" applyAlignment="1">
      <alignment/>
    </xf>
    <xf numFmtId="0" fontId="7" fillId="0" borderId="0" xfId="0" applyFont="1" applyAlignment="1">
      <alignment/>
    </xf>
    <xf numFmtId="2" fontId="3" fillId="0" borderId="0" xfId="0" applyNumberFormat="1" applyFont="1" applyAlignment="1">
      <alignment/>
    </xf>
    <xf numFmtId="168" fontId="0" fillId="0" borderId="0" xfId="0" applyNumberFormat="1" applyAlignment="1">
      <alignment/>
    </xf>
    <xf numFmtId="168" fontId="2" fillId="0" borderId="0" xfId="0" applyNumberFormat="1" applyFont="1" applyAlignment="1">
      <alignment/>
    </xf>
    <xf numFmtId="1" fontId="0" fillId="0" borderId="0" xfId="0" applyNumberFormat="1" applyAlignment="1">
      <alignment/>
    </xf>
    <xf numFmtId="1" fontId="3" fillId="0" borderId="0" xfId="0" applyNumberFormat="1" applyFont="1" applyAlignment="1">
      <alignment/>
    </xf>
    <xf numFmtId="3" fontId="0" fillId="0" borderId="0" xfId="0" applyNumberFormat="1" applyAlignment="1">
      <alignment/>
    </xf>
    <xf numFmtId="0" fontId="8" fillId="0" borderId="0" xfId="0" applyFont="1" applyAlignment="1">
      <alignment/>
    </xf>
    <xf numFmtId="2" fontId="7" fillId="0" borderId="0" xfId="0" applyNumberFormat="1" applyFont="1" applyAlignment="1">
      <alignment/>
    </xf>
    <xf numFmtId="1" fontId="7" fillId="0" borderId="0" xfId="0" applyNumberFormat="1" applyFont="1" applyAlignment="1">
      <alignment/>
    </xf>
    <xf numFmtId="1" fontId="7" fillId="0" borderId="0" xfId="0" applyNumberFormat="1" applyFont="1" applyAlignment="1">
      <alignment/>
    </xf>
    <xf numFmtId="0" fontId="7" fillId="0" borderId="0" xfId="0" applyFont="1" applyAlignment="1">
      <alignment wrapText="1"/>
    </xf>
    <xf numFmtId="2" fontId="7" fillId="0" borderId="0" xfId="0" applyNumberFormat="1" applyFont="1" applyAlignment="1">
      <alignment/>
    </xf>
    <xf numFmtId="2" fontId="2" fillId="0" borderId="0" xfId="0" applyNumberFormat="1" applyFont="1" applyAlignment="1">
      <alignment/>
    </xf>
    <xf numFmtId="0" fontId="0" fillId="0" borderId="0" xfId="0" applyAlignment="1">
      <alignment/>
    </xf>
    <xf numFmtId="0" fontId="6" fillId="0" borderId="0" xfId="0" applyFont="1" applyAlignment="1">
      <alignment wrapText="1"/>
    </xf>
    <xf numFmtId="0" fontId="0" fillId="0" borderId="0" xfId="0" applyFont="1" applyAlignment="1">
      <alignment/>
    </xf>
    <xf numFmtId="2" fontId="6" fillId="0" borderId="0" xfId="0" applyNumberFormat="1" applyFont="1" applyAlignment="1">
      <alignment/>
    </xf>
    <xf numFmtId="0" fontId="8" fillId="0" borderId="0" xfId="0" applyFont="1" applyAlignment="1">
      <alignment horizontal="center" wrapText="1"/>
    </xf>
    <xf numFmtId="2" fontId="10" fillId="0" borderId="0" xfId="0" applyNumberFormat="1" applyFont="1" applyAlignment="1">
      <alignment/>
    </xf>
    <xf numFmtId="2" fontId="9" fillId="0" borderId="0" xfId="0" applyNumberFormat="1" applyFont="1" applyAlignment="1">
      <alignment/>
    </xf>
    <xf numFmtId="1" fontId="3" fillId="0" borderId="0" xfId="0" applyNumberFormat="1" applyFont="1" applyAlignment="1">
      <alignment/>
    </xf>
    <xf numFmtId="2" fontId="3" fillId="0" borderId="0" xfId="0" applyNumberFormat="1" applyFont="1" applyAlignment="1">
      <alignment/>
    </xf>
    <xf numFmtId="0" fontId="11" fillId="0" borderId="0" xfId="0" applyFont="1" applyAlignment="1">
      <alignment/>
    </xf>
    <xf numFmtId="0" fontId="0" fillId="0" borderId="0" xfId="0" applyFont="1" applyAlignment="1">
      <alignment/>
    </xf>
    <xf numFmtId="0" fontId="0" fillId="0" borderId="0" xfId="0" applyNumberFormat="1" applyFont="1" applyAlignment="1">
      <alignment/>
    </xf>
    <xf numFmtId="0" fontId="12" fillId="0" borderId="0" xfId="0" applyFont="1" applyAlignment="1">
      <alignment horizontal="left" vertical="center" indent="4"/>
    </xf>
    <xf numFmtId="0" fontId="12" fillId="0" borderId="0" xfId="0" applyFont="1" applyAlignment="1">
      <alignment horizontal="center"/>
    </xf>
    <xf numFmtId="1" fontId="13" fillId="0" borderId="0" xfId="0" applyNumberFormat="1" applyFont="1" applyAlignment="1">
      <alignment/>
    </xf>
    <xf numFmtId="1" fontId="0" fillId="0" borderId="0" xfId="0" applyNumberFormat="1" applyFont="1" applyAlignment="1">
      <alignment/>
    </xf>
    <xf numFmtId="2" fontId="0" fillId="0" borderId="0" xfId="0" applyNumberFormat="1" applyFont="1" applyAlignment="1">
      <alignment/>
    </xf>
    <xf numFmtId="0" fontId="14" fillId="0" borderId="0" xfId="0" applyFont="1" applyAlignment="1">
      <alignment/>
    </xf>
    <xf numFmtId="0" fontId="17" fillId="0" borderId="0" xfId="0" applyFont="1" applyAlignment="1">
      <alignment/>
    </xf>
    <xf numFmtId="0" fontId="16" fillId="0" borderId="0" xfId="0" applyFont="1" applyAlignment="1">
      <alignment/>
    </xf>
    <xf numFmtId="0" fontId="15" fillId="0" borderId="0" xfId="0" applyFont="1" applyAlignment="1">
      <alignment/>
    </xf>
    <xf numFmtId="2" fontId="7" fillId="0" borderId="0" xfId="0" applyNumberFormat="1" applyFont="1" applyAlignment="1">
      <alignment horizontal="right"/>
    </xf>
    <xf numFmtId="1" fontId="6" fillId="0" borderId="0" xfId="0" applyNumberFormat="1" applyFont="1" applyAlignment="1">
      <alignment/>
    </xf>
    <xf numFmtId="1" fontId="5" fillId="0" borderId="0" xfId="0" applyNumberFormat="1" applyFont="1" applyAlignment="1">
      <alignment/>
    </xf>
    <xf numFmtId="1" fontId="23" fillId="0" borderId="0" xfId="0" applyNumberFormat="1" applyFont="1" applyAlignment="1">
      <alignment horizontal="right"/>
    </xf>
    <xf numFmtId="0" fontId="42" fillId="0" borderId="0" xfId="0" applyFont="1" applyAlignment="1">
      <alignment/>
    </xf>
    <xf numFmtId="15" fontId="42" fillId="0" borderId="0" xfId="0" applyNumberFormat="1" applyFont="1" applyAlignment="1">
      <alignment/>
    </xf>
    <xf numFmtId="15" fontId="42" fillId="0" borderId="0" xfId="0" applyNumberFormat="1" applyFont="1" applyAlignment="1">
      <alignment horizontal="left"/>
    </xf>
    <xf numFmtId="0" fontId="43" fillId="0" borderId="0" xfId="0" applyFont="1" applyAlignment="1">
      <alignment/>
    </xf>
    <xf numFmtId="0" fontId="44" fillId="0" borderId="0" xfId="0" applyFont="1" applyAlignment="1">
      <alignment/>
    </xf>
    <xf numFmtId="0" fontId="45" fillId="0" borderId="0" xfId="0" applyFont="1" applyAlignment="1">
      <alignment/>
    </xf>
    <xf numFmtId="0" fontId="47" fillId="0" borderId="0" xfId="0" applyFont="1" applyAlignment="1">
      <alignment/>
    </xf>
    <xf numFmtId="0" fontId="42" fillId="0" borderId="0" xfId="0" applyNumberFormat="1" applyFont="1" applyAlignment="1">
      <alignment/>
    </xf>
    <xf numFmtId="1" fontId="42" fillId="0" borderId="0" xfId="0" applyNumberFormat="1" applyFont="1" applyAlignment="1">
      <alignment/>
    </xf>
    <xf numFmtId="0" fontId="42" fillId="0" borderId="0" xfId="0" applyFont="1" applyAlignment="1">
      <alignment/>
    </xf>
    <xf numFmtId="0" fontId="47" fillId="0" borderId="0" xfId="0" applyFont="1" applyAlignment="1">
      <alignment horizontal="center"/>
    </xf>
    <xf numFmtId="0" fontId="42" fillId="0" borderId="0" xfId="0" applyFont="1" applyAlignment="1">
      <alignment horizontal="right" vertical="center"/>
    </xf>
    <xf numFmtId="0" fontId="42" fillId="0" borderId="0" xfId="0" applyFont="1" applyAlignment="1">
      <alignment horizontal="center" vertical="center"/>
    </xf>
    <xf numFmtId="0" fontId="42" fillId="0" borderId="0" xfId="0" applyFont="1" applyAlignment="1">
      <alignment horizontal="center"/>
    </xf>
    <xf numFmtId="0" fontId="1" fillId="0" borderId="0" xfId="0" applyFont="1" applyAlignment="1">
      <alignment horizontal="center"/>
    </xf>
    <xf numFmtId="0" fontId="0" fillId="0" borderId="0" xfId="0" applyAlignment="1">
      <alignment horizontal="center"/>
    </xf>
    <xf numFmtId="177" fontId="0" fillId="0" borderId="0" xfId="0" applyNumberFormat="1" applyAlignment="1">
      <alignment/>
    </xf>
    <xf numFmtId="0" fontId="1" fillId="0" borderId="0" xfId="0" applyFont="1" applyAlignment="1">
      <alignment/>
    </xf>
    <xf numFmtId="0" fontId="24" fillId="0" borderId="0" xfId="0" applyFont="1" applyAlignment="1">
      <alignment/>
    </xf>
    <xf numFmtId="0" fontId="49" fillId="0" borderId="0" xfId="0" applyFont="1" applyAlignment="1">
      <alignment horizontal="center"/>
    </xf>
    <xf numFmtId="0" fontId="41" fillId="0" borderId="0" xfId="0" applyFont="1" applyAlignment="1">
      <alignment horizontal="center"/>
    </xf>
    <xf numFmtId="0" fontId="1" fillId="0" borderId="0" xfId="0" applyFont="1" applyAlignment="1">
      <alignment horizontal="center" wrapText="1"/>
    </xf>
    <xf numFmtId="0" fontId="0" fillId="0" borderId="0" xfId="0" applyAlignment="1">
      <alignment wrapText="1"/>
    </xf>
    <xf numFmtId="177" fontId="1" fillId="0" borderId="0" xfId="0" applyNumberFormat="1" applyFont="1" applyAlignment="1">
      <alignment horizontal="center" wrapText="1"/>
    </xf>
    <xf numFmtId="177" fontId="1" fillId="0" borderId="10" xfId="0" applyNumberFormat="1" applyFont="1" applyBorder="1" applyAlignment="1">
      <alignment horizontal="center" wrapText="1"/>
    </xf>
    <xf numFmtId="177" fontId="1" fillId="0" borderId="11" xfId="0" applyNumberFormat="1" applyFont="1" applyBorder="1" applyAlignment="1">
      <alignment horizontal="center" wrapText="1"/>
    </xf>
    <xf numFmtId="177" fontId="1" fillId="0" borderId="12" xfId="0" applyNumberFormat="1" applyFont="1" applyBorder="1" applyAlignment="1">
      <alignment horizontal="center" wrapText="1"/>
    </xf>
    <xf numFmtId="0" fontId="1" fillId="0" borderId="10" xfId="0" applyFont="1" applyBorder="1" applyAlignment="1">
      <alignment horizontal="center" wrapText="1"/>
    </xf>
    <xf numFmtId="0" fontId="1" fillId="0" borderId="11" xfId="0" applyFont="1" applyBorder="1" applyAlignment="1">
      <alignment horizontal="center" wrapText="1"/>
    </xf>
    <xf numFmtId="0" fontId="1" fillId="0" borderId="12" xfId="0" applyFont="1" applyBorder="1" applyAlignment="1">
      <alignment horizontal="center" wrapText="1"/>
    </xf>
    <xf numFmtId="177" fontId="0" fillId="22" borderId="0" xfId="0" applyNumberFormat="1" applyFill="1" applyAlignment="1">
      <alignment/>
    </xf>
    <xf numFmtId="0" fontId="0" fillId="0" borderId="0" xfId="0" applyAlignment="1">
      <alignment/>
    </xf>
    <xf numFmtId="0" fontId="6" fillId="0" borderId="0" xfId="0" applyFont="1" applyAlignment="1">
      <alignment wrapText="1"/>
    </xf>
    <xf numFmtId="0" fontId="0" fillId="0" borderId="0" xfId="0" applyFont="1" applyAlignment="1">
      <alignment/>
    </xf>
    <xf numFmtId="0" fontId="0" fillId="0" borderId="0" xfId="0" applyFont="1" applyAlignment="1">
      <alignment/>
    </xf>
    <xf numFmtId="2" fontId="3" fillId="0" borderId="0" xfId="0" applyNumberFormat="1" applyFont="1" applyAlignment="1">
      <alignment horizontal="center"/>
    </xf>
    <xf numFmtId="2" fontId="0" fillId="0" borderId="0" xfId="0" applyNumberFormat="1" applyAlignment="1">
      <alignment horizontal="center"/>
    </xf>
    <xf numFmtId="0" fontId="3" fillId="0" borderId="0" xfId="0" applyFont="1" applyAlignment="1">
      <alignment horizontal="center"/>
    </xf>
    <xf numFmtId="0" fontId="0" fillId="0" borderId="11" xfId="0" applyBorder="1" applyAlignment="1">
      <alignment horizontal="center" wrapText="1"/>
    </xf>
    <xf numFmtId="0" fontId="0" fillId="0" borderId="12" xfId="0" applyBorder="1" applyAlignment="1">
      <alignment horizontal="center" wrapText="1"/>
    </xf>
    <xf numFmtId="0" fontId="0" fillId="0" borderId="0" xfId="0" applyAlignment="1">
      <alignment horizontal="center" wrapText="1"/>
    </xf>
    <xf numFmtId="0" fontId="0" fillId="0" borderId="0" xfId="0" applyAlignment="1">
      <alignment/>
    </xf>
    <xf numFmtId="0" fontId="1" fillId="0" borderId="0" xfId="0" applyFont="1" applyAlignment="1">
      <alignment horizontal="center" wrapText="1"/>
    </xf>
    <xf numFmtId="0" fontId="0" fillId="0" borderId="0" xfId="0" applyAlignment="1">
      <alignment horizontal="center" wrapText="1"/>
    </xf>
    <xf numFmtId="0" fontId="0" fillId="0" borderId="0" xfId="0" applyAlignment="1">
      <alignment wrapText="1"/>
    </xf>
    <xf numFmtId="0" fontId="6" fillId="0" borderId="0" xfId="0" applyFont="1" applyAlignment="1">
      <alignment wrapText="1"/>
    </xf>
    <xf numFmtId="0" fontId="6" fillId="0" borderId="0" xfId="0" applyFont="1" applyAlignment="1">
      <alignment wrapText="1"/>
    </xf>
    <xf numFmtId="0" fontId="0" fillId="0" borderId="0" xfId="0" applyFont="1" applyAlignment="1">
      <alignment/>
    </xf>
    <xf numFmtId="0" fontId="5" fillId="0" borderId="0" xfId="0" applyFont="1" applyAlignment="1">
      <alignment horizontal="left" wrapText="1"/>
    </xf>
    <xf numFmtId="0" fontId="0" fillId="0" borderId="0" xfId="0" applyFont="1" applyAlignment="1">
      <alignment/>
    </xf>
    <xf numFmtId="0" fontId="6" fillId="0" borderId="0" xfId="0" applyFont="1" applyAlignment="1" quotePrefix="1">
      <alignment wrapText="1"/>
    </xf>
    <xf numFmtId="1" fontId="0" fillId="0" borderId="0" xfId="0" applyNumberFormat="1" applyAlignment="1">
      <alignment/>
    </xf>
    <xf numFmtId="1" fontId="7" fillId="0" borderId="0" xfId="0" applyNumberFormat="1" applyFont="1" applyAlignment="1">
      <alignment/>
    </xf>
    <xf numFmtId="177" fontId="6" fillId="0" borderId="0" xfId="0" applyNumberFormat="1" applyFont="1" applyAlignment="1">
      <alignment/>
    </xf>
    <xf numFmtId="177" fontId="6" fillId="0" borderId="0" xfId="0" applyNumberFormat="1" applyFont="1" applyAlignment="1" quotePrefix="1">
      <alignment/>
    </xf>
    <xf numFmtId="177" fontId="6" fillId="0" borderId="0" xfId="0" applyNumberFormat="1" applyFont="1" applyAlignment="1">
      <alignment/>
    </xf>
    <xf numFmtId="177" fontId="0" fillId="0" borderId="0" xfId="0" applyNumberFormat="1" applyFont="1" applyAlignment="1">
      <alignment/>
    </xf>
    <xf numFmtId="177" fontId="0" fillId="0" borderId="0" xfId="0" applyNumberFormat="1" applyFont="1" applyAlignment="1">
      <alignment/>
    </xf>
    <xf numFmtId="177" fontId="5" fillId="0" borderId="0" xfId="0" applyNumberFormat="1" applyFont="1" applyAlignment="1">
      <alignment horizontal="left"/>
    </xf>
    <xf numFmtId="177" fontId="1" fillId="0" borderId="0" xfId="0" applyNumberFormat="1" applyFont="1" applyAlignment="1">
      <alignment horizontal="center"/>
    </xf>
    <xf numFmtId="177" fontId="26" fillId="0" borderId="0" xfId="0" applyNumberFormat="1" applyFont="1" applyAlignment="1">
      <alignment horizontal="right"/>
    </xf>
    <xf numFmtId="177" fontId="1" fillId="0" borderId="0" xfId="0" applyNumberFormat="1" applyFont="1" applyAlignment="1">
      <alignment horizontal="right"/>
    </xf>
    <xf numFmtId="177" fontId="1" fillId="0" borderId="0" xfId="0" applyNumberFormat="1" applyFont="1" applyAlignment="1">
      <alignment horizontal="center"/>
    </xf>
    <xf numFmtId="177" fontId="0" fillId="0" borderId="0" xfId="0" applyNumberFormat="1" applyAlignment="1">
      <alignment/>
    </xf>
    <xf numFmtId="177" fontId="7" fillId="0" borderId="0" xfId="0" applyNumberFormat="1" applyFont="1" applyAlignment="1">
      <alignment/>
    </xf>
    <xf numFmtId="0" fontId="11" fillId="0" borderId="0" xfId="0" applyFont="1" applyAlignment="1">
      <alignment/>
    </xf>
    <xf numFmtId="0" fontId="8" fillId="0" borderId="0" xfId="0" applyFont="1" applyAlignment="1">
      <alignment/>
    </xf>
    <xf numFmtId="0" fontId="25" fillId="0" borderId="0" xfId="0" applyFont="1" applyAlignment="1">
      <alignment/>
    </xf>
    <xf numFmtId="2" fontId="10" fillId="0" borderId="0" xfId="0" applyNumberFormat="1" applyFont="1" applyAlignment="1">
      <alignment/>
    </xf>
    <xf numFmtId="2" fontId="0" fillId="0" borderId="0" xfId="0" applyNumberFormat="1" applyAlignment="1">
      <alignment/>
    </xf>
    <xf numFmtId="2" fontId="6" fillId="0" borderId="0" xfId="0" applyNumberFormat="1" applyFont="1" applyAlignment="1">
      <alignment/>
    </xf>
    <xf numFmtId="2" fontId="48" fillId="0" borderId="0" xfId="0" applyNumberFormat="1" applyFont="1" applyAlignment="1">
      <alignment/>
    </xf>
    <xf numFmtId="0" fontId="7" fillId="0" borderId="0" xfId="0" applyFont="1" applyAlignment="1">
      <alignment/>
    </xf>
    <xf numFmtId="1" fontId="3" fillId="0" borderId="0" xfId="0" applyNumberFormat="1" applyFont="1" applyAlignment="1">
      <alignment/>
    </xf>
    <xf numFmtId="2" fontId="9" fillId="0" borderId="0" xfId="0" applyNumberFormat="1" applyFont="1" applyAlignment="1">
      <alignment/>
    </xf>
    <xf numFmtId="2" fontId="3" fillId="0" borderId="0" xfId="0" applyNumberFormat="1" applyFont="1" applyAlignment="1">
      <alignment/>
    </xf>
    <xf numFmtId="1" fontId="3" fillId="0" borderId="0" xfId="0" applyNumberFormat="1" applyFont="1" applyAlignment="1">
      <alignment/>
    </xf>
    <xf numFmtId="1" fontId="7" fillId="0" borderId="0" xfId="0" applyNumberFormat="1" applyFont="1" applyAlignment="1">
      <alignment/>
    </xf>
    <xf numFmtId="2" fontId="7" fillId="0" borderId="0" xfId="0" applyNumberFormat="1" applyFont="1" applyAlignment="1">
      <alignment/>
    </xf>
    <xf numFmtId="0" fontId="3" fillId="0" borderId="0" xfId="0" applyFont="1" applyAlignment="1">
      <alignment/>
    </xf>
    <xf numFmtId="177" fontId="3" fillId="0" borderId="0" xfId="0" applyNumberFormat="1" applyFont="1" applyAlignment="1">
      <alignment/>
    </xf>
    <xf numFmtId="0" fontId="3" fillId="0" borderId="0" xfId="0" applyFont="1" applyAlignment="1">
      <alignment/>
    </xf>
    <xf numFmtId="2" fontId="3" fillId="0" borderId="0" xfId="0" applyNumberFormat="1" applyFont="1" applyAlignment="1">
      <alignment/>
    </xf>
    <xf numFmtId="0" fontId="2" fillId="0" borderId="0" xfId="0" applyFont="1" applyAlignment="1">
      <alignment/>
    </xf>
    <xf numFmtId="2" fontId="2" fillId="0" borderId="0" xfId="0" applyNumberFormat="1" applyFont="1" applyAlignment="1">
      <alignment/>
    </xf>
    <xf numFmtId="1" fontId="2" fillId="0" borderId="0" xfId="0" applyNumberFormat="1" applyFont="1" applyAlignment="1">
      <alignment/>
    </xf>
    <xf numFmtId="1" fontId="0" fillId="0" borderId="0" xfId="0" applyNumberFormat="1" applyFont="1" applyAlignment="1">
      <alignment/>
    </xf>
    <xf numFmtId="178" fontId="48" fillId="0" borderId="0" xfId="0" applyNumberFormat="1" applyFont="1" applyAlignment="1">
      <alignment/>
    </xf>
    <xf numFmtId="178" fontId="0" fillId="0" borderId="0" xfId="0" applyNumberFormat="1" applyAlignment="1">
      <alignment/>
    </xf>
    <xf numFmtId="177" fontId="3" fillId="0" borderId="0" xfId="0" applyNumberFormat="1" applyFont="1" applyAlignment="1">
      <alignment/>
    </xf>
    <xf numFmtId="0" fontId="20" fillId="0" borderId="0" xfId="0" applyFont="1" applyAlignment="1">
      <alignment/>
    </xf>
    <xf numFmtId="1" fontId="6" fillId="0" borderId="0" xfId="0" applyNumberFormat="1" applyFont="1" applyAlignment="1">
      <alignment/>
    </xf>
    <xf numFmtId="177" fontId="7" fillId="0" borderId="0" xfId="0" applyNumberFormat="1" applyFont="1" applyAlignment="1">
      <alignment/>
    </xf>
    <xf numFmtId="178" fontId="13" fillId="0" borderId="0" xfId="0" applyNumberFormat="1" applyFont="1" applyAlignment="1">
      <alignment/>
    </xf>
    <xf numFmtId="1" fontId="13" fillId="0" borderId="0" xfId="0" applyNumberFormat="1" applyFont="1" applyAlignment="1">
      <alignment/>
    </xf>
    <xf numFmtId="2" fontId="13" fillId="0" borderId="0" xfId="0" applyNumberFormat="1" applyFont="1" applyAlignment="1">
      <alignment/>
    </xf>
    <xf numFmtId="1" fontId="20" fillId="0" borderId="0" xfId="0" applyNumberFormat="1" applyFont="1" applyAlignment="1">
      <alignment/>
    </xf>
    <xf numFmtId="177" fontId="20" fillId="0" borderId="0" xfId="0" applyNumberFormat="1" applyFont="1" applyAlignment="1">
      <alignment/>
    </xf>
    <xf numFmtId="177" fontId="20" fillId="0" borderId="0" xfId="0" applyNumberFormat="1" applyFont="1" applyAlignment="1">
      <alignment/>
    </xf>
    <xf numFmtId="0" fontId="0" fillId="0" borderId="0" xfId="0" applyFont="1" applyAlignment="1">
      <alignment/>
    </xf>
    <xf numFmtId="1" fontId="0" fillId="0" borderId="0" xfId="0" applyNumberFormat="1" applyFont="1" applyAlignment="1">
      <alignment/>
    </xf>
    <xf numFmtId="2" fontId="7" fillId="0" borderId="0" xfId="0" applyNumberFormat="1" applyFont="1" applyAlignment="1">
      <alignment/>
    </xf>
    <xf numFmtId="0" fontId="0" fillId="0" borderId="0" xfId="0" applyNumberFormat="1" applyFont="1" applyAlignment="1">
      <alignment/>
    </xf>
    <xf numFmtId="3" fontId="0" fillId="0" borderId="0" xfId="0" applyNumberFormat="1" applyAlignment="1">
      <alignment/>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10" borderId="0" xfId="0" applyFont="1" applyFill="1" applyAlignment="1">
      <alignment horizontal="center"/>
    </xf>
    <xf numFmtId="0" fontId="5" fillId="10" borderId="0" xfId="0" applyFont="1" applyFill="1" applyAlignment="1">
      <alignment horizontal="center"/>
    </xf>
    <xf numFmtId="0" fontId="1" fillId="7" borderId="0" xfId="0" applyFont="1" applyFill="1" applyAlignment="1">
      <alignment horizontal="center"/>
    </xf>
    <xf numFmtId="0" fontId="0" fillId="7" borderId="0" xfId="0" applyFill="1" applyAlignment="1">
      <alignment horizontal="center"/>
    </xf>
    <xf numFmtId="177" fontId="1" fillId="22" borderId="0" xfId="0" applyNumberFormat="1" applyFont="1" applyFill="1" applyAlignment="1">
      <alignment horizontal="center"/>
    </xf>
    <xf numFmtId="177" fontId="0" fillId="22" borderId="0" xfId="0" applyNumberFormat="1" applyFill="1" applyAlignment="1">
      <alignment horizontal="center"/>
    </xf>
    <xf numFmtId="0" fontId="1" fillId="4" borderId="0" xfId="0" applyFont="1" applyFill="1" applyAlignment="1">
      <alignment horizontal="left"/>
    </xf>
    <xf numFmtId="0" fontId="1" fillId="4" borderId="0" xfId="0" applyFont="1" applyFill="1" applyAlignment="1">
      <alignment horizontal="center"/>
    </xf>
    <xf numFmtId="182"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55"/>
  <sheetViews>
    <sheetView zoomScalePageLayoutView="0" workbookViewId="0" topLeftCell="A1">
      <selection activeCell="A24" sqref="A24"/>
    </sheetView>
  </sheetViews>
  <sheetFormatPr defaultColWidth="8.8515625" defaultRowHeight="12.75"/>
  <cols>
    <col min="1" max="1" width="19.00390625" style="48" customWidth="1"/>
    <col min="2" max="2" width="13.421875" style="48" customWidth="1"/>
    <col min="3" max="16384" width="8.8515625" style="48" customWidth="1"/>
  </cols>
  <sheetData>
    <row r="1" spans="1:2" ht="15">
      <c r="A1" s="48" t="s">
        <v>95</v>
      </c>
      <c r="B1" s="49"/>
    </row>
    <row r="2" spans="1:2" ht="18">
      <c r="A2" s="50">
        <v>40743</v>
      </c>
      <c r="B2" s="51" t="s">
        <v>183</v>
      </c>
    </row>
    <row r="3" spans="2:7" ht="15">
      <c r="B3" s="52"/>
      <c r="C3" s="52"/>
      <c r="D3" s="52"/>
      <c r="E3" s="52"/>
      <c r="F3" s="52"/>
      <c r="G3" s="52"/>
    </row>
    <row r="4" ht="15">
      <c r="A4" s="53" t="s">
        <v>175</v>
      </c>
    </row>
    <row r="5" ht="15">
      <c r="A5" s="48" t="s">
        <v>127</v>
      </c>
    </row>
    <row r="6" ht="15">
      <c r="A6" s="48" t="s">
        <v>128</v>
      </c>
    </row>
    <row r="7" ht="15">
      <c r="A7" s="48" t="s">
        <v>185</v>
      </c>
    </row>
    <row r="9" ht="15">
      <c r="A9" s="53" t="s">
        <v>186</v>
      </c>
    </row>
    <row r="10" ht="15">
      <c r="A10" s="48" t="s">
        <v>187</v>
      </c>
    </row>
    <row r="11" ht="15">
      <c r="A11" s="48" t="s">
        <v>156</v>
      </c>
    </row>
    <row r="12" ht="15">
      <c r="A12" s="48" t="s">
        <v>16</v>
      </c>
    </row>
    <row r="13" ht="15">
      <c r="A13" s="48" t="s">
        <v>50</v>
      </c>
    </row>
    <row r="14" ht="15">
      <c r="A14" s="48" t="s">
        <v>15</v>
      </c>
    </row>
    <row r="15" ht="15">
      <c r="A15" s="48" t="s">
        <v>51</v>
      </c>
    </row>
    <row r="16" ht="15">
      <c r="A16" s="48" t="s">
        <v>5</v>
      </c>
    </row>
    <row r="17" ht="15">
      <c r="A17" s="48" t="s">
        <v>6</v>
      </c>
    </row>
    <row r="18" ht="15">
      <c r="B18" s="48" t="s">
        <v>182</v>
      </c>
    </row>
    <row r="20" ht="15">
      <c r="A20" s="53" t="s">
        <v>157</v>
      </c>
    </row>
    <row r="21" ht="15">
      <c r="A21" s="48" t="s">
        <v>184</v>
      </c>
    </row>
    <row r="22" ht="15">
      <c r="A22" s="48" t="s">
        <v>56</v>
      </c>
    </row>
    <row r="23" ht="15">
      <c r="A23" s="48" t="s">
        <v>188</v>
      </c>
    </row>
    <row r="24" ht="15">
      <c r="A24" s="48" t="s">
        <v>154</v>
      </c>
    </row>
    <row r="25" ht="15">
      <c r="A25" s="48" t="s">
        <v>149</v>
      </c>
    </row>
    <row r="27" ht="15">
      <c r="A27" s="54" t="s">
        <v>158</v>
      </c>
    </row>
    <row r="29" ht="15">
      <c r="A29" s="53" t="s">
        <v>178</v>
      </c>
    </row>
    <row r="30" ht="15">
      <c r="A30" s="52" t="s">
        <v>110</v>
      </c>
    </row>
    <row r="31" ht="15">
      <c r="A31" s="48" t="s">
        <v>111</v>
      </c>
    </row>
    <row r="32" ht="15">
      <c r="A32" s="48" t="s">
        <v>112</v>
      </c>
    </row>
    <row r="33" ht="15">
      <c r="A33" s="52" t="s">
        <v>98</v>
      </c>
    </row>
    <row r="34" ht="15">
      <c r="A34" s="48" t="s">
        <v>84</v>
      </c>
    </row>
    <row r="35" ht="15">
      <c r="A35" s="48" t="s">
        <v>129</v>
      </c>
    </row>
    <row r="36" ht="15">
      <c r="A36" s="48" t="s">
        <v>130</v>
      </c>
    </row>
    <row r="37" ht="15">
      <c r="A37" s="48" t="s">
        <v>131</v>
      </c>
    </row>
    <row r="38" ht="15">
      <c r="A38" s="52" t="s">
        <v>176</v>
      </c>
    </row>
    <row r="39" ht="15">
      <c r="A39" s="48" t="s">
        <v>84</v>
      </c>
    </row>
    <row r="40" ht="15">
      <c r="A40" s="48" t="s">
        <v>129</v>
      </c>
    </row>
    <row r="41" ht="15">
      <c r="A41" s="48" t="s">
        <v>57</v>
      </c>
    </row>
    <row r="42" ht="15">
      <c r="A42" s="48" t="s">
        <v>130</v>
      </c>
    </row>
    <row r="43" ht="15">
      <c r="A43" s="48" t="s">
        <v>131</v>
      </c>
    </row>
    <row r="44" ht="15">
      <c r="A44" s="52" t="s">
        <v>179</v>
      </c>
    </row>
    <row r="46" ht="15">
      <c r="A46" s="54" t="s">
        <v>180</v>
      </c>
    </row>
    <row r="48" ht="15">
      <c r="A48" s="54" t="s">
        <v>181</v>
      </c>
    </row>
    <row r="49" spans="1:3" ht="15">
      <c r="A49" s="55" t="s">
        <v>114</v>
      </c>
      <c r="B49" s="56"/>
      <c r="C49" s="57"/>
    </row>
    <row r="50" spans="1:3" ht="15">
      <c r="A50" s="55" t="s">
        <v>21</v>
      </c>
      <c r="B50" s="56"/>
      <c r="C50" s="57"/>
    </row>
    <row r="51" spans="1:4" ht="15">
      <c r="A51" s="57"/>
      <c r="C51" s="58" t="s">
        <v>97</v>
      </c>
      <c r="D51" s="58" t="s">
        <v>35</v>
      </c>
    </row>
    <row r="52" spans="2:4" ht="15">
      <c r="B52" s="59" t="s">
        <v>101</v>
      </c>
      <c r="C52" s="60">
        <v>40.1</v>
      </c>
      <c r="D52" s="61">
        <v>41.4</v>
      </c>
    </row>
    <row r="53" spans="2:4" ht="15">
      <c r="B53" s="59" t="s">
        <v>99</v>
      </c>
      <c r="C53" s="60">
        <v>47.1</v>
      </c>
      <c r="D53" s="60">
        <v>47.5</v>
      </c>
    </row>
    <row r="54" spans="2:4" ht="15">
      <c r="B54" s="59" t="s">
        <v>100</v>
      </c>
      <c r="C54" s="60">
        <v>52.3</v>
      </c>
      <c r="D54" s="60">
        <v>52.7</v>
      </c>
    </row>
    <row r="55" ht="15">
      <c r="A55" s="48" t="s">
        <v>113</v>
      </c>
    </row>
  </sheetData>
  <sheetProtection/>
  <printOptions/>
  <pageMargins left="0.7" right="0.7" top="0.75" bottom="0.75"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2:E10"/>
  <sheetViews>
    <sheetView zoomScalePageLayoutView="0" workbookViewId="0" topLeftCell="A1">
      <selection activeCell="C20" sqref="C20"/>
    </sheetView>
  </sheetViews>
  <sheetFormatPr defaultColWidth="8.8515625" defaultRowHeight="12.75"/>
  <cols>
    <col min="1" max="3" width="17.421875" style="0" customWidth="1"/>
    <col min="4" max="4" width="14.00390625" style="0" customWidth="1"/>
  </cols>
  <sheetData>
    <row r="2" spans="1:4" ht="15">
      <c r="A2" s="41" t="s">
        <v>40</v>
      </c>
      <c r="B2" s="40"/>
      <c r="C2" s="40"/>
      <c r="D2" s="40"/>
    </row>
    <row r="3" spans="1:3" ht="15">
      <c r="A3" s="40"/>
      <c r="B3" s="40"/>
      <c r="C3" s="40"/>
    </row>
    <row r="4" spans="1:4" ht="15">
      <c r="A4" s="42" t="s">
        <v>37</v>
      </c>
      <c r="B4" s="42" t="s">
        <v>37</v>
      </c>
      <c r="C4" s="42" t="s">
        <v>36</v>
      </c>
      <c r="D4" s="42" t="s">
        <v>36</v>
      </c>
    </row>
    <row r="5" spans="1:4" ht="15">
      <c r="A5" s="43" t="s">
        <v>10</v>
      </c>
      <c r="B5" s="43" t="s">
        <v>11</v>
      </c>
      <c r="C5" s="43" t="s">
        <v>12</v>
      </c>
      <c r="D5" s="43" t="s">
        <v>38</v>
      </c>
    </row>
    <row r="6" spans="1:5" ht="15">
      <c r="A6" s="40" t="s">
        <v>88</v>
      </c>
      <c r="B6" s="40" t="s">
        <v>88</v>
      </c>
      <c r="C6" s="40" t="s">
        <v>88</v>
      </c>
      <c r="D6" s="43"/>
      <c r="E6" s="40" t="s">
        <v>23</v>
      </c>
    </row>
    <row r="7" spans="1:4" ht="15">
      <c r="A7" s="40" t="s">
        <v>22</v>
      </c>
      <c r="B7" s="40" t="s">
        <v>22</v>
      </c>
      <c r="C7" s="40" t="s">
        <v>22</v>
      </c>
      <c r="D7" s="40"/>
    </row>
    <row r="8" spans="1:4" ht="15">
      <c r="A8" s="40" t="s">
        <v>85</v>
      </c>
      <c r="B8" s="40" t="s">
        <v>85</v>
      </c>
      <c r="C8" s="40" t="s">
        <v>85</v>
      </c>
      <c r="D8" s="40"/>
    </row>
    <row r="9" spans="1:4" ht="15">
      <c r="A9" s="40" t="s">
        <v>86</v>
      </c>
      <c r="B9" s="40" t="s">
        <v>86</v>
      </c>
      <c r="C9" s="40"/>
      <c r="D9" s="40" t="s">
        <v>86</v>
      </c>
    </row>
    <row r="10" spans="1:3" ht="15">
      <c r="A10" s="40" t="s">
        <v>87</v>
      </c>
      <c r="B10" s="40" t="s">
        <v>87</v>
      </c>
      <c r="C10" s="40" t="s">
        <v>87</v>
      </c>
    </row>
  </sheetData>
  <sheetProtection/>
  <printOptions/>
  <pageMargins left="0.7" right="0.7" top="0.75" bottom="0.75" header="0.3" footer="0.3"/>
  <pageSetup horizontalDpi="600" verticalDpi="600" orientation="portrait"/>
</worksheet>
</file>

<file path=xl/worksheets/sheet3.xml><?xml version="1.0" encoding="utf-8"?>
<worksheet xmlns="http://schemas.openxmlformats.org/spreadsheetml/2006/main" xmlns:r="http://schemas.openxmlformats.org/officeDocument/2006/relationships">
  <dimension ref="A1:IV77"/>
  <sheetViews>
    <sheetView tabSelected="1" zoomScale="125" zoomScaleNormal="125" zoomScalePageLayoutView="0" workbookViewId="0" topLeftCell="A1">
      <pane xSplit="13500" ySplit="4520" topLeftCell="R22" activePane="bottomLeft" state="split"/>
      <selection pane="topLeft" activeCell="A7" sqref="A7:A41"/>
      <selection pane="topRight" activeCell="BO8" sqref="BO8:BO41"/>
      <selection pane="bottomLeft" activeCell="C35" sqref="C35"/>
      <selection pane="bottomRight" activeCell="T35" sqref="T35"/>
    </sheetView>
  </sheetViews>
  <sheetFormatPr defaultColWidth="8.8515625" defaultRowHeight="12.75"/>
  <cols>
    <col min="1" max="1" width="39.00390625" style="79" customWidth="1"/>
    <col min="2" max="4" width="8.8515625" style="79" customWidth="1"/>
    <col min="5" max="5" width="12.421875" style="64" customWidth="1"/>
    <col min="6" max="17" width="8.8515625" style="79" customWidth="1"/>
    <col min="18" max="18" width="10.140625" style="79" customWidth="1"/>
    <col min="19" max="19" width="11.140625" style="79" customWidth="1"/>
    <col min="20" max="23" width="8.8515625" style="79" customWidth="1"/>
    <col min="24" max="24" width="10.140625" style="79" customWidth="1"/>
    <col min="25" max="51" width="8.8515625" style="79" customWidth="1"/>
    <col min="52" max="52" width="8.8515625" style="64" customWidth="1"/>
    <col min="53" max="71" width="8.8515625" style="79" customWidth="1"/>
    <col min="72" max="72" width="13.28125" style="79" customWidth="1"/>
    <col min="73" max="77" width="8.8515625" style="79" customWidth="1"/>
    <col min="78" max="78" width="13.421875" style="79" customWidth="1"/>
    <col min="79" max="79" width="8.8515625" style="79" customWidth="1"/>
    <col min="80" max="80" width="19.140625" style="79" customWidth="1"/>
    <col min="81" max="16384" width="8.8515625" style="79" customWidth="1"/>
  </cols>
  <sheetData>
    <row r="1" spans="1:69" ht="18">
      <c r="A1" s="113" t="s">
        <v>146</v>
      </c>
      <c r="X1" s="67" t="s">
        <v>52</v>
      </c>
      <c r="Y1" s="63"/>
      <c r="Z1" s="63"/>
      <c r="AA1" s="63"/>
      <c r="AB1" s="63"/>
      <c r="AC1" s="63"/>
      <c r="AD1" s="67" t="s">
        <v>2</v>
      </c>
      <c r="AP1" s="67" t="s">
        <v>52</v>
      </c>
      <c r="AQ1" s="63"/>
      <c r="AR1" s="63"/>
      <c r="AS1" s="67" t="s">
        <v>52</v>
      </c>
      <c r="BB1" s="67" t="s">
        <v>52</v>
      </c>
      <c r="BH1" s="67" t="s">
        <v>52</v>
      </c>
      <c r="BN1" s="67" t="s">
        <v>189</v>
      </c>
      <c r="BQ1" s="67" t="s">
        <v>52</v>
      </c>
    </row>
    <row r="2" spans="1:72" ht="16.5">
      <c r="A2" s="114" t="s">
        <v>89</v>
      </c>
      <c r="X2" s="67" t="s">
        <v>53</v>
      </c>
      <c r="Y2" s="63"/>
      <c r="Z2" s="63"/>
      <c r="AA2" s="63"/>
      <c r="AB2" s="63"/>
      <c r="AC2" s="63"/>
      <c r="AD2" s="67" t="s">
        <v>3</v>
      </c>
      <c r="AP2" s="67" t="s">
        <v>0</v>
      </c>
      <c r="AS2" s="67" t="s">
        <v>0</v>
      </c>
      <c r="BB2" s="67" t="s">
        <v>1</v>
      </c>
      <c r="BH2" s="67" t="s">
        <v>0</v>
      </c>
      <c r="BN2" s="67" t="s">
        <v>190</v>
      </c>
      <c r="BQ2" s="67" t="s">
        <v>1</v>
      </c>
      <c r="BT2" s="66"/>
    </row>
    <row r="3" spans="5:72" ht="18" thickBot="1">
      <c r="E3" s="107"/>
      <c r="O3" s="62"/>
      <c r="P3" s="62"/>
      <c r="Q3" s="62"/>
      <c r="R3" s="62"/>
      <c r="S3" s="62"/>
      <c r="T3" s="62"/>
      <c r="U3" s="62"/>
      <c r="V3" s="62"/>
      <c r="W3" s="62"/>
      <c r="X3" s="68" t="s">
        <v>54</v>
      </c>
      <c r="Y3" s="62"/>
      <c r="Z3" s="62"/>
      <c r="AA3" s="62"/>
      <c r="AB3" s="62"/>
      <c r="AC3" s="62"/>
      <c r="AD3" s="68" t="s">
        <v>4</v>
      </c>
      <c r="AE3" s="62"/>
      <c r="AF3" s="62"/>
      <c r="AG3" s="62"/>
      <c r="AH3" s="62"/>
      <c r="AI3" s="62"/>
      <c r="AJ3" s="62"/>
      <c r="AK3" s="62"/>
      <c r="AL3" s="62"/>
      <c r="AM3" s="62"/>
      <c r="AN3" s="62"/>
      <c r="AO3" s="62"/>
      <c r="AP3" s="68" t="s">
        <v>54</v>
      </c>
      <c r="AQ3" s="62"/>
      <c r="AR3" s="62"/>
      <c r="AS3" s="68" t="s">
        <v>54</v>
      </c>
      <c r="AT3" s="62"/>
      <c r="AU3" s="62"/>
      <c r="AV3" s="62"/>
      <c r="AW3" s="62"/>
      <c r="AX3" s="62"/>
      <c r="AY3" s="63"/>
      <c r="BB3" s="68" t="s">
        <v>54</v>
      </c>
      <c r="BG3" s="62"/>
      <c r="BH3" s="68" t="s">
        <v>54</v>
      </c>
      <c r="BI3" s="65"/>
      <c r="BJ3" s="65"/>
      <c r="BK3" s="65"/>
      <c r="BL3" s="65"/>
      <c r="BM3" s="65"/>
      <c r="BN3" s="68" t="s">
        <v>177</v>
      </c>
      <c r="BO3" s="65"/>
      <c r="BP3" s="65"/>
      <c r="BQ3" s="68" t="s">
        <v>54</v>
      </c>
      <c r="BR3" s="65"/>
      <c r="BT3" s="66"/>
    </row>
    <row r="4" spans="1:72" ht="15" customHeight="1" thickBot="1">
      <c r="A4" s="65"/>
      <c r="B4" s="152" t="s">
        <v>41</v>
      </c>
      <c r="C4" s="153"/>
      <c r="D4" s="154"/>
      <c r="E4" s="107"/>
      <c r="F4" s="155" t="s">
        <v>42</v>
      </c>
      <c r="G4" s="155"/>
      <c r="H4" s="155"/>
      <c r="I4" s="156"/>
      <c r="J4" s="156"/>
      <c r="K4" s="156"/>
      <c r="L4" s="156"/>
      <c r="M4" s="156"/>
      <c r="N4" s="156"/>
      <c r="P4" s="62" t="s">
        <v>43</v>
      </c>
      <c r="T4" s="157" t="s">
        <v>105</v>
      </c>
      <c r="U4" s="157"/>
      <c r="V4" s="157"/>
      <c r="W4" s="158"/>
      <c r="X4" s="158"/>
      <c r="Y4" s="158"/>
      <c r="Z4" s="158"/>
      <c r="AA4" s="158"/>
      <c r="AB4" s="158"/>
      <c r="AC4" s="158"/>
      <c r="AD4" s="158"/>
      <c r="AE4" s="158"/>
      <c r="AF4" s="158"/>
      <c r="AG4" s="158"/>
      <c r="AH4" s="158"/>
      <c r="AI4" s="158"/>
      <c r="AJ4" s="158"/>
      <c r="AK4" s="158"/>
      <c r="AL4" s="159" t="s">
        <v>104</v>
      </c>
      <c r="AM4" s="160"/>
      <c r="AN4" s="160"/>
      <c r="AO4" s="160"/>
      <c r="AP4" s="160"/>
      <c r="AQ4" s="160"/>
      <c r="AR4" s="160"/>
      <c r="AS4" s="160"/>
      <c r="AT4" s="160"/>
      <c r="AU4" s="160"/>
      <c r="AV4" s="160"/>
      <c r="AW4" s="160"/>
      <c r="AX4" s="160"/>
      <c r="AY4" s="78"/>
      <c r="AZ4" s="78"/>
      <c r="BA4" s="78"/>
      <c r="BB4" s="78"/>
      <c r="BC4" s="78"/>
      <c r="BD4" s="161" t="s">
        <v>30</v>
      </c>
      <c r="BE4" s="162"/>
      <c r="BF4" s="162"/>
      <c r="BG4" s="162"/>
      <c r="BH4" s="162"/>
      <c r="BI4" s="162"/>
      <c r="BJ4" s="162"/>
      <c r="BK4" s="162"/>
      <c r="BL4" s="161" t="s">
        <v>30</v>
      </c>
      <c r="BM4" s="162"/>
      <c r="BN4" s="162"/>
      <c r="BO4" s="162"/>
      <c r="BP4" s="162"/>
      <c r="BQ4" s="161" t="s">
        <v>30</v>
      </c>
      <c r="BR4" s="162"/>
      <c r="BT4" s="115"/>
    </row>
    <row r="5" spans="1:76" ht="55.5">
      <c r="A5" s="1"/>
      <c r="B5" s="69"/>
      <c r="C5" s="69"/>
      <c r="D5" s="69"/>
      <c r="E5" s="107"/>
      <c r="F5" s="75" t="s">
        <v>144</v>
      </c>
      <c r="G5" s="86"/>
      <c r="H5" s="87"/>
      <c r="I5" s="69" t="s">
        <v>147</v>
      </c>
      <c r="J5" s="88"/>
      <c r="K5" s="88"/>
      <c r="L5" s="69" t="s">
        <v>148</v>
      </c>
      <c r="M5" s="88"/>
      <c r="N5" s="88"/>
      <c r="S5" s="69"/>
      <c r="T5" s="75" t="s">
        <v>143</v>
      </c>
      <c r="U5" s="76"/>
      <c r="V5" s="77"/>
      <c r="W5" s="69" t="s">
        <v>84</v>
      </c>
      <c r="X5" s="69"/>
      <c r="Y5" s="69"/>
      <c r="Z5" s="69" t="s">
        <v>85</v>
      </c>
      <c r="AA5" s="69"/>
      <c r="AB5" s="69"/>
      <c r="AC5" s="69" t="s">
        <v>86</v>
      </c>
      <c r="AD5" s="69"/>
      <c r="AE5" s="69"/>
      <c r="AF5" s="69" t="s">
        <v>28</v>
      </c>
      <c r="AG5" s="69"/>
      <c r="AH5" s="69"/>
      <c r="AI5" s="69" t="s">
        <v>88</v>
      </c>
      <c r="AJ5" s="69"/>
      <c r="AK5" s="69"/>
      <c r="AL5" s="75" t="s">
        <v>141</v>
      </c>
      <c r="AM5" s="76"/>
      <c r="AN5" s="77"/>
      <c r="AO5" s="69" t="s">
        <v>84</v>
      </c>
      <c r="AP5" s="69"/>
      <c r="AQ5" s="69"/>
      <c r="AR5" s="69" t="s">
        <v>85</v>
      </c>
      <c r="AS5" s="69"/>
      <c r="AT5" s="69"/>
      <c r="AU5" s="69" t="s">
        <v>86</v>
      </c>
      <c r="AV5" s="69"/>
      <c r="AW5" s="69"/>
      <c r="AX5" s="72" t="s">
        <v>31</v>
      </c>
      <c r="AY5" s="73"/>
      <c r="AZ5" s="74"/>
      <c r="BA5" s="69" t="s">
        <v>88</v>
      </c>
      <c r="BB5" s="69"/>
      <c r="BC5" s="69"/>
      <c r="BD5" s="75" t="s">
        <v>142</v>
      </c>
      <c r="BE5" s="76"/>
      <c r="BF5" s="77"/>
      <c r="BG5" s="69" t="s">
        <v>84</v>
      </c>
      <c r="BH5" s="69"/>
      <c r="BI5" s="69"/>
      <c r="BJ5" s="69" t="s">
        <v>85</v>
      </c>
      <c r="BK5" s="69"/>
      <c r="BL5" s="69"/>
      <c r="BM5" s="69" t="s">
        <v>87</v>
      </c>
      <c r="BN5" s="69"/>
      <c r="BO5" s="69"/>
      <c r="BP5" s="69" t="s">
        <v>88</v>
      </c>
      <c r="BQ5" s="69"/>
      <c r="BR5" s="69"/>
      <c r="BT5" s="83" t="s">
        <v>174</v>
      </c>
      <c r="BU5" s="84"/>
      <c r="BV5" s="84"/>
      <c r="BW5" s="84"/>
      <c r="BX5" s="84"/>
    </row>
    <row r="6" spans="1:72" ht="13.5" customHeight="1">
      <c r="A6" s="1"/>
      <c r="B6" s="69" t="s">
        <v>172</v>
      </c>
      <c r="C6" s="69" t="s">
        <v>78</v>
      </c>
      <c r="D6" s="69"/>
      <c r="E6" s="107"/>
      <c r="F6" s="69" t="s">
        <v>134</v>
      </c>
      <c r="G6" s="69" t="s">
        <v>78</v>
      </c>
      <c r="H6" s="69"/>
      <c r="I6" s="69" t="s">
        <v>135</v>
      </c>
      <c r="J6" s="69" t="s">
        <v>78</v>
      </c>
      <c r="K6" s="69"/>
      <c r="L6" s="69" t="s">
        <v>102</v>
      </c>
      <c r="M6" s="69" t="s">
        <v>78</v>
      </c>
      <c r="N6" s="69"/>
      <c r="P6" s="69" t="s">
        <v>172</v>
      </c>
      <c r="Q6" s="69" t="s">
        <v>78</v>
      </c>
      <c r="R6" s="69"/>
      <c r="S6" s="69"/>
      <c r="T6" s="69" t="s">
        <v>172</v>
      </c>
      <c r="U6" s="69" t="s">
        <v>78</v>
      </c>
      <c r="V6" s="69"/>
      <c r="W6" s="69" t="s">
        <v>172</v>
      </c>
      <c r="X6" s="69" t="s">
        <v>78</v>
      </c>
      <c r="Y6" s="69"/>
      <c r="Z6" s="69" t="s">
        <v>172</v>
      </c>
      <c r="AA6" s="69" t="s">
        <v>78</v>
      </c>
      <c r="AB6" s="69"/>
      <c r="AC6" s="69" t="s">
        <v>172</v>
      </c>
      <c r="AD6" s="69" t="s">
        <v>78</v>
      </c>
      <c r="AE6" s="69"/>
      <c r="AF6" s="69" t="s">
        <v>172</v>
      </c>
      <c r="AG6" s="69" t="s">
        <v>78</v>
      </c>
      <c r="AH6" s="69"/>
      <c r="AI6" s="69" t="s">
        <v>172</v>
      </c>
      <c r="AJ6" s="69" t="s">
        <v>78</v>
      </c>
      <c r="AK6" s="69"/>
      <c r="AL6" s="69" t="s">
        <v>172</v>
      </c>
      <c r="AM6" s="69" t="s">
        <v>78</v>
      </c>
      <c r="AN6" s="69"/>
      <c r="AO6" s="69" t="s">
        <v>172</v>
      </c>
      <c r="AP6" s="69" t="s">
        <v>78</v>
      </c>
      <c r="AQ6" s="69"/>
      <c r="AR6" s="69" t="s">
        <v>172</v>
      </c>
      <c r="AS6" s="69" t="s">
        <v>78</v>
      </c>
      <c r="AT6" s="69"/>
      <c r="AU6" s="69" t="s">
        <v>172</v>
      </c>
      <c r="AV6" s="69" t="s">
        <v>78</v>
      </c>
      <c r="AW6" s="69"/>
      <c r="AX6" s="69" t="s">
        <v>172</v>
      </c>
      <c r="AY6" s="71" t="s">
        <v>78</v>
      </c>
      <c r="AZ6" s="71"/>
      <c r="BA6" s="69" t="s">
        <v>172</v>
      </c>
      <c r="BB6" s="69" t="s">
        <v>78</v>
      </c>
      <c r="BC6" s="69"/>
      <c r="BD6" s="69" t="s">
        <v>172</v>
      </c>
      <c r="BE6" s="69" t="s">
        <v>78</v>
      </c>
      <c r="BF6" s="69"/>
      <c r="BG6" s="69" t="s">
        <v>172</v>
      </c>
      <c r="BH6" s="69" t="s">
        <v>78</v>
      </c>
      <c r="BI6" s="69"/>
      <c r="BJ6" s="69" t="s">
        <v>172</v>
      </c>
      <c r="BK6" s="69" t="s">
        <v>78</v>
      </c>
      <c r="BL6" s="69"/>
      <c r="BM6" s="69" t="s">
        <v>172</v>
      </c>
      <c r="BN6" s="69" t="s">
        <v>78</v>
      </c>
      <c r="BO6" s="69"/>
      <c r="BP6" s="69" t="s">
        <v>172</v>
      </c>
      <c r="BQ6" s="69" t="s">
        <v>78</v>
      </c>
      <c r="BR6" s="69"/>
      <c r="BT6" s="85" t="s">
        <v>121</v>
      </c>
    </row>
    <row r="7" spans="1:76" ht="42">
      <c r="A7" s="1" t="s">
        <v>17</v>
      </c>
      <c r="B7" s="70"/>
      <c r="C7" s="69" t="s">
        <v>145</v>
      </c>
      <c r="D7" s="69" t="s">
        <v>173</v>
      </c>
      <c r="E7" s="69" t="s">
        <v>29</v>
      </c>
      <c r="F7" s="70"/>
      <c r="G7" s="69" t="s">
        <v>145</v>
      </c>
      <c r="H7" s="69" t="s">
        <v>173</v>
      </c>
      <c r="I7" s="70"/>
      <c r="J7" s="69" t="s">
        <v>145</v>
      </c>
      <c r="K7" s="69" t="s">
        <v>80</v>
      </c>
      <c r="L7" s="69"/>
      <c r="M7" s="69" t="s">
        <v>145</v>
      </c>
      <c r="N7" s="69" t="s">
        <v>80</v>
      </c>
      <c r="P7" s="70"/>
      <c r="Q7" s="69" t="s">
        <v>145</v>
      </c>
      <c r="R7" s="69" t="s">
        <v>173</v>
      </c>
      <c r="S7" s="27"/>
      <c r="T7" s="70"/>
      <c r="U7" s="69" t="s">
        <v>145</v>
      </c>
      <c r="V7" s="69" t="s">
        <v>173</v>
      </c>
      <c r="W7" s="70"/>
      <c r="X7" s="69" t="s">
        <v>145</v>
      </c>
      <c r="Y7" s="69" t="s">
        <v>173</v>
      </c>
      <c r="Z7" s="70"/>
      <c r="AA7" s="69" t="s">
        <v>145</v>
      </c>
      <c r="AB7" s="69" t="s">
        <v>173</v>
      </c>
      <c r="AC7" s="70"/>
      <c r="AD7" s="69" t="s">
        <v>145</v>
      </c>
      <c r="AE7" s="69" t="s">
        <v>173</v>
      </c>
      <c r="AF7" s="70"/>
      <c r="AG7" s="69" t="s">
        <v>145</v>
      </c>
      <c r="AH7" s="69" t="s">
        <v>173</v>
      </c>
      <c r="AI7" s="70"/>
      <c r="AJ7" s="69" t="s">
        <v>145</v>
      </c>
      <c r="AK7" s="69" t="s">
        <v>173</v>
      </c>
      <c r="AL7" s="70"/>
      <c r="AM7" s="69" t="s">
        <v>145</v>
      </c>
      <c r="AN7" s="69" t="s">
        <v>173</v>
      </c>
      <c r="AO7" s="70"/>
      <c r="AP7" s="69" t="s">
        <v>145</v>
      </c>
      <c r="AQ7" s="69" t="s">
        <v>173</v>
      </c>
      <c r="AR7" s="70"/>
      <c r="AS7" s="69" t="s">
        <v>145</v>
      </c>
      <c r="AT7" s="69" t="s">
        <v>173</v>
      </c>
      <c r="AU7" s="70"/>
      <c r="AV7" s="69" t="s">
        <v>145</v>
      </c>
      <c r="AW7" s="69" t="s">
        <v>173</v>
      </c>
      <c r="AX7" s="70"/>
      <c r="AY7" s="69" t="s">
        <v>145</v>
      </c>
      <c r="AZ7" s="71" t="s">
        <v>173</v>
      </c>
      <c r="BA7" s="70"/>
      <c r="BB7" s="69" t="s">
        <v>145</v>
      </c>
      <c r="BC7" s="69" t="s">
        <v>173</v>
      </c>
      <c r="BD7" s="70"/>
      <c r="BE7" s="69" t="s">
        <v>79</v>
      </c>
      <c r="BF7" s="69" t="s">
        <v>173</v>
      </c>
      <c r="BG7" s="70"/>
      <c r="BH7" s="69" t="s">
        <v>145</v>
      </c>
      <c r="BI7" s="69" t="s">
        <v>173</v>
      </c>
      <c r="BJ7" s="70"/>
      <c r="BK7" s="69" t="s">
        <v>145</v>
      </c>
      <c r="BL7" s="69" t="s">
        <v>173</v>
      </c>
      <c r="BM7" s="70"/>
      <c r="BN7" s="69" t="s">
        <v>145</v>
      </c>
      <c r="BO7" s="69" t="s">
        <v>173</v>
      </c>
      <c r="BP7" s="70"/>
      <c r="BQ7" s="69" t="s">
        <v>145</v>
      </c>
      <c r="BR7" s="69" t="s">
        <v>173</v>
      </c>
      <c r="BT7" s="69" t="s">
        <v>116</v>
      </c>
      <c r="BU7" s="69" t="s">
        <v>123</v>
      </c>
      <c r="BV7" s="69" t="s">
        <v>124</v>
      </c>
      <c r="BW7" s="69" t="s">
        <v>117</v>
      </c>
      <c r="BX7" s="69" t="s">
        <v>153</v>
      </c>
    </row>
    <row r="8" spans="1:76" ht="13.5">
      <c r="A8" s="79" t="s">
        <v>18</v>
      </c>
      <c r="B8" s="99">
        <v>688.213</v>
      </c>
      <c r="C8" s="116">
        <f aca="true" t="shared" si="0" ref="C8:C13">D8/B8</f>
        <v>216.14323633804867</v>
      </c>
      <c r="D8" s="99">
        <f aca="true" t="shared" si="1" ref="D8:D13">H8+V8+AN8+BF8</f>
        <v>148752.58510991748</v>
      </c>
      <c r="E8" s="108">
        <f>D8*100</f>
        <v>14875258.510991748</v>
      </c>
      <c r="F8" s="99">
        <v>499.89354</v>
      </c>
      <c r="G8" s="117">
        <v>206.1</v>
      </c>
      <c r="H8" s="99">
        <f aca="true" t="shared" si="2" ref="H8:H13">F8*G8</f>
        <v>103028.05859399999</v>
      </c>
      <c r="I8" s="47"/>
      <c r="J8" s="117">
        <v>206.1</v>
      </c>
      <c r="K8" s="99"/>
      <c r="L8" s="99"/>
      <c r="M8" s="117">
        <v>206.1</v>
      </c>
      <c r="N8" s="99"/>
      <c r="O8" s="99"/>
      <c r="P8" s="99">
        <f aca="true" t="shared" si="3" ref="P8:P14">T8+AL8+BD8</f>
        <v>188.31946</v>
      </c>
      <c r="Q8" s="117">
        <f>R8/P8</f>
        <v>242.80298231482544</v>
      </c>
      <c r="R8" s="99">
        <f>V8+AN8+BF8</f>
        <v>45724.526515917474</v>
      </c>
      <c r="S8" s="99"/>
      <c r="T8" s="99">
        <v>0</v>
      </c>
      <c r="U8" s="79">
        <v>0</v>
      </c>
      <c r="V8" s="99">
        <f>Y8+AB8+AE8+AH8+AK8</f>
        <v>0</v>
      </c>
      <c r="W8" s="99">
        <v>0</v>
      </c>
      <c r="X8" s="79">
        <v>0</v>
      </c>
      <c r="Y8" s="79">
        <v>0</v>
      </c>
      <c r="Z8" s="99">
        <v>0</v>
      </c>
      <c r="AA8" s="79">
        <v>0</v>
      </c>
      <c r="AB8" s="79">
        <f>Z8*AA8</f>
        <v>0</v>
      </c>
      <c r="AC8" s="99">
        <v>0</v>
      </c>
      <c r="AD8" s="79">
        <v>0</v>
      </c>
      <c r="AE8" s="79">
        <v>0</v>
      </c>
      <c r="AF8" s="99">
        <f>T8-W8-Z8-AC8-AI8</f>
        <v>0</v>
      </c>
      <c r="AG8" s="79">
        <v>0</v>
      </c>
      <c r="AH8" s="79">
        <v>0</v>
      </c>
      <c r="AI8" s="99">
        <v>0</v>
      </c>
      <c r="AJ8" s="99">
        <v>0</v>
      </c>
      <c r="AK8" s="99">
        <v>0</v>
      </c>
      <c r="AL8" s="99">
        <v>101.09781536842105</v>
      </c>
      <c r="AM8" s="118">
        <f aca="true" t="shared" si="4" ref="AM8:AM13">AN8/AL8</f>
        <v>255.84864975462438</v>
      </c>
      <c r="AN8" s="99">
        <f>AQ8+AT8+AW8+AZ8+BC8</f>
        <v>25865.73955515284</v>
      </c>
      <c r="AO8" s="99">
        <v>22.67382522947368</v>
      </c>
      <c r="AP8" s="79">
        <v>385.62</v>
      </c>
      <c r="AQ8" s="99">
        <f>AP8*AO8</f>
        <v>8743.48048498964</v>
      </c>
      <c r="AR8" s="99">
        <v>6.047825229473684</v>
      </c>
      <c r="AS8" s="79">
        <v>276.78</v>
      </c>
      <c r="AT8" s="99">
        <f>AR8*AS8</f>
        <v>1673.9170670137262</v>
      </c>
      <c r="AU8" s="99">
        <v>0.9179999999999999</v>
      </c>
      <c r="AV8" s="79">
        <v>250.26</v>
      </c>
      <c r="AW8" s="99">
        <f>AU8*AV8</f>
        <v>229.73867999999996</v>
      </c>
      <c r="AX8" s="99">
        <f>AL8-AO8-AR8-AU8-BA8</f>
        <v>42.59216490947368</v>
      </c>
      <c r="AY8" s="119">
        <v>153</v>
      </c>
      <c r="AZ8" s="64">
        <f>AX8*AY8</f>
        <v>6516.601231149473</v>
      </c>
      <c r="BA8" s="99">
        <v>28.865999999999996</v>
      </c>
      <c r="BB8" s="117">
        <f>0.654*389+0.346*136</f>
        <v>301.462</v>
      </c>
      <c r="BC8" s="99">
        <f>BB8*BA8</f>
        <v>8702.002091999999</v>
      </c>
      <c r="BD8" s="99">
        <v>87.22164463157895</v>
      </c>
      <c r="BE8" s="117">
        <f aca="true" t="shared" si="5" ref="BE8:BE14">BF8/BD8</f>
        <v>227.68186778233118</v>
      </c>
      <c r="BF8" s="99">
        <f>BI8+BL8+BO8+BR8</f>
        <v>19858.786960764635</v>
      </c>
      <c r="BG8" s="99">
        <v>17.361731570526317</v>
      </c>
      <c r="BH8" s="79">
        <v>300.48</v>
      </c>
      <c r="BI8" s="99">
        <f>BG8*BH8</f>
        <v>5216.8531023117475</v>
      </c>
      <c r="BJ8" s="99">
        <v>5.0417315705263155</v>
      </c>
      <c r="BK8" s="79">
        <v>215.67</v>
      </c>
      <c r="BL8" s="99">
        <f>BJ8*BK8</f>
        <v>1087.3502478154103</v>
      </c>
      <c r="BM8" s="99">
        <v>59.01018149052633</v>
      </c>
      <c r="BN8" s="117">
        <f>M8</f>
        <v>206.1</v>
      </c>
      <c r="BO8" s="99">
        <f>BM8*BN8</f>
        <v>12161.998405197475</v>
      </c>
      <c r="BP8" s="99">
        <v>5.808</v>
      </c>
      <c r="BQ8" s="117">
        <f>0.654*294.67+0.346*136</f>
        <v>239.77018000000004</v>
      </c>
      <c r="BR8" s="99">
        <f>BP8*BQ8</f>
        <v>1392.5852054400002</v>
      </c>
      <c r="BT8" s="81" t="s">
        <v>118</v>
      </c>
      <c r="BU8" s="99">
        <f>V35+AN35</f>
        <v>601707.5636635508</v>
      </c>
      <c r="BV8" s="99">
        <f>T35+AL35</f>
        <v>1792.8928328789239</v>
      </c>
      <c r="BW8" s="117">
        <f>BU8/BV8</f>
        <v>335.60709967107374</v>
      </c>
      <c r="BX8" s="117">
        <f>100*BW8/BW10</f>
        <v>151.53792537890823</v>
      </c>
    </row>
    <row r="9" spans="1:76" ht="13.5">
      <c r="A9" s="79" t="s">
        <v>19</v>
      </c>
      <c r="B9" s="99">
        <v>361</v>
      </c>
      <c r="C9" s="116">
        <f t="shared" si="0"/>
        <v>212.96951355811635</v>
      </c>
      <c r="D9" s="99">
        <f t="shared" si="1"/>
        <v>76881.99439448</v>
      </c>
      <c r="E9" s="108">
        <f>D9*100</f>
        <v>7688199.439448</v>
      </c>
      <c r="F9" s="99">
        <v>262</v>
      </c>
      <c r="G9" s="117">
        <v>202.32</v>
      </c>
      <c r="H9" s="99">
        <f t="shared" si="2"/>
        <v>53007.84</v>
      </c>
      <c r="I9" s="47"/>
      <c r="J9" s="117">
        <v>202.32</v>
      </c>
      <c r="K9" s="99"/>
      <c r="L9" s="99"/>
      <c r="M9" s="117">
        <v>202.32</v>
      </c>
      <c r="N9" s="99"/>
      <c r="O9" s="99"/>
      <c r="P9" s="99">
        <f t="shared" si="3"/>
        <v>99</v>
      </c>
      <c r="Q9" s="117">
        <f aca="true" t="shared" si="6" ref="Q9:Q35">R9/P9</f>
        <v>241.15307469171717</v>
      </c>
      <c r="R9" s="99">
        <f aca="true" t="shared" si="7" ref="R9:R35">V9+AN9+BF9</f>
        <v>23874.15439448</v>
      </c>
      <c r="S9" s="99"/>
      <c r="T9" s="99">
        <v>0</v>
      </c>
      <c r="U9" s="79">
        <v>0</v>
      </c>
      <c r="V9" s="99">
        <f aca="true" t="shared" si="8" ref="V9:V29">Y9+AB9+AE9+AH9+AK9</f>
        <v>0</v>
      </c>
      <c r="W9" s="99">
        <v>0</v>
      </c>
      <c r="X9" s="79">
        <v>0</v>
      </c>
      <c r="Y9" s="79">
        <v>0</v>
      </c>
      <c r="Z9" s="99">
        <v>0</v>
      </c>
      <c r="AA9" s="79">
        <v>0</v>
      </c>
      <c r="AB9" s="99">
        <f aca="true" t="shared" si="9" ref="AB9:AB29">Z9*AA9</f>
        <v>0</v>
      </c>
      <c r="AC9" s="99">
        <v>0</v>
      </c>
      <c r="AD9" s="79">
        <v>0</v>
      </c>
      <c r="AE9" s="79">
        <v>0</v>
      </c>
      <c r="AF9" s="99">
        <f aca="true" t="shared" si="10" ref="AF9:AF29">T9-W9-Z9-AC9-AI9</f>
        <v>0</v>
      </c>
      <c r="AG9" s="79">
        <v>0</v>
      </c>
      <c r="AH9" s="79">
        <v>0</v>
      </c>
      <c r="AI9" s="99">
        <v>0</v>
      </c>
      <c r="AJ9" s="99">
        <v>0</v>
      </c>
      <c r="AK9" s="99">
        <v>0</v>
      </c>
      <c r="AL9" s="99">
        <v>53</v>
      </c>
      <c r="AM9" s="118">
        <f t="shared" si="4"/>
        <v>255.17125599999997</v>
      </c>
      <c r="AN9" s="99">
        <f aca="true" t="shared" si="11" ref="AN9:AN29">AQ9+AT9+AW9+AZ9+BC9</f>
        <v>13524.076567999999</v>
      </c>
      <c r="AO9" s="99">
        <v>11.819</v>
      </c>
      <c r="AP9" s="79">
        <v>385.62</v>
      </c>
      <c r="AQ9" s="99">
        <f aca="true" t="shared" si="12" ref="AQ9:AQ29">AP9*AO9</f>
        <v>4557.64278</v>
      </c>
      <c r="AR9" s="99">
        <v>3.1799999999999997</v>
      </c>
      <c r="AS9" s="79">
        <v>276.78</v>
      </c>
      <c r="AT9" s="99">
        <f aca="true" t="shared" si="13" ref="AT9:AT29">AR9*AS9</f>
        <v>880.1603999999999</v>
      </c>
      <c r="AU9" s="99">
        <v>0.477</v>
      </c>
      <c r="AV9" s="79">
        <v>248.05</v>
      </c>
      <c r="AW9" s="99">
        <f aca="true" t="shared" si="14" ref="AW9:AW29">AU9*AV9</f>
        <v>118.31985</v>
      </c>
      <c r="AX9" s="99">
        <f aca="true" t="shared" si="15" ref="AX9:AX29">AL9-AO9-AR9-AU9-BA9</f>
        <v>22.525000000000002</v>
      </c>
      <c r="AY9" s="119">
        <v>153</v>
      </c>
      <c r="AZ9" s="64">
        <f aca="true" t="shared" si="16" ref="AZ9:AZ29">AX9*AY9</f>
        <v>3446.3250000000003</v>
      </c>
      <c r="BA9" s="99">
        <v>14.998999999999999</v>
      </c>
      <c r="BB9" s="117">
        <f aca="true" t="shared" si="17" ref="BB9:BB40">0.654*389+0.346*136</f>
        <v>301.462</v>
      </c>
      <c r="BC9" s="99">
        <f aca="true" t="shared" si="18" ref="BC9:BC29">BB9*BA9</f>
        <v>4521.628537999999</v>
      </c>
      <c r="BD9" s="99">
        <v>46</v>
      </c>
      <c r="BE9" s="117">
        <f t="shared" si="5"/>
        <v>225.00169187999998</v>
      </c>
      <c r="BF9" s="99">
        <f aca="true" t="shared" si="19" ref="BF9:BF29">BI9+BL9+BO9+BR9</f>
        <v>10350.07782648</v>
      </c>
      <c r="BG9" s="99">
        <v>9.108</v>
      </c>
      <c r="BH9" s="79">
        <v>300.48</v>
      </c>
      <c r="BI9" s="99">
        <f aca="true" t="shared" si="20" ref="BI9:BI29">BG9*BH9</f>
        <v>2736.7718400000003</v>
      </c>
      <c r="BJ9" s="99">
        <v>2.668</v>
      </c>
      <c r="BK9" s="79">
        <v>215.67</v>
      </c>
      <c r="BL9" s="99">
        <f aca="true" t="shared" si="21" ref="BL9:BL29">BJ9*BK9</f>
        <v>575.40756</v>
      </c>
      <c r="BM9" s="99">
        <v>31.187999999999995</v>
      </c>
      <c r="BN9" s="117">
        <f aca="true" t="shared" si="22" ref="BN9:BN41">M9</f>
        <v>202.32</v>
      </c>
      <c r="BO9" s="99">
        <f aca="true" t="shared" si="23" ref="BO9:BO29">BM9*BN9</f>
        <v>6309.956159999999</v>
      </c>
      <c r="BP9" s="99">
        <v>3.036</v>
      </c>
      <c r="BQ9" s="117">
        <f aca="true" t="shared" si="24" ref="BQ9:BQ40">0.654*294.67+0.346*136</f>
        <v>239.77018000000004</v>
      </c>
      <c r="BR9" s="99">
        <f aca="true" t="shared" si="25" ref="BR9:BR29">BP9*BQ9</f>
        <v>727.9422664800002</v>
      </c>
      <c r="BT9" s="81" t="s">
        <v>119</v>
      </c>
      <c r="BU9" s="99">
        <f>D35-BU8</f>
        <v>1864444.1315970002</v>
      </c>
      <c r="BV9" s="99">
        <f>B35-BV8</f>
        <v>9342.61389316285</v>
      </c>
      <c r="BW9" s="117">
        <f>BU9/BV9</f>
        <v>199.56343619866868</v>
      </c>
      <c r="BX9" s="117">
        <f>100*BW9/BW10</f>
        <v>90.10962262917498</v>
      </c>
    </row>
    <row r="10" spans="1:76" ht="13.5">
      <c r="A10" s="79" t="s">
        <v>20</v>
      </c>
      <c r="B10" s="99">
        <v>1229</v>
      </c>
      <c r="C10" s="116">
        <f t="shared" si="0"/>
        <v>230.13205549572007</v>
      </c>
      <c r="D10" s="99">
        <f t="shared" si="1"/>
        <v>282832.29620423994</v>
      </c>
      <c r="E10" s="108">
        <f>D10*100</f>
        <v>28283229.620423995</v>
      </c>
      <c r="F10" s="99">
        <v>732</v>
      </c>
      <c r="G10" s="117">
        <v>206.1</v>
      </c>
      <c r="H10" s="99">
        <f t="shared" si="2"/>
        <v>150865.19999999998</v>
      </c>
      <c r="I10" s="47"/>
      <c r="J10" s="117">
        <v>206.1</v>
      </c>
      <c r="K10" s="99"/>
      <c r="L10" s="99"/>
      <c r="M10" s="117">
        <v>206.1</v>
      </c>
      <c r="N10" s="99"/>
      <c r="O10" s="99"/>
      <c r="P10" s="99">
        <f t="shared" si="3"/>
        <v>497</v>
      </c>
      <c r="Q10" s="117">
        <f t="shared" si="6"/>
        <v>265.5273565477666</v>
      </c>
      <c r="R10" s="99">
        <f t="shared" si="7"/>
        <v>131967.09620424</v>
      </c>
      <c r="S10" s="99"/>
      <c r="T10" s="99">
        <v>102</v>
      </c>
      <c r="U10" s="117">
        <f>V10/T10</f>
        <v>367.851064245</v>
      </c>
      <c r="V10" s="99">
        <f t="shared" si="8"/>
        <v>37520.80855299</v>
      </c>
      <c r="W10" s="99">
        <v>15.504</v>
      </c>
      <c r="X10" s="79">
        <v>500.8</v>
      </c>
      <c r="Y10" s="99">
        <f>W10*X10</f>
        <v>7764.4032</v>
      </c>
      <c r="Z10" s="99">
        <v>11.526</v>
      </c>
      <c r="AA10" s="117">
        <f>0.21*524.28+0.79*359.45</f>
        <v>394.0643</v>
      </c>
      <c r="AB10" s="99">
        <f t="shared" si="9"/>
        <v>4541.9851218</v>
      </c>
      <c r="AC10" s="99">
        <v>1.02</v>
      </c>
      <c r="AD10" s="117">
        <f>AG10</f>
        <v>201.31403</v>
      </c>
      <c r="AE10" s="99">
        <f>AC10*AD10</f>
        <v>205.3403106</v>
      </c>
      <c r="AF10" s="99">
        <f t="shared" si="10"/>
        <v>36.92400000000001</v>
      </c>
      <c r="AG10" s="117">
        <v>201.31403</v>
      </c>
      <c r="AH10" s="99">
        <f>AF10*AG10</f>
        <v>7433.319243720001</v>
      </c>
      <c r="AI10" s="99">
        <v>37.025999999999996</v>
      </c>
      <c r="AJ10" s="117">
        <f>528.25*0.847+178.165*0.153</f>
        <v>474.686995</v>
      </c>
      <c r="AK10" s="99">
        <f>AI10*AJ10</f>
        <v>17575.76067687</v>
      </c>
      <c r="AL10" s="99">
        <v>165</v>
      </c>
      <c r="AM10" s="118">
        <f t="shared" si="4"/>
        <v>255.19057769</v>
      </c>
      <c r="AN10" s="99">
        <f t="shared" si="11"/>
        <v>42106.44531885</v>
      </c>
      <c r="AO10" s="99">
        <v>36.795</v>
      </c>
      <c r="AP10" s="79">
        <v>385.62</v>
      </c>
      <c r="AQ10" s="99">
        <f t="shared" si="12"/>
        <v>14188.887900000002</v>
      </c>
      <c r="AR10" s="99">
        <v>9.9</v>
      </c>
      <c r="AS10" s="79">
        <v>276.78</v>
      </c>
      <c r="AT10" s="99">
        <f t="shared" si="13"/>
        <v>2740.122</v>
      </c>
      <c r="AU10" s="99">
        <v>1.4849999999999999</v>
      </c>
      <c r="AV10" s="79">
        <v>250.26</v>
      </c>
      <c r="AW10" s="99">
        <f t="shared" si="14"/>
        <v>371.63609999999994</v>
      </c>
      <c r="AX10" s="99">
        <f t="shared" si="15"/>
        <v>70.12499999999999</v>
      </c>
      <c r="AY10" s="117">
        <f aca="true" t="shared" si="26" ref="AY10:AY18">AG10*0.76</f>
        <v>152.9986628</v>
      </c>
      <c r="AZ10" s="64">
        <f t="shared" si="16"/>
        <v>10729.031228849999</v>
      </c>
      <c r="BA10" s="99">
        <v>46.69499999999999</v>
      </c>
      <c r="BB10" s="117">
        <f t="shared" si="17"/>
        <v>301.462</v>
      </c>
      <c r="BC10" s="99">
        <f t="shared" si="18"/>
        <v>14076.768089999998</v>
      </c>
      <c r="BD10" s="99">
        <v>230</v>
      </c>
      <c r="BE10" s="117">
        <f t="shared" si="5"/>
        <v>227.56453188</v>
      </c>
      <c r="BF10" s="99">
        <f t="shared" si="19"/>
        <v>52339.8423324</v>
      </c>
      <c r="BG10" s="99">
        <v>45.54</v>
      </c>
      <c r="BH10" s="79">
        <v>300.48</v>
      </c>
      <c r="BI10" s="99">
        <f t="shared" si="20"/>
        <v>13683.8592</v>
      </c>
      <c r="BJ10" s="99">
        <v>13.34</v>
      </c>
      <c r="BK10" s="79">
        <v>215.67</v>
      </c>
      <c r="BL10" s="99">
        <f t="shared" si="21"/>
        <v>2877.0377999999996</v>
      </c>
      <c r="BM10" s="99">
        <v>155.94</v>
      </c>
      <c r="BN10" s="117">
        <f t="shared" si="22"/>
        <v>206.1</v>
      </c>
      <c r="BO10" s="99">
        <f t="shared" si="23"/>
        <v>32139.234</v>
      </c>
      <c r="BP10" s="99">
        <v>15.180000000000001</v>
      </c>
      <c r="BQ10" s="117">
        <f t="shared" si="24"/>
        <v>239.77018000000004</v>
      </c>
      <c r="BR10" s="99">
        <f t="shared" si="25"/>
        <v>3639.711332400001</v>
      </c>
      <c r="BT10" s="81" t="s">
        <v>83</v>
      </c>
      <c r="BU10" s="99">
        <f>BU8+BU9</f>
        <v>2466151.695260551</v>
      </c>
      <c r="BV10" s="99">
        <f>BV8+BV9</f>
        <v>11135.506726041775</v>
      </c>
      <c r="BW10" s="117">
        <f>BU10/BV10</f>
        <v>221.46739757187223</v>
      </c>
      <c r="BX10" s="117">
        <f>100*BW10/BW10</f>
        <v>100.00000000000001</v>
      </c>
    </row>
    <row r="11" spans="1:76" ht="13.5">
      <c r="A11" s="79" t="s">
        <v>58</v>
      </c>
      <c r="B11" s="99">
        <v>485.946</v>
      </c>
      <c r="C11" s="116">
        <f t="shared" si="0"/>
        <v>212.11521979084094</v>
      </c>
      <c r="D11" s="99">
        <f t="shared" si="1"/>
        <v>103076.54259648</v>
      </c>
      <c r="E11" s="108">
        <f>D11*100</f>
        <v>10307654.259647999</v>
      </c>
      <c r="F11" s="99">
        <v>363.95386</v>
      </c>
      <c r="G11" s="117">
        <v>202.32</v>
      </c>
      <c r="H11" s="99">
        <f t="shared" si="2"/>
        <v>73635.1449552</v>
      </c>
      <c r="I11" s="47"/>
      <c r="J11" s="117">
        <v>202.32</v>
      </c>
      <c r="K11" s="99"/>
      <c r="L11" s="99"/>
      <c r="M11" s="117">
        <v>202.32</v>
      </c>
      <c r="N11" s="99"/>
      <c r="O11" s="99"/>
      <c r="P11" s="99">
        <f t="shared" si="3"/>
        <v>122</v>
      </c>
      <c r="Q11" s="117">
        <f t="shared" si="6"/>
        <v>241.32293148590165</v>
      </c>
      <c r="R11" s="99">
        <f t="shared" si="7"/>
        <v>29441.39764128</v>
      </c>
      <c r="S11" s="99"/>
      <c r="T11" s="99">
        <v>0</v>
      </c>
      <c r="U11" s="117">
        <v>0</v>
      </c>
      <c r="V11" s="99">
        <f t="shared" si="8"/>
        <v>0</v>
      </c>
      <c r="W11" s="99">
        <v>0</v>
      </c>
      <c r="X11" s="79">
        <v>0</v>
      </c>
      <c r="Y11" s="79">
        <v>0</v>
      </c>
      <c r="Z11" s="99">
        <v>0</v>
      </c>
      <c r="AA11" s="79">
        <v>0</v>
      </c>
      <c r="AB11" s="99">
        <f t="shared" si="9"/>
        <v>0</v>
      </c>
      <c r="AC11" s="99">
        <v>0</v>
      </c>
      <c r="AD11" s="79">
        <v>0</v>
      </c>
      <c r="AE11" s="79">
        <v>0</v>
      </c>
      <c r="AF11" s="99">
        <f t="shared" si="10"/>
        <v>0</v>
      </c>
      <c r="AG11" s="79">
        <v>0</v>
      </c>
      <c r="AH11" s="79">
        <v>0</v>
      </c>
      <c r="AI11" s="99">
        <v>0</v>
      </c>
      <c r="AJ11" s="99">
        <v>0</v>
      </c>
      <c r="AK11" s="99">
        <v>0</v>
      </c>
      <c r="AL11" s="99">
        <v>66</v>
      </c>
      <c r="AM11" s="118">
        <f t="shared" si="4"/>
        <v>255.17125599999997</v>
      </c>
      <c r="AN11" s="99">
        <f t="shared" si="11"/>
        <v>16841.302895999997</v>
      </c>
      <c r="AO11" s="99">
        <v>14.718</v>
      </c>
      <c r="AP11" s="79">
        <v>385.62</v>
      </c>
      <c r="AQ11" s="99">
        <f t="shared" si="12"/>
        <v>5675.55516</v>
      </c>
      <c r="AR11" s="99">
        <v>3.96</v>
      </c>
      <c r="AS11" s="79">
        <v>276.78</v>
      </c>
      <c r="AT11" s="99">
        <f t="shared" si="13"/>
        <v>1096.0487999999998</v>
      </c>
      <c r="AU11" s="99">
        <v>0.594</v>
      </c>
      <c r="AV11" s="79">
        <v>248.05</v>
      </c>
      <c r="AW11" s="99">
        <f t="shared" si="14"/>
        <v>147.3417</v>
      </c>
      <c r="AX11" s="99">
        <f t="shared" si="15"/>
        <v>28.049999999999997</v>
      </c>
      <c r="AY11" s="119">
        <v>153</v>
      </c>
      <c r="AZ11" s="64">
        <f t="shared" si="16"/>
        <v>4291.65</v>
      </c>
      <c r="BA11" s="99">
        <v>18.677999999999997</v>
      </c>
      <c r="BB11" s="117">
        <f t="shared" si="17"/>
        <v>301.462</v>
      </c>
      <c r="BC11" s="99">
        <f t="shared" si="18"/>
        <v>5630.707235999999</v>
      </c>
      <c r="BD11" s="99">
        <v>56</v>
      </c>
      <c r="BE11" s="117">
        <f t="shared" si="5"/>
        <v>225.00169188000004</v>
      </c>
      <c r="BF11" s="99">
        <f t="shared" si="19"/>
        <v>12600.094745280003</v>
      </c>
      <c r="BG11" s="99">
        <v>11.088000000000001</v>
      </c>
      <c r="BH11" s="79">
        <v>300.48</v>
      </c>
      <c r="BI11" s="99">
        <f t="shared" si="20"/>
        <v>3331.7222400000005</v>
      </c>
      <c r="BJ11" s="99">
        <v>3.248</v>
      </c>
      <c r="BK11" s="79">
        <v>215.67</v>
      </c>
      <c r="BL11" s="99">
        <f t="shared" si="21"/>
        <v>700.49616</v>
      </c>
      <c r="BM11" s="99">
        <v>37.968</v>
      </c>
      <c r="BN11" s="117">
        <f t="shared" si="22"/>
        <v>202.32</v>
      </c>
      <c r="BO11" s="99">
        <f t="shared" si="23"/>
        <v>7681.68576</v>
      </c>
      <c r="BP11" s="99">
        <v>3.696</v>
      </c>
      <c r="BQ11" s="117">
        <f t="shared" si="24"/>
        <v>239.77018000000004</v>
      </c>
      <c r="BR11" s="99">
        <f t="shared" si="25"/>
        <v>886.1905852800002</v>
      </c>
      <c r="BW11" s="117"/>
      <c r="BX11" s="117"/>
    </row>
    <row r="12" spans="1:76" ht="13.5">
      <c r="A12" s="79" t="s">
        <v>59</v>
      </c>
      <c r="B12" s="99">
        <v>211.687</v>
      </c>
      <c r="C12" s="116">
        <f t="shared" si="0"/>
        <v>223.09568163175732</v>
      </c>
      <c r="D12" s="99">
        <f t="shared" si="1"/>
        <v>47226.455557581816</v>
      </c>
      <c r="E12" s="108">
        <f>D12*100</f>
        <v>4722645.555758182</v>
      </c>
      <c r="F12" s="99">
        <v>113.60811</v>
      </c>
      <c r="G12" s="117">
        <v>206.1</v>
      </c>
      <c r="H12" s="99">
        <f t="shared" si="2"/>
        <v>23414.631470999997</v>
      </c>
      <c r="I12" s="47"/>
      <c r="J12" s="117">
        <v>206.1</v>
      </c>
      <c r="K12" s="99"/>
      <c r="L12" s="99"/>
      <c r="M12" s="117">
        <v>206.1</v>
      </c>
      <c r="N12" s="99"/>
      <c r="O12" s="99"/>
      <c r="P12" s="99">
        <f t="shared" si="3"/>
        <v>98.07889</v>
      </c>
      <c r="Q12" s="117">
        <f t="shared" si="6"/>
        <v>242.7823570044667</v>
      </c>
      <c r="R12" s="99">
        <f t="shared" si="7"/>
        <v>23811.82408658182</v>
      </c>
      <c r="S12" s="99"/>
      <c r="T12" s="99">
        <v>0</v>
      </c>
      <c r="U12" s="117">
        <v>0</v>
      </c>
      <c r="V12" s="99">
        <f t="shared" si="8"/>
        <v>0</v>
      </c>
      <c r="W12" s="99">
        <v>0</v>
      </c>
      <c r="X12" s="79">
        <v>0</v>
      </c>
      <c r="Y12" s="79">
        <v>0</v>
      </c>
      <c r="Z12" s="99">
        <v>0</v>
      </c>
      <c r="AA12" s="79">
        <v>0</v>
      </c>
      <c r="AB12" s="99">
        <f t="shared" si="9"/>
        <v>0</v>
      </c>
      <c r="AC12" s="99">
        <v>0</v>
      </c>
      <c r="AD12" s="79">
        <v>0</v>
      </c>
      <c r="AE12" s="79">
        <v>0</v>
      </c>
      <c r="AF12" s="99">
        <f t="shared" si="10"/>
        <v>0</v>
      </c>
      <c r="AG12" s="79">
        <v>0</v>
      </c>
      <c r="AH12" s="79">
        <v>0</v>
      </c>
      <c r="AI12" s="99">
        <v>0</v>
      </c>
      <c r="AJ12" s="99">
        <v>0</v>
      </c>
      <c r="AK12" s="99">
        <v>0</v>
      </c>
      <c r="AL12" s="99">
        <v>52.5068805050505</v>
      </c>
      <c r="AM12" s="118">
        <f t="shared" si="4"/>
        <v>255.88310528065725</v>
      </c>
      <c r="AN12" s="99">
        <f t="shared" si="11"/>
        <v>13435.623632232728</v>
      </c>
      <c r="AO12" s="99">
        <v>11.77955044040404</v>
      </c>
      <c r="AP12" s="79">
        <v>385.62</v>
      </c>
      <c r="AQ12" s="99">
        <f t="shared" si="12"/>
        <v>4542.430240828607</v>
      </c>
      <c r="AR12" s="99">
        <v>3.14055044040404</v>
      </c>
      <c r="AS12" s="79">
        <v>276.78</v>
      </c>
      <c r="AT12" s="99">
        <f t="shared" si="13"/>
        <v>869.2415508950302</v>
      </c>
      <c r="AU12" s="99">
        <v>0.477</v>
      </c>
      <c r="AV12" s="79">
        <v>250.26</v>
      </c>
      <c r="AW12" s="99">
        <f t="shared" si="14"/>
        <v>119.37401999999999</v>
      </c>
      <c r="AX12" s="99">
        <f t="shared" si="15"/>
        <v>22.11077962424243</v>
      </c>
      <c r="AY12" s="119">
        <v>153</v>
      </c>
      <c r="AZ12" s="64">
        <f t="shared" si="16"/>
        <v>3382.9492825090915</v>
      </c>
      <c r="BA12" s="99">
        <v>14.998999999999999</v>
      </c>
      <c r="BB12" s="117">
        <f t="shared" si="17"/>
        <v>301.462</v>
      </c>
      <c r="BC12" s="99">
        <f t="shared" si="18"/>
        <v>4521.628537999999</v>
      </c>
      <c r="BD12" s="99">
        <v>45.5720094949495</v>
      </c>
      <c r="BE12" s="117">
        <f t="shared" si="5"/>
        <v>227.68801659929062</v>
      </c>
      <c r="BF12" s="99">
        <f t="shared" si="19"/>
        <v>10376.200454349091</v>
      </c>
      <c r="BG12" s="99">
        <v>9.07376075959596</v>
      </c>
      <c r="BH12" s="79">
        <v>300.48</v>
      </c>
      <c r="BI12" s="99">
        <f t="shared" si="20"/>
        <v>2726.483633043394</v>
      </c>
      <c r="BJ12" s="99">
        <v>2.6337607595959596</v>
      </c>
      <c r="BK12" s="79">
        <v>215.67</v>
      </c>
      <c r="BL12" s="99">
        <f t="shared" si="21"/>
        <v>568.0231830220606</v>
      </c>
      <c r="BM12" s="99">
        <v>30.828487975757582</v>
      </c>
      <c r="BN12" s="117">
        <f t="shared" si="22"/>
        <v>206.1</v>
      </c>
      <c r="BO12" s="99">
        <f t="shared" si="23"/>
        <v>6353.751371803637</v>
      </c>
      <c r="BP12" s="99">
        <v>3.036</v>
      </c>
      <c r="BQ12" s="117">
        <f t="shared" si="24"/>
        <v>239.77018000000004</v>
      </c>
      <c r="BR12" s="99">
        <f t="shared" si="25"/>
        <v>727.9422664800002</v>
      </c>
      <c r="BT12" s="81" t="s">
        <v>131</v>
      </c>
      <c r="BU12" s="99">
        <f>AK35+BC35+BR35</f>
        <v>322341.855585146</v>
      </c>
      <c r="BV12" s="99">
        <f>AI35+BA35+BP35</f>
        <v>885.2819</v>
      </c>
      <c r="BW12" s="117">
        <f>BU12/BV12</f>
        <v>364.1121043874793</v>
      </c>
      <c r="BX12" s="117">
        <f>100*BW12/BW10</f>
        <v>164.40889646942952</v>
      </c>
    </row>
    <row r="13" spans="1:76" ht="13.5">
      <c r="A13" s="79" t="s">
        <v>60</v>
      </c>
      <c r="B13" s="99">
        <v>371</v>
      </c>
      <c r="C13" s="116">
        <f t="shared" si="0"/>
        <v>209.3436594724528</v>
      </c>
      <c r="D13" s="99">
        <f t="shared" si="1"/>
        <v>77666.49766427999</v>
      </c>
      <c r="E13" s="108">
        <f>D13*100</f>
        <v>7766649.766427998</v>
      </c>
      <c r="F13" s="99">
        <v>304</v>
      </c>
      <c r="G13" s="117">
        <v>202.32</v>
      </c>
      <c r="H13" s="99">
        <f t="shared" si="2"/>
        <v>61505.28</v>
      </c>
      <c r="I13" s="47"/>
      <c r="J13" s="117">
        <v>202.32</v>
      </c>
      <c r="K13" s="99"/>
      <c r="L13" s="99"/>
      <c r="M13" s="117">
        <v>202.32</v>
      </c>
      <c r="N13" s="99"/>
      <c r="O13" s="99"/>
      <c r="P13" s="99">
        <f t="shared" si="3"/>
        <v>67</v>
      </c>
      <c r="Q13" s="117">
        <f t="shared" si="6"/>
        <v>241.2122039444776</v>
      </c>
      <c r="R13" s="99">
        <f t="shared" si="7"/>
        <v>16161.21766428</v>
      </c>
      <c r="S13" s="99"/>
      <c r="T13" s="99">
        <v>0</v>
      </c>
      <c r="U13" s="117">
        <v>0</v>
      </c>
      <c r="V13" s="99">
        <f t="shared" si="8"/>
        <v>0</v>
      </c>
      <c r="W13" s="99">
        <v>0</v>
      </c>
      <c r="X13" s="79">
        <v>0</v>
      </c>
      <c r="Y13" s="79">
        <v>0</v>
      </c>
      <c r="Z13" s="99">
        <v>0</v>
      </c>
      <c r="AA13" s="79">
        <v>0</v>
      </c>
      <c r="AB13" s="99">
        <f t="shared" si="9"/>
        <v>0</v>
      </c>
      <c r="AC13" s="99">
        <v>0</v>
      </c>
      <c r="AD13" s="79">
        <v>0</v>
      </c>
      <c r="AE13" s="79">
        <v>0</v>
      </c>
      <c r="AF13" s="99">
        <f t="shared" si="10"/>
        <v>0</v>
      </c>
      <c r="AG13" s="79">
        <v>0</v>
      </c>
      <c r="AH13" s="79">
        <v>0</v>
      </c>
      <c r="AI13" s="99">
        <v>0</v>
      </c>
      <c r="AJ13" s="99">
        <v>0</v>
      </c>
      <c r="AK13" s="99">
        <v>0</v>
      </c>
      <c r="AL13" s="99">
        <v>36</v>
      </c>
      <c r="AM13" s="118">
        <f t="shared" si="4"/>
        <v>255.17125599999997</v>
      </c>
      <c r="AN13" s="99">
        <f t="shared" si="11"/>
        <v>9186.165216</v>
      </c>
      <c r="AO13" s="99">
        <v>8.028</v>
      </c>
      <c r="AP13" s="79">
        <v>385.62</v>
      </c>
      <c r="AQ13" s="99">
        <f t="shared" si="12"/>
        <v>3095.75736</v>
      </c>
      <c r="AR13" s="99">
        <v>2.16</v>
      </c>
      <c r="AS13" s="79">
        <v>276.78</v>
      </c>
      <c r="AT13" s="99">
        <f t="shared" si="13"/>
        <v>597.8448</v>
      </c>
      <c r="AU13" s="99">
        <v>0.32399999999999995</v>
      </c>
      <c r="AV13" s="79">
        <v>248.05</v>
      </c>
      <c r="AW13" s="99">
        <f t="shared" si="14"/>
        <v>80.36819999999999</v>
      </c>
      <c r="AX13" s="99">
        <f t="shared" si="15"/>
        <v>15.3</v>
      </c>
      <c r="AY13" s="119">
        <v>153</v>
      </c>
      <c r="AZ13" s="64">
        <f t="shared" si="16"/>
        <v>2340.9</v>
      </c>
      <c r="BA13" s="99">
        <v>10.187999999999999</v>
      </c>
      <c r="BB13" s="117">
        <f t="shared" si="17"/>
        <v>301.462</v>
      </c>
      <c r="BC13" s="99">
        <f t="shared" si="18"/>
        <v>3071.2948559999995</v>
      </c>
      <c r="BD13" s="99">
        <v>31</v>
      </c>
      <c r="BE13" s="117">
        <f t="shared" si="5"/>
        <v>225.00169188</v>
      </c>
      <c r="BF13" s="99">
        <f t="shared" si="19"/>
        <v>6975.05244828</v>
      </c>
      <c r="BG13" s="99">
        <v>6.138</v>
      </c>
      <c r="BH13" s="79">
        <v>300.48</v>
      </c>
      <c r="BI13" s="99">
        <f t="shared" si="20"/>
        <v>1844.34624</v>
      </c>
      <c r="BJ13" s="99">
        <v>1.798</v>
      </c>
      <c r="BK13" s="79">
        <v>215.67</v>
      </c>
      <c r="BL13" s="99">
        <f t="shared" si="21"/>
        <v>387.77466</v>
      </c>
      <c r="BM13" s="99">
        <v>21.018</v>
      </c>
      <c r="BN13" s="117">
        <f t="shared" si="22"/>
        <v>202.32</v>
      </c>
      <c r="BO13" s="99">
        <f t="shared" si="23"/>
        <v>4252.36176</v>
      </c>
      <c r="BP13" s="99">
        <v>2.0460000000000003</v>
      </c>
      <c r="BQ13" s="117">
        <f t="shared" si="24"/>
        <v>239.77018000000004</v>
      </c>
      <c r="BR13" s="99">
        <f t="shared" si="25"/>
        <v>490.5697882800001</v>
      </c>
      <c r="BT13" s="81" t="s">
        <v>120</v>
      </c>
      <c r="BU13" s="99">
        <f>Y35+AQ35+BI35</f>
        <v>277767.694057701</v>
      </c>
      <c r="BV13" s="99">
        <f>W35+AO35+BG35</f>
        <v>764.1472335210198</v>
      </c>
      <c r="BW13" s="117">
        <f>BU13/BV13</f>
        <v>363.50022858528126</v>
      </c>
      <c r="BX13" s="117">
        <f>100*BW13/BW10</f>
        <v>164.1326139064399</v>
      </c>
    </row>
    <row r="14" spans="1:76" ht="13.5">
      <c r="A14" s="120" t="s">
        <v>61</v>
      </c>
      <c r="B14" s="121">
        <f>SUM(B8:B13)</f>
        <v>3346.8459999999995</v>
      </c>
      <c r="C14" s="122">
        <f>D14/B14</f>
        <v>220.03891769354772</v>
      </c>
      <c r="D14" s="121">
        <f>SUM(D8:D13)</f>
        <v>736436.3715269793</v>
      </c>
      <c r="E14" s="109">
        <f>SUM(E8:E13)</f>
        <v>73643637.1526979</v>
      </c>
      <c r="F14" s="99">
        <f>SUM(F8:F13)</f>
        <v>2275.45551</v>
      </c>
      <c r="G14" s="123">
        <f>H14/F14</f>
        <v>204.55515520942882</v>
      </c>
      <c r="H14" s="124">
        <f>SUM(H8:H13)</f>
        <v>465456.15502019995</v>
      </c>
      <c r="I14" s="124"/>
      <c r="J14" s="123">
        <v>204.55515520942882</v>
      </c>
      <c r="K14" s="124"/>
      <c r="L14" s="124"/>
      <c r="M14" s="123">
        <v>204.55515520942882</v>
      </c>
      <c r="N14" s="124"/>
      <c r="O14" s="99"/>
      <c r="P14" s="99">
        <f t="shared" si="3"/>
        <v>1071.39835</v>
      </c>
      <c r="Q14" s="117">
        <f t="shared" si="6"/>
        <v>252.9220028262871</v>
      </c>
      <c r="R14" s="99">
        <f t="shared" si="7"/>
        <v>270980.2165067793</v>
      </c>
      <c r="S14" s="99"/>
      <c r="T14" s="99">
        <f>SUM(T8:T13)</f>
        <v>102</v>
      </c>
      <c r="U14" s="123">
        <f>V14/T14</f>
        <v>367.851064245</v>
      </c>
      <c r="V14" s="124">
        <f>SUM(V8:V13)</f>
        <v>37520.80855299</v>
      </c>
      <c r="W14" s="99">
        <f>SUM(W8:W13)</f>
        <v>15.504</v>
      </c>
      <c r="X14" s="120">
        <f>Y14/W14</f>
        <v>500.8</v>
      </c>
      <c r="Y14" s="125">
        <f>SUM(Y8:Y13)</f>
        <v>7764.4032</v>
      </c>
      <c r="Z14" s="99">
        <f>SUM(Z8:Z13)</f>
        <v>11.526</v>
      </c>
      <c r="AA14" s="126">
        <f>AB14/Z14</f>
        <v>394.06430000000006</v>
      </c>
      <c r="AB14" s="99">
        <f>SUM(AB8:AB13)</f>
        <v>4541.9851218</v>
      </c>
      <c r="AC14" s="99">
        <f>SUM(AC8:AC13)</f>
        <v>1.02</v>
      </c>
      <c r="AD14" s="120">
        <f>AE14/AC14</f>
        <v>201.31403</v>
      </c>
      <c r="AE14" s="125">
        <f>SUM(AE8:AE13)</f>
        <v>205.3403106</v>
      </c>
      <c r="AF14" s="163">
        <f>SUM(AF8:AF13)</f>
        <v>36.92400000000001</v>
      </c>
      <c r="AG14" s="126">
        <f>AH14/AF14</f>
        <v>201.31403</v>
      </c>
      <c r="AH14" s="125">
        <f>SUM(AH8:AH13)</f>
        <v>7433.319243720001</v>
      </c>
      <c r="AI14" s="99">
        <f>SUM(AI8:AI13)</f>
        <v>37.025999999999996</v>
      </c>
      <c r="AJ14" s="126">
        <f>AK14/AI14</f>
        <v>474.686995</v>
      </c>
      <c r="AK14" s="125">
        <f>SUM(AK8:AK13)</f>
        <v>17575.76067687</v>
      </c>
      <c r="AL14" s="99">
        <f>SUM(AL8:AL13)</f>
        <v>473.60469587347154</v>
      </c>
      <c r="AM14" s="126">
        <f>AN14/AL14</f>
        <v>255.40150729111673</v>
      </c>
      <c r="AN14" s="124">
        <f>SUM(AN8:AN13)</f>
        <v>120959.35318623556</v>
      </c>
      <c r="AO14" s="99">
        <f>SUM(AO8:AO13)</f>
        <v>105.81337566987773</v>
      </c>
      <c r="AP14" s="127">
        <f>AQ14/AO14</f>
        <v>385.62000000000006</v>
      </c>
      <c r="AQ14" s="124">
        <f>SUM(AQ8:AQ13)</f>
        <v>40803.75392581826</v>
      </c>
      <c r="AR14" s="99">
        <f>SUM(AR8:AR13)</f>
        <v>28.38837566987773</v>
      </c>
      <c r="AS14" s="127">
        <f>AT8/AR8</f>
        <v>276.78</v>
      </c>
      <c r="AT14" s="124">
        <f>SUM(AT8:AT13)</f>
        <v>7857.334617908756</v>
      </c>
      <c r="AU14" s="99">
        <f>SUM(AU8:AU13)</f>
        <v>4.2749999999999995</v>
      </c>
      <c r="AV14" s="123">
        <f>AW14/AU14</f>
        <v>249.53884210526314</v>
      </c>
      <c r="AW14" s="124">
        <f>SUM(AW8:AW13)</f>
        <v>1066.7785499999998</v>
      </c>
      <c r="AX14" s="99">
        <f>SUM(AX8:AX13)</f>
        <v>200.70294453371613</v>
      </c>
      <c r="AY14" s="117">
        <f t="shared" si="26"/>
        <v>152.9986628</v>
      </c>
      <c r="AZ14" s="128">
        <f t="shared" si="16"/>
        <v>30707.28213368114</v>
      </c>
      <c r="BA14" s="99">
        <f>SUM(BA8:BA13)</f>
        <v>134.42499999999998</v>
      </c>
      <c r="BB14" s="123">
        <f>BC14/BA14</f>
        <v>301.462</v>
      </c>
      <c r="BC14" s="124">
        <f>SUM(BC8:BC13)</f>
        <v>40524.02935</v>
      </c>
      <c r="BD14" s="99">
        <f>SUM(BD8:BD13)</f>
        <v>495.79365412652845</v>
      </c>
      <c r="BE14" s="126">
        <f t="shared" si="5"/>
        <v>226.90902521887315</v>
      </c>
      <c r="BF14" s="121">
        <f>SUM(BF8:BF13)</f>
        <v>112500.05476755372</v>
      </c>
      <c r="BG14" s="99">
        <f>SUM(BG8:BG13)</f>
        <v>98.30949233012228</v>
      </c>
      <c r="BH14" s="129">
        <f>BI14/BG14</f>
        <v>300.47999999999996</v>
      </c>
      <c r="BI14" s="121">
        <f>SUM(BI8:BI13)</f>
        <v>29540.03625535514</v>
      </c>
      <c r="BJ14" s="99">
        <f>SUM(BJ8:BJ13)</f>
        <v>28.729492330122277</v>
      </c>
      <c r="BK14" s="129">
        <f>BL14/BJ14</f>
        <v>215.66999999999996</v>
      </c>
      <c r="BL14" s="121">
        <f>SUM(BL8:BL13)</f>
        <v>6196.08961083747</v>
      </c>
      <c r="BM14" s="99">
        <f>SUM(BM8:BM13)</f>
        <v>335.95266946628396</v>
      </c>
      <c r="BN14" s="117">
        <f t="shared" si="22"/>
        <v>204.55515520942882</v>
      </c>
      <c r="BO14" s="121">
        <f>SUM(BO8:BO13)</f>
        <v>68898.98745700112</v>
      </c>
      <c r="BP14" s="99">
        <f>SUM(BP8:BP13)</f>
        <v>32.80200000000001</v>
      </c>
      <c r="BQ14" s="130">
        <f>BR14/BP14</f>
        <v>239.77018000000004</v>
      </c>
      <c r="BR14" s="121">
        <f>SUM(BR8:BR13)</f>
        <v>7864.941444360003</v>
      </c>
      <c r="BT14" s="81" t="s">
        <v>85</v>
      </c>
      <c r="BU14" s="99">
        <f>AB35+AT35+BL35</f>
        <v>60907.69291412831</v>
      </c>
      <c r="BV14" s="99">
        <f>Z35+AR35+BJ35</f>
        <v>209.64083352101977</v>
      </c>
      <c r="BW14" s="117">
        <f>BU14/BV14</f>
        <v>290.5335372463178</v>
      </c>
      <c r="BX14" s="117">
        <f>100*BW14/BW10</f>
        <v>131.1856916330232</v>
      </c>
    </row>
    <row r="15" spans="1:76" ht="22.5" customHeight="1">
      <c r="A15" s="131"/>
      <c r="B15" s="99"/>
      <c r="C15" s="131"/>
      <c r="D15" s="99"/>
      <c r="E15" s="110"/>
      <c r="F15" s="99"/>
      <c r="G15" s="117"/>
      <c r="H15" s="99"/>
      <c r="I15" s="99"/>
      <c r="J15" s="117"/>
      <c r="K15" s="99"/>
      <c r="L15" s="99"/>
      <c r="M15" s="117"/>
      <c r="N15" s="99"/>
      <c r="O15" s="99"/>
      <c r="P15" s="99"/>
      <c r="Q15" s="117"/>
      <c r="R15" s="99"/>
      <c r="S15" s="99"/>
      <c r="T15" s="99"/>
      <c r="U15" s="117"/>
      <c r="V15" s="99"/>
      <c r="W15" s="99"/>
      <c r="X15" s="131"/>
      <c r="Y15" s="131"/>
      <c r="Z15" s="99"/>
      <c r="AA15" s="131"/>
      <c r="AB15" s="99"/>
      <c r="AC15" s="99"/>
      <c r="AD15" s="131"/>
      <c r="AE15" s="131"/>
      <c r="AF15" s="99"/>
      <c r="AG15" s="131"/>
      <c r="AH15" s="131"/>
      <c r="AI15" s="99"/>
      <c r="AJ15" s="132"/>
      <c r="AK15" s="133"/>
      <c r="AL15" s="99"/>
      <c r="AM15" s="131"/>
      <c r="AN15" s="99"/>
      <c r="AO15" s="99"/>
      <c r="AQ15" s="99"/>
      <c r="AR15" s="99"/>
      <c r="AT15" s="99"/>
      <c r="AU15" s="99"/>
      <c r="AV15" s="117"/>
      <c r="AW15" s="99"/>
      <c r="AX15" s="99"/>
      <c r="AY15" s="117"/>
      <c r="BA15" s="99"/>
      <c r="BB15" s="117"/>
      <c r="BC15" s="99"/>
      <c r="BD15" s="99"/>
      <c r="BE15" s="131"/>
      <c r="BF15" s="99"/>
      <c r="BG15" s="99"/>
      <c r="BI15" s="99"/>
      <c r="BJ15" s="99"/>
      <c r="BL15" s="99"/>
      <c r="BM15" s="99"/>
      <c r="BN15" s="117"/>
      <c r="BO15" s="99"/>
      <c r="BP15" s="99"/>
      <c r="BQ15" s="117"/>
      <c r="BR15" s="99"/>
      <c r="BT15" s="81" t="s">
        <v>101</v>
      </c>
      <c r="BU15" s="134">
        <f>H35</f>
        <v>1518462.6157344293</v>
      </c>
      <c r="BV15" s="99">
        <f>F35</f>
        <v>7800.135087029028</v>
      </c>
      <c r="BW15" s="117">
        <f>BU15/BV15</f>
        <v>194.6713228415115</v>
      </c>
      <c r="BX15" s="117">
        <f>100*BW15/BW10</f>
        <v>87.90066843962228</v>
      </c>
    </row>
    <row r="16" spans="1:76" ht="13.5">
      <c r="A16" s="79" t="s">
        <v>65</v>
      </c>
      <c r="B16" s="99">
        <v>516.472</v>
      </c>
      <c r="C16" s="116">
        <f aca="true" t="shared" si="27" ref="C16:C35">D16/B16</f>
        <v>203.04654412516922</v>
      </c>
      <c r="D16" s="99">
        <f>H16+V16+AN16+BF16</f>
        <v>104867.8547374144</v>
      </c>
      <c r="E16" s="108">
        <f>D16*100</f>
        <v>10486785.47374144</v>
      </c>
      <c r="F16" s="99">
        <v>411.46</v>
      </c>
      <c r="G16" s="117">
        <v>192.27</v>
      </c>
      <c r="H16" s="99">
        <f>F16*G16</f>
        <v>79111.4142</v>
      </c>
      <c r="I16" s="99"/>
      <c r="J16" s="117">
        <v>192.27</v>
      </c>
      <c r="K16" s="99"/>
      <c r="L16" s="99"/>
      <c r="M16" s="117">
        <v>192.27</v>
      </c>
      <c r="N16" s="99"/>
      <c r="O16" s="99"/>
      <c r="P16" s="99">
        <f>T16+AL16+BD16</f>
        <v>105.00648000000001</v>
      </c>
      <c r="Q16" s="117">
        <f t="shared" si="6"/>
        <v>245.2842961445273</v>
      </c>
      <c r="R16" s="99">
        <f t="shared" si="7"/>
        <v>25756.440537414386</v>
      </c>
      <c r="S16" s="99"/>
      <c r="T16" s="99">
        <v>0</v>
      </c>
      <c r="U16" s="117">
        <v>0</v>
      </c>
      <c r="V16" s="99">
        <f t="shared" si="8"/>
        <v>0</v>
      </c>
      <c r="W16" s="99">
        <v>0</v>
      </c>
      <c r="X16" s="79">
        <v>0</v>
      </c>
      <c r="Y16" s="79">
        <v>0</v>
      </c>
      <c r="Z16" s="99">
        <v>0</v>
      </c>
      <c r="AA16" s="79">
        <v>0</v>
      </c>
      <c r="AB16" s="99">
        <f t="shared" si="9"/>
        <v>0</v>
      </c>
      <c r="AC16" s="99">
        <v>0</v>
      </c>
      <c r="AD16" s="79">
        <v>0</v>
      </c>
      <c r="AE16" s="79">
        <v>0</v>
      </c>
      <c r="AF16" s="99">
        <f t="shared" si="10"/>
        <v>0</v>
      </c>
      <c r="AG16" s="135">
        <v>216.35476</v>
      </c>
      <c r="AH16" s="79">
        <v>0</v>
      </c>
      <c r="AI16" s="99">
        <v>0</v>
      </c>
      <c r="AJ16" s="99">
        <v>0</v>
      </c>
      <c r="AK16" s="99">
        <v>0</v>
      </c>
      <c r="AL16" s="99">
        <v>56.12415310344828</v>
      </c>
      <c r="AM16" s="118">
        <f aca="true" t="shared" si="28" ref="AM16:AM35">AN16/AL16</f>
        <v>267.481234191552</v>
      </c>
      <c r="AN16" s="99">
        <f t="shared" si="11"/>
        <v>15012.15774006597</v>
      </c>
      <c r="AO16" s="99">
        <v>13.355932248275863</v>
      </c>
      <c r="AP16" s="79">
        <v>385.62</v>
      </c>
      <c r="AQ16" s="99">
        <f t="shared" si="12"/>
        <v>5150.3145935801385</v>
      </c>
      <c r="AR16" s="99">
        <v>3.2499322482758624</v>
      </c>
      <c r="AS16" s="79">
        <v>276.78</v>
      </c>
      <c r="AT16" s="99">
        <f t="shared" si="13"/>
        <v>899.5162476777931</v>
      </c>
      <c r="AU16" s="99">
        <v>0.5579999999999999</v>
      </c>
      <c r="AV16" s="79">
        <v>271.92</v>
      </c>
      <c r="AW16" s="99">
        <f t="shared" si="14"/>
        <v>151.73136</v>
      </c>
      <c r="AX16" s="99">
        <f t="shared" si="15"/>
        <v>21.414288606896555</v>
      </c>
      <c r="AY16" s="119">
        <f t="shared" si="26"/>
        <v>164.4296176</v>
      </c>
      <c r="AZ16" s="64">
        <f t="shared" si="16"/>
        <v>3521.1432868080374</v>
      </c>
      <c r="BA16" s="99">
        <v>17.546</v>
      </c>
      <c r="BB16" s="117">
        <f t="shared" si="17"/>
        <v>301.462</v>
      </c>
      <c r="BC16" s="99">
        <f t="shared" si="18"/>
        <v>5289.452252</v>
      </c>
      <c r="BD16" s="99">
        <v>48.88232689655173</v>
      </c>
      <c r="BE16" s="117">
        <f aca="true" t="shared" si="29" ref="BE16:BE21">BF16/BD16</f>
        <v>219.7989228312767</v>
      </c>
      <c r="BF16" s="99">
        <f t="shared" si="19"/>
        <v>10744.282797348416</v>
      </c>
      <c r="BG16" s="99">
        <v>10.28258615172414</v>
      </c>
      <c r="BH16" s="79">
        <v>300.48</v>
      </c>
      <c r="BI16" s="99">
        <f t="shared" si="20"/>
        <v>3089.7114868700696</v>
      </c>
      <c r="BJ16" s="99">
        <v>2.7225861517241383</v>
      </c>
      <c r="BK16" s="79">
        <v>215.67</v>
      </c>
      <c r="BL16" s="99">
        <f t="shared" si="21"/>
        <v>587.1801553423448</v>
      </c>
      <c r="BM16" s="99">
        <v>32.313154593103455</v>
      </c>
      <c r="BN16" s="117">
        <f t="shared" si="22"/>
        <v>192.27</v>
      </c>
      <c r="BO16" s="99">
        <f t="shared" si="23"/>
        <v>6212.850233616002</v>
      </c>
      <c r="BP16" s="99">
        <v>3.564</v>
      </c>
      <c r="BQ16" s="117">
        <f t="shared" si="24"/>
        <v>239.77018000000004</v>
      </c>
      <c r="BR16" s="99">
        <f t="shared" si="25"/>
        <v>854.5409215200001</v>
      </c>
      <c r="BT16" s="81" t="s">
        <v>122</v>
      </c>
      <c r="BU16" s="99">
        <f>AE35+AZ35+BO35</f>
        <v>250708.7667123311</v>
      </c>
      <c r="BV16" s="99">
        <f>AF35+AX35+BM35</f>
        <v>1456.5150019707078</v>
      </c>
      <c r="BW16" s="117">
        <f>BU16/BV16</f>
        <v>172.1292031823323</v>
      </c>
      <c r="BX16" s="117">
        <f>100*BW16/BW10</f>
        <v>77.7221410778856</v>
      </c>
    </row>
    <row r="17" spans="1:70" ht="13.5">
      <c r="A17" s="79" t="s">
        <v>66</v>
      </c>
      <c r="B17" s="99">
        <v>1504.3136915688367</v>
      </c>
      <c r="C17" s="116">
        <f t="shared" si="27"/>
        <v>229.9700036922411</v>
      </c>
      <c r="D17" s="99">
        <f>H17+V17+AN17+BF17</f>
        <v>345947.0252043742</v>
      </c>
      <c r="E17" s="108">
        <f>D17*100</f>
        <v>34594702.52043742</v>
      </c>
      <c r="F17" s="99">
        <v>1035.1792909071505</v>
      </c>
      <c r="G17" s="117">
        <v>192.27</v>
      </c>
      <c r="H17" s="99">
        <f>F17*G17</f>
        <v>199033.92226271785</v>
      </c>
      <c r="I17" s="99"/>
      <c r="J17" s="117">
        <v>192.27</v>
      </c>
      <c r="K17" s="99"/>
      <c r="L17" s="99"/>
      <c r="M17" s="117">
        <v>192.27</v>
      </c>
      <c r="N17" s="99"/>
      <c r="O17" s="99"/>
      <c r="P17" s="99">
        <f>T17+AL17+BD17</f>
        <v>469.13440066168624</v>
      </c>
      <c r="Q17" s="117">
        <f t="shared" si="6"/>
        <v>313.15781305835645</v>
      </c>
      <c r="R17" s="99">
        <f t="shared" si="7"/>
        <v>146913.10294165643</v>
      </c>
      <c r="S17" s="99"/>
      <c r="T17" s="99">
        <v>203.75</v>
      </c>
      <c r="U17" s="117">
        <f>V17/T17</f>
        <v>424.032710980908</v>
      </c>
      <c r="V17" s="99">
        <f t="shared" si="8"/>
        <v>86396.66486236</v>
      </c>
      <c r="W17" s="99">
        <v>42.1685</v>
      </c>
      <c r="X17" s="79">
        <v>500.8</v>
      </c>
      <c r="Y17" s="99">
        <f>W17*X17</f>
        <v>21117.984800000002</v>
      </c>
      <c r="Z17" s="99">
        <v>31.315000000000005</v>
      </c>
      <c r="AA17" s="117">
        <f>0.211*524.28+0.789*359.45</f>
        <v>394.22912999999994</v>
      </c>
      <c r="AB17" s="99">
        <f t="shared" si="9"/>
        <v>12345.28520595</v>
      </c>
      <c r="AC17" s="99">
        <v>1.5505</v>
      </c>
      <c r="AD17" s="136">
        <f>AG17</f>
        <v>216.35476</v>
      </c>
      <c r="AE17" s="99">
        <f>AC17*AD17</f>
        <v>335.45805538</v>
      </c>
      <c r="AF17" s="99">
        <f t="shared" si="10"/>
        <v>25.497</v>
      </c>
      <c r="AG17" s="136">
        <v>216.35476</v>
      </c>
      <c r="AH17" s="99">
        <f>AF17*AG17</f>
        <v>5516.39731572</v>
      </c>
      <c r="AI17" s="99">
        <v>103.21900000000001</v>
      </c>
      <c r="AJ17" s="117">
        <f>528.25*0.794+178.165*0.206</f>
        <v>456.13248999999996</v>
      </c>
      <c r="AK17" s="99">
        <f>AI17*AJ17</f>
        <v>47081.53948531</v>
      </c>
      <c r="AL17" s="99">
        <v>48.29475643392554</v>
      </c>
      <c r="AM17" s="118">
        <f t="shared" si="28"/>
        <v>266.26320543500026</v>
      </c>
      <c r="AN17" s="99">
        <f t="shared" si="11"/>
        <v>12859.116653799618</v>
      </c>
      <c r="AO17" s="99">
        <v>11.371080514714043</v>
      </c>
      <c r="AP17" s="79">
        <v>385.62</v>
      </c>
      <c r="AQ17" s="99">
        <f t="shared" si="12"/>
        <v>4384.91606808403</v>
      </c>
      <c r="AR17" s="99">
        <v>2.8135805147140434</v>
      </c>
      <c r="AS17" s="79">
        <v>276.78</v>
      </c>
      <c r="AT17" s="99">
        <f t="shared" si="13"/>
        <v>778.7428148625528</v>
      </c>
      <c r="AU17" s="99">
        <v>0.4725</v>
      </c>
      <c r="AV17" s="79">
        <v>271.92</v>
      </c>
      <c r="AW17" s="99">
        <f t="shared" si="14"/>
        <v>128.4822</v>
      </c>
      <c r="AX17" s="99">
        <f t="shared" si="15"/>
        <v>18.780095404497462</v>
      </c>
      <c r="AY17" s="117">
        <f t="shared" si="26"/>
        <v>164.4296176</v>
      </c>
      <c r="AZ17" s="64">
        <f t="shared" si="16"/>
        <v>3088.003905853035</v>
      </c>
      <c r="BA17" s="99">
        <v>14.857499999999998</v>
      </c>
      <c r="BB17" s="117">
        <f t="shared" si="17"/>
        <v>301.462</v>
      </c>
      <c r="BC17" s="99">
        <f t="shared" si="18"/>
        <v>4478.971664999999</v>
      </c>
      <c r="BD17" s="99">
        <v>217.0896442277607</v>
      </c>
      <c r="BE17" s="117">
        <f t="shared" si="29"/>
        <v>219.52830405625835</v>
      </c>
      <c r="BF17" s="99">
        <f t="shared" si="19"/>
        <v>47657.3214254968</v>
      </c>
      <c r="BG17" s="99">
        <v>45.21517153822086</v>
      </c>
      <c r="BH17" s="79">
        <v>300.48</v>
      </c>
      <c r="BI17" s="99">
        <f t="shared" si="20"/>
        <v>13586.254743804604</v>
      </c>
      <c r="BJ17" s="99">
        <v>12.175171538220855</v>
      </c>
      <c r="BK17" s="79">
        <v>215.67</v>
      </c>
      <c r="BL17" s="99">
        <f t="shared" si="21"/>
        <v>2625.8192456480915</v>
      </c>
      <c r="BM17" s="99">
        <v>144.12330115131897</v>
      </c>
      <c r="BN17" s="117">
        <f t="shared" si="22"/>
        <v>192.27</v>
      </c>
      <c r="BO17" s="99">
        <f t="shared" si="23"/>
        <v>27710.5871123641</v>
      </c>
      <c r="BP17" s="99">
        <v>15.576</v>
      </c>
      <c r="BQ17" s="117">
        <f t="shared" si="24"/>
        <v>239.77018000000004</v>
      </c>
      <c r="BR17" s="99">
        <f t="shared" si="25"/>
        <v>3734.6603236800006</v>
      </c>
    </row>
    <row r="18" spans="1:83" ht="13.5">
      <c r="A18" s="79" t="s">
        <v>67</v>
      </c>
      <c r="B18" s="134">
        <v>1595.623</v>
      </c>
      <c r="C18" s="116">
        <f t="shared" si="27"/>
        <v>226.85888303932742</v>
      </c>
      <c r="D18" s="99">
        <f>H18+V18+AN18+BF18</f>
        <v>361981.25153186073</v>
      </c>
      <c r="E18" s="108">
        <f>D18*100</f>
        <v>36198125.153186075</v>
      </c>
      <c r="F18" s="99">
        <v>1117.62</v>
      </c>
      <c r="G18" s="117">
        <v>197.08</v>
      </c>
      <c r="H18" s="99">
        <f>F18*G18</f>
        <v>220260.5496</v>
      </c>
      <c r="I18" s="99"/>
      <c r="J18" s="117">
        <v>197.08</v>
      </c>
      <c r="K18" s="99"/>
      <c r="L18" s="99"/>
      <c r="M18" s="117">
        <v>197.08</v>
      </c>
      <c r="N18" s="99"/>
      <c r="O18" s="99"/>
      <c r="P18" s="99">
        <f>T18+AL18+BD18</f>
        <v>477.99741</v>
      </c>
      <c r="Q18" s="117">
        <f t="shared" si="6"/>
        <v>296.4884306211214</v>
      </c>
      <c r="R18" s="99">
        <f t="shared" si="7"/>
        <v>141720.7019318607</v>
      </c>
      <c r="S18" s="99"/>
      <c r="T18" s="99">
        <v>154.95</v>
      </c>
      <c r="U18" s="117">
        <f>V18/T18</f>
        <v>427.0262244605034</v>
      </c>
      <c r="V18" s="99">
        <f t="shared" si="8"/>
        <v>66167.713480155</v>
      </c>
      <c r="W18" s="99">
        <v>30.853900000000003</v>
      </c>
      <c r="X18" s="79">
        <v>500.8</v>
      </c>
      <c r="Y18" s="99">
        <f>W18*X18</f>
        <v>15451.633120000002</v>
      </c>
      <c r="Z18" s="99">
        <v>11.8707</v>
      </c>
      <c r="AA18" s="117">
        <f>0.227*524.28+0.773*359.45</f>
        <v>396.86641</v>
      </c>
      <c r="AB18" s="99">
        <f t="shared" si="9"/>
        <v>4711.082093186999</v>
      </c>
      <c r="AC18" s="99">
        <v>1.7115999999999998</v>
      </c>
      <c r="AD18" s="136">
        <f>AG18</f>
        <v>216.35476</v>
      </c>
      <c r="AE18" s="99">
        <f>AC18*AD18</f>
        <v>370.31280721599995</v>
      </c>
      <c r="AF18" s="99">
        <f t="shared" si="10"/>
        <v>34.73659999999998</v>
      </c>
      <c r="AG18" s="136">
        <v>216.35476</v>
      </c>
      <c r="AH18" s="99">
        <f>AF18*AG18</f>
        <v>7515.428756215996</v>
      </c>
      <c r="AI18" s="99">
        <v>75.7772</v>
      </c>
      <c r="AJ18" s="117">
        <f>528.25*0.928+178.165*0.072</f>
        <v>503.04388</v>
      </c>
      <c r="AK18" s="99">
        <f>AI18*AJ18</f>
        <v>38119.256703536</v>
      </c>
      <c r="AL18" s="99">
        <v>101.973607875</v>
      </c>
      <c r="AM18" s="118">
        <f t="shared" si="28"/>
        <v>260.6840267379568</v>
      </c>
      <c r="AN18" s="99">
        <f t="shared" si="11"/>
        <v>26582.890721852422</v>
      </c>
      <c r="AO18" s="99">
        <v>22.80108863</v>
      </c>
      <c r="AP18" s="79">
        <v>385.62</v>
      </c>
      <c r="AQ18" s="99">
        <f t="shared" si="12"/>
        <v>8792.5557975006</v>
      </c>
      <c r="AR18" s="99">
        <v>6.10988863</v>
      </c>
      <c r="AS18" s="79">
        <v>276.78</v>
      </c>
      <c r="AT18" s="99">
        <f t="shared" si="13"/>
        <v>1691.0949750114</v>
      </c>
      <c r="AU18" s="99">
        <v>0.9216</v>
      </c>
      <c r="AV18" s="79">
        <v>288.66</v>
      </c>
      <c r="AW18" s="99">
        <f t="shared" si="14"/>
        <v>266.029056</v>
      </c>
      <c r="AX18" s="99">
        <f t="shared" si="15"/>
        <v>43.16183061500001</v>
      </c>
      <c r="AY18" s="117">
        <f t="shared" si="26"/>
        <v>164.4296176</v>
      </c>
      <c r="AZ18" s="64">
        <f t="shared" si="16"/>
        <v>7097.083302940424</v>
      </c>
      <c r="BA18" s="99">
        <v>28.9792</v>
      </c>
      <c r="BB18" s="117">
        <f t="shared" si="17"/>
        <v>301.462</v>
      </c>
      <c r="BC18" s="99">
        <f t="shared" si="18"/>
        <v>8736.1275904</v>
      </c>
      <c r="BD18" s="99">
        <v>221.073802125</v>
      </c>
      <c r="BE18" s="117">
        <f t="shared" si="29"/>
        <v>221.51018012602202</v>
      </c>
      <c r="BF18" s="99">
        <f t="shared" si="19"/>
        <v>48970.097729853296</v>
      </c>
      <c r="BG18" s="99">
        <v>43.881904170000006</v>
      </c>
      <c r="BH18" s="79">
        <v>300.48</v>
      </c>
      <c r="BI18" s="99">
        <f t="shared" si="20"/>
        <v>13185.634565001603</v>
      </c>
      <c r="BJ18" s="99">
        <v>12.801904170000002</v>
      </c>
      <c r="BK18" s="79">
        <v>215.67</v>
      </c>
      <c r="BL18" s="99">
        <f t="shared" si="21"/>
        <v>2760.9866723439004</v>
      </c>
      <c r="BM18" s="99">
        <v>149.73799378499996</v>
      </c>
      <c r="BN18" s="117">
        <f t="shared" si="22"/>
        <v>197.08</v>
      </c>
      <c r="BO18" s="99">
        <f t="shared" si="23"/>
        <v>29510.363815147794</v>
      </c>
      <c r="BP18" s="99">
        <v>14.652000000000001</v>
      </c>
      <c r="BQ18" s="117">
        <f t="shared" si="24"/>
        <v>239.77018000000004</v>
      </c>
      <c r="BR18" s="99">
        <f t="shared" si="25"/>
        <v>3513.112677360001</v>
      </c>
      <c r="BY18" s="127"/>
      <c r="BZ18" s="127"/>
      <c r="CA18" s="127"/>
      <c r="CB18" s="127"/>
      <c r="CC18" s="127"/>
      <c r="CD18" s="127"/>
      <c r="CE18" s="127"/>
    </row>
    <row r="19" spans="1:83" s="127" customFormat="1" ht="13.5">
      <c r="A19" s="120" t="s">
        <v>162</v>
      </c>
      <c r="B19" s="124">
        <f>SUM(B16:B18)</f>
        <v>3616.4086915688367</v>
      </c>
      <c r="C19" s="122">
        <f>D19/B19</f>
        <v>224.75228902324358</v>
      </c>
      <c r="D19" s="124">
        <f>SUM(D16:D18)</f>
        <v>812796.1314736493</v>
      </c>
      <c r="E19" s="137">
        <f>SUM(E16:E18)</f>
        <v>81279613.14736494</v>
      </c>
      <c r="F19" s="124">
        <f>SUM(F16:F18)</f>
        <v>2564.2592909071504</v>
      </c>
      <c r="G19" s="126">
        <f>H19/F19</f>
        <v>194.36641521786134</v>
      </c>
      <c r="H19" s="125">
        <f>SUM(H16:H18)</f>
        <v>498405.8860627179</v>
      </c>
      <c r="I19" s="125"/>
      <c r="J19" s="126">
        <v>194.36641521786134</v>
      </c>
      <c r="K19" s="125"/>
      <c r="L19" s="125"/>
      <c r="M19" s="126">
        <v>194.36641521786134</v>
      </c>
      <c r="N19" s="125"/>
      <c r="O19" s="124"/>
      <c r="P19" s="124">
        <f>T19+AL19+BD19</f>
        <v>1052.1382906616861</v>
      </c>
      <c r="Q19" s="123">
        <f>R19/P19</f>
        <v>298.81076299695604</v>
      </c>
      <c r="R19" s="124">
        <f>V19+AN19+BF19</f>
        <v>314390.24541093153</v>
      </c>
      <c r="S19" s="124"/>
      <c r="T19" s="124">
        <f>SUM(T16:T18)</f>
        <v>358.7</v>
      </c>
      <c r="U19" s="123">
        <f>V19/T19</f>
        <v>425.3258387023</v>
      </c>
      <c r="V19" s="124">
        <f>SUM(V16:V18)</f>
        <v>152564.378342515</v>
      </c>
      <c r="W19" s="124">
        <f>SUM(W16:W18)</f>
        <v>73.0224</v>
      </c>
      <c r="X19" s="120">
        <f>Y19/W19</f>
        <v>500.8</v>
      </c>
      <c r="Y19" s="125">
        <f>SUM(Y16:Y18)</f>
        <v>36569.617920000004</v>
      </c>
      <c r="Z19" s="124">
        <f>SUM(Z16:Z18)</f>
        <v>43.185700000000004</v>
      </c>
      <c r="AA19" s="126">
        <f>AB19/Z19</f>
        <v>394.95405421556205</v>
      </c>
      <c r="AB19" s="124">
        <f>SUM(AB16:AB18)</f>
        <v>17056.367299137</v>
      </c>
      <c r="AC19" s="124">
        <f>SUM(AC16:AC18)</f>
        <v>3.2620999999999998</v>
      </c>
      <c r="AD19" s="126">
        <f>AE19/AC19</f>
        <v>216.35476</v>
      </c>
      <c r="AE19" s="125">
        <f>SUM(AE16:AE18)</f>
        <v>705.7708625959999</v>
      </c>
      <c r="AF19" s="124">
        <f>SUM(AF16:AF18)</f>
        <v>60.23359999999998</v>
      </c>
      <c r="AG19" s="126">
        <f>AH19/AF19</f>
        <v>216.35476000000003</v>
      </c>
      <c r="AH19" s="125">
        <f>SUM(AH16:AH18)</f>
        <v>13031.826071935997</v>
      </c>
      <c r="AI19" s="124">
        <f>SUM(AI16:AI18)</f>
        <v>178.9962</v>
      </c>
      <c r="AJ19" s="126">
        <f>AK19/AI19</f>
        <v>475.9922064761487</v>
      </c>
      <c r="AK19" s="125">
        <f>SUM(AK16:AK18)</f>
        <v>85200.796188846</v>
      </c>
      <c r="AL19" s="124">
        <f>SUM(AL16:AL18)</f>
        <v>206.39251741237382</v>
      </c>
      <c r="AM19" s="126">
        <f>AN19/AL19</f>
        <v>263.83788423355566</v>
      </c>
      <c r="AN19" s="124">
        <f>SUM(AN16:AN18)</f>
        <v>54454.16511571801</v>
      </c>
      <c r="AO19" s="124">
        <f>SUM(AO16:AO18)</f>
        <v>47.52810139298991</v>
      </c>
      <c r="AP19" s="127">
        <f>AQ19/AO19</f>
        <v>385.61999999999995</v>
      </c>
      <c r="AQ19" s="124">
        <f>SUM(AQ16:AQ18)</f>
        <v>18327.786459164767</v>
      </c>
      <c r="AR19" s="124">
        <f>SUM(AR16:AR18)</f>
        <v>12.173401392989906</v>
      </c>
      <c r="AS19" s="127">
        <f>AT19/AR19</f>
        <v>276.78</v>
      </c>
      <c r="AT19" s="124">
        <f>SUM(AT16:AT18)</f>
        <v>3369.354037551746</v>
      </c>
      <c r="AU19" s="124">
        <f>SUM(AU16:AU18)</f>
        <v>1.9521</v>
      </c>
      <c r="AV19" s="126">
        <f>AW19/AU19</f>
        <v>279.8230705394191</v>
      </c>
      <c r="AW19" s="124">
        <f>SUM(AW16:AW18)</f>
        <v>546.242616</v>
      </c>
      <c r="AX19" s="124">
        <f>SUM(AX16:AX18)</f>
        <v>83.35621462639403</v>
      </c>
      <c r="AY19" s="123">
        <f>AZ19/AX19</f>
        <v>164.42961759999997</v>
      </c>
      <c r="AZ19" s="128">
        <f>SUM(AZ16:AZ18)</f>
        <v>13706.230495601496</v>
      </c>
      <c r="BA19" s="124">
        <f>SUM(BA16:BA18)</f>
        <v>61.38269999999999</v>
      </c>
      <c r="BB19" s="123">
        <f>BC19/BA19</f>
        <v>301.46200000000005</v>
      </c>
      <c r="BC19" s="124">
        <f>SUM(BC16:BC18)</f>
        <v>18504.5515074</v>
      </c>
      <c r="BD19" s="124">
        <f>SUM(BD16:BD18)</f>
        <v>487.0457732493124</v>
      </c>
      <c r="BE19" s="126">
        <f t="shared" si="29"/>
        <v>220.45505340570185</v>
      </c>
      <c r="BF19" s="124">
        <f>SUM(BF16:BF18)</f>
        <v>107371.70195269851</v>
      </c>
      <c r="BG19" s="124">
        <f>SUM(BG16:BG18)</f>
        <v>99.379661859945</v>
      </c>
      <c r="BH19" s="127">
        <f>BI19/BG19</f>
        <v>300.48</v>
      </c>
      <c r="BI19" s="124">
        <f>SUM(BI16:BI18)</f>
        <v>29861.600795676277</v>
      </c>
      <c r="BJ19" s="124">
        <f>SUM(BJ16:BJ18)</f>
        <v>27.699661859944996</v>
      </c>
      <c r="BK19" s="127">
        <f>BL19/BJ19</f>
        <v>215.67</v>
      </c>
      <c r="BL19" s="124">
        <f>SUM(BL16:BL18)</f>
        <v>5973.986073334337</v>
      </c>
      <c r="BM19" s="124">
        <f>SUM(BM16:BM18)</f>
        <v>326.1744495294224</v>
      </c>
      <c r="BN19" s="117">
        <f t="shared" si="22"/>
        <v>194.36641521786134</v>
      </c>
      <c r="BO19" s="124">
        <f>SUM(BO16:BO18)</f>
        <v>63433.80116112789</v>
      </c>
      <c r="BP19" s="124">
        <f>SUM(BP16:BP18)</f>
        <v>33.792</v>
      </c>
      <c r="BQ19" s="123">
        <f>BR19/BP19</f>
        <v>239.77018000000004</v>
      </c>
      <c r="BR19" s="124">
        <f>SUM(BR16:BR18)</f>
        <v>8102.313922560002</v>
      </c>
      <c r="BY19" s="79"/>
      <c r="BZ19" s="79"/>
      <c r="CA19" s="79"/>
      <c r="CB19" s="79"/>
      <c r="CC19" s="79"/>
      <c r="CD19" s="79"/>
      <c r="CE19" s="79"/>
    </row>
    <row r="20" spans="1:70" ht="13.5">
      <c r="A20" s="138" t="s">
        <v>160</v>
      </c>
      <c r="B20" s="124">
        <f>B19+B23</f>
        <v>3769.6176915688366</v>
      </c>
      <c r="C20" s="122">
        <f>D20/B20</f>
        <v>224.06145507704775</v>
      </c>
      <c r="D20" s="124">
        <f>D19+D23</f>
        <v>844626.0250570953</v>
      </c>
      <c r="E20" s="137">
        <f>E19+E23</f>
        <v>84462602.50570954</v>
      </c>
      <c r="F20" s="124">
        <f>F19+F23</f>
        <v>2682.9689809071506</v>
      </c>
      <c r="G20" s="126">
        <f>H20/F20</f>
        <v>194.26171165292163</v>
      </c>
      <c r="H20" s="124">
        <f>H19+H23</f>
        <v>521198.1465427179</v>
      </c>
      <c r="I20" s="99"/>
      <c r="J20" s="117"/>
      <c r="K20" s="99"/>
      <c r="L20" s="99"/>
      <c r="M20" s="117"/>
      <c r="N20" s="99"/>
      <c r="O20" s="99"/>
      <c r="P20" s="124">
        <f>P19+P23</f>
        <v>1086.637600661686</v>
      </c>
      <c r="Q20" s="123">
        <f>R20/P20</f>
        <v>297.640978296198</v>
      </c>
      <c r="R20" s="124">
        <f>R19+R23</f>
        <v>323427.8785143776</v>
      </c>
      <c r="S20" s="99"/>
      <c r="T20" s="124">
        <f>T19+T23</f>
        <v>358.7</v>
      </c>
      <c r="U20" s="123">
        <f>V20/T20</f>
        <v>425.3258387023</v>
      </c>
      <c r="V20" s="124">
        <f>V19+V23</f>
        <v>152564.378342515</v>
      </c>
      <c r="W20" s="124">
        <f>W19+W23</f>
        <v>73.0224</v>
      </c>
      <c r="X20" s="120">
        <f>Y20/W20</f>
        <v>500.8</v>
      </c>
      <c r="Y20" s="124">
        <f>Y19+Y23</f>
        <v>36569.617920000004</v>
      </c>
      <c r="Z20" s="124">
        <f>Z19+Z23</f>
        <v>43.185700000000004</v>
      </c>
      <c r="AA20" s="126">
        <f>AB20/Z20</f>
        <v>394.95405421556205</v>
      </c>
      <c r="AB20" s="124">
        <f>AB19+AB23</f>
        <v>17056.367299137</v>
      </c>
      <c r="AC20" s="124">
        <f>AC19+AC23</f>
        <v>3.2620999999999998</v>
      </c>
      <c r="AD20" s="126">
        <f>AE20/AC20</f>
        <v>216.35476</v>
      </c>
      <c r="AE20" s="124">
        <f>AE19+AE23</f>
        <v>705.7708625959999</v>
      </c>
      <c r="AF20" s="124">
        <f>AF19+AF23</f>
        <v>60.23359999999998</v>
      </c>
      <c r="AG20" s="126">
        <f>AH20/AF20</f>
        <v>216.35476000000003</v>
      </c>
      <c r="AH20" s="124">
        <f>AH19+AH23</f>
        <v>13031.826071935997</v>
      </c>
      <c r="AI20" s="124">
        <f>AI19+AI23</f>
        <v>178.9962</v>
      </c>
      <c r="AJ20" s="126">
        <f>AK20/AI20</f>
        <v>475.9922064761487</v>
      </c>
      <c r="AK20" s="124">
        <f>AK19+AK23</f>
        <v>85200.796188846</v>
      </c>
      <c r="AL20" s="124">
        <f>AL19+AL23</f>
        <v>225.53215861237382</v>
      </c>
      <c r="AM20" s="126">
        <f>AN20/AL20</f>
        <v>266.49224033930255</v>
      </c>
      <c r="AN20" s="124">
        <f>AN19+AN23</f>
        <v>60102.570217170425</v>
      </c>
      <c r="AO20" s="124">
        <f>AO19+AO23</f>
        <v>52.20527268898991</v>
      </c>
      <c r="AP20" s="127">
        <f>AQ20/AO20</f>
        <v>385.62</v>
      </c>
      <c r="AQ20" s="124">
        <f>AQ19+AQ23</f>
        <v>20131.397254328287</v>
      </c>
      <c r="AR20" s="124">
        <f>AR19+AR23</f>
        <v>13.264572688989904</v>
      </c>
      <c r="AS20" s="127">
        <f>AT20/AR20</f>
        <v>276.78000000000003</v>
      </c>
      <c r="AT20" s="124">
        <f>AT19+AT23</f>
        <v>3671.368428858626</v>
      </c>
      <c r="AU20" s="124">
        <f>AU19+AU23</f>
        <v>2.1501</v>
      </c>
      <c r="AV20" s="126">
        <f>AW20/AU20</f>
        <v>271.7355546253662</v>
      </c>
      <c r="AW20" s="124">
        <f>AW19+AW23</f>
        <v>584.258616</v>
      </c>
      <c r="AX20" s="124">
        <f>AX19+AX23</f>
        <v>90.30351323439403</v>
      </c>
      <c r="AY20" s="123">
        <f>AZ20/AX20</f>
        <v>169.80615093880087</v>
      </c>
      <c r="AZ20" s="128">
        <f>AZ19+AZ23</f>
        <v>15334.091998583515</v>
      </c>
      <c r="BA20" s="124">
        <f>BA19+BA23</f>
        <v>67.6087</v>
      </c>
      <c r="BB20" s="123">
        <f>BC20/BA20</f>
        <v>301.462</v>
      </c>
      <c r="BC20" s="124">
        <f>BC19+BC23</f>
        <v>20381.4539194</v>
      </c>
      <c r="BD20" s="124">
        <f>BD19+BD23</f>
        <v>502.4054420493124</v>
      </c>
      <c r="BE20" s="126">
        <f t="shared" si="29"/>
        <v>220.46124640469287</v>
      </c>
      <c r="BF20" s="124">
        <f>BF19+BF23</f>
        <v>110760.92995469211</v>
      </c>
      <c r="BG20" s="124">
        <f>BG19+BG23</f>
        <v>102.732435363945</v>
      </c>
      <c r="BH20" s="129">
        <f>BI20/BG20</f>
        <v>300.48</v>
      </c>
      <c r="BI20" s="124">
        <f>BI19+BI23</f>
        <v>30869.042178158197</v>
      </c>
      <c r="BJ20" s="124">
        <f>BJ19+BJ23</f>
        <v>28.532435363944995</v>
      </c>
      <c r="BK20" s="129">
        <f>BL20/BJ20</f>
        <v>215.67</v>
      </c>
      <c r="BL20" s="124">
        <f>BL19+BL23</f>
        <v>6153.590334942017</v>
      </c>
      <c r="BM20" s="124">
        <f>BM19+BM23</f>
        <v>336.1605713214224</v>
      </c>
      <c r="BN20" s="117"/>
      <c r="BO20" s="124">
        <f>BO19+BO23</f>
        <v>65351.13654519189</v>
      </c>
      <c r="BP20" s="124">
        <f>BP19+BP23</f>
        <v>34.980000000000004</v>
      </c>
      <c r="BQ20" s="130">
        <f>BR20/BP20</f>
        <v>239.77018000000004</v>
      </c>
      <c r="BR20" s="124">
        <f>BR19+BR23</f>
        <v>8387.160896400002</v>
      </c>
    </row>
    <row r="21" spans="1:70" ht="13.5">
      <c r="A21" s="138" t="s">
        <v>161</v>
      </c>
      <c r="B21" s="124">
        <f>B19+B23+B24+B26</f>
        <v>4437.651691568837</v>
      </c>
      <c r="C21" s="122">
        <f>D21/B21</f>
        <v>228.41006981432125</v>
      </c>
      <c r="D21" s="124">
        <f>D19+D23+D24+D26</f>
        <v>1013604.3326828788</v>
      </c>
      <c r="E21" s="137">
        <f>E19+E23+E24+E26</f>
        <v>101360433.2682879</v>
      </c>
      <c r="F21" s="124">
        <f>F19+F23+F24+F26</f>
        <v>3056.0289809071505</v>
      </c>
      <c r="G21" s="126">
        <f>H21/F21</f>
        <v>193.24232467436156</v>
      </c>
      <c r="H21" s="124">
        <f>H19+H23+H24+H26</f>
        <v>590554.1445427178</v>
      </c>
      <c r="P21" s="124">
        <f>P19+P23+P24+P26</f>
        <v>1381.607880661686</v>
      </c>
      <c r="Q21" s="123">
        <f>R21/P21</f>
        <v>306.20134269757625</v>
      </c>
      <c r="R21" s="124">
        <f>R19+R23+R24+R26</f>
        <v>423050.188140161</v>
      </c>
      <c r="T21" s="124">
        <f>T19+T23+T24+T26</f>
        <v>509.35</v>
      </c>
      <c r="U21" s="123">
        <f>V21/T21</f>
        <v>431.3585961637921</v>
      </c>
      <c r="V21" s="124">
        <f>V19+V23+V24+V26</f>
        <v>219712.5009560275</v>
      </c>
      <c r="W21" s="124">
        <f>W19+W23+W24+W26</f>
        <v>94.68090000000001</v>
      </c>
      <c r="X21" s="120">
        <f>Y21/W21</f>
        <v>500.79999999999995</v>
      </c>
      <c r="Y21" s="124">
        <f>Y19+Y23+Y24+Y26</f>
        <v>47416.19472</v>
      </c>
      <c r="Z21" s="124">
        <f>Z19+Z23+Z24+Z26</f>
        <v>56.108200000000004</v>
      </c>
      <c r="AA21" s="126">
        <f>AB21/Z21</f>
        <v>390.88073790648247</v>
      </c>
      <c r="AB21" s="124">
        <f>AB19+AB23+AB24+AB26</f>
        <v>21931.6146186045</v>
      </c>
      <c r="AC21" s="124">
        <f>AC19+AC23+AC24+AC26</f>
        <v>3.8861</v>
      </c>
      <c r="AD21" s="126">
        <f>AE21/AC21</f>
        <v>231.12025630323458</v>
      </c>
      <c r="AE21" s="124">
        <f>AE19+AE23+AE24+AE26</f>
        <v>898.1564280199999</v>
      </c>
      <c r="AF21" s="124">
        <f>AF19+AF23+AF24+AF26</f>
        <v>97.0546</v>
      </c>
      <c r="AG21" s="126">
        <f>AH21/AF21</f>
        <v>251.24121868470948</v>
      </c>
      <c r="AH21" s="124">
        <f>AH19+AH23+AH24+AH26</f>
        <v>24384.115982957002</v>
      </c>
      <c r="AI21" s="124">
        <f>AI19+AI23+AI24+AI26</f>
        <v>257.62019999999995</v>
      </c>
      <c r="AJ21" s="126">
        <f>AK21/AI21</f>
        <v>485.53032412227776</v>
      </c>
      <c r="AK21" s="124">
        <f>AK19+AK23+AK24+AK26</f>
        <v>125082.419206446</v>
      </c>
      <c r="AL21" s="124">
        <f>AL19+AL23+AL24+AL26</f>
        <v>233.16283299480276</v>
      </c>
      <c r="AM21" s="126">
        <f>AN21/AL21</f>
        <v>268.1689577230573</v>
      </c>
      <c r="AN21" s="124">
        <f>AN19+AN23+AN24+AN26</f>
        <v>62527.03390397153</v>
      </c>
      <c r="AO21" s="124">
        <f>AO19+AO23+AO24+AO26</f>
        <v>54.67472663958422</v>
      </c>
      <c r="AP21" s="127">
        <f>AQ21/AO21</f>
        <v>385.61999999999995</v>
      </c>
      <c r="AQ21" s="124">
        <f>AQ19+AQ23+AQ24+AQ26</f>
        <v>21083.668086756465</v>
      </c>
      <c r="AR21" s="124">
        <f>AR19+AR23+AR24+AR26</f>
        <v>13.615026639584219</v>
      </c>
      <c r="AS21" s="127">
        <f>AT21/AR21</f>
        <v>276.78000000000003</v>
      </c>
      <c r="AT21" s="124">
        <f>AT19+AT23+AT24+AT26</f>
        <v>3768.3670733041204</v>
      </c>
      <c r="AU21" s="124">
        <f>AU19+AU23+AU24+AU26</f>
        <v>2.2671</v>
      </c>
      <c r="AV21" s="126">
        <f>AW21/AU21</f>
        <v>270.2123223501389</v>
      </c>
      <c r="AW21" s="124">
        <f>AW19+AW23+AW24+AW26</f>
        <v>612.598356</v>
      </c>
      <c r="AX21" s="124">
        <f>AX19+AX23+AX24+AX26</f>
        <v>91.31827971563433</v>
      </c>
      <c r="AY21" s="123">
        <f>AZ21/AX21</f>
        <v>170.52300830679073</v>
      </c>
      <c r="AZ21" s="128">
        <f>AZ19+AZ23+AZ24+AZ26</f>
        <v>15571.867770510953</v>
      </c>
      <c r="BA21" s="124">
        <f>BA19+BA23+BA24+BA26</f>
        <v>71.2877</v>
      </c>
      <c r="BB21" s="123">
        <f>BC21/BA21</f>
        <v>301.462</v>
      </c>
      <c r="BC21" s="124">
        <f>BC19+BC23+BC24+BC26</f>
        <v>21490.5326174</v>
      </c>
      <c r="BD21" s="124">
        <f>BD19+BD23+BD24+BD26</f>
        <v>639.0950476668834</v>
      </c>
      <c r="BE21" s="126">
        <f t="shared" si="29"/>
        <v>220.3281871674852</v>
      </c>
      <c r="BF21" s="124">
        <f>BF19+BF23+BF24+BF26</f>
        <v>140810.65328016196</v>
      </c>
      <c r="BG21" s="124">
        <f>BG19+BG23+BG24+BG26</f>
        <v>136.2056038133507</v>
      </c>
      <c r="BH21" s="129">
        <f>BI21/BG21</f>
        <v>300.48</v>
      </c>
      <c r="BI21" s="124">
        <f>BI19+BI23+BI24+BI26</f>
        <v>40927.05983383562</v>
      </c>
      <c r="BJ21" s="124">
        <f>BJ19+BJ23+BJ24+BJ26</f>
        <v>35.26560381335068</v>
      </c>
      <c r="BK21" s="129">
        <f>BL21/BJ21</f>
        <v>215.66999999999996</v>
      </c>
      <c r="BL21" s="124">
        <f>BL19+BL23+BL24+BL26</f>
        <v>7605.73277442534</v>
      </c>
      <c r="BM21" s="124">
        <f>BM19+BM23+BM24+BM26</f>
        <v>420.0378400401821</v>
      </c>
      <c r="BN21" s="117"/>
      <c r="BO21" s="124">
        <f>BO19+BO23+BO24+BO26</f>
        <v>80868.156886421</v>
      </c>
      <c r="BP21" s="124">
        <f>BP19+BP23+BP24+BP26</f>
        <v>47.586000000000006</v>
      </c>
      <c r="BQ21" s="130">
        <f>BR21/BP21</f>
        <v>239.77018000000004</v>
      </c>
      <c r="BR21" s="124">
        <f>BR19+BR23+BR24+BR26</f>
        <v>11409.703785480004</v>
      </c>
    </row>
    <row r="22" spans="1:70" ht="18">
      <c r="A22" s="131"/>
      <c r="B22" s="99"/>
      <c r="C22" s="131"/>
      <c r="D22" s="99"/>
      <c r="E22" s="110"/>
      <c r="F22" s="99"/>
      <c r="G22" s="132"/>
      <c r="H22" s="133"/>
      <c r="I22" s="133"/>
      <c r="J22" s="132"/>
      <c r="K22" s="133"/>
      <c r="L22" s="133"/>
      <c r="M22" s="132"/>
      <c r="N22" s="133"/>
      <c r="O22" s="99"/>
      <c r="P22" s="99"/>
      <c r="Q22" s="117"/>
      <c r="R22" s="99"/>
      <c r="S22" s="99"/>
      <c r="T22" s="99"/>
      <c r="U22" s="117"/>
      <c r="V22" s="99"/>
      <c r="W22" s="99"/>
      <c r="X22" s="131"/>
      <c r="Y22" s="131"/>
      <c r="Z22" s="99"/>
      <c r="AA22" s="131"/>
      <c r="AB22" s="99"/>
      <c r="AC22" s="99"/>
      <c r="AD22" s="131"/>
      <c r="AE22" s="131"/>
      <c r="AF22" s="99"/>
      <c r="AG22" s="131"/>
      <c r="AH22" s="131"/>
      <c r="AI22" s="99"/>
      <c r="AJ22" s="132"/>
      <c r="AK22" s="133"/>
      <c r="AL22" s="99"/>
      <c r="AM22" s="118"/>
      <c r="AN22" s="99"/>
      <c r="AO22" s="99"/>
      <c r="AQ22" s="99"/>
      <c r="AR22" s="99"/>
      <c r="AT22" s="99"/>
      <c r="AU22" s="99"/>
      <c r="AV22" s="131"/>
      <c r="AW22" s="99"/>
      <c r="AX22" s="99"/>
      <c r="AY22" s="117"/>
      <c r="BA22" s="99"/>
      <c r="BB22" s="117"/>
      <c r="BC22" s="99"/>
      <c r="BD22" s="99"/>
      <c r="BE22" s="131"/>
      <c r="BF22" s="99"/>
      <c r="BG22" s="99"/>
      <c r="BI22" s="99"/>
      <c r="BJ22" s="99"/>
      <c r="BL22" s="99"/>
      <c r="BM22" s="99"/>
      <c r="BN22" s="117"/>
      <c r="BO22" s="99"/>
      <c r="BP22" s="99"/>
      <c r="BQ22" s="117"/>
      <c r="BR22" s="99"/>
    </row>
    <row r="23" spans="1:70" ht="13.5">
      <c r="A23" s="79" t="s">
        <v>62</v>
      </c>
      <c r="B23" s="99">
        <v>153.209</v>
      </c>
      <c r="C23" s="116">
        <f>D23/B23</f>
        <v>207.75472448384897</v>
      </c>
      <c r="D23" s="99">
        <f aca="true" t="shared" si="30" ref="D23:D29">H23+V23+AN23+BF23</f>
        <v>31829.893583446017</v>
      </c>
      <c r="E23" s="108">
        <f aca="true" t="shared" si="31" ref="E23:E29">D23*100</f>
        <v>3182989.358344602</v>
      </c>
      <c r="F23" s="99">
        <v>118.70969</v>
      </c>
      <c r="G23" s="117">
        <v>192</v>
      </c>
      <c r="H23" s="99">
        <f aca="true" t="shared" si="32" ref="H23:H29">F23*G23</f>
        <v>22792.260479999997</v>
      </c>
      <c r="I23" s="99"/>
      <c r="J23" s="117">
        <v>192</v>
      </c>
      <c r="K23" s="99"/>
      <c r="L23" s="99"/>
      <c r="M23" s="117">
        <v>192</v>
      </c>
      <c r="N23" s="99"/>
      <c r="O23" s="99"/>
      <c r="P23" s="99">
        <f aca="true" t="shared" si="33" ref="P23:P30">T23+AL23+BD23</f>
        <v>34.499309999999994</v>
      </c>
      <c r="Q23" s="117">
        <f>R23/P23</f>
        <v>261.965619122412</v>
      </c>
      <c r="R23" s="99">
        <f>V23+AN23+BF23</f>
        <v>9037.633103446018</v>
      </c>
      <c r="S23" s="99"/>
      <c r="T23" s="99">
        <v>0</v>
      </c>
      <c r="U23" s="117">
        <v>0</v>
      </c>
      <c r="V23" s="99">
        <f>Y23+AB23+AE23+AH23+AK23</f>
        <v>0</v>
      </c>
      <c r="W23" s="99">
        <v>0</v>
      </c>
      <c r="X23" s="79">
        <v>0</v>
      </c>
      <c r="Y23" s="79">
        <v>0</v>
      </c>
      <c r="Z23" s="99">
        <v>0</v>
      </c>
      <c r="AA23" s="79">
        <v>0</v>
      </c>
      <c r="AB23" s="99">
        <f>Z23*AA23</f>
        <v>0</v>
      </c>
      <c r="AC23" s="99">
        <v>0</v>
      </c>
      <c r="AD23" s="135">
        <f aca="true" t="shared" si="34" ref="AD23:AD29">AG23</f>
        <v>308.310201</v>
      </c>
      <c r="AE23" s="79">
        <v>0</v>
      </c>
      <c r="AF23" s="99">
        <f>T23-W23-Z23-AC23-AI23</f>
        <v>0</v>
      </c>
      <c r="AG23" s="135">
        <v>308.310201</v>
      </c>
      <c r="AH23" s="79">
        <v>0</v>
      </c>
      <c r="AI23" s="99">
        <v>0</v>
      </c>
      <c r="AJ23" s="99">
        <v>0</v>
      </c>
      <c r="AK23" s="99">
        <v>0</v>
      </c>
      <c r="AL23" s="99">
        <v>19.139641199999996</v>
      </c>
      <c r="AM23" s="118">
        <f>AN23/AL23</f>
        <v>295.11551666143146</v>
      </c>
      <c r="AN23" s="99">
        <f>AQ23+AT23+AW23+AZ23+BC23</f>
        <v>5648.405101452418</v>
      </c>
      <c r="AO23" s="99">
        <v>4.677171295999999</v>
      </c>
      <c r="AP23" s="79">
        <v>385.62</v>
      </c>
      <c r="AQ23" s="99">
        <f>AP23*AO23</f>
        <v>1803.6107951635197</v>
      </c>
      <c r="AR23" s="99">
        <v>1.0911712959999997</v>
      </c>
      <c r="AS23" s="79">
        <v>276.78</v>
      </c>
      <c r="AT23" s="99">
        <f>AR23*AS23</f>
        <v>302.0143913068799</v>
      </c>
      <c r="AU23" s="99">
        <v>0.19799999999999998</v>
      </c>
      <c r="AV23" s="117">
        <v>192</v>
      </c>
      <c r="AW23" s="99">
        <f>AU23*AV23</f>
        <v>38.016</v>
      </c>
      <c r="AX23" s="99">
        <f>AL23-AO23-AR23-AU23-BA23</f>
        <v>6.947298607999997</v>
      </c>
      <c r="AY23" s="117">
        <f aca="true" t="shared" si="35" ref="AY23:AY29">AG23*0.76</f>
        <v>234.31575276</v>
      </c>
      <c r="AZ23" s="64">
        <f>AX23*AY23</f>
        <v>1627.8615029820196</v>
      </c>
      <c r="BA23" s="99">
        <v>6.225999999999999</v>
      </c>
      <c r="BB23" s="117">
        <f t="shared" si="17"/>
        <v>301.462</v>
      </c>
      <c r="BC23" s="99">
        <f>BB23*BA23</f>
        <v>1876.9024119999997</v>
      </c>
      <c r="BD23" s="99">
        <v>15.359668799999998</v>
      </c>
      <c r="BE23" s="117">
        <f aca="true" t="shared" si="36" ref="BE23:BE33">BF23/BD23</f>
        <v>220.65762264311323</v>
      </c>
      <c r="BF23" s="99">
        <f>BI23+BL23+BO23+BR23</f>
        <v>3389.2280019935993</v>
      </c>
      <c r="BG23" s="99">
        <v>3.352773504</v>
      </c>
      <c r="BH23" s="79">
        <v>300.48</v>
      </c>
      <c r="BI23" s="99">
        <f>BG23*BH23</f>
        <v>1007.4413824819201</v>
      </c>
      <c r="BJ23" s="99">
        <v>0.8327735039999999</v>
      </c>
      <c r="BK23" s="79">
        <v>215.67</v>
      </c>
      <c r="BL23" s="99">
        <f>BJ23*BK23</f>
        <v>179.60426160767997</v>
      </c>
      <c r="BM23" s="99">
        <v>9.986121791999997</v>
      </c>
      <c r="BN23" s="117">
        <f t="shared" si="22"/>
        <v>192</v>
      </c>
      <c r="BO23" s="99">
        <f>BM23*BN23</f>
        <v>1917.3353840639993</v>
      </c>
      <c r="BP23" s="99">
        <v>1.1880000000000002</v>
      </c>
      <c r="BQ23" s="117">
        <f t="shared" si="24"/>
        <v>239.77018000000004</v>
      </c>
      <c r="BR23" s="99">
        <f>BP23*BQ23</f>
        <v>284.8469738400001</v>
      </c>
    </row>
    <row r="24" spans="1:70" ht="13.5">
      <c r="A24" s="79" t="s">
        <v>63</v>
      </c>
      <c r="B24" s="99">
        <v>18.329</v>
      </c>
      <c r="C24" s="116">
        <f>D24/B24</f>
        <v>245.98597150923814</v>
      </c>
      <c r="D24" s="99">
        <f t="shared" si="30"/>
        <v>4508.676871792826</v>
      </c>
      <c r="E24" s="108">
        <f t="shared" si="31"/>
        <v>450867.6871792826</v>
      </c>
      <c r="F24" s="99">
        <v>3.66</v>
      </c>
      <c r="G24" s="117">
        <v>161.8</v>
      </c>
      <c r="H24" s="99">
        <f t="shared" si="32"/>
        <v>592.1880000000001</v>
      </c>
      <c r="I24" s="99"/>
      <c r="J24" s="117">
        <v>161.8</v>
      </c>
      <c r="K24" s="99"/>
      <c r="L24" s="99"/>
      <c r="M24" s="117">
        <v>161.8</v>
      </c>
      <c r="N24" s="99"/>
      <c r="O24" s="99"/>
      <c r="P24" s="99">
        <f t="shared" si="33"/>
        <v>14.674150000000001</v>
      </c>
      <c r="Q24" s="117">
        <f>R24/P24</f>
        <v>266.8971539607286</v>
      </c>
      <c r="R24" s="99">
        <f>V24+AN24+BF24</f>
        <v>3916.4888717928256</v>
      </c>
      <c r="S24" s="99"/>
      <c r="T24" s="99">
        <v>0</v>
      </c>
      <c r="U24" s="117">
        <v>0</v>
      </c>
      <c r="V24" s="99">
        <f>Y24+AB24+AE24+AH24+AK24</f>
        <v>0</v>
      </c>
      <c r="W24" s="99">
        <v>0</v>
      </c>
      <c r="X24" s="79">
        <v>0</v>
      </c>
      <c r="Y24" s="79">
        <v>0</v>
      </c>
      <c r="Z24" s="99">
        <v>0</v>
      </c>
      <c r="AA24" s="79">
        <v>0</v>
      </c>
      <c r="AB24" s="99">
        <f>Z24*AA24</f>
        <v>0</v>
      </c>
      <c r="AC24" s="99">
        <v>0</v>
      </c>
      <c r="AD24" s="135">
        <f t="shared" si="34"/>
        <v>308.310201</v>
      </c>
      <c r="AE24" s="79">
        <v>0</v>
      </c>
      <c r="AF24" s="99">
        <f>T24-W24-Z24-AC24-AI24</f>
        <v>0</v>
      </c>
      <c r="AG24" s="135">
        <v>308.310201</v>
      </c>
      <c r="AH24" s="79">
        <v>0</v>
      </c>
      <c r="AI24" s="99">
        <v>0</v>
      </c>
      <c r="AJ24" s="99">
        <v>0</v>
      </c>
      <c r="AK24" s="99">
        <v>0</v>
      </c>
      <c r="AL24" s="99">
        <v>7.630558</v>
      </c>
      <c r="AM24" s="118">
        <f>AN24/AL24</f>
        <v>317.7270407308123</v>
      </c>
      <c r="AN24" s="99">
        <f>AQ24+AT24+AW24+AZ24+BC24</f>
        <v>2424.4346124648255</v>
      </c>
      <c r="AO24" s="99">
        <v>2.46944464</v>
      </c>
      <c r="AP24" s="79">
        <v>385.62</v>
      </c>
      <c r="AQ24" s="99">
        <f>AP24*AO24</f>
        <v>952.2672420767999</v>
      </c>
      <c r="AR24" s="99">
        <v>0.35044464000000003</v>
      </c>
      <c r="AS24" s="79">
        <v>276.78</v>
      </c>
      <c r="AT24" s="99">
        <f>AR24*AS24</f>
        <v>96.99606745919999</v>
      </c>
      <c r="AU24" s="99">
        <v>0.11699999999999999</v>
      </c>
      <c r="AV24" s="79">
        <v>242.22</v>
      </c>
      <c r="AW24" s="99">
        <f>AU24*AV24</f>
        <v>28.33974</v>
      </c>
      <c r="AX24" s="99">
        <f>AL24-AO24-AR24-AU24-BA24</f>
        <v>1.01466872</v>
      </c>
      <c r="AY24" s="117">
        <f t="shared" si="35"/>
        <v>234.31575276</v>
      </c>
      <c r="AZ24" s="64">
        <f>AX24*AY24</f>
        <v>237.75286492882566</v>
      </c>
      <c r="BA24" s="99">
        <v>3.679</v>
      </c>
      <c r="BB24" s="117">
        <f t="shared" si="17"/>
        <v>301.462</v>
      </c>
      <c r="BC24" s="99">
        <f>BB24*BA24</f>
        <v>1109.0786979999998</v>
      </c>
      <c r="BD24" s="99">
        <v>7.043592</v>
      </c>
      <c r="BE24" s="117">
        <f t="shared" si="36"/>
        <v>211.83144329313794</v>
      </c>
      <c r="BF24" s="99">
        <f>BI24+BL24+BO24+BR24</f>
        <v>1492.0542593280002</v>
      </c>
      <c r="BG24" s="99">
        <v>1.9794873600000003</v>
      </c>
      <c r="BH24" s="79">
        <v>300.48</v>
      </c>
      <c r="BI24" s="99">
        <f>BG24*BH24</f>
        <v>594.7963619328001</v>
      </c>
      <c r="BJ24" s="99">
        <v>0.29948736000000004</v>
      </c>
      <c r="BK24" s="79">
        <v>215.67</v>
      </c>
      <c r="BL24" s="99">
        <f>BJ24*BK24</f>
        <v>64.5904389312</v>
      </c>
      <c r="BM24" s="99">
        <v>3.9726172800000006</v>
      </c>
      <c r="BN24" s="117">
        <f t="shared" si="22"/>
        <v>161.8</v>
      </c>
      <c r="BO24" s="99">
        <f>BM24*BN24</f>
        <v>642.7694759040002</v>
      </c>
      <c r="BP24" s="99">
        <v>0.792</v>
      </c>
      <c r="BQ24" s="117">
        <f t="shared" si="24"/>
        <v>239.77018000000004</v>
      </c>
      <c r="BR24" s="99">
        <f>BP24*BQ24</f>
        <v>189.89798256000003</v>
      </c>
    </row>
    <row r="25" spans="1:70" ht="13.5">
      <c r="A25" s="79" t="s">
        <v>69</v>
      </c>
      <c r="B25" s="99">
        <v>315.00603447293923</v>
      </c>
      <c r="C25" s="116">
        <f t="shared" si="27"/>
        <v>212.5536720949336</v>
      </c>
      <c r="D25" s="99">
        <f t="shared" si="30"/>
        <v>66955.68935928648</v>
      </c>
      <c r="E25" s="108">
        <f t="shared" si="31"/>
        <v>6695568.935928648</v>
      </c>
      <c r="F25" s="99">
        <v>225.09894612187804</v>
      </c>
      <c r="G25" s="117">
        <v>187.33</v>
      </c>
      <c r="H25" s="99">
        <f t="shared" si="32"/>
        <v>42167.78557701142</v>
      </c>
      <c r="I25" s="99"/>
      <c r="J25" s="117">
        <v>187.33</v>
      </c>
      <c r="K25" s="99"/>
      <c r="L25" s="99"/>
      <c r="M25" s="117">
        <v>187.33</v>
      </c>
      <c r="N25" s="99"/>
      <c r="O25" s="99"/>
      <c r="P25" s="99">
        <f t="shared" si="33"/>
        <v>89.90708835106113</v>
      </c>
      <c r="Q25" s="117">
        <f t="shared" si="6"/>
        <v>275.70577845303444</v>
      </c>
      <c r="R25" s="99">
        <f t="shared" si="7"/>
        <v>24787.903782275054</v>
      </c>
      <c r="S25" s="99"/>
      <c r="T25" s="99">
        <v>0</v>
      </c>
      <c r="U25" s="117">
        <v>0</v>
      </c>
      <c r="V25" s="99">
        <f t="shared" si="8"/>
        <v>0</v>
      </c>
      <c r="W25" s="99">
        <v>0</v>
      </c>
      <c r="X25" s="79">
        <v>0</v>
      </c>
      <c r="Y25" s="79">
        <v>0</v>
      </c>
      <c r="Z25" s="99">
        <v>0</v>
      </c>
      <c r="AA25" s="79">
        <v>0</v>
      </c>
      <c r="AB25" s="99">
        <f t="shared" si="9"/>
        <v>0</v>
      </c>
      <c r="AC25" s="99">
        <v>0</v>
      </c>
      <c r="AD25" s="135">
        <f t="shared" si="34"/>
        <v>308.310201</v>
      </c>
      <c r="AE25" s="79">
        <v>0</v>
      </c>
      <c r="AF25" s="99">
        <f t="shared" si="10"/>
        <v>0</v>
      </c>
      <c r="AG25" s="135">
        <v>308.310201</v>
      </c>
      <c r="AH25" s="79">
        <v>0</v>
      </c>
      <c r="AI25" s="99">
        <v>0</v>
      </c>
      <c r="AJ25" s="99">
        <v>0</v>
      </c>
      <c r="AK25" s="99">
        <v>0</v>
      </c>
      <c r="AL25" s="99">
        <v>48.45641774764984</v>
      </c>
      <c r="AM25" s="118">
        <f t="shared" si="28"/>
        <v>317.9005721014323</v>
      </c>
      <c r="AN25" s="99">
        <f t="shared" si="11"/>
        <v>15404.32292396388</v>
      </c>
      <c r="AO25" s="99">
        <v>15.745513419811987</v>
      </c>
      <c r="AP25" s="79">
        <v>385.62</v>
      </c>
      <c r="AQ25" s="99">
        <f t="shared" si="12"/>
        <v>6071.784884947899</v>
      </c>
      <c r="AR25" s="99">
        <v>2.216513419811986</v>
      </c>
      <c r="AS25" s="79">
        <v>276.78</v>
      </c>
      <c r="AT25" s="99">
        <f t="shared" si="13"/>
        <v>613.4865843355615</v>
      </c>
      <c r="AU25" s="99">
        <v>0.747</v>
      </c>
      <c r="AV25" s="79">
        <v>229.68</v>
      </c>
      <c r="AW25" s="99">
        <f t="shared" si="14"/>
        <v>171.57096</v>
      </c>
      <c r="AX25" s="99">
        <f t="shared" si="15"/>
        <v>6.25839090802587</v>
      </c>
      <c r="AY25" s="117">
        <f t="shared" si="35"/>
        <v>234.31575276</v>
      </c>
      <c r="AZ25" s="64">
        <f t="shared" si="16"/>
        <v>1466.4395766804216</v>
      </c>
      <c r="BA25" s="99">
        <v>23.488999999999997</v>
      </c>
      <c r="BB25" s="117">
        <f t="shared" si="17"/>
        <v>301.462</v>
      </c>
      <c r="BC25" s="99">
        <f t="shared" si="18"/>
        <v>7081.040917999999</v>
      </c>
      <c r="BD25" s="99">
        <v>41.450670603411304</v>
      </c>
      <c r="BE25" s="117">
        <f t="shared" si="36"/>
        <v>226.37947038518897</v>
      </c>
      <c r="BF25" s="99">
        <f t="shared" si="19"/>
        <v>9383.580858311172</v>
      </c>
      <c r="BG25" s="99">
        <v>11.694053648272904</v>
      </c>
      <c r="BH25" s="79">
        <v>300.48</v>
      </c>
      <c r="BI25" s="99">
        <f t="shared" si="20"/>
        <v>3513.8292402330426</v>
      </c>
      <c r="BJ25" s="99">
        <v>1.7540536482729046</v>
      </c>
      <c r="BK25" s="79">
        <v>215.67</v>
      </c>
      <c r="BL25" s="99">
        <f t="shared" si="21"/>
        <v>378.2967503230173</v>
      </c>
      <c r="BM25" s="99">
        <v>23.316563306865493</v>
      </c>
      <c r="BN25" s="117">
        <f t="shared" si="22"/>
        <v>187.33</v>
      </c>
      <c r="BO25" s="99">
        <f t="shared" si="23"/>
        <v>4367.891804275113</v>
      </c>
      <c r="BP25" s="99">
        <v>4.686</v>
      </c>
      <c r="BQ25" s="117">
        <f t="shared" si="24"/>
        <v>239.77018000000004</v>
      </c>
      <c r="BR25" s="99">
        <f t="shared" si="25"/>
        <v>1123.5630634800002</v>
      </c>
    </row>
    <row r="26" spans="1:70" ht="13.5">
      <c r="A26" s="79" t="s">
        <v>64</v>
      </c>
      <c r="B26" s="99">
        <v>649.705</v>
      </c>
      <c r="C26" s="116">
        <f>D26/B26</f>
        <v>253.14509008548592</v>
      </c>
      <c r="D26" s="99">
        <f t="shared" si="30"/>
        <v>164469.63075399064</v>
      </c>
      <c r="E26" s="108">
        <f t="shared" si="31"/>
        <v>16446963.075399064</v>
      </c>
      <c r="F26" s="99">
        <v>369.4</v>
      </c>
      <c r="G26" s="117">
        <v>186.15</v>
      </c>
      <c r="H26" s="99">
        <f t="shared" si="32"/>
        <v>68763.81</v>
      </c>
      <c r="I26" s="99"/>
      <c r="J26" s="117">
        <v>186.15</v>
      </c>
      <c r="K26" s="99"/>
      <c r="L26" s="99"/>
      <c r="M26" s="117">
        <v>186.15</v>
      </c>
      <c r="N26" s="99"/>
      <c r="O26" s="99"/>
      <c r="P26" s="99">
        <f t="shared" si="33"/>
        <v>280.29612999999995</v>
      </c>
      <c r="Q26" s="117">
        <f>R26/P26</f>
        <v>341.4453876119897</v>
      </c>
      <c r="R26" s="99">
        <f>V26+AN26+BF26</f>
        <v>95705.82075399064</v>
      </c>
      <c r="S26" s="99"/>
      <c r="T26" s="99">
        <v>150.65</v>
      </c>
      <c r="U26" s="117">
        <f>V26/T26</f>
        <v>445.72268578501496</v>
      </c>
      <c r="V26" s="99">
        <f>Y26+AB26+AE26+AH26+AK26</f>
        <v>67148.1226135125</v>
      </c>
      <c r="W26" s="99">
        <v>21.658499999999997</v>
      </c>
      <c r="X26" s="79">
        <v>500.8</v>
      </c>
      <c r="Y26" s="99">
        <f>W26*X26</f>
        <v>10846.576799999999</v>
      </c>
      <c r="Z26" s="99">
        <v>12.9225</v>
      </c>
      <c r="AA26" s="117">
        <f>359.45*0.8919+524.28*0.1081</f>
        <v>377.268123</v>
      </c>
      <c r="AB26" s="99">
        <f>Z26*AA26</f>
        <v>4875.247319467499</v>
      </c>
      <c r="AC26" s="99">
        <v>0.624</v>
      </c>
      <c r="AD26" s="117">
        <f t="shared" si="34"/>
        <v>308.310201</v>
      </c>
      <c r="AE26" s="99">
        <f>AC26*AD26</f>
        <v>192.385565424</v>
      </c>
      <c r="AF26" s="99">
        <f>T26-W26-Z26-AC26-AI26</f>
        <v>36.82100000000001</v>
      </c>
      <c r="AG26" s="117">
        <v>308.310201</v>
      </c>
      <c r="AH26" s="99">
        <f>AF26*AG26</f>
        <v>11352.289911021004</v>
      </c>
      <c r="AI26" s="99">
        <v>78.624</v>
      </c>
      <c r="AJ26" s="117">
        <f>528.25*0.94+178.165*0.06</f>
        <v>507.2449</v>
      </c>
      <c r="AK26" s="99">
        <f>AI26*AJ26</f>
        <v>39881.623017599995</v>
      </c>
      <c r="AL26" s="99">
        <v>0.00011638242893241113</v>
      </c>
      <c r="AM26" s="139"/>
      <c r="AN26" s="99">
        <f>AQ26+AT26+AW26+AZ26+BC26</f>
        <v>0.02907433628638783</v>
      </c>
      <c r="AO26" s="99">
        <v>9.31059431459289E-06</v>
      </c>
      <c r="AP26" s="79">
        <v>385.62</v>
      </c>
      <c r="AQ26" s="99">
        <f>AP26*AO26</f>
        <v>0.0035903513795933106</v>
      </c>
      <c r="AR26" s="99">
        <v>9.31059431459289E-06</v>
      </c>
      <c r="AS26" s="79">
        <v>276.78</v>
      </c>
      <c r="AT26" s="99">
        <f>AR26*AS26</f>
        <v>0.00257698629439302</v>
      </c>
      <c r="AU26" s="99">
        <v>0</v>
      </c>
      <c r="AV26" s="79">
        <v>250.78</v>
      </c>
      <c r="AW26" s="99">
        <f>AU26*AV26</f>
        <v>0</v>
      </c>
      <c r="AX26" s="99">
        <f>AL26-AO26-AR26-AU26-BA26</f>
        <v>9.776124030322534E-05</v>
      </c>
      <c r="AY26" s="117">
        <f t="shared" si="35"/>
        <v>234.31575276</v>
      </c>
      <c r="AZ26" s="64">
        <f>AX26*AY26</f>
        <v>0.0229069986124015</v>
      </c>
      <c r="BA26" s="99">
        <v>0</v>
      </c>
      <c r="BB26" s="117">
        <f t="shared" si="17"/>
        <v>301.462</v>
      </c>
      <c r="BC26" s="99">
        <f>BB26*BA26</f>
        <v>0</v>
      </c>
      <c r="BD26" s="99">
        <v>129.64601361757104</v>
      </c>
      <c r="BE26" s="117">
        <f t="shared" si="36"/>
        <v>220.27417788857807</v>
      </c>
      <c r="BF26" s="99">
        <f>BI26+BL26+BO26+BR26</f>
        <v>28557.669066141858</v>
      </c>
      <c r="BG26" s="99">
        <v>31.493681089405683</v>
      </c>
      <c r="BH26" s="79">
        <v>300.48</v>
      </c>
      <c r="BI26" s="99">
        <f>BG26*BH26</f>
        <v>9463.22129374462</v>
      </c>
      <c r="BJ26" s="99">
        <v>6.433681089405683</v>
      </c>
      <c r="BK26" s="79">
        <v>215.67</v>
      </c>
      <c r="BL26" s="99">
        <f>BJ26*BK26</f>
        <v>1387.5520005521234</v>
      </c>
      <c r="BM26" s="99">
        <v>79.90465143875969</v>
      </c>
      <c r="BN26" s="117">
        <f t="shared" si="22"/>
        <v>186.15</v>
      </c>
      <c r="BO26" s="99">
        <f>BM26*BN26</f>
        <v>14874.250865325115</v>
      </c>
      <c r="BP26" s="99">
        <v>11.814</v>
      </c>
      <c r="BQ26" s="117">
        <f t="shared" si="24"/>
        <v>239.77018000000004</v>
      </c>
      <c r="BR26" s="99">
        <f>BP26*BQ26</f>
        <v>2832.6449065200004</v>
      </c>
    </row>
    <row r="27" spans="1:70" ht="13.5">
      <c r="A27" s="79" t="s">
        <v>72</v>
      </c>
      <c r="B27" s="99">
        <v>981.9770000000001</v>
      </c>
      <c r="C27" s="116">
        <f t="shared" si="27"/>
        <v>206.10759329946393</v>
      </c>
      <c r="D27" s="99">
        <f t="shared" si="30"/>
        <v>202392.9161454277</v>
      </c>
      <c r="E27" s="108">
        <f t="shared" si="31"/>
        <v>20239291.61454277</v>
      </c>
      <c r="F27" s="99">
        <v>755.99</v>
      </c>
      <c r="G27" s="117">
        <v>187.33</v>
      </c>
      <c r="H27" s="99">
        <f t="shared" si="32"/>
        <v>141619.6067</v>
      </c>
      <c r="I27" s="99"/>
      <c r="J27" s="117">
        <v>187.33</v>
      </c>
      <c r="K27" s="99"/>
      <c r="L27" s="99"/>
      <c r="M27" s="117">
        <v>187.33</v>
      </c>
      <c r="N27" s="99"/>
      <c r="O27" s="99"/>
      <c r="P27" s="99">
        <f t="shared" si="33"/>
        <v>225.99443000000014</v>
      </c>
      <c r="Q27" s="117">
        <f t="shared" si="6"/>
        <v>268.9150765593102</v>
      </c>
      <c r="R27" s="99">
        <f t="shared" si="7"/>
        <v>60773.3094454277</v>
      </c>
      <c r="S27" s="99"/>
      <c r="T27" s="99">
        <v>0</v>
      </c>
      <c r="U27" s="117">
        <v>0</v>
      </c>
      <c r="V27" s="99">
        <f t="shared" si="8"/>
        <v>0</v>
      </c>
      <c r="W27" s="99">
        <v>0</v>
      </c>
      <c r="X27" s="79">
        <v>0</v>
      </c>
      <c r="Y27" s="79">
        <v>0</v>
      </c>
      <c r="Z27" s="99">
        <v>0</v>
      </c>
      <c r="AA27" s="79">
        <v>0</v>
      </c>
      <c r="AB27" s="99">
        <f t="shared" si="9"/>
        <v>0</v>
      </c>
      <c r="AC27" s="99">
        <v>0</v>
      </c>
      <c r="AD27" s="119">
        <f t="shared" si="34"/>
        <v>308.310201</v>
      </c>
      <c r="AE27" s="79">
        <v>0</v>
      </c>
      <c r="AF27" s="99">
        <f t="shared" si="10"/>
        <v>0</v>
      </c>
      <c r="AG27" s="135">
        <v>308.310201</v>
      </c>
      <c r="AH27" s="79">
        <v>0</v>
      </c>
      <c r="AI27" s="99">
        <v>0</v>
      </c>
      <c r="AJ27" s="99">
        <v>0</v>
      </c>
      <c r="AK27" s="99">
        <v>0</v>
      </c>
      <c r="AL27" s="99">
        <v>121.79340538922163</v>
      </c>
      <c r="AM27" s="118">
        <f t="shared" si="28"/>
        <v>308.5611349620907</v>
      </c>
      <c r="AN27" s="99">
        <f t="shared" si="11"/>
        <v>37580.71139779624</v>
      </c>
      <c r="AO27" s="99">
        <v>35.48347243113773</v>
      </c>
      <c r="AP27" s="79">
        <v>385.62</v>
      </c>
      <c r="AQ27" s="99">
        <f t="shared" si="12"/>
        <v>13683.13663889533</v>
      </c>
      <c r="AR27" s="99">
        <v>6.143472431137729</v>
      </c>
      <c r="AS27" s="79">
        <v>276.78</v>
      </c>
      <c r="AT27" s="99">
        <f t="shared" si="13"/>
        <v>1700.3902994903005</v>
      </c>
      <c r="AU27" s="99">
        <v>1.6199999999999999</v>
      </c>
      <c r="AV27" s="79">
        <v>229.68</v>
      </c>
      <c r="AW27" s="99">
        <f t="shared" si="14"/>
        <v>372.0816</v>
      </c>
      <c r="AX27" s="99">
        <f t="shared" si="15"/>
        <v>27.60646052694618</v>
      </c>
      <c r="AY27" s="117">
        <f t="shared" si="35"/>
        <v>234.31575276</v>
      </c>
      <c r="AZ27" s="64">
        <f t="shared" si="16"/>
        <v>6468.628579410621</v>
      </c>
      <c r="BA27" s="99">
        <v>50.94</v>
      </c>
      <c r="BB27" s="117">
        <f t="shared" si="17"/>
        <v>301.462</v>
      </c>
      <c r="BC27" s="99">
        <f t="shared" si="18"/>
        <v>15356.474279999999</v>
      </c>
      <c r="BD27" s="99">
        <v>104.2010246107785</v>
      </c>
      <c r="BE27" s="117">
        <f t="shared" si="36"/>
        <v>222.57552777683944</v>
      </c>
      <c r="BF27" s="99">
        <f t="shared" si="19"/>
        <v>23192.59804763146</v>
      </c>
      <c r="BG27" s="99">
        <v>26.50808196886228</v>
      </c>
      <c r="BH27" s="79">
        <v>300.48</v>
      </c>
      <c r="BI27" s="99">
        <f t="shared" si="20"/>
        <v>7965.148470003739</v>
      </c>
      <c r="BJ27" s="99">
        <v>4.948081968862281</v>
      </c>
      <c r="BK27" s="79">
        <v>215.67</v>
      </c>
      <c r="BL27" s="99">
        <f t="shared" si="21"/>
        <v>1067.152838224528</v>
      </c>
      <c r="BM27" s="99">
        <v>62.580860673053934</v>
      </c>
      <c r="BN27" s="117">
        <f t="shared" si="22"/>
        <v>187.33</v>
      </c>
      <c r="BO27" s="99">
        <f t="shared" si="23"/>
        <v>11723.272629883195</v>
      </c>
      <c r="BP27" s="99">
        <v>10.164</v>
      </c>
      <c r="BQ27" s="117">
        <f t="shared" si="24"/>
        <v>239.77018000000004</v>
      </c>
      <c r="BR27" s="99">
        <f t="shared" si="25"/>
        <v>2437.0241095200004</v>
      </c>
    </row>
    <row r="28" spans="1:70" ht="13.5">
      <c r="A28" s="79" t="s">
        <v>73</v>
      </c>
      <c r="B28" s="99">
        <v>609.295</v>
      </c>
      <c r="C28" s="116">
        <f t="shared" si="27"/>
        <v>225.5540321750695</v>
      </c>
      <c r="D28" s="99">
        <f t="shared" si="30"/>
        <v>137428.94403410895</v>
      </c>
      <c r="E28" s="108">
        <f t="shared" si="31"/>
        <v>13742894.403410895</v>
      </c>
      <c r="F28" s="99">
        <v>398.72</v>
      </c>
      <c r="G28" s="117">
        <v>187.33</v>
      </c>
      <c r="H28" s="99">
        <f t="shared" si="32"/>
        <v>74692.2176</v>
      </c>
      <c r="I28" s="99"/>
      <c r="J28" s="117">
        <v>187.33</v>
      </c>
      <c r="K28" s="99"/>
      <c r="L28" s="99"/>
      <c r="M28" s="117">
        <v>187.33</v>
      </c>
      <c r="N28" s="99"/>
      <c r="O28" s="99"/>
      <c r="P28" s="99">
        <f t="shared" si="33"/>
        <v>210.56706999999994</v>
      </c>
      <c r="Q28" s="117">
        <f t="shared" si="6"/>
        <v>297.94177424850403</v>
      </c>
      <c r="R28" s="99">
        <f t="shared" si="7"/>
        <v>62736.72643410893</v>
      </c>
      <c r="S28" s="99"/>
      <c r="T28" s="99">
        <v>28</v>
      </c>
      <c r="U28" s="117">
        <f aca="true" t="shared" si="37" ref="U28:U33">V28/T28</f>
        <v>460.9105167138572</v>
      </c>
      <c r="V28" s="99">
        <f t="shared" si="8"/>
        <v>12905.494467988</v>
      </c>
      <c r="W28" s="99">
        <v>1.7999999999999998</v>
      </c>
      <c r="X28" s="79">
        <v>500.8</v>
      </c>
      <c r="Y28" s="99">
        <f>W28*X28</f>
        <v>901.4399999999999</v>
      </c>
      <c r="Z28" s="99">
        <v>0.6040000000000001</v>
      </c>
      <c r="AA28" s="117">
        <f>0.1161*524.28+0.839*359.45</f>
        <v>362.447458</v>
      </c>
      <c r="AB28" s="99">
        <f t="shared" si="9"/>
        <v>218.91826463200002</v>
      </c>
      <c r="AC28" s="99">
        <v>1.404</v>
      </c>
      <c r="AD28" s="117">
        <f t="shared" si="34"/>
        <v>308.310201</v>
      </c>
      <c r="AE28" s="99">
        <f>AC28*AD28</f>
        <v>432.867522204</v>
      </c>
      <c r="AF28" s="99">
        <f t="shared" si="10"/>
        <v>2.3520000000000003</v>
      </c>
      <c r="AG28" s="117">
        <v>308.310201</v>
      </c>
      <c r="AH28" s="99">
        <f>AF28*AG28</f>
        <v>725.1455927520001</v>
      </c>
      <c r="AI28" s="99">
        <v>21.84</v>
      </c>
      <c r="AJ28" s="117">
        <f>528.25*0.881+178.165*0.119</f>
        <v>486.58988500000004</v>
      </c>
      <c r="AK28" s="99">
        <f>AI28*AJ28</f>
        <v>10627.123088400002</v>
      </c>
      <c r="AL28" s="99">
        <v>85.09228823529409</v>
      </c>
      <c r="AM28" s="118">
        <f t="shared" si="28"/>
        <v>323.62141046156046</v>
      </c>
      <c r="AN28" s="99">
        <f t="shared" si="11"/>
        <v>27537.686338107524</v>
      </c>
      <c r="AO28" s="99">
        <v>29.40138305882353</v>
      </c>
      <c r="AP28" s="79">
        <v>385.62</v>
      </c>
      <c r="AQ28" s="99">
        <f t="shared" si="12"/>
        <v>11337.76133514353</v>
      </c>
      <c r="AR28" s="99">
        <v>3.647383058823528</v>
      </c>
      <c r="AS28" s="79">
        <v>276.78</v>
      </c>
      <c r="AT28" s="99">
        <f t="shared" si="13"/>
        <v>1009.5226830211759</v>
      </c>
      <c r="AU28" s="99">
        <v>1.422</v>
      </c>
      <c r="AV28" s="79">
        <v>229.68</v>
      </c>
      <c r="AW28" s="99">
        <f t="shared" si="14"/>
        <v>326.60496</v>
      </c>
      <c r="AX28" s="99">
        <f t="shared" si="15"/>
        <v>5.907522117647041</v>
      </c>
      <c r="AY28" s="117">
        <f t="shared" si="35"/>
        <v>234.31575276</v>
      </c>
      <c r="AZ28" s="64">
        <f t="shared" si="16"/>
        <v>1384.2254919428158</v>
      </c>
      <c r="BA28" s="99">
        <v>44.714</v>
      </c>
      <c r="BB28" s="117">
        <f t="shared" si="17"/>
        <v>301.462</v>
      </c>
      <c r="BC28" s="99">
        <f t="shared" si="18"/>
        <v>13479.571867999999</v>
      </c>
      <c r="BD28" s="99">
        <v>97.47478176470585</v>
      </c>
      <c r="BE28" s="117">
        <f t="shared" si="36"/>
        <v>228.7109057789711</v>
      </c>
      <c r="BF28" s="99">
        <f t="shared" si="19"/>
        <v>22293.54562801341</v>
      </c>
      <c r="BG28" s="99">
        <v>29.15598254117647</v>
      </c>
      <c r="BH28" s="79">
        <v>300.48</v>
      </c>
      <c r="BI28" s="99">
        <f t="shared" si="20"/>
        <v>8760.789633972707</v>
      </c>
      <c r="BJ28" s="99">
        <v>3.815982541176469</v>
      </c>
      <c r="BK28" s="79">
        <v>215.67</v>
      </c>
      <c r="BL28" s="99">
        <f t="shared" si="21"/>
        <v>822.992954655529</v>
      </c>
      <c r="BM28" s="99">
        <v>52.55681668235292</v>
      </c>
      <c r="BN28" s="117">
        <f t="shared" si="22"/>
        <v>187.33</v>
      </c>
      <c r="BO28" s="99">
        <f t="shared" si="23"/>
        <v>9845.468469105173</v>
      </c>
      <c r="BP28" s="99">
        <v>11.946</v>
      </c>
      <c r="BQ28" s="117">
        <f t="shared" si="24"/>
        <v>239.77018000000004</v>
      </c>
      <c r="BR28" s="99">
        <f t="shared" si="25"/>
        <v>2864.2945702800002</v>
      </c>
    </row>
    <row r="29" spans="1:83" ht="13.5">
      <c r="A29" s="79" t="s">
        <v>75</v>
      </c>
      <c r="B29" s="99">
        <v>1444.7309999999998</v>
      </c>
      <c r="C29" s="116">
        <f t="shared" si="27"/>
        <v>214.11144463008682</v>
      </c>
      <c r="D29" s="99">
        <f t="shared" si="30"/>
        <v>309333.4415118699</v>
      </c>
      <c r="E29" s="108">
        <f t="shared" si="31"/>
        <v>30933344.151186988</v>
      </c>
      <c r="F29" s="99">
        <v>1088.84165</v>
      </c>
      <c r="G29" s="117">
        <v>187.33</v>
      </c>
      <c r="H29" s="99">
        <f t="shared" si="32"/>
        <v>203972.70629450004</v>
      </c>
      <c r="I29" s="99"/>
      <c r="J29" s="117">
        <v>187.33</v>
      </c>
      <c r="K29" s="99"/>
      <c r="L29" s="99"/>
      <c r="M29" s="117">
        <v>187.33</v>
      </c>
      <c r="N29" s="99"/>
      <c r="O29" s="99"/>
      <c r="P29" s="99">
        <f t="shared" si="33"/>
        <v>355.8893499999997</v>
      </c>
      <c r="Q29" s="117">
        <f t="shared" si="6"/>
        <v>296.04913779344594</v>
      </c>
      <c r="R29" s="99">
        <f t="shared" si="7"/>
        <v>105360.73521736982</v>
      </c>
      <c r="S29" s="99"/>
      <c r="T29" s="99">
        <v>31.65</v>
      </c>
      <c r="U29" s="117">
        <f t="shared" si="37"/>
        <v>486.59422718199056</v>
      </c>
      <c r="V29" s="99">
        <f t="shared" si="8"/>
        <v>15400.70729031</v>
      </c>
      <c r="W29" s="99">
        <v>1.7814999999999994</v>
      </c>
      <c r="X29" s="79">
        <v>500.8</v>
      </c>
      <c r="Y29" s="99">
        <f>W29*X29</f>
        <v>892.1751999999997</v>
      </c>
      <c r="Z29" s="99">
        <v>0.07350000000000012</v>
      </c>
      <c r="AA29" s="99">
        <f>0.247*524.28+0.753*359.45</f>
        <v>400.16301</v>
      </c>
      <c r="AB29" s="99">
        <f t="shared" si="9"/>
        <v>29.41198123500005</v>
      </c>
      <c r="AC29" s="99">
        <v>0.366</v>
      </c>
      <c r="AD29" s="117">
        <f t="shared" si="34"/>
        <v>308.310201</v>
      </c>
      <c r="AE29" s="99">
        <f>AC29*AD29</f>
        <v>112.841533566</v>
      </c>
      <c r="AF29" s="99">
        <f t="shared" si="10"/>
        <v>0.7590000000000003</v>
      </c>
      <c r="AG29" s="117">
        <v>308.310201</v>
      </c>
      <c r="AH29" s="99">
        <f>AF29*AG29</f>
        <v>234.0074425590001</v>
      </c>
      <c r="AI29" s="99">
        <v>28.669999999999998</v>
      </c>
      <c r="AJ29" s="117">
        <f>528.25*0.893+178.165*0.119</f>
        <v>492.92888500000004</v>
      </c>
      <c r="AK29" s="99">
        <f>AI29*AJ29</f>
        <v>14132.27113295</v>
      </c>
      <c r="AL29" s="99">
        <v>159.78319263848383</v>
      </c>
      <c r="AM29" s="118">
        <f t="shared" si="28"/>
        <v>326.4357394846426</v>
      </c>
      <c r="AN29" s="99">
        <f t="shared" si="11"/>
        <v>52158.94464616057</v>
      </c>
      <c r="AO29" s="99">
        <v>56.826655411078704</v>
      </c>
      <c r="AP29" s="79">
        <v>385.62</v>
      </c>
      <c r="AQ29" s="99">
        <f t="shared" si="12"/>
        <v>21913.49485962017</v>
      </c>
      <c r="AR29" s="99">
        <v>6.622655411078707</v>
      </c>
      <c r="AS29" s="79">
        <v>276.78</v>
      </c>
      <c r="AT29" s="99">
        <f t="shared" si="13"/>
        <v>1833.0185646783643</v>
      </c>
      <c r="AU29" s="99">
        <v>2.772</v>
      </c>
      <c r="AV29" s="79">
        <v>229.68</v>
      </c>
      <c r="AW29" s="99">
        <f t="shared" si="14"/>
        <v>636.67296</v>
      </c>
      <c r="AX29" s="99">
        <f t="shared" si="15"/>
        <v>6.397881816326418</v>
      </c>
      <c r="AY29" s="117">
        <f t="shared" si="35"/>
        <v>234.31575276</v>
      </c>
      <c r="AZ29" s="64">
        <f t="shared" si="16"/>
        <v>1499.1244938620407</v>
      </c>
      <c r="BA29" s="99">
        <v>87.16399999999999</v>
      </c>
      <c r="BB29" s="117">
        <f t="shared" si="17"/>
        <v>301.462</v>
      </c>
      <c r="BC29" s="99">
        <f t="shared" si="18"/>
        <v>26276.633767999996</v>
      </c>
      <c r="BD29" s="99">
        <v>164.4561573615159</v>
      </c>
      <c r="BE29" s="117">
        <f t="shared" si="36"/>
        <v>229.85508045042653</v>
      </c>
      <c r="BF29" s="99">
        <f t="shared" si="19"/>
        <v>37801.08328089924</v>
      </c>
      <c r="BG29" s="99">
        <v>50.56249258892127</v>
      </c>
      <c r="BH29" s="79">
        <v>300.48</v>
      </c>
      <c r="BI29" s="99">
        <f t="shared" si="20"/>
        <v>15193.017773119065</v>
      </c>
      <c r="BJ29" s="99">
        <v>6.182492588921271</v>
      </c>
      <c r="BK29" s="79">
        <v>215.67</v>
      </c>
      <c r="BL29" s="99">
        <f t="shared" si="21"/>
        <v>1333.3781766526504</v>
      </c>
      <c r="BM29" s="99">
        <v>86.78917218367334</v>
      </c>
      <c r="BN29" s="117">
        <f t="shared" si="22"/>
        <v>187.33</v>
      </c>
      <c r="BO29" s="99">
        <f t="shared" si="23"/>
        <v>16258.215625167528</v>
      </c>
      <c r="BP29" s="99">
        <v>20.922</v>
      </c>
      <c r="BQ29" s="117">
        <f t="shared" si="24"/>
        <v>239.77018000000004</v>
      </c>
      <c r="BR29" s="99">
        <f t="shared" si="25"/>
        <v>5016.471705960001</v>
      </c>
      <c r="BY29" s="127"/>
      <c r="BZ29" s="127"/>
      <c r="CA29" s="127"/>
      <c r="CB29" s="127"/>
      <c r="CC29" s="127"/>
      <c r="CD29" s="127"/>
      <c r="CE29" s="127"/>
    </row>
    <row r="30" spans="1:83" s="127" customFormat="1" ht="13.5">
      <c r="A30" s="120" t="s">
        <v>165</v>
      </c>
      <c r="B30" s="124">
        <f>SUM(B23:B29)</f>
        <v>4172.252034472939</v>
      </c>
      <c r="C30" s="122">
        <f t="shared" si="27"/>
        <v>219.76601237987117</v>
      </c>
      <c r="D30" s="125">
        <f>SUM(D23:D29)</f>
        <v>916919.1922599226</v>
      </c>
      <c r="E30" s="140">
        <f>SUM(E23:E29)</f>
        <v>91691919.22599225</v>
      </c>
      <c r="F30" s="124">
        <f>SUM(F23:F29)</f>
        <v>2960.4202861218782</v>
      </c>
      <c r="G30" s="126">
        <f>H30/F30</f>
        <v>187.3384590868457</v>
      </c>
      <c r="H30" s="125">
        <f>SUM(H23:H29)</f>
        <v>554600.5746515115</v>
      </c>
      <c r="I30" s="125"/>
      <c r="J30" s="126">
        <v>187.3384590868457</v>
      </c>
      <c r="K30" s="125"/>
      <c r="L30" s="125"/>
      <c r="M30" s="126">
        <v>187.3384590868457</v>
      </c>
      <c r="N30" s="125"/>
      <c r="O30" s="124"/>
      <c r="P30" s="124">
        <f t="shared" si="33"/>
        <v>1211.8275283510611</v>
      </c>
      <c r="Q30" s="123">
        <f t="shared" si="6"/>
        <v>298.98530040939033</v>
      </c>
      <c r="R30" s="124">
        <f t="shared" si="7"/>
        <v>362318.617608411</v>
      </c>
      <c r="S30" s="124"/>
      <c r="T30" s="125">
        <f>SUM(T23:T29)</f>
        <v>210.3</v>
      </c>
      <c r="U30" s="123">
        <f t="shared" si="37"/>
        <v>453.8959789434641</v>
      </c>
      <c r="V30" s="125">
        <f>SUM(V23:V29)</f>
        <v>95454.32437181051</v>
      </c>
      <c r="W30" s="124">
        <f>SUM(W23:W29)</f>
        <v>25.239999999999995</v>
      </c>
      <c r="X30" s="120">
        <f>Y30/W30</f>
        <v>500.80000000000007</v>
      </c>
      <c r="Y30" s="125">
        <f>SUM(Y23:Y29)</f>
        <v>12640.192</v>
      </c>
      <c r="Z30" s="124">
        <f>SUM(Z23:Z29)</f>
        <v>13.599999999999998</v>
      </c>
      <c r="AA30" s="126">
        <f>AB30/Z30</f>
        <v>376.7336445098897</v>
      </c>
      <c r="AB30" s="124">
        <f>SUM(AB25:AB29)</f>
        <v>5123.577565334499</v>
      </c>
      <c r="AC30" s="124">
        <f>SUM(AC23:AC29)</f>
        <v>2.394</v>
      </c>
      <c r="AD30" s="141">
        <f>AE30/AC30</f>
        <v>308.31020099999995</v>
      </c>
      <c r="AE30" s="142">
        <f>SUM(AE25:AE29)</f>
        <v>738.094621194</v>
      </c>
      <c r="AF30" s="124">
        <f>SUM(AF23:AF29)</f>
        <v>39.932000000000016</v>
      </c>
      <c r="AG30" s="143">
        <f>AH30/AF30</f>
        <v>308.310201</v>
      </c>
      <c r="AH30" s="125">
        <f>SUM(AH23:AH29)</f>
        <v>12311.442946332005</v>
      </c>
      <c r="AI30" s="124">
        <f>SUM(AI23:AI29)</f>
        <v>129.134</v>
      </c>
      <c r="AJ30" s="126">
        <f>AK30/AI30</f>
        <v>500.573181648133</v>
      </c>
      <c r="AK30" s="125">
        <f>SUM(AK23:AK29)</f>
        <v>64641.01723895</v>
      </c>
      <c r="AL30" s="124">
        <f>SUM(AL23:AL29)</f>
        <v>441.8956195930783</v>
      </c>
      <c r="AM30" s="126">
        <f t="shared" si="28"/>
        <v>318.5243932128049</v>
      </c>
      <c r="AN30" s="124">
        <f>SUM(AN23:AN29)</f>
        <v>140754.53409428173</v>
      </c>
      <c r="AO30" s="124">
        <f>SUM(AO23:AO29)</f>
        <v>144.60364956744627</v>
      </c>
      <c r="AP30" s="127">
        <f>AQ30/AO30</f>
        <v>385.62</v>
      </c>
      <c r="AQ30" s="124">
        <f>SUM(AQ23:AQ29)</f>
        <v>55762.05934619863</v>
      </c>
      <c r="AR30" s="124">
        <f>SUM(AR23:AR29)</f>
        <v>20.071649567446265</v>
      </c>
      <c r="AS30" s="127">
        <f>AT30/AR30</f>
        <v>276.78</v>
      </c>
      <c r="AT30" s="124">
        <f>SUM(AT23:AT29)</f>
        <v>5555.431167277777</v>
      </c>
      <c r="AU30" s="124">
        <f>SUM(AU23:AU29)</f>
        <v>6.8759999999999994</v>
      </c>
      <c r="AV30" s="126">
        <f>AW30/AU30</f>
        <v>228.80835078534034</v>
      </c>
      <c r="AW30" s="124">
        <f>SUM(AW23:AW29)</f>
        <v>1573.28622</v>
      </c>
      <c r="AX30" s="124">
        <f>SUM(AX23:AX29)</f>
        <v>54.13232045818581</v>
      </c>
      <c r="AY30" s="123">
        <f>AZ30/AX30</f>
        <v>234.31575276</v>
      </c>
      <c r="AZ30" s="128">
        <f>SUM(AZ23:AZ29)</f>
        <v>12684.055416805357</v>
      </c>
      <c r="BA30" s="124">
        <f>SUM(BA23:BA29)</f>
        <v>216.212</v>
      </c>
      <c r="BB30" s="123">
        <f>BC30/BA30</f>
        <v>301.462</v>
      </c>
      <c r="BC30" s="124">
        <f>SUM(BC23:BC29)</f>
        <v>65179.701944</v>
      </c>
      <c r="BD30" s="124">
        <f>SUM(BD23:BD29)</f>
        <v>559.6319087579826</v>
      </c>
      <c r="BE30" s="126">
        <f t="shared" si="36"/>
        <v>225.34411846207993</v>
      </c>
      <c r="BF30" s="125">
        <f>SUM(BF23:BF29)</f>
        <v>126109.75914231874</v>
      </c>
      <c r="BG30" s="124">
        <f>SUM(BG23:BG29)</f>
        <v>154.74655270063863</v>
      </c>
      <c r="BH30" s="127">
        <f>BI30/BG30</f>
        <v>300.47999999999996</v>
      </c>
      <c r="BI30" s="124">
        <f>SUM(BI23:BI29)</f>
        <v>46498.24415548789</v>
      </c>
      <c r="BJ30" s="124">
        <f>SUM(BJ23:BJ29)</f>
        <v>24.26655270063861</v>
      </c>
      <c r="BK30" s="127">
        <f>BL30/BJ30</f>
        <v>215.66999999999996</v>
      </c>
      <c r="BL30" s="124">
        <f>SUM(BL23:BL29)</f>
        <v>5233.567420946728</v>
      </c>
      <c r="BM30" s="124">
        <f>SUM(BM23:BM29)</f>
        <v>319.10680335670537</v>
      </c>
      <c r="BN30" s="117">
        <f t="shared" si="22"/>
        <v>187.3384590868457</v>
      </c>
      <c r="BO30" s="124">
        <f>SUM(BO23:BO29)</f>
        <v>59629.20425372412</v>
      </c>
      <c r="BP30" s="124">
        <f>SUM(BP23:BP29)</f>
        <v>61.512</v>
      </c>
      <c r="BQ30" s="123">
        <f>BR30/BP30</f>
        <v>239.77018000000004</v>
      </c>
      <c r="BR30" s="124">
        <f>SUM(BR23:BR29)</f>
        <v>14748.743312160002</v>
      </c>
      <c r="BY30" s="138"/>
      <c r="BZ30" s="138"/>
      <c r="CA30" s="138"/>
      <c r="CB30" s="138"/>
      <c r="CC30" s="138"/>
      <c r="CD30" s="138"/>
      <c r="CE30" s="138"/>
    </row>
    <row r="31" spans="1:256" s="127" customFormat="1" ht="13.5">
      <c r="A31" s="138" t="s">
        <v>164</v>
      </c>
      <c r="B31" s="144">
        <f>B30-B23</f>
        <v>4019.0430344729393</v>
      </c>
      <c r="C31" s="122">
        <f t="shared" si="27"/>
        <v>220.22389187792012</v>
      </c>
      <c r="D31" s="144">
        <f>D30-D23</f>
        <v>885089.2986764766</v>
      </c>
      <c r="E31" s="145">
        <f>E30-E23</f>
        <v>88508929.86764765</v>
      </c>
      <c r="F31" s="144">
        <f>F30-F23</f>
        <v>2841.710596121878</v>
      </c>
      <c r="G31" s="126">
        <f>H31/F31</f>
        <v>187.1437277593565</v>
      </c>
      <c r="H31" s="144">
        <f>H30-H23</f>
        <v>531808.3141715114</v>
      </c>
      <c r="I31" s="138"/>
      <c r="J31" s="138"/>
      <c r="K31" s="138"/>
      <c r="L31" s="138"/>
      <c r="M31" s="138"/>
      <c r="N31" s="138"/>
      <c r="O31" s="138"/>
      <c r="P31" s="144">
        <f>P30-P23</f>
        <v>1177.3282183510612</v>
      </c>
      <c r="Q31" s="123">
        <f t="shared" si="6"/>
        <v>300.07009005505887</v>
      </c>
      <c r="R31" s="144">
        <f>R30-R23</f>
        <v>353280.98450496496</v>
      </c>
      <c r="S31" s="138"/>
      <c r="T31" s="144">
        <f>T30-T23</f>
        <v>210.3</v>
      </c>
      <c r="U31" s="123">
        <f t="shared" si="37"/>
        <v>453.8959789434641</v>
      </c>
      <c r="V31" s="144">
        <f>V30-V23</f>
        <v>95454.32437181051</v>
      </c>
      <c r="W31" s="144">
        <f>W30-W23</f>
        <v>25.239999999999995</v>
      </c>
      <c r="X31" s="120">
        <f>Y31/W31</f>
        <v>500.80000000000007</v>
      </c>
      <c r="Y31" s="144">
        <f>Y30-Y23</f>
        <v>12640.192</v>
      </c>
      <c r="Z31" s="144">
        <f>Z30-Z23</f>
        <v>13.599999999999998</v>
      </c>
      <c r="AA31" s="126">
        <f>AB31/Z31</f>
        <v>376.7336445098897</v>
      </c>
      <c r="AB31" s="144">
        <f>AB30-AB23</f>
        <v>5123.577565334499</v>
      </c>
      <c r="AC31" s="144">
        <f>AC30-AC23</f>
        <v>2.394</v>
      </c>
      <c r="AD31" s="141">
        <f>AE31/AC31</f>
        <v>308.31020099999995</v>
      </c>
      <c r="AE31" s="124">
        <f>AE30-AE23</f>
        <v>738.094621194</v>
      </c>
      <c r="AF31" s="124">
        <f>AF30-AF23</f>
        <v>39.932000000000016</v>
      </c>
      <c r="AG31" s="143">
        <f>AH31/AF31</f>
        <v>308.310201</v>
      </c>
      <c r="AH31" s="144">
        <f>AH30-AH23</f>
        <v>12311.442946332005</v>
      </c>
      <c r="AI31" s="144">
        <f>AI30-AI23</f>
        <v>129.134</v>
      </c>
      <c r="AJ31" s="126">
        <f>AK31/AI31</f>
        <v>500.573181648133</v>
      </c>
      <c r="AK31" s="144">
        <f>AK30-AK23</f>
        <v>64641.01723895</v>
      </c>
      <c r="AL31" s="144">
        <f>AL30-AL23</f>
        <v>422.75597839307835</v>
      </c>
      <c r="AM31" s="126">
        <f t="shared" si="28"/>
        <v>319.5841948974348</v>
      </c>
      <c r="AN31" s="144">
        <f>AN30-AN23</f>
        <v>135106.1289928293</v>
      </c>
      <c r="AO31" s="144">
        <f>AO30-AO23</f>
        <v>139.92647827144626</v>
      </c>
      <c r="AP31" s="127">
        <f>AQ31/AO31</f>
        <v>385.62</v>
      </c>
      <c r="AQ31" s="144">
        <f>AQ30-AQ23</f>
        <v>53958.44855103511</v>
      </c>
      <c r="AR31" s="144">
        <f>AR30-AR23</f>
        <v>18.980478271446266</v>
      </c>
      <c r="AS31" s="127">
        <f>AT31/AR31</f>
        <v>276.78</v>
      </c>
      <c r="AT31" s="144">
        <f>AT30-AT23</f>
        <v>5253.416775970897</v>
      </c>
      <c r="AU31" s="144">
        <f>AU30-AU23</f>
        <v>6.677999999999999</v>
      </c>
      <c r="AV31" s="126">
        <f>AW31/AU31</f>
        <v>229.89970350404315</v>
      </c>
      <c r="AW31" s="144">
        <f>AW30-AW23</f>
        <v>1535.2702199999999</v>
      </c>
      <c r="AX31" s="144">
        <f>AX30-AX23</f>
        <v>47.18502185018581</v>
      </c>
      <c r="AY31" s="123">
        <f>AZ31/AX31</f>
        <v>234.31575276</v>
      </c>
      <c r="AZ31" s="146">
        <f>AZ30-AZ23</f>
        <v>11056.193913823337</v>
      </c>
      <c r="BA31" s="144">
        <f>BA30-BA23</f>
        <v>209.986</v>
      </c>
      <c r="BB31" s="123">
        <f>BC31/BA31</f>
        <v>301.462</v>
      </c>
      <c r="BC31" s="144">
        <f>BC30-BC23</f>
        <v>63302.799532</v>
      </c>
      <c r="BD31" s="144">
        <f>BD30-BD23</f>
        <v>544.2722399579826</v>
      </c>
      <c r="BE31" s="126">
        <f t="shared" si="36"/>
        <v>225.4763740105486</v>
      </c>
      <c r="BF31" s="144">
        <f>BF30-BF23</f>
        <v>122720.53114032514</v>
      </c>
      <c r="BG31" s="144">
        <f>BG30-BG23</f>
        <v>151.39377919663863</v>
      </c>
      <c r="BH31" s="127">
        <f>BI31/BG31</f>
        <v>300.47999999999996</v>
      </c>
      <c r="BI31" s="144">
        <f>BI30-BI23</f>
        <v>45490.80277300597</v>
      </c>
      <c r="BJ31" s="144">
        <f>BJ30-BJ23</f>
        <v>23.43377919663861</v>
      </c>
      <c r="BK31" s="127">
        <f>BL31/BJ31</f>
        <v>215.66999999999993</v>
      </c>
      <c r="BL31" s="144">
        <f>BL30-BL23</f>
        <v>5053.963159339048</v>
      </c>
      <c r="BM31" s="144">
        <f>BM30-BM23</f>
        <v>309.12068156470536</v>
      </c>
      <c r="BN31" s="117">
        <f>BO31/BM31</f>
        <v>186.6968867224752</v>
      </c>
      <c r="BO31" s="144">
        <f>BO30-BO23</f>
        <v>57711.868869660124</v>
      </c>
      <c r="BP31" s="144">
        <f>BP30-BP23</f>
        <v>60.324</v>
      </c>
      <c r="BQ31" s="123">
        <f>BR31/BP31</f>
        <v>239.77018000000004</v>
      </c>
      <c r="BR31" s="144">
        <f>BR30-BR23</f>
        <v>14463.896338320003</v>
      </c>
      <c r="BS31" s="138"/>
      <c r="BT31" s="138"/>
      <c r="BU31" s="138"/>
      <c r="BV31" s="138"/>
      <c r="BW31" s="138"/>
      <c r="BX31" s="138"/>
      <c r="BY31" s="138"/>
      <c r="BZ31" s="138"/>
      <c r="CA31" s="138"/>
      <c r="CB31" s="138"/>
      <c r="CC31" s="138"/>
      <c r="CD31" s="138"/>
      <c r="CE31" s="138"/>
      <c r="CF31" s="138"/>
      <c r="CG31" s="138"/>
      <c r="CH31" s="138"/>
      <c r="CI31" s="138"/>
      <c r="CJ31" s="138"/>
      <c r="CK31" s="138"/>
      <c r="CL31" s="138"/>
      <c r="CM31" s="138"/>
      <c r="CN31" s="138"/>
      <c r="CO31" s="138"/>
      <c r="CP31" s="138"/>
      <c r="CQ31" s="138"/>
      <c r="CR31" s="138"/>
      <c r="CS31" s="138"/>
      <c r="CT31" s="138"/>
      <c r="CU31" s="138"/>
      <c r="CV31" s="138"/>
      <c r="CW31" s="138"/>
      <c r="CX31" s="138"/>
      <c r="CY31" s="138"/>
      <c r="CZ31" s="138"/>
      <c r="DA31" s="138"/>
      <c r="DB31" s="138"/>
      <c r="DC31" s="138"/>
      <c r="DD31" s="138"/>
      <c r="DE31" s="138"/>
      <c r="DF31" s="138"/>
      <c r="DG31" s="138"/>
      <c r="DH31" s="138"/>
      <c r="DI31" s="138"/>
      <c r="DJ31" s="138"/>
      <c r="DK31" s="138"/>
      <c r="DL31" s="138"/>
      <c r="DM31" s="138"/>
      <c r="DN31" s="138"/>
      <c r="DO31" s="138"/>
      <c r="DP31" s="138" t="s">
        <v>160</v>
      </c>
      <c r="DQ31" s="138" t="s">
        <v>160</v>
      </c>
      <c r="DR31" s="138" t="s">
        <v>160</v>
      </c>
      <c r="DS31" s="138" t="s">
        <v>160</v>
      </c>
      <c r="DT31" s="138" t="s">
        <v>160</v>
      </c>
      <c r="DU31" s="138" t="s">
        <v>160</v>
      </c>
      <c r="DV31" s="138" t="s">
        <v>160</v>
      </c>
      <c r="DW31" s="138" t="s">
        <v>160</v>
      </c>
      <c r="DX31" s="138" t="s">
        <v>160</v>
      </c>
      <c r="DY31" s="138" t="s">
        <v>160</v>
      </c>
      <c r="DZ31" s="138" t="s">
        <v>160</v>
      </c>
      <c r="EA31" s="138" t="s">
        <v>160</v>
      </c>
      <c r="EB31" s="138" t="s">
        <v>160</v>
      </c>
      <c r="EC31" s="138" t="s">
        <v>160</v>
      </c>
      <c r="ED31" s="138" t="s">
        <v>160</v>
      </c>
      <c r="EE31" s="138" t="s">
        <v>160</v>
      </c>
      <c r="EF31" s="138" t="s">
        <v>160</v>
      </c>
      <c r="EG31" s="138" t="s">
        <v>160</v>
      </c>
      <c r="EH31" s="138" t="s">
        <v>160</v>
      </c>
      <c r="EI31" s="138" t="s">
        <v>160</v>
      </c>
      <c r="EJ31" s="138" t="s">
        <v>160</v>
      </c>
      <c r="EK31" s="138" t="s">
        <v>160</v>
      </c>
      <c r="EL31" s="138" t="s">
        <v>160</v>
      </c>
      <c r="EM31" s="138" t="s">
        <v>160</v>
      </c>
      <c r="EN31" s="138" t="s">
        <v>160</v>
      </c>
      <c r="EO31" s="138" t="s">
        <v>160</v>
      </c>
      <c r="EP31" s="138" t="s">
        <v>160</v>
      </c>
      <c r="EQ31" s="138" t="s">
        <v>160</v>
      </c>
      <c r="ER31" s="138" t="s">
        <v>160</v>
      </c>
      <c r="ES31" s="138" t="s">
        <v>160</v>
      </c>
      <c r="ET31" s="138" t="s">
        <v>160</v>
      </c>
      <c r="EU31" s="138" t="s">
        <v>160</v>
      </c>
      <c r="EV31" s="138" t="s">
        <v>160</v>
      </c>
      <c r="EW31" s="138" t="s">
        <v>160</v>
      </c>
      <c r="EX31" s="138" t="s">
        <v>160</v>
      </c>
      <c r="EY31" s="138" t="s">
        <v>160</v>
      </c>
      <c r="EZ31" s="138" t="s">
        <v>160</v>
      </c>
      <c r="FA31" s="138" t="s">
        <v>160</v>
      </c>
      <c r="FB31" s="138" t="s">
        <v>160</v>
      </c>
      <c r="FC31" s="138" t="s">
        <v>160</v>
      </c>
      <c r="FD31" s="138" t="s">
        <v>160</v>
      </c>
      <c r="FE31" s="138" t="s">
        <v>160</v>
      </c>
      <c r="FF31" s="138" t="s">
        <v>160</v>
      </c>
      <c r="FG31" s="138" t="s">
        <v>160</v>
      </c>
      <c r="FH31" s="138" t="s">
        <v>160</v>
      </c>
      <c r="FI31" s="138" t="s">
        <v>160</v>
      </c>
      <c r="FJ31" s="138" t="s">
        <v>160</v>
      </c>
      <c r="FK31" s="138" t="s">
        <v>160</v>
      </c>
      <c r="FL31" s="138" t="s">
        <v>160</v>
      </c>
      <c r="FM31" s="138" t="s">
        <v>160</v>
      </c>
      <c r="FN31" s="138" t="s">
        <v>160</v>
      </c>
      <c r="FO31" s="138" t="s">
        <v>160</v>
      </c>
      <c r="FP31" s="138" t="s">
        <v>160</v>
      </c>
      <c r="FQ31" s="138" t="s">
        <v>160</v>
      </c>
      <c r="FR31" s="138" t="s">
        <v>160</v>
      </c>
      <c r="FS31" s="138" t="s">
        <v>160</v>
      </c>
      <c r="FT31" s="138" t="s">
        <v>160</v>
      </c>
      <c r="FU31" s="138" t="s">
        <v>160</v>
      </c>
      <c r="FV31" s="138" t="s">
        <v>160</v>
      </c>
      <c r="FW31" s="138" t="s">
        <v>160</v>
      </c>
      <c r="FX31" s="138" t="s">
        <v>160</v>
      </c>
      <c r="FY31" s="138" t="s">
        <v>160</v>
      </c>
      <c r="FZ31" s="138" t="s">
        <v>160</v>
      </c>
      <c r="GA31" s="138" t="s">
        <v>160</v>
      </c>
      <c r="GB31" s="138" t="s">
        <v>160</v>
      </c>
      <c r="GC31" s="138" t="s">
        <v>160</v>
      </c>
      <c r="GD31" s="138" t="s">
        <v>160</v>
      </c>
      <c r="GE31" s="138" t="s">
        <v>160</v>
      </c>
      <c r="GF31" s="138" t="s">
        <v>160</v>
      </c>
      <c r="GG31" s="138" t="s">
        <v>160</v>
      </c>
      <c r="GH31" s="138" t="s">
        <v>160</v>
      </c>
      <c r="GI31" s="138" t="s">
        <v>160</v>
      </c>
      <c r="GJ31" s="138" t="s">
        <v>160</v>
      </c>
      <c r="GK31" s="138" t="s">
        <v>160</v>
      </c>
      <c r="GL31" s="138" t="s">
        <v>160</v>
      </c>
      <c r="GM31" s="138" t="s">
        <v>160</v>
      </c>
      <c r="GN31" s="138" t="s">
        <v>160</v>
      </c>
      <c r="GO31" s="138" t="s">
        <v>160</v>
      </c>
      <c r="GP31" s="138" t="s">
        <v>160</v>
      </c>
      <c r="GQ31" s="138" t="s">
        <v>160</v>
      </c>
      <c r="GR31" s="138" t="s">
        <v>160</v>
      </c>
      <c r="GS31" s="138" t="s">
        <v>160</v>
      </c>
      <c r="GT31" s="138" t="s">
        <v>160</v>
      </c>
      <c r="GU31" s="138" t="s">
        <v>160</v>
      </c>
      <c r="GV31" s="138" t="s">
        <v>160</v>
      </c>
      <c r="GW31" s="138" t="s">
        <v>160</v>
      </c>
      <c r="GX31" s="138" t="s">
        <v>160</v>
      </c>
      <c r="GY31" s="138" t="s">
        <v>160</v>
      </c>
      <c r="GZ31" s="138" t="s">
        <v>160</v>
      </c>
      <c r="HA31" s="138" t="s">
        <v>160</v>
      </c>
      <c r="HB31" s="138" t="s">
        <v>160</v>
      </c>
      <c r="HC31" s="138" t="s">
        <v>160</v>
      </c>
      <c r="HD31" s="138" t="s">
        <v>160</v>
      </c>
      <c r="HE31" s="138" t="s">
        <v>160</v>
      </c>
      <c r="HF31" s="138" t="s">
        <v>160</v>
      </c>
      <c r="HG31" s="138" t="s">
        <v>160</v>
      </c>
      <c r="HH31" s="138" t="s">
        <v>160</v>
      </c>
      <c r="HI31" s="138" t="s">
        <v>160</v>
      </c>
      <c r="HJ31" s="138" t="s">
        <v>160</v>
      </c>
      <c r="HK31" s="138" t="s">
        <v>160</v>
      </c>
      <c r="HL31" s="138" t="s">
        <v>160</v>
      </c>
      <c r="HM31" s="138" t="s">
        <v>160</v>
      </c>
      <c r="HN31" s="138" t="s">
        <v>160</v>
      </c>
      <c r="HO31" s="138" t="s">
        <v>160</v>
      </c>
      <c r="HP31" s="138" t="s">
        <v>160</v>
      </c>
      <c r="HQ31" s="138" t="s">
        <v>160</v>
      </c>
      <c r="HR31" s="138" t="s">
        <v>160</v>
      </c>
      <c r="HS31" s="138" t="s">
        <v>160</v>
      </c>
      <c r="HT31" s="138" t="s">
        <v>160</v>
      </c>
      <c r="HU31" s="138" t="s">
        <v>160</v>
      </c>
      <c r="HV31" s="138" t="s">
        <v>160</v>
      </c>
      <c r="HW31" s="138" t="s">
        <v>160</v>
      </c>
      <c r="HX31" s="138" t="s">
        <v>160</v>
      </c>
      <c r="HY31" s="138" t="s">
        <v>160</v>
      </c>
      <c r="HZ31" s="138" t="s">
        <v>160</v>
      </c>
      <c r="IA31" s="138" t="s">
        <v>160</v>
      </c>
      <c r="IB31" s="138" t="s">
        <v>160</v>
      </c>
      <c r="IC31" s="138" t="s">
        <v>160</v>
      </c>
      <c r="ID31" s="138" t="s">
        <v>160</v>
      </c>
      <c r="IE31" s="138" t="s">
        <v>160</v>
      </c>
      <c r="IF31" s="138" t="s">
        <v>160</v>
      </c>
      <c r="IG31" s="138" t="s">
        <v>160</v>
      </c>
      <c r="IH31" s="138" t="s">
        <v>160</v>
      </c>
      <c r="II31" s="138" t="s">
        <v>160</v>
      </c>
      <c r="IJ31" s="138" t="s">
        <v>160</v>
      </c>
      <c r="IK31" s="138" t="s">
        <v>160</v>
      </c>
      <c r="IL31" s="138" t="s">
        <v>160</v>
      </c>
      <c r="IM31" s="138" t="s">
        <v>160</v>
      </c>
      <c r="IN31" s="138" t="s">
        <v>160</v>
      </c>
      <c r="IO31" s="138" t="s">
        <v>160</v>
      </c>
      <c r="IP31" s="138" t="s">
        <v>160</v>
      </c>
      <c r="IQ31" s="138" t="s">
        <v>160</v>
      </c>
      <c r="IR31" s="138" t="s">
        <v>160</v>
      </c>
      <c r="IS31" s="138" t="s">
        <v>160</v>
      </c>
      <c r="IT31" s="138" t="s">
        <v>160</v>
      </c>
      <c r="IU31" s="138" t="s">
        <v>160</v>
      </c>
      <c r="IV31" s="138" t="s">
        <v>160</v>
      </c>
    </row>
    <row r="32" spans="1:256" s="127" customFormat="1" ht="13.5">
      <c r="A32" s="138" t="s">
        <v>166</v>
      </c>
      <c r="B32" s="144">
        <f>B30-B23-B24-B26</f>
        <v>3351.009034472939</v>
      </c>
      <c r="C32" s="122">
        <f t="shared" si="27"/>
        <v>213.7001075448685</v>
      </c>
      <c r="D32" s="144">
        <f>D30-D23-D24-D26</f>
        <v>716110.9910506931</v>
      </c>
      <c r="E32" s="145">
        <f>E30-E23-E24-E26</f>
        <v>71611099.10506931</v>
      </c>
      <c r="F32" s="144">
        <f>F30-F23-F24-F26</f>
        <v>2468.650596121878</v>
      </c>
      <c r="G32" s="126">
        <f>H32/F32</f>
        <v>187.33</v>
      </c>
      <c r="H32" s="144">
        <f>H30-H23-H24-H26</f>
        <v>462452.3161715115</v>
      </c>
      <c r="I32" s="138"/>
      <c r="J32" s="138"/>
      <c r="K32" s="138"/>
      <c r="L32" s="138"/>
      <c r="M32" s="138"/>
      <c r="N32" s="138"/>
      <c r="O32" s="138"/>
      <c r="P32" s="144">
        <f>P30-P23-P24-P26</f>
        <v>882.3579383510612</v>
      </c>
      <c r="Q32" s="123">
        <f t="shared" si="6"/>
        <v>287.4782034071292</v>
      </c>
      <c r="R32" s="144">
        <f>R30-R23-R24-R26</f>
        <v>253658.67487918152</v>
      </c>
      <c r="S32" s="138"/>
      <c r="T32" s="144">
        <f>T30-T23-T24-T26</f>
        <v>59.650000000000006</v>
      </c>
      <c r="U32" s="123">
        <f t="shared" si="37"/>
        <v>474.5381686219279</v>
      </c>
      <c r="V32" s="144">
        <f>V30-V23-V24-V26</f>
        <v>28306.201758298004</v>
      </c>
      <c r="W32" s="144">
        <f>W30-W23-W24-W26</f>
        <v>3.5814999999999984</v>
      </c>
      <c r="X32" s="120">
        <f>Y32/W32</f>
        <v>500.8000000000003</v>
      </c>
      <c r="Y32" s="144">
        <f>Y30-Y23-Y24-Y26</f>
        <v>1793.6152000000002</v>
      </c>
      <c r="Z32" s="144">
        <f>Z30-Z23-Z24-Z26</f>
        <v>0.6774999999999984</v>
      </c>
      <c r="AA32" s="126">
        <f>AB32/Z32</f>
        <v>366.5391082907751</v>
      </c>
      <c r="AB32" s="144">
        <f>AB30-AB23-AB24-AB26</f>
        <v>248.33024586699958</v>
      </c>
      <c r="AC32" s="144">
        <f>AC30-AC23-AC24-AC26</f>
        <v>1.77</v>
      </c>
      <c r="AD32" s="141">
        <f>AE32/AC32</f>
        <v>308.31020099999995</v>
      </c>
      <c r="AE32" s="124">
        <f>AE30-AE23-AE24-AE26</f>
        <v>545.70905577</v>
      </c>
      <c r="AF32" s="124">
        <f>AF30-AF23-AF24-AF26</f>
        <v>3.111000000000004</v>
      </c>
      <c r="AG32" s="143">
        <f>AH32/AF32</f>
        <v>308.31020099999995</v>
      </c>
      <c r="AH32" s="144">
        <f>AH30-AH23-AH24-AH26</f>
        <v>959.1530353110011</v>
      </c>
      <c r="AI32" s="144">
        <f>AI30-AI23-AI24-AI26</f>
        <v>50.50999999999999</v>
      </c>
      <c r="AJ32" s="126">
        <f>AK32/AI32</f>
        <v>490.18796716194834</v>
      </c>
      <c r="AK32" s="144">
        <f>AK30-AK23-AK24-AK26</f>
        <v>24759.394221350005</v>
      </c>
      <c r="AL32" s="144">
        <f>AL30-AL23-AL24-AL26</f>
        <v>415.1253040106494</v>
      </c>
      <c r="AM32" s="126">
        <f t="shared" si="28"/>
        <v>319.6183514330517</v>
      </c>
      <c r="AN32" s="144">
        <f>AN30-AN23-AN24-AN26</f>
        <v>132681.66530602818</v>
      </c>
      <c r="AO32" s="144">
        <f>AO30-AO23-AO24-AO26</f>
        <v>137.45702432085193</v>
      </c>
      <c r="AP32" s="127">
        <f>AQ32/AO32</f>
        <v>385.62000000000006</v>
      </c>
      <c r="AQ32" s="144">
        <f>AQ30-AQ23-AQ24-AQ26</f>
        <v>53006.17771860693</v>
      </c>
      <c r="AR32" s="144">
        <f>AR30-AR23-AR24-AR26</f>
        <v>18.630024320851952</v>
      </c>
      <c r="AS32" s="127">
        <f>AT32/AR32</f>
        <v>276.78</v>
      </c>
      <c r="AT32" s="144">
        <f>AT30-AT23-AT24-AT26</f>
        <v>5156.418131525403</v>
      </c>
      <c r="AU32" s="144">
        <f>AU30-AU23-AU24-AU26</f>
        <v>6.560999999999999</v>
      </c>
      <c r="AV32" s="126">
        <f>AW32/AU32</f>
        <v>229.68000000000004</v>
      </c>
      <c r="AW32" s="144">
        <f>AW30-AW23-AW24-AW26</f>
        <v>1506.93048</v>
      </c>
      <c r="AX32" s="144">
        <f>AX30-AX23-AX24-AX26</f>
        <v>46.170255368945504</v>
      </c>
      <c r="AY32" s="123">
        <f>AZ32/AX32</f>
        <v>234.31575276000004</v>
      </c>
      <c r="AZ32" s="146">
        <f>AZ30-AZ23-AZ24-AZ26</f>
        <v>10818.4181418959</v>
      </c>
      <c r="BA32" s="144">
        <f>BA30-BA23-BA24-BA26</f>
        <v>206.307</v>
      </c>
      <c r="BB32" s="123">
        <f>BC32/BA32</f>
        <v>301.462</v>
      </c>
      <c r="BC32" s="144">
        <f>BC30-BC23-BC24-BC26</f>
        <v>62193.720834</v>
      </c>
      <c r="BD32" s="144">
        <f>BD30-BD23-BD24-BD26</f>
        <v>407.5826343404116</v>
      </c>
      <c r="BE32" s="126">
        <f t="shared" si="36"/>
        <v>227.3669190171065</v>
      </c>
      <c r="BF32" s="144">
        <f>BF30-BF23-BF24-BF26</f>
        <v>92670.80781485529</v>
      </c>
      <c r="BG32" s="144">
        <f>BG30-BG23-BG24-BG26</f>
        <v>117.92061074723294</v>
      </c>
      <c r="BH32" s="127">
        <f>BI32/BG32</f>
        <v>300.4799999999999</v>
      </c>
      <c r="BI32" s="144">
        <f>BI30-BI23-BI24-BI26</f>
        <v>35432.785117328545</v>
      </c>
      <c r="BJ32" s="144">
        <f>BJ30-BJ23-BJ24-BJ26</f>
        <v>16.70061074723293</v>
      </c>
      <c r="BK32" s="127">
        <f>BL32/BJ32</f>
        <v>215.6699999999999</v>
      </c>
      <c r="BL32" s="144">
        <f>BL30-BL23-BL24-BL26</f>
        <v>3601.8207198557243</v>
      </c>
      <c r="BM32" s="144">
        <f>BM30-BM23-BM24-BM26</f>
        <v>225.24341284594567</v>
      </c>
      <c r="BN32" s="117">
        <f>BO32/BM32</f>
        <v>187.33</v>
      </c>
      <c r="BO32" s="144">
        <f>BO30-BO23-BO24-BO26</f>
        <v>42194.84852843101</v>
      </c>
      <c r="BP32" s="144">
        <f>BP30-BP23-BP24-BP26</f>
        <v>47.717999999999996</v>
      </c>
      <c r="BQ32" s="123">
        <f>BR32/BP32</f>
        <v>239.7701800000001</v>
      </c>
      <c r="BR32" s="144">
        <f>BR30-BR23-BR24-BR26</f>
        <v>11441.353449240003</v>
      </c>
      <c r="BS32" s="138"/>
      <c r="BT32" s="138"/>
      <c r="BU32" s="138"/>
      <c r="BV32" s="138"/>
      <c r="BW32" s="138"/>
      <c r="BX32" s="138"/>
      <c r="BY32" s="79"/>
      <c r="BZ32" s="79"/>
      <c r="CA32" s="79"/>
      <c r="CB32" s="79"/>
      <c r="CC32" s="79"/>
      <c r="CD32" s="79"/>
      <c r="CE32" s="79"/>
      <c r="CF32" s="138"/>
      <c r="CG32" s="138"/>
      <c r="CH32" s="138"/>
      <c r="CI32" s="138"/>
      <c r="CJ32" s="138"/>
      <c r="CK32" s="138"/>
      <c r="CL32" s="138"/>
      <c r="CM32" s="138"/>
      <c r="CN32" s="138"/>
      <c r="CO32" s="138"/>
      <c r="CP32" s="138"/>
      <c r="CQ32" s="138"/>
      <c r="CR32" s="138"/>
      <c r="CS32" s="138"/>
      <c r="CT32" s="138"/>
      <c r="CU32" s="138"/>
      <c r="CV32" s="138"/>
      <c r="CW32" s="138"/>
      <c r="CX32" s="138"/>
      <c r="CY32" s="138"/>
      <c r="CZ32" s="138"/>
      <c r="DA32" s="138"/>
      <c r="DB32" s="138"/>
      <c r="DC32" s="138"/>
      <c r="DD32" s="138"/>
      <c r="DE32" s="138"/>
      <c r="DF32" s="138"/>
      <c r="DG32" s="138"/>
      <c r="DH32" s="138"/>
      <c r="DI32" s="138"/>
      <c r="DJ32" s="138"/>
      <c r="DK32" s="138"/>
      <c r="DL32" s="138"/>
      <c r="DM32" s="138"/>
      <c r="DN32" s="138"/>
      <c r="DO32" s="138"/>
      <c r="DP32" s="138" t="s">
        <v>161</v>
      </c>
      <c r="DQ32" s="138" t="s">
        <v>161</v>
      </c>
      <c r="DR32" s="138" t="s">
        <v>161</v>
      </c>
      <c r="DS32" s="138" t="s">
        <v>161</v>
      </c>
      <c r="DT32" s="138" t="s">
        <v>161</v>
      </c>
      <c r="DU32" s="138" t="s">
        <v>161</v>
      </c>
      <c r="DV32" s="138" t="s">
        <v>161</v>
      </c>
      <c r="DW32" s="138" t="s">
        <v>161</v>
      </c>
      <c r="DX32" s="138" t="s">
        <v>161</v>
      </c>
      <c r="DY32" s="138" t="s">
        <v>161</v>
      </c>
      <c r="DZ32" s="138" t="s">
        <v>161</v>
      </c>
      <c r="EA32" s="138" t="s">
        <v>161</v>
      </c>
      <c r="EB32" s="138" t="s">
        <v>161</v>
      </c>
      <c r="EC32" s="138" t="s">
        <v>161</v>
      </c>
      <c r="ED32" s="138" t="s">
        <v>161</v>
      </c>
      <c r="EE32" s="138" t="s">
        <v>161</v>
      </c>
      <c r="EF32" s="138" t="s">
        <v>161</v>
      </c>
      <c r="EG32" s="138" t="s">
        <v>161</v>
      </c>
      <c r="EH32" s="138" t="s">
        <v>161</v>
      </c>
      <c r="EI32" s="138" t="s">
        <v>161</v>
      </c>
      <c r="EJ32" s="138" t="s">
        <v>161</v>
      </c>
      <c r="EK32" s="138" t="s">
        <v>161</v>
      </c>
      <c r="EL32" s="138" t="s">
        <v>161</v>
      </c>
      <c r="EM32" s="138" t="s">
        <v>161</v>
      </c>
      <c r="EN32" s="138" t="s">
        <v>161</v>
      </c>
      <c r="EO32" s="138" t="s">
        <v>161</v>
      </c>
      <c r="EP32" s="138" t="s">
        <v>161</v>
      </c>
      <c r="EQ32" s="138" t="s">
        <v>161</v>
      </c>
      <c r="ER32" s="138" t="s">
        <v>161</v>
      </c>
      <c r="ES32" s="138" t="s">
        <v>161</v>
      </c>
      <c r="ET32" s="138" t="s">
        <v>161</v>
      </c>
      <c r="EU32" s="138" t="s">
        <v>161</v>
      </c>
      <c r="EV32" s="138" t="s">
        <v>161</v>
      </c>
      <c r="EW32" s="138" t="s">
        <v>161</v>
      </c>
      <c r="EX32" s="138" t="s">
        <v>161</v>
      </c>
      <c r="EY32" s="138" t="s">
        <v>161</v>
      </c>
      <c r="EZ32" s="138" t="s">
        <v>161</v>
      </c>
      <c r="FA32" s="138" t="s">
        <v>161</v>
      </c>
      <c r="FB32" s="138" t="s">
        <v>161</v>
      </c>
      <c r="FC32" s="138" t="s">
        <v>161</v>
      </c>
      <c r="FD32" s="138" t="s">
        <v>161</v>
      </c>
      <c r="FE32" s="138" t="s">
        <v>161</v>
      </c>
      <c r="FF32" s="138" t="s">
        <v>161</v>
      </c>
      <c r="FG32" s="138" t="s">
        <v>161</v>
      </c>
      <c r="FH32" s="138" t="s">
        <v>161</v>
      </c>
      <c r="FI32" s="138" t="s">
        <v>161</v>
      </c>
      <c r="FJ32" s="138" t="s">
        <v>161</v>
      </c>
      <c r="FK32" s="138" t="s">
        <v>161</v>
      </c>
      <c r="FL32" s="138" t="s">
        <v>161</v>
      </c>
      <c r="FM32" s="138" t="s">
        <v>161</v>
      </c>
      <c r="FN32" s="138" t="s">
        <v>161</v>
      </c>
      <c r="FO32" s="138" t="s">
        <v>161</v>
      </c>
      <c r="FP32" s="138" t="s">
        <v>161</v>
      </c>
      <c r="FQ32" s="138" t="s">
        <v>161</v>
      </c>
      <c r="FR32" s="138" t="s">
        <v>161</v>
      </c>
      <c r="FS32" s="138" t="s">
        <v>161</v>
      </c>
      <c r="FT32" s="138" t="s">
        <v>161</v>
      </c>
      <c r="FU32" s="138" t="s">
        <v>161</v>
      </c>
      <c r="FV32" s="138" t="s">
        <v>161</v>
      </c>
      <c r="FW32" s="138" t="s">
        <v>161</v>
      </c>
      <c r="FX32" s="138" t="s">
        <v>161</v>
      </c>
      <c r="FY32" s="138" t="s">
        <v>161</v>
      </c>
      <c r="FZ32" s="138" t="s">
        <v>161</v>
      </c>
      <c r="GA32" s="138" t="s">
        <v>161</v>
      </c>
      <c r="GB32" s="138" t="s">
        <v>161</v>
      </c>
      <c r="GC32" s="138" t="s">
        <v>161</v>
      </c>
      <c r="GD32" s="138" t="s">
        <v>161</v>
      </c>
      <c r="GE32" s="138" t="s">
        <v>161</v>
      </c>
      <c r="GF32" s="138" t="s">
        <v>161</v>
      </c>
      <c r="GG32" s="138" t="s">
        <v>161</v>
      </c>
      <c r="GH32" s="138" t="s">
        <v>161</v>
      </c>
      <c r="GI32" s="138" t="s">
        <v>161</v>
      </c>
      <c r="GJ32" s="138" t="s">
        <v>161</v>
      </c>
      <c r="GK32" s="138" t="s">
        <v>161</v>
      </c>
      <c r="GL32" s="138" t="s">
        <v>161</v>
      </c>
      <c r="GM32" s="138" t="s">
        <v>161</v>
      </c>
      <c r="GN32" s="138" t="s">
        <v>161</v>
      </c>
      <c r="GO32" s="138" t="s">
        <v>161</v>
      </c>
      <c r="GP32" s="138" t="s">
        <v>161</v>
      </c>
      <c r="GQ32" s="138" t="s">
        <v>161</v>
      </c>
      <c r="GR32" s="138" t="s">
        <v>161</v>
      </c>
      <c r="GS32" s="138" t="s">
        <v>161</v>
      </c>
      <c r="GT32" s="138" t="s">
        <v>161</v>
      </c>
      <c r="GU32" s="138" t="s">
        <v>161</v>
      </c>
      <c r="GV32" s="138" t="s">
        <v>161</v>
      </c>
      <c r="GW32" s="138" t="s">
        <v>161</v>
      </c>
      <c r="GX32" s="138" t="s">
        <v>161</v>
      </c>
      <c r="GY32" s="138" t="s">
        <v>161</v>
      </c>
      <c r="GZ32" s="138" t="s">
        <v>161</v>
      </c>
      <c r="HA32" s="138" t="s">
        <v>161</v>
      </c>
      <c r="HB32" s="138" t="s">
        <v>161</v>
      </c>
      <c r="HC32" s="138" t="s">
        <v>161</v>
      </c>
      <c r="HD32" s="138" t="s">
        <v>161</v>
      </c>
      <c r="HE32" s="138" t="s">
        <v>161</v>
      </c>
      <c r="HF32" s="138" t="s">
        <v>161</v>
      </c>
      <c r="HG32" s="138" t="s">
        <v>161</v>
      </c>
      <c r="HH32" s="138" t="s">
        <v>161</v>
      </c>
      <c r="HI32" s="138" t="s">
        <v>161</v>
      </c>
      <c r="HJ32" s="138" t="s">
        <v>161</v>
      </c>
      <c r="HK32" s="138" t="s">
        <v>161</v>
      </c>
      <c r="HL32" s="138" t="s">
        <v>161</v>
      </c>
      <c r="HM32" s="138" t="s">
        <v>161</v>
      </c>
      <c r="HN32" s="138" t="s">
        <v>161</v>
      </c>
      <c r="HO32" s="138" t="s">
        <v>161</v>
      </c>
      <c r="HP32" s="138" t="s">
        <v>161</v>
      </c>
      <c r="HQ32" s="138" t="s">
        <v>161</v>
      </c>
      <c r="HR32" s="138" t="s">
        <v>161</v>
      </c>
      <c r="HS32" s="138" t="s">
        <v>161</v>
      </c>
      <c r="HT32" s="138" t="s">
        <v>161</v>
      </c>
      <c r="HU32" s="138" t="s">
        <v>161</v>
      </c>
      <c r="HV32" s="138" t="s">
        <v>161</v>
      </c>
      <c r="HW32" s="138" t="s">
        <v>161</v>
      </c>
      <c r="HX32" s="138" t="s">
        <v>161</v>
      </c>
      <c r="HY32" s="138" t="s">
        <v>161</v>
      </c>
      <c r="HZ32" s="138" t="s">
        <v>161</v>
      </c>
      <c r="IA32" s="138" t="s">
        <v>161</v>
      </c>
      <c r="IB32" s="138" t="s">
        <v>161</v>
      </c>
      <c r="IC32" s="138" t="s">
        <v>161</v>
      </c>
      <c r="ID32" s="138" t="s">
        <v>161</v>
      </c>
      <c r="IE32" s="138" t="s">
        <v>161</v>
      </c>
      <c r="IF32" s="138" t="s">
        <v>161</v>
      </c>
      <c r="IG32" s="138" t="s">
        <v>161</v>
      </c>
      <c r="IH32" s="138" t="s">
        <v>161</v>
      </c>
      <c r="II32" s="138" t="s">
        <v>161</v>
      </c>
      <c r="IJ32" s="138" t="s">
        <v>161</v>
      </c>
      <c r="IK32" s="138" t="s">
        <v>161</v>
      </c>
      <c r="IL32" s="138" t="s">
        <v>161</v>
      </c>
      <c r="IM32" s="138" t="s">
        <v>161</v>
      </c>
      <c r="IN32" s="138" t="s">
        <v>161</v>
      </c>
      <c r="IO32" s="138" t="s">
        <v>161</v>
      </c>
      <c r="IP32" s="138" t="s">
        <v>161</v>
      </c>
      <c r="IQ32" s="138" t="s">
        <v>161</v>
      </c>
      <c r="IR32" s="138" t="s">
        <v>161</v>
      </c>
      <c r="IS32" s="138" t="s">
        <v>161</v>
      </c>
      <c r="IT32" s="138" t="s">
        <v>161</v>
      </c>
      <c r="IU32" s="138" t="s">
        <v>161</v>
      </c>
      <c r="IV32" s="138" t="s">
        <v>161</v>
      </c>
    </row>
    <row r="33" spans="1:256" s="127" customFormat="1" ht="13.5">
      <c r="A33" s="138" t="s">
        <v>132</v>
      </c>
      <c r="B33" s="144">
        <f>B25+B27+B28</f>
        <v>1906.2780344729395</v>
      </c>
      <c r="C33" s="122">
        <f t="shared" si="27"/>
        <v>213.38836317824527</v>
      </c>
      <c r="D33" s="144">
        <f>D25+D27+D28</f>
        <v>406777.54953882314</v>
      </c>
      <c r="E33" s="145">
        <f>E25+E27+E28</f>
        <v>40677754.953882314</v>
      </c>
      <c r="F33" s="144">
        <f>F25+F27+F28</f>
        <v>1379.808946121878</v>
      </c>
      <c r="G33" s="126">
        <f>H33/F33</f>
        <v>187.33</v>
      </c>
      <c r="H33" s="144">
        <f>H25+H27+H28</f>
        <v>258479.60987701142</v>
      </c>
      <c r="I33" s="138"/>
      <c r="J33" s="117">
        <v>187.33</v>
      </c>
      <c r="K33" s="138"/>
      <c r="L33" s="138"/>
      <c r="M33" s="117">
        <v>187.33</v>
      </c>
      <c r="N33" s="138"/>
      <c r="O33" s="138"/>
      <c r="P33" s="144">
        <f>P25+P27+P28</f>
        <v>526.4685883510613</v>
      </c>
      <c r="Q33" s="123">
        <f t="shared" si="6"/>
        <v>281.6843073701545</v>
      </c>
      <c r="R33" s="144">
        <f>R25+R27+R28</f>
        <v>148297.9396618117</v>
      </c>
      <c r="S33" s="138"/>
      <c r="T33" s="144">
        <f>T25+T27+T28</f>
        <v>28</v>
      </c>
      <c r="U33" s="123">
        <f t="shared" si="37"/>
        <v>460.9105167138572</v>
      </c>
      <c r="V33" s="144">
        <f>V25+V27+V28</f>
        <v>12905.494467988</v>
      </c>
      <c r="W33" s="144">
        <f>W25+W27+W28</f>
        <v>1.7999999999999998</v>
      </c>
      <c r="X33" s="120">
        <f>Y33/W33</f>
        <v>500.8</v>
      </c>
      <c r="Y33" s="144">
        <f>Y25+Y27+Y28</f>
        <v>901.4399999999999</v>
      </c>
      <c r="Z33" s="144">
        <f>Z25+Z27+Z28</f>
        <v>0.6040000000000001</v>
      </c>
      <c r="AA33" s="126">
        <f>AB33/Z33</f>
        <v>362.447458</v>
      </c>
      <c r="AB33" s="144">
        <f>AB25+AB27+AB28</f>
        <v>218.91826463200002</v>
      </c>
      <c r="AC33" s="144">
        <f>AC25+AC27+AC28</f>
        <v>1.404</v>
      </c>
      <c r="AD33" s="141">
        <f>AE33/AC33</f>
        <v>308.310201</v>
      </c>
      <c r="AE33" s="124">
        <f>AE25+AE27+AE28</f>
        <v>432.867522204</v>
      </c>
      <c r="AF33" s="124">
        <f>AF25+AF27+AF28</f>
        <v>2.3520000000000003</v>
      </c>
      <c r="AG33" s="143">
        <f>AH33/AF33</f>
        <v>308.310201</v>
      </c>
      <c r="AH33" s="144">
        <f>AH25+AH27+AH28</f>
        <v>725.1455927520001</v>
      </c>
      <c r="AI33" s="144">
        <f>AI25+AI27+AI28</f>
        <v>21.84</v>
      </c>
      <c r="AJ33" s="126">
        <f>AK33/AI33</f>
        <v>486.5898850000001</v>
      </c>
      <c r="AK33" s="144">
        <f>AK25+AK27+AK28</f>
        <v>10627.123088400002</v>
      </c>
      <c r="AL33" s="144">
        <f>AL25+AL27+AL28</f>
        <v>255.34211137216556</v>
      </c>
      <c r="AM33" s="126">
        <f t="shared" si="28"/>
        <v>315.35229432838986</v>
      </c>
      <c r="AN33" s="144">
        <f>AN25+AN27+AN28</f>
        <v>80522.72065986766</v>
      </c>
      <c r="AO33" s="144">
        <f>AO25+AO27+AO28</f>
        <v>80.63036890977324</v>
      </c>
      <c r="AP33" s="127">
        <f>AQ33/AO33</f>
        <v>385.62</v>
      </c>
      <c r="AQ33" s="144">
        <f>AQ25+AQ27+AQ28</f>
        <v>31092.68285898676</v>
      </c>
      <c r="AR33" s="144">
        <f>AR25+AR27+AR28</f>
        <v>12.007368909773245</v>
      </c>
      <c r="AS33" s="127">
        <f>AT33/AR33</f>
        <v>276.7799999999999</v>
      </c>
      <c r="AT33" s="144">
        <f>AT25+AT27+AT28</f>
        <v>3323.399566847038</v>
      </c>
      <c r="AU33" s="144">
        <f>AU25+AU27+AU28</f>
        <v>3.7889999999999997</v>
      </c>
      <c r="AV33" s="126">
        <f>AW33/AU33</f>
        <v>229.68</v>
      </c>
      <c r="AW33" s="144">
        <f>AW25+AW27+AW28</f>
        <v>870.25752</v>
      </c>
      <c r="AX33" s="144">
        <f>AX25+AX27+AX28</f>
        <v>39.772373552619094</v>
      </c>
      <c r="AY33" s="123">
        <f>AZ33/AX33</f>
        <v>234.31575275999998</v>
      </c>
      <c r="AZ33" s="146">
        <f>AZ25+AZ27+AZ28</f>
        <v>9319.293648033858</v>
      </c>
      <c r="BA33" s="144">
        <f>BA25+BA27+BA28</f>
        <v>119.143</v>
      </c>
      <c r="BB33" s="123">
        <f>BC33/BA33</f>
        <v>301.46199999999993</v>
      </c>
      <c r="BC33" s="144">
        <f>BC25+BC27+BC28</f>
        <v>35917.08706599999</v>
      </c>
      <c r="BD33" s="144">
        <f>BD25+BD27+BD28</f>
        <v>243.12647697889565</v>
      </c>
      <c r="BE33" s="126">
        <f t="shared" si="36"/>
        <v>225.68387127461628</v>
      </c>
      <c r="BF33" s="144">
        <f>BF25+BF27+BF28</f>
        <v>54869.72453395605</v>
      </c>
      <c r="BG33" s="144">
        <f>BG25+BG27+BG28</f>
        <v>67.35811815831165</v>
      </c>
      <c r="BH33" s="127">
        <f>BI33/BG33</f>
        <v>300.4800000000001</v>
      </c>
      <c r="BI33" s="144">
        <f>BI25+BI27+BI28</f>
        <v>20239.76734420949</v>
      </c>
      <c r="BJ33" s="144">
        <f>BJ25+BJ27+BJ28</f>
        <v>10.518118158311655</v>
      </c>
      <c r="BK33" s="127">
        <f>BL33/BJ33</f>
        <v>215.67</v>
      </c>
      <c r="BL33" s="144">
        <f>BL25+BL27+BL28</f>
        <v>2268.4425432030744</v>
      </c>
      <c r="BM33" s="144">
        <f>BM25+BM27+BM28</f>
        <v>138.45424066227235</v>
      </c>
      <c r="BN33" s="117">
        <f t="shared" si="22"/>
        <v>187.33</v>
      </c>
      <c r="BO33" s="144">
        <f>BO25+BO27+BO28</f>
        <v>25936.632903263482</v>
      </c>
      <c r="BP33" s="144">
        <f>BP25+BP27+BP28</f>
        <v>26.796</v>
      </c>
      <c r="BQ33" s="123">
        <f>BR33/BP33</f>
        <v>239.77018000000004</v>
      </c>
      <c r="BR33" s="144">
        <f>BR25+BR27+BR28</f>
        <v>6424.881743280001</v>
      </c>
      <c r="BS33" s="144"/>
      <c r="BT33" s="138"/>
      <c r="BU33" s="138"/>
      <c r="BV33" s="138"/>
      <c r="BW33" s="138"/>
      <c r="BX33" s="138"/>
      <c r="BY33" s="79"/>
      <c r="BZ33" s="79"/>
      <c r="CA33" s="79"/>
      <c r="CB33" s="79"/>
      <c r="CC33" s="79"/>
      <c r="CD33" s="79"/>
      <c r="CE33" s="79"/>
      <c r="CF33" s="138"/>
      <c r="CG33" s="138"/>
      <c r="CH33" s="138"/>
      <c r="CI33" s="138"/>
      <c r="CJ33" s="138"/>
      <c r="CK33" s="138"/>
      <c r="CL33" s="138"/>
      <c r="CM33" s="138"/>
      <c r="CN33" s="138"/>
      <c r="CO33" s="138"/>
      <c r="CP33" s="138"/>
      <c r="CQ33" s="138"/>
      <c r="CR33" s="138"/>
      <c r="CS33" s="138"/>
      <c r="CT33" s="138"/>
      <c r="CU33" s="138"/>
      <c r="CV33" s="138"/>
      <c r="CW33" s="138"/>
      <c r="CX33" s="138"/>
      <c r="CY33" s="138"/>
      <c r="CZ33" s="138"/>
      <c r="DA33" s="138"/>
      <c r="DB33" s="138"/>
      <c r="DC33" s="138"/>
      <c r="DD33" s="138"/>
      <c r="DE33" s="138"/>
      <c r="DF33" s="138"/>
      <c r="DG33" s="138"/>
      <c r="DH33" s="138"/>
      <c r="DI33" s="138"/>
      <c r="DJ33" s="138"/>
      <c r="DK33" s="138"/>
      <c r="DL33" s="138"/>
      <c r="DM33" s="138"/>
      <c r="DN33" s="138"/>
      <c r="DO33" s="138"/>
      <c r="DP33" s="138"/>
      <c r="DQ33" s="138"/>
      <c r="DR33" s="138"/>
      <c r="DS33" s="138"/>
      <c r="DT33" s="138"/>
      <c r="DU33" s="138"/>
      <c r="DV33" s="138"/>
      <c r="DW33" s="138"/>
      <c r="DX33" s="138"/>
      <c r="DY33" s="138"/>
      <c r="DZ33" s="138"/>
      <c r="EA33" s="138"/>
      <c r="EB33" s="138"/>
      <c r="EC33" s="138"/>
      <c r="ED33" s="138"/>
      <c r="EE33" s="138"/>
      <c r="EF33" s="138"/>
      <c r="EG33" s="138"/>
      <c r="EH33" s="138"/>
      <c r="EI33" s="138"/>
      <c r="EJ33" s="138"/>
      <c r="EK33" s="138"/>
      <c r="EL33" s="138"/>
      <c r="EM33" s="138"/>
      <c r="EN33" s="138"/>
      <c r="EO33" s="138"/>
      <c r="EP33" s="138"/>
      <c r="EQ33" s="138"/>
      <c r="ER33" s="138"/>
      <c r="ES33" s="138"/>
      <c r="ET33" s="138"/>
      <c r="EU33" s="138"/>
      <c r="EV33" s="138"/>
      <c r="EW33" s="138"/>
      <c r="EX33" s="138"/>
      <c r="EY33" s="138"/>
      <c r="EZ33" s="138"/>
      <c r="FA33" s="138"/>
      <c r="FB33" s="138"/>
      <c r="FC33" s="138"/>
      <c r="FD33" s="138"/>
      <c r="FE33" s="138"/>
      <c r="FF33" s="138"/>
      <c r="FG33" s="138"/>
      <c r="FH33" s="138"/>
      <c r="FI33" s="138"/>
      <c r="FJ33" s="138"/>
      <c r="FK33" s="138"/>
      <c r="FL33" s="138"/>
      <c r="FM33" s="138"/>
      <c r="FN33" s="138"/>
      <c r="FO33" s="138"/>
      <c r="FP33" s="138"/>
      <c r="FQ33" s="138"/>
      <c r="FR33" s="138"/>
      <c r="FS33" s="138"/>
      <c r="FT33" s="138"/>
      <c r="FU33" s="138"/>
      <c r="FV33" s="138"/>
      <c r="FW33" s="138"/>
      <c r="FX33" s="138"/>
      <c r="FY33" s="138"/>
      <c r="FZ33" s="138"/>
      <c r="GA33" s="138"/>
      <c r="GB33" s="138"/>
      <c r="GC33" s="138"/>
      <c r="GD33" s="138"/>
      <c r="GE33" s="138"/>
      <c r="GF33" s="138"/>
      <c r="GG33" s="138"/>
      <c r="GH33" s="138"/>
      <c r="GI33" s="138"/>
      <c r="GJ33" s="138"/>
      <c r="GK33" s="138"/>
      <c r="GL33" s="138"/>
      <c r="GM33" s="138"/>
      <c r="GN33" s="138"/>
      <c r="GO33" s="138"/>
      <c r="GP33" s="138"/>
      <c r="GQ33" s="138"/>
      <c r="GR33" s="138"/>
      <c r="GS33" s="138"/>
      <c r="GT33" s="138"/>
      <c r="GU33" s="138"/>
      <c r="GV33" s="138"/>
      <c r="GW33" s="138"/>
      <c r="GX33" s="138"/>
      <c r="GY33" s="138"/>
      <c r="GZ33" s="138"/>
      <c r="HA33" s="138"/>
      <c r="HB33" s="138"/>
      <c r="HC33" s="138"/>
      <c r="HD33" s="138"/>
      <c r="HE33" s="138"/>
      <c r="HF33" s="138"/>
      <c r="HG33" s="138"/>
      <c r="HH33" s="138"/>
      <c r="HI33" s="138"/>
      <c r="HJ33" s="138"/>
      <c r="HK33" s="138"/>
      <c r="HL33" s="138"/>
      <c r="HM33" s="138"/>
      <c r="HN33" s="138"/>
      <c r="HO33" s="138"/>
      <c r="HP33" s="138"/>
      <c r="HQ33" s="138"/>
      <c r="HR33" s="138"/>
      <c r="HS33" s="138"/>
      <c r="HT33" s="138"/>
      <c r="HU33" s="138"/>
      <c r="HV33" s="138"/>
      <c r="HW33" s="138"/>
      <c r="HX33" s="138"/>
      <c r="HY33" s="138"/>
      <c r="HZ33" s="138"/>
      <c r="IA33" s="138"/>
      <c r="IB33" s="138"/>
      <c r="IC33" s="138"/>
      <c r="ID33" s="138"/>
      <c r="IE33" s="138"/>
      <c r="IF33" s="138"/>
      <c r="IG33" s="138"/>
      <c r="IH33" s="138"/>
      <c r="II33" s="138"/>
      <c r="IJ33" s="138"/>
      <c r="IK33" s="138"/>
      <c r="IL33" s="138"/>
      <c r="IM33" s="138"/>
      <c r="IN33" s="138"/>
      <c r="IO33" s="138"/>
      <c r="IP33" s="138"/>
      <c r="IQ33" s="138"/>
      <c r="IR33" s="138"/>
      <c r="IS33" s="138"/>
      <c r="IT33" s="138"/>
      <c r="IU33" s="138"/>
      <c r="IV33" s="138"/>
    </row>
    <row r="34" spans="2:83" ht="12">
      <c r="B34" s="99"/>
      <c r="C34" s="116"/>
      <c r="E34" s="111"/>
      <c r="F34" s="99"/>
      <c r="G34" s="117"/>
      <c r="H34" s="99"/>
      <c r="I34" s="99"/>
      <c r="J34" s="117"/>
      <c r="K34" s="99"/>
      <c r="L34" s="99"/>
      <c r="M34" s="117"/>
      <c r="N34" s="99"/>
      <c r="O34" s="99"/>
      <c r="P34" s="99"/>
      <c r="Q34" s="117"/>
      <c r="R34" s="99"/>
      <c r="S34" s="99"/>
      <c r="T34" s="99"/>
      <c r="W34" s="99"/>
      <c r="Z34" s="99"/>
      <c r="AB34" s="99"/>
      <c r="AC34" s="99"/>
      <c r="AD34" s="147"/>
      <c r="AE34" s="147"/>
      <c r="AF34" s="148"/>
      <c r="AG34" s="147"/>
      <c r="AH34" s="99"/>
      <c r="AI34" s="99"/>
      <c r="AL34" s="99"/>
      <c r="AN34" s="99"/>
      <c r="AO34" s="99"/>
      <c r="AQ34" s="99"/>
      <c r="AR34" s="99"/>
      <c r="AU34" s="99"/>
      <c r="AX34" s="99"/>
      <c r="BA34" s="99"/>
      <c r="BD34" s="99"/>
      <c r="BG34" s="99"/>
      <c r="BJ34" s="99"/>
      <c r="BM34" s="99"/>
      <c r="BN34" s="117"/>
      <c r="BP34" s="99"/>
      <c r="BY34" s="127"/>
      <c r="BZ34" s="127"/>
      <c r="CA34" s="127"/>
      <c r="CB34" s="127"/>
      <c r="CC34" s="127"/>
      <c r="CD34" s="127"/>
      <c r="CE34" s="127"/>
    </row>
    <row r="35" spans="1:70" s="127" customFormat="1" ht="13.5">
      <c r="A35" s="120" t="s">
        <v>163</v>
      </c>
      <c r="B35" s="140">
        <f>B14+B20+B31</f>
        <v>11135.506726041775</v>
      </c>
      <c r="C35" s="122">
        <f t="shared" si="27"/>
        <v>221.46739757187223</v>
      </c>
      <c r="D35" s="140">
        <f>D14+D20+D31</f>
        <v>2466151.695260551</v>
      </c>
      <c r="E35" s="140">
        <f>E14+E20+E31</f>
        <v>246615169.5260551</v>
      </c>
      <c r="F35" s="125">
        <f>F30+F19+F14</f>
        <v>7800.135087029028</v>
      </c>
      <c r="G35" s="126">
        <f>H35/F35</f>
        <v>194.6713228415115</v>
      </c>
      <c r="H35" s="125">
        <f>H30+H19+H14</f>
        <v>1518462.6157344293</v>
      </c>
      <c r="I35" s="125"/>
      <c r="J35" s="126">
        <v>194.6713228415115</v>
      </c>
      <c r="K35" s="125"/>
      <c r="L35" s="125"/>
      <c r="M35" s="126">
        <v>194.6713228415115</v>
      </c>
      <c r="N35" s="125"/>
      <c r="O35" s="124"/>
      <c r="P35" s="124">
        <f>T35+AL35+BD35</f>
        <v>3335.3641690127474</v>
      </c>
      <c r="Q35" s="123">
        <f t="shared" si="6"/>
        <v>284.13361525276366</v>
      </c>
      <c r="R35" s="124">
        <f t="shared" si="7"/>
        <v>947689.0795261217</v>
      </c>
      <c r="S35" s="124"/>
      <c r="T35" s="125">
        <f>T14+T19+T30</f>
        <v>671</v>
      </c>
      <c r="U35" s="126">
        <f>V35/T35</f>
        <v>425.5432358678323</v>
      </c>
      <c r="V35" s="125">
        <f>V14+V19+V30</f>
        <v>285539.5112673155</v>
      </c>
      <c r="W35" s="125">
        <f>W14+W19+W30</f>
        <v>113.7664</v>
      </c>
      <c r="X35" s="126">
        <f>Y35/W35</f>
        <v>500.8</v>
      </c>
      <c r="Y35" s="125">
        <f>Y14+Y19+Y30</f>
        <v>56974.21312</v>
      </c>
      <c r="Z35" s="124">
        <f>Z14+Z19+Z30</f>
        <v>68.3117</v>
      </c>
      <c r="AA35" s="126">
        <f>AB35/Z35</f>
        <v>391.1764746927905</v>
      </c>
      <c r="AB35" s="124">
        <f>AB14+AB19+AB30</f>
        <v>26721.929986271498</v>
      </c>
      <c r="AC35" s="125">
        <f>AC14+AC19+AC30</f>
        <v>6.6761</v>
      </c>
      <c r="AD35" s="143">
        <f>AE35/AC35</f>
        <v>247.03131984092508</v>
      </c>
      <c r="AE35" s="142">
        <f>AE14+AE19+AE30</f>
        <v>1649.20579439</v>
      </c>
      <c r="AF35" s="142">
        <f>AF14+AF19+AF30</f>
        <v>137.08960000000002</v>
      </c>
      <c r="AG35" s="143">
        <f>AH35/AF35</f>
        <v>239.08880222852787</v>
      </c>
      <c r="AH35" s="125">
        <f>AH14+AH19+AH30</f>
        <v>32776.588261988</v>
      </c>
      <c r="AI35" s="125">
        <f>AI14+AI19+AI30</f>
        <v>345.1562</v>
      </c>
      <c r="AJ35" s="126">
        <f>AK35/AI35</f>
        <v>485.0487231713236</v>
      </c>
      <c r="AK35" s="125">
        <f>AK14+AK19+AK30</f>
        <v>167417.574104666</v>
      </c>
      <c r="AL35" s="124">
        <f>AL14+AL19+AL30</f>
        <v>1121.8928328789239</v>
      </c>
      <c r="AM35" s="126">
        <f t="shared" si="28"/>
        <v>281.81662555496206</v>
      </c>
      <c r="AN35" s="124">
        <f>AN14+AN19+AN30</f>
        <v>316168.0523962353</v>
      </c>
      <c r="AO35" s="124">
        <f>AO14+AO19+AO30</f>
        <v>297.9451266303139</v>
      </c>
      <c r="AP35" s="127">
        <f>AQ35/AO35</f>
        <v>385.62000000000006</v>
      </c>
      <c r="AQ35" s="124">
        <f>AQ14+AQ19+AQ30</f>
        <v>114893.59973118166</v>
      </c>
      <c r="AR35" s="124">
        <f>AR14+AR19+AR30</f>
        <v>60.6334266303139</v>
      </c>
      <c r="AS35" s="127">
        <f>AT35/AR35</f>
        <v>276.7799999999999</v>
      </c>
      <c r="AT35" s="124">
        <f>AT14+AT19+AT30</f>
        <v>16782.119822738277</v>
      </c>
      <c r="AU35" s="124">
        <f>AU14+AU19+AU30</f>
        <v>13.103099999999998</v>
      </c>
      <c r="AV35" s="123">
        <f>AW35/AU35</f>
        <v>243.17202692492617</v>
      </c>
      <c r="AW35" s="124">
        <f>AW14+AW19+AW30</f>
        <v>3186.3073859999995</v>
      </c>
      <c r="AX35" s="124">
        <f>AX14+AX19+AX30</f>
        <v>338.191479618296</v>
      </c>
      <c r="AY35" s="123">
        <f>AZ35/AX35</f>
        <v>168.8320714363705</v>
      </c>
      <c r="AZ35" s="128">
        <f>AZ14+AZ19+AZ30</f>
        <v>57097.56804608799</v>
      </c>
      <c r="BA35" s="124">
        <f>BA14+BA19+BA30</f>
        <v>412.01969999999994</v>
      </c>
      <c r="BB35" s="123">
        <f>BC35/BA35</f>
        <v>301.46200000000005</v>
      </c>
      <c r="BC35" s="124">
        <f>BC14+BC19+BC30</f>
        <v>124208.2828014</v>
      </c>
      <c r="BD35" s="125">
        <f>BD14+BD19+BD30</f>
        <v>1542.4713361338236</v>
      </c>
      <c r="BE35" s="126">
        <f>BF35/BD35</f>
        <v>224.30336808058124</v>
      </c>
      <c r="BF35" s="125">
        <f>BF14+BF19+BF30</f>
        <v>345981.51586257096</v>
      </c>
      <c r="BG35" s="125">
        <f>BG14+BG19+BG30</f>
        <v>352.4357068907059</v>
      </c>
      <c r="BH35" s="127">
        <f>BI35/BG35</f>
        <v>300.48</v>
      </c>
      <c r="BI35" s="125">
        <f>BI14+BI19+BI30</f>
        <v>105899.8812065193</v>
      </c>
      <c r="BJ35" s="125">
        <f>BJ14+BJ19+BJ30</f>
        <v>80.69570689070588</v>
      </c>
      <c r="BK35" s="127">
        <f>BL35/BJ35</f>
        <v>215.67</v>
      </c>
      <c r="BL35" s="125">
        <f>BL14+BL19+BL30</f>
        <v>17403.643105118535</v>
      </c>
      <c r="BM35" s="125">
        <f>BM14+BM19+BM30</f>
        <v>981.2339223524118</v>
      </c>
      <c r="BN35" s="117">
        <f t="shared" si="22"/>
        <v>194.6713228415115</v>
      </c>
      <c r="BO35" s="125">
        <f>BO14+BO19+BO30</f>
        <v>191961.99287185312</v>
      </c>
      <c r="BP35" s="125">
        <f>BP14+BP19+BP30</f>
        <v>128.106</v>
      </c>
      <c r="BQ35" s="123">
        <f>BR35/BP35</f>
        <v>239.77018000000007</v>
      </c>
      <c r="BR35" s="125">
        <f>BR14+BR19+BR30</f>
        <v>30715.998679080007</v>
      </c>
    </row>
    <row r="36" spans="1:83" s="127" customFormat="1" ht="13.5">
      <c r="A36" s="120" t="s">
        <v>167</v>
      </c>
      <c r="B36" s="124">
        <f>B35+B41</f>
        <v>11826.918726041775</v>
      </c>
      <c r="C36" s="123">
        <f>D36/B36</f>
        <v>220.2574521853041</v>
      </c>
      <c r="D36" s="124">
        <f>D35+D41</f>
        <v>2604966.985800624</v>
      </c>
      <c r="E36" s="137">
        <f>E35+E41</f>
        <v>260496698.5800624</v>
      </c>
      <c r="F36" s="124">
        <f>F35+F41</f>
        <v>8360.046007029028</v>
      </c>
      <c r="G36" s="123">
        <f>H36/F36</f>
        <v>194.1796405202956</v>
      </c>
      <c r="H36" s="124">
        <f>H35+H41</f>
        <v>1623350.7283780293</v>
      </c>
      <c r="I36" s="124"/>
      <c r="J36" s="123">
        <v>194.1796405202956</v>
      </c>
      <c r="K36" s="124"/>
      <c r="L36" s="124"/>
      <c r="M36" s="123">
        <v>194.1796405202956</v>
      </c>
      <c r="N36" s="124"/>
      <c r="O36" s="124"/>
      <c r="P36" s="124">
        <f>P35+P41</f>
        <v>3466.8652490127474</v>
      </c>
      <c r="Q36" s="123">
        <f>R36/P36</f>
        <v>283.1423164491691</v>
      </c>
      <c r="R36" s="124">
        <f>R35+R41</f>
        <v>981616.2574225946</v>
      </c>
      <c r="S36" s="124"/>
      <c r="T36" s="124">
        <f>T35+T41</f>
        <v>671</v>
      </c>
      <c r="U36" s="123">
        <f>V36/T36</f>
        <v>425.5432358678323</v>
      </c>
      <c r="V36" s="124">
        <f>V35+V41</f>
        <v>285539.5112673155</v>
      </c>
      <c r="W36" s="124">
        <f>W35+W41</f>
        <v>113.7664</v>
      </c>
      <c r="X36" s="123">
        <f>Y36/W36</f>
        <v>500.8</v>
      </c>
      <c r="Y36" s="124">
        <f>Y35+Y41</f>
        <v>56974.21312</v>
      </c>
      <c r="Z36" s="124">
        <f>Z35+Z41</f>
        <v>68.3117</v>
      </c>
      <c r="AA36" s="123">
        <f>AB36/Z36</f>
        <v>391.1764746927905</v>
      </c>
      <c r="AB36" s="124">
        <f>AB35+AB41</f>
        <v>26721.929986271498</v>
      </c>
      <c r="AC36" s="124">
        <f>AC35+AC41</f>
        <v>6.6761</v>
      </c>
      <c r="AD36" s="123">
        <f>AE36/AC36</f>
        <v>247.03131984092508</v>
      </c>
      <c r="AE36" s="124">
        <f>AE35+AE41</f>
        <v>1649.20579439</v>
      </c>
      <c r="AF36" s="124">
        <f>AF35+AF41</f>
        <v>137.08960000000002</v>
      </c>
      <c r="AG36" s="123">
        <f>AH36/AF36</f>
        <v>239.08880222852787</v>
      </c>
      <c r="AH36" s="124">
        <f>AH35+AH41</f>
        <v>32776.588261988</v>
      </c>
      <c r="AI36" s="124">
        <f>AI35+AI41</f>
        <v>345.1562</v>
      </c>
      <c r="AJ36" s="123">
        <f>AK36/AI36</f>
        <v>485.0487231713236</v>
      </c>
      <c r="AK36" s="124">
        <f>AK35+AK41</f>
        <v>167417.574104666</v>
      </c>
      <c r="AL36" s="124">
        <f>AL35+AL41</f>
        <v>1192.4251678859666</v>
      </c>
      <c r="AM36" s="123">
        <f>AN36/AL36</f>
        <v>282.3290942252974</v>
      </c>
      <c r="AN36" s="124">
        <f>AN35+AN41</f>
        <v>336656.31758069317</v>
      </c>
      <c r="AO36" s="124">
        <f>AO35+AO41</f>
        <v>317.1727134308773</v>
      </c>
      <c r="AP36" s="123">
        <f>AQ36/AO36</f>
        <v>385.62000000000006</v>
      </c>
      <c r="AQ36" s="124">
        <f>AQ35+AQ41</f>
        <v>122308.14175321494</v>
      </c>
      <c r="AR36" s="124">
        <f>AR35+AR41</f>
        <v>64.37601343087732</v>
      </c>
      <c r="AS36" s="123">
        <f>AT36/AR36</f>
        <v>276.78</v>
      </c>
      <c r="AT36" s="124">
        <f>AT35+AT41</f>
        <v>17817.99299739822</v>
      </c>
      <c r="AU36" s="124">
        <f>AU35+AU41</f>
        <v>13.958099999999998</v>
      </c>
      <c r="AV36" s="123">
        <f>AW36/AU36</f>
        <v>242.34557611709332</v>
      </c>
      <c r="AW36" s="124">
        <f>AW35+AW41</f>
        <v>3382.6837859999996</v>
      </c>
      <c r="AX36" s="124">
        <f>AX35+AX41</f>
        <v>358.01364102421195</v>
      </c>
      <c r="AY36" s="123">
        <f>AZ36/AX36</f>
        <v>169.92155826749212</v>
      </c>
      <c r="AZ36" s="128">
        <f>AZ35+AZ41</f>
        <v>60834.23576385264</v>
      </c>
      <c r="BA36" s="124">
        <f>BA35+BA41</f>
        <v>438.90469999999993</v>
      </c>
      <c r="BB36" s="123">
        <f>BC36/BA36</f>
        <v>301.46200000000005</v>
      </c>
      <c r="BC36" s="124">
        <f>BC35+BC41</f>
        <v>132313.0886714</v>
      </c>
      <c r="BD36" s="124">
        <f>BD35+BD41</f>
        <v>1603.4400811267808</v>
      </c>
      <c r="BE36" s="123">
        <f>BF36/BD36</f>
        <v>224.15582147728992</v>
      </c>
      <c r="BF36" s="124">
        <f>BF35+BF41</f>
        <v>359420.42857458594</v>
      </c>
      <c r="BG36" s="124">
        <f>BG35+BG41</f>
        <v>366.98920649014246</v>
      </c>
      <c r="BH36" s="123">
        <f>BI36/BG36</f>
        <v>300.48</v>
      </c>
      <c r="BI36" s="124">
        <f>BI35+BI41</f>
        <v>110272.91676615801</v>
      </c>
      <c r="BJ36" s="124">
        <f>BJ35+BJ41</f>
        <v>83.76920649014245</v>
      </c>
      <c r="BK36" s="123">
        <f>BL36/BJ36</f>
        <v>215.67</v>
      </c>
      <c r="BL36" s="124">
        <f>BL35+BL41</f>
        <v>18066.504763729023</v>
      </c>
      <c r="BM36" s="124">
        <f>BM35+BM41</f>
        <v>1019.1636681464959</v>
      </c>
      <c r="BN36" s="117">
        <f t="shared" si="22"/>
        <v>194.1796405202956</v>
      </c>
      <c r="BO36" s="124">
        <f>BO35+BO41</f>
        <v>199067.3721514589</v>
      </c>
      <c r="BP36" s="124">
        <f>BP35+BP41</f>
        <v>133.518</v>
      </c>
      <c r="BQ36" s="123">
        <f>BR36/BP36</f>
        <v>239.77018000000004</v>
      </c>
      <c r="BR36" s="124">
        <f>BR35+BR41</f>
        <v>32013.634893240007</v>
      </c>
      <c r="BY36" s="79"/>
      <c r="BZ36" s="79"/>
      <c r="CA36" s="79"/>
      <c r="CB36" s="79"/>
      <c r="CC36" s="79"/>
      <c r="CD36" s="79"/>
      <c r="CE36" s="79"/>
    </row>
    <row r="37" spans="1:70" ht="13.5">
      <c r="A37" s="120"/>
      <c r="B37" s="99"/>
      <c r="C37" s="122"/>
      <c r="D37" s="100"/>
      <c r="E37" s="112"/>
      <c r="F37" s="99"/>
      <c r="G37" s="149"/>
      <c r="H37" s="100"/>
      <c r="I37" s="100"/>
      <c r="J37" s="149"/>
      <c r="K37" s="100"/>
      <c r="L37" s="100"/>
      <c r="M37" s="149"/>
      <c r="N37" s="100"/>
      <c r="P37" s="99"/>
      <c r="Q37" s="117"/>
      <c r="R37" s="99"/>
      <c r="S37" s="99"/>
      <c r="T37" s="99"/>
      <c r="U37" s="126"/>
      <c r="V37" s="100"/>
      <c r="W37" s="99"/>
      <c r="X37" s="126"/>
      <c r="Y37" s="100"/>
      <c r="Z37" s="99"/>
      <c r="AA37" s="126"/>
      <c r="AB37" s="99"/>
      <c r="AC37" s="99"/>
      <c r="AD37" s="126"/>
      <c r="AE37" s="100"/>
      <c r="AF37" s="99"/>
      <c r="AG37" s="126"/>
      <c r="AH37" s="100"/>
      <c r="AI37" s="99"/>
      <c r="AJ37" s="126"/>
      <c r="AK37" s="100"/>
      <c r="AL37" s="99"/>
      <c r="AM37" s="126"/>
      <c r="AN37" s="124"/>
      <c r="AO37" s="99"/>
      <c r="AP37" s="127"/>
      <c r="AQ37" s="124"/>
      <c r="AR37" s="99"/>
      <c r="AS37" s="127"/>
      <c r="AT37" s="124"/>
      <c r="AU37" s="99"/>
      <c r="AV37" s="123"/>
      <c r="AW37" s="124"/>
      <c r="AX37" s="99"/>
      <c r="AY37" s="123"/>
      <c r="AZ37" s="128"/>
      <c r="BA37" s="99"/>
      <c r="BB37" s="123"/>
      <c r="BC37" s="124"/>
      <c r="BD37" s="99"/>
      <c r="BE37" s="126"/>
      <c r="BF37" s="125"/>
      <c r="BG37" s="99"/>
      <c r="BH37" s="129"/>
      <c r="BI37" s="125"/>
      <c r="BJ37" s="99"/>
      <c r="BK37" s="129"/>
      <c r="BL37" s="125"/>
      <c r="BM37" s="99"/>
      <c r="BN37" s="117"/>
      <c r="BO37" s="125"/>
      <c r="BP37" s="99"/>
      <c r="BQ37" s="130"/>
      <c r="BR37" s="125"/>
    </row>
    <row r="38" spans="1:70" ht="13.5">
      <c r="A38" s="79" t="s">
        <v>70</v>
      </c>
      <c r="B38" s="99">
        <v>455.60400000000004</v>
      </c>
      <c r="C38" s="116">
        <f>D38/B38</f>
        <v>201.50814532469522</v>
      </c>
      <c r="D38" s="99">
        <f>H38+V38+AN38+BF38</f>
        <v>91807.91704251245</v>
      </c>
      <c r="E38" s="108">
        <f>D38*100</f>
        <v>9180791.704251245</v>
      </c>
      <c r="F38" s="99">
        <v>364.10164</v>
      </c>
      <c r="G38" s="117">
        <v>187.33</v>
      </c>
      <c r="H38" s="99">
        <f>F38*G38</f>
        <v>68207.1602212</v>
      </c>
      <c r="I38" s="99"/>
      <c r="J38" s="117">
        <v>187.33</v>
      </c>
      <c r="K38" s="99"/>
      <c r="L38" s="99"/>
      <c r="M38" s="117">
        <v>187.33</v>
      </c>
      <c r="N38" s="99"/>
      <c r="P38" s="99">
        <f>T38+AL38+BD38</f>
        <v>91.50236000000001</v>
      </c>
      <c r="Q38" s="117">
        <f>R38/P38</f>
        <v>257.92511604413767</v>
      </c>
      <c r="R38" s="99">
        <f>V38+AN38+BF38</f>
        <v>23600.75682131246</v>
      </c>
      <c r="S38" s="99"/>
      <c r="T38" s="99">
        <v>0</v>
      </c>
      <c r="U38" s="117">
        <v>0</v>
      </c>
      <c r="V38" s="99">
        <f>Y38+AB38+AE38+AH38+AK38</f>
        <v>0</v>
      </c>
      <c r="W38" s="99">
        <v>0</v>
      </c>
      <c r="X38" s="79">
        <v>0</v>
      </c>
      <c r="Y38" s="79">
        <v>0</v>
      </c>
      <c r="Z38" s="99">
        <v>0</v>
      </c>
      <c r="AA38" s="79">
        <v>0</v>
      </c>
      <c r="AB38" s="99">
        <f>Z38*AA38</f>
        <v>0</v>
      </c>
      <c r="AC38" s="99">
        <v>0</v>
      </c>
      <c r="AD38" s="79">
        <v>0</v>
      </c>
      <c r="AE38" s="79">
        <v>0</v>
      </c>
      <c r="AF38" s="99">
        <f>T38-W38-Z38-AC38-AI38</f>
        <v>0</v>
      </c>
      <c r="AG38" s="79">
        <v>0</v>
      </c>
      <c r="AH38" s="79">
        <v>0</v>
      </c>
      <c r="AI38" s="99">
        <v>0</v>
      </c>
      <c r="AJ38" s="99">
        <v>0</v>
      </c>
      <c r="AK38" s="99">
        <v>0</v>
      </c>
      <c r="AL38" s="99">
        <v>49.09882731707317</v>
      </c>
      <c r="AM38" s="118">
        <f>AN38/AL38</f>
        <v>290.3234406691919</v>
      </c>
      <c r="AN38" s="99">
        <f>AQ38+AT38+AW38+AZ38+BC38</f>
        <v>14254.540479515192</v>
      </c>
      <c r="AO38" s="99">
        <v>13.365906185365855</v>
      </c>
      <c r="AP38" s="79">
        <v>385.62</v>
      </c>
      <c r="AQ38" s="99">
        <f>AP38*AO38</f>
        <v>5154.160743200781</v>
      </c>
      <c r="AR38" s="99">
        <v>2.607906185365854</v>
      </c>
      <c r="AS38" s="79">
        <v>276.78</v>
      </c>
      <c r="AT38" s="99">
        <f>AR38*AS38</f>
        <v>721.816273985561</v>
      </c>
      <c r="AU38" s="99">
        <v>0.594</v>
      </c>
      <c r="AV38" s="79">
        <v>229.68</v>
      </c>
      <c r="AW38" s="99">
        <f>AU38*AV38</f>
        <v>136.42992</v>
      </c>
      <c r="AX38" s="99">
        <f>AL38-AO38-AR38-AU38-BA38</f>
        <v>13.85301494634146</v>
      </c>
      <c r="AY38" s="117">
        <f>0.84*203.18+0.16*111.49</f>
        <v>188.5096</v>
      </c>
      <c r="AZ38" s="64">
        <f>AX38*AY38</f>
        <v>2611.4263063288504</v>
      </c>
      <c r="BA38" s="99">
        <v>18.677999999999997</v>
      </c>
      <c r="BB38" s="117">
        <f t="shared" si="17"/>
        <v>301.462</v>
      </c>
      <c r="BC38" s="99">
        <f>BB38*BA38</f>
        <v>5630.707235999999</v>
      </c>
      <c r="BD38" s="99">
        <v>42.40353268292683</v>
      </c>
      <c r="BE38" s="117">
        <f>BF38/BD38</f>
        <v>220.4112664782854</v>
      </c>
      <c r="BF38" s="99">
        <f>BI38+BL38+BO38+BR38</f>
        <v>9346.21634179727</v>
      </c>
      <c r="BG38" s="99">
        <v>10.118282614634147</v>
      </c>
      <c r="BH38" s="79">
        <v>300.48</v>
      </c>
      <c r="BI38" s="99">
        <f>BG38*BH38</f>
        <v>3040.3415600452686</v>
      </c>
      <c r="BJ38" s="99">
        <v>2.1382826146341465</v>
      </c>
      <c r="BK38" s="79">
        <v>215.67</v>
      </c>
      <c r="BL38" s="99">
        <f>BJ38*BK38</f>
        <v>461.16341149814633</v>
      </c>
      <c r="BM38" s="99">
        <v>26.384967453658536</v>
      </c>
      <c r="BN38" s="117">
        <f t="shared" si="22"/>
        <v>187.33</v>
      </c>
      <c r="BO38" s="99">
        <f>BM38*BN38</f>
        <v>4942.695953093854</v>
      </c>
      <c r="BP38" s="99">
        <v>3.762</v>
      </c>
      <c r="BQ38" s="117">
        <f t="shared" si="24"/>
        <v>239.77018000000004</v>
      </c>
      <c r="BR38" s="99">
        <f>BP38*BQ38</f>
        <v>902.0154171600002</v>
      </c>
    </row>
    <row r="39" spans="1:70" ht="13.5">
      <c r="A39" s="79" t="s">
        <v>71</v>
      </c>
      <c r="B39" s="99">
        <v>17.309</v>
      </c>
      <c r="C39" s="116">
        <f>D39/B39</f>
        <v>207.99352627900726</v>
      </c>
      <c r="D39" s="99">
        <f>H39+V39+AN39+BF39</f>
        <v>3600.159946363337</v>
      </c>
      <c r="E39" s="108">
        <f>D39*100</f>
        <v>360015.9946363337</v>
      </c>
      <c r="F39" s="99">
        <v>13.320689999999999</v>
      </c>
      <c r="G39" s="117">
        <v>187.33</v>
      </c>
      <c r="H39" s="99">
        <f>F39*G39</f>
        <v>2495.3648577</v>
      </c>
      <c r="I39" s="99"/>
      <c r="J39" s="117">
        <v>187.33</v>
      </c>
      <c r="K39" s="99"/>
      <c r="L39" s="99"/>
      <c r="M39" s="117">
        <v>187.33</v>
      </c>
      <c r="N39" s="99"/>
      <c r="P39" s="99">
        <f>T39+AL39+BD39</f>
        <v>3.988310000000001</v>
      </c>
      <c r="Q39" s="117">
        <f>R39/P39</f>
        <v>277.00832900735827</v>
      </c>
      <c r="R39" s="99">
        <f>V39+AN39+BF39</f>
        <v>1104.7950886633373</v>
      </c>
      <c r="S39" s="99"/>
      <c r="T39" s="99">
        <v>0</v>
      </c>
      <c r="U39" s="117">
        <v>0</v>
      </c>
      <c r="V39" s="99">
        <f>Y39+AB39+AE39+AH39+AK39</f>
        <v>0</v>
      </c>
      <c r="W39" s="99">
        <v>0</v>
      </c>
      <c r="X39" s="79">
        <v>0</v>
      </c>
      <c r="Y39" s="79">
        <v>0</v>
      </c>
      <c r="Z39" s="99">
        <v>0</v>
      </c>
      <c r="AA39" s="79">
        <v>0</v>
      </c>
      <c r="AB39" s="99">
        <f>Z39*AA39</f>
        <v>0</v>
      </c>
      <c r="AC39" s="99">
        <v>0</v>
      </c>
      <c r="AD39" s="79">
        <v>0</v>
      </c>
      <c r="AE39" s="79">
        <v>0</v>
      </c>
      <c r="AF39" s="99">
        <f>T39-W39-Z39-AC39-AI39</f>
        <v>0</v>
      </c>
      <c r="AG39" s="79">
        <v>0</v>
      </c>
      <c r="AH39" s="79">
        <v>0</v>
      </c>
      <c r="AI39" s="99">
        <v>0</v>
      </c>
      <c r="AJ39" s="99">
        <v>0</v>
      </c>
      <c r="AK39" s="99">
        <v>0</v>
      </c>
      <c r="AL39" s="99">
        <v>2.2790342857142862</v>
      </c>
      <c r="AM39" s="118">
        <f>AN39/AL39</f>
        <v>314.46697590002776</v>
      </c>
      <c r="AN39" s="99">
        <f>AQ39+AT39+AW39+AZ39+BC39</f>
        <v>716.6810198010514</v>
      </c>
      <c r="AO39" s="99">
        <v>0.7543227428571428</v>
      </c>
      <c r="AP39" s="79">
        <v>385.62</v>
      </c>
      <c r="AQ39" s="99">
        <f>AP39*AO39</f>
        <v>290.8819361005714</v>
      </c>
      <c r="AR39" s="99">
        <v>0.10232274285714288</v>
      </c>
      <c r="AS39" s="79">
        <v>276.78</v>
      </c>
      <c r="AT39" s="99">
        <f>AR39*AS39</f>
        <v>28.320888768000003</v>
      </c>
      <c r="AU39" s="99">
        <v>0.036</v>
      </c>
      <c r="AV39" s="79">
        <v>229.68</v>
      </c>
      <c r="AW39" s="99">
        <f>AU39*AV39</f>
        <v>8.26848</v>
      </c>
      <c r="AX39" s="99">
        <f>AL39-AO39-AR39-AU39-BA39</f>
        <v>0.2543888000000005</v>
      </c>
      <c r="AY39" s="117">
        <f>0.84*203.18+0.16*111.49</f>
        <v>188.5096</v>
      </c>
      <c r="AZ39" s="64">
        <f>AX39*AY39</f>
        <v>47.9547309324801</v>
      </c>
      <c r="BA39" s="99">
        <v>1.132</v>
      </c>
      <c r="BB39" s="117">
        <f t="shared" si="17"/>
        <v>301.462</v>
      </c>
      <c r="BC39" s="99">
        <f>BB39*BA39</f>
        <v>341.254984</v>
      </c>
      <c r="BD39" s="99">
        <v>1.709275714285715</v>
      </c>
      <c r="BE39" s="117">
        <f>BF39/BD39</f>
        <v>227.06346648379892</v>
      </c>
      <c r="BF39" s="99">
        <f>BI39+BL39+BO39+BR39</f>
        <v>388.1140688622859</v>
      </c>
      <c r="BG39" s="99">
        <v>0.4907420571428573</v>
      </c>
      <c r="BH39" s="79">
        <v>300.48</v>
      </c>
      <c r="BI39" s="99">
        <f>BG39*BH39</f>
        <v>147.45817333028577</v>
      </c>
      <c r="BJ39" s="99">
        <v>0.07074205714285721</v>
      </c>
      <c r="BK39" s="79">
        <v>215.67</v>
      </c>
      <c r="BL39" s="99">
        <f>BJ39*BK39</f>
        <v>15.256939464000013</v>
      </c>
      <c r="BM39" s="99">
        <v>0.9497916000000004</v>
      </c>
      <c r="BN39" s="117">
        <f t="shared" si="22"/>
        <v>187.33</v>
      </c>
      <c r="BO39" s="99">
        <f>BM39*BN39</f>
        <v>177.9244604280001</v>
      </c>
      <c r="BP39" s="99">
        <v>0.198</v>
      </c>
      <c r="BQ39" s="117">
        <f t="shared" si="24"/>
        <v>239.77018000000004</v>
      </c>
      <c r="BR39" s="99">
        <f>BP39*BQ39</f>
        <v>47.47449564000001</v>
      </c>
    </row>
    <row r="40" spans="1:70" ht="13.5">
      <c r="A40" s="79" t="s">
        <v>74</v>
      </c>
      <c r="B40" s="99">
        <v>218.499</v>
      </c>
      <c r="C40" s="116">
        <f>D40/B40</f>
        <v>198.6609254559381</v>
      </c>
      <c r="D40" s="99">
        <f>H40+V40+AN40+BF40</f>
        <v>43407.21355119702</v>
      </c>
      <c r="E40" s="108">
        <f>D40*100</f>
        <v>4340721.3551197015</v>
      </c>
      <c r="F40" s="99">
        <v>182.48859</v>
      </c>
      <c r="G40" s="117">
        <v>187.33</v>
      </c>
      <c r="H40" s="99">
        <f>F40*G40</f>
        <v>34185.5875647</v>
      </c>
      <c r="I40" s="99"/>
      <c r="J40" s="117">
        <v>187.33</v>
      </c>
      <c r="K40" s="99"/>
      <c r="L40" s="99"/>
      <c r="M40" s="117">
        <v>187.33</v>
      </c>
      <c r="N40" s="99"/>
      <c r="P40" s="99">
        <f>T40+AL40+BD40</f>
        <v>36.01041</v>
      </c>
      <c r="Q40" s="117">
        <f>R40/P40</f>
        <v>256.0822269587328</v>
      </c>
      <c r="R40" s="99">
        <f>V40+AN40+BF40</f>
        <v>9221.625986497022</v>
      </c>
      <c r="S40" s="99"/>
      <c r="T40" s="99">
        <v>0</v>
      </c>
      <c r="U40" s="117">
        <v>0</v>
      </c>
      <c r="V40" s="99">
        <f>Y40+AB40+AE40+AH40+AK40</f>
        <v>0</v>
      </c>
      <c r="W40" s="99">
        <v>0</v>
      </c>
      <c r="X40" s="79">
        <v>0</v>
      </c>
      <c r="Y40" s="79">
        <v>0</v>
      </c>
      <c r="Z40" s="99">
        <v>0</v>
      </c>
      <c r="AA40" s="79">
        <v>0</v>
      </c>
      <c r="AB40" s="99">
        <f>Z40*AA40</f>
        <v>0</v>
      </c>
      <c r="AC40" s="99">
        <v>0</v>
      </c>
      <c r="AD40" s="79">
        <v>0</v>
      </c>
      <c r="AE40" s="79">
        <v>0</v>
      </c>
      <c r="AF40" s="99">
        <f>T40-W40-Z40-AC40-AI40</f>
        <v>0</v>
      </c>
      <c r="AG40" s="79">
        <v>0</v>
      </c>
      <c r="AH40" s="79">
        <v>0</v>
      </c>
      <c r="AI40" s="99">
        <v>0</v>
      </c>
      <c r="AJ40" s="99">
        <v>0</v>
      </c>
      <c r="AK40" s="99">
        <v>0</v>
      </c>
      <c r="AL40" s="99">
        <v>19.15447340425532</v>
      </c>
      <c r="AM40" s="118">
        <f>AN40/AL40</f>
        <v>288.0289929513782</v>
      </c>
      <c r="AN40" s="99">
        <f>AQ40+AT40+AW40+AZ40+BC40</f>
        <v>5517.043685141617</v>
      </c>
      <c r="AO40" s="99">
        <v>5.107357872340426</v>
      </c>
      <c r="AP40" s="79">
        <v>385.62</v>
      </c>
      <c r="AQ40" s="99">
        <f>AP40*AO40</f>
        <v>1969.499342731915</v>
      </c>
      <c r="AR40" s="99">
        <v>1.0323578723404256</v>
      </c>
      <c r="AS40" s="79">
        <v>276.78</v>
      </c>
      <c r="AT40" s="99">
        <f>AR40*AS40</f>
        <v>285.736011906383</v>
      </c>
      <c r="AU40" s="99">
        <v>0.22499999999999998</v>
      </c>
      <c r="AV40" s="79">
        <v>229.68</v>
      </c>
      <c r="AW40" s="99">
        <f>AU40*AV40</f>
        <v>51.678</v>
      </c>
      <c r="AX40" s="99">
        <f>AL40-AO40-AR40-AU40-BA40</f>
        <v>5.71475765957447</v>
      </c>
      <c r="AY40" s="117">
        <f>0.84*203.18+0.16*111.49</f>
        <v>188.5096</v>
      </c>
      <c r="AZ40" s="64">
        <f>AX40*AY40</f>
        <v>1077.2866805033195</v>
      </c>
      <c r="BA40" s="99">
        <v>7.074999999999999</v>
      </c>
      <c r="BB40" s="117">
        <f t="shared" si="17"/>
        <v>301.462</v>
      </c>
      <c r="BC40" s="99">
        <f>BB40*BA40</f>
        <v>2132.84365</v>
      </c>
      <c r="BD40" s="99">
        <v>16.85593659574468</v>
      </c>
      <c r="BE40" s="117">
        <f>BF40/BD40</f>
        <v>219.7790837852721</v>
      </c>
      <c r="BF40" s="99">
        <f>BI40+BL40+BO40+BR40</f>
        <v>3704.582301355404</v>
      </c>
      <c r="BG40" s="99">
        <v>3.9444749276595745</v>
      </c>
      <c r="BH40" s="79">
        <v>300.48</v>
      </c>
      <c r="BI40" s="99">
        <f>BG40*BH40</f>
        <v>1185.235826263149</v>
      </c>
      <c r="BJ40" s="99">
        <v>0.8644749276595745</v>
      </c>
      <c r="BK40" s="79">
        <v>215.67</v>
      </c>
      <c r="BL40" s="99">
        <f>BJ40*BK40</f>
        <v>186.4413076483404</v>
      </c>
      <c r="BM40" s="99">
        <v>10.594986740425531</v>
      </c>
      <c r="BN40" s="117">
        <f t="shared" si="22"/>
        <v>187.33</v>
      </c>
      <c r="BO40" s="99">
        <f>BM40*BN40</f>
        <v>1984.7588660839149</v>
      </c>
      <c r="BP40" s="99">
        <v>1.452</v>
      </c>
      <c r="BQ40" s="117">
        <f t="shared" si="24"/>
        <v>239.77018000000004</v>
      </c>
      <c r="BR40" s="99">
        <f>BP40*BQ40</f>
        <v>348.14630136000005</v>
      </c>
    </row>
    <row r="41" spans="1:70" ht="13.5">
      <c r="A41" s="127" t="s">
        <v>48</v>
      </c>
      <c r="B41" s="99">
        <f>SUM(B38:B40)</f>
        <v>691.412</v>
      </c>
      <c r="C41" s="117">
        <f>D41/B41</f>
        <v>200.77072793077474</v>
      </c>
      <c r="D41" s="99">
        <f>H41+V41+AN41+BF41</f>
        <v>138815.29054007283</v>
      </c>
      <c r="E41" s="108">
        <f>D41*100</f>
        <v>13881529.054007284</v>
      </c>
      <c r="F41" s="99">
        <f>SUM(F38:F40)</f>
        <v>559.91092</v>
      </c>
      <c r="G41" s="117">
        <f>H41/F41</f>
        <v>187.32999999999998</v>
      </c>
      <c r="H41" s="99">
        <f>SUM(H38:H40)</f>
        <v>104888.1126436</v>
      </c>
      <c r="I41" s="99"/>
      <c r="J41" s="117">
        <v>187.32999999999998</v>
      </c>
      <c r="K41" s="99"/>
      <c r="L41" s="99"/>
      <c r="M41" s="117">
        <v>187.32999999999998</v>
      </c>
      <c r="N41" s="99"/>
      <c r="P41" s="99">
        <f>SUM(P38:P40)</f>
        <v>131.50108</v>
      </c>
      <c r="Q41" s="117">
        <f>R41/P41</f>
        <v>257.99923389581915</v>
      </c>
      <c r="R41" s="99">
        <f>SUM(R38:R40)</f>
        <v>33927.17789647282</v>
      </c>
      <c r="S41" s="99"/>
      <c r="T41" s="99">
        <f>SUM(T38:T40)</f>
        <v>0</v>
      </c>
      <c r="U41" s="117">
        <v>0</v>
      </c>
      <c r="V41" s="99">
        <f>SUM(V38:V40)</f>
        <v>0</v>
      </c>
      <c r="W41" s="99">
        <f>SUM(W38:W40)</f>
        <v>0</v>
      </c>
      <c r="X41" s="79">
        <v>0</v>
      </c>
      <c r="Y41" s="99">
        <f>SUM(Y38:Y40)</f>
        <v>0</v>
      </c>
      <c r="Z41" s="99">
        <f>SUM(Z38:Z40)</f>
        <v>0</v>
      </c>
      <c r="AA41" s="79">
        <v>0</v>
      </c>
      <c r="AB41" s="99">
        <f>SUM(AB38:AB40)</f>
        <v>0</v>
      </c>
      <c r="AC41" s="99">
        <f>SUM(AC38:AC40)</f>
        <v>0</v>
      </c>
      <c r="AD41" s="79">
        <v>0</v>
      </c>
      <c r="AE41" s="99">
        <f>SUM(AE38:AE40)</f>
        <v>0</v>
      </c>
      <c r="AF41" s="99">
        <f>SUM(AF38:AF40)</f>
        <v>0</v>
      </c>
      <c r="AG41" s="79">
        <v>0</v>
      </c>
      <c r="AH41" s="99">
        <f>SUM(AH38:AH40)</f>
        <v>0</v>
      </c>
      <c r="AI41" s="99">
        <f>SUM(AI38:AI40)</f>
        <v>0</v>
      </c>
      <c r="AJ41" s="117">
        <v>0</v>
      </c>
      <c r="AK41" s="99">
        <f>SUM(AK38:AK40)</f>
        <v>0</v>
      </c>
      <c r="AL41" s="99">
        <f>SUM(AL38:AL40)</f>
        <v>70.53233500704278</v>
      </c>
      <c r="AM41" s="117">
        <f>AN41/AL41</f>
        <v>290.48046094620395</v>
      </c>
      <c r="AN41" s="99">
        <f>SUM(AN38:AN40)</f>
        <v>20488.26518445786</v>
      </c>
      <c r="AO41" s="99">
        <f>SUM(AO38:AO40)</f>
        <v>19.227586800563422</v>
      </c>
      <c r="AP41" s="117">
        <f>AQ41/AO41</f>
        <v>385.62000000000006</v>
      </c>
      <c r="AQ41" s="99">
        <f>SUM(AQ38:AQ40)</f>
        <v>7414.542022033268</v>
      </c>
      <c r="AR41" s="99">
        <f>SUM(AR38:AR40)</f>
        <v>3.742586800563423</v>
      </c>
      <c r="AS41" s="117">
        <f>AT41/AR41</f>
        <v>276.78</v>
      </c>
      <c r="AT41" s="99">
        <f>SUM(AT38:AT40)</f>
        <v>1035.873174659944</v>
      </c>
      <c r="AU41" s="99">
        <f>SUM(AU38:AU40)</f>
        <v>0.855</v>
      </c>
      <c r="AV41" s="117">
        <f>AW41/AU41</f>
        <v>229.68000000000004</v>
      </c>
      <c r="AW41" s="99">
        <f>SUM(AW38:AW40)</f>
        <v>196.37640000000002</v>
      </c>
      <c r="AX41" s="99">
        <f>SUM(AX38:AX40)</f>
        <v>19.82216140591593</v>
      </c>
      <c r="AY41" s="117">
        <f>AZ41/AX41</f>
        <v>188.5096</v>
      </c>
      <c r="AZ41" s="64">
        <f>SUM(AZ38:AZ40)</f>
        <v>3736.66771776465</v>
      </c>
      <c r="BA41" s="99">
        <f>SUM(BA38:BA40)</f>
        <v>26.884999999999998</v>
      </c>
      <c r="BB41" s="117">
        <f>BC41/BA41</f>
        <v>301.462</v>
      </c>
      <c r="BC41" s="99">
        <f>SUM(BC38:BC40)</f>
        <v>8104.805869999999</v>
      </c>
      <c r="BD41" s="99">
        <f>SUM(BD38:BD40)</f>
        <v>60.96874499295723</v>
      </c>
      <c r="BE41" s="117">
        <f>BF41/BD41</f>
        <v>220.42298416290754</v>
      </c>
      <c r="BF41" s="99">
        <f>SUM(BF38:BF40)</f>
        <v>13438.912712014959</v>
      </c>
      <c r="BG41" s="99">
        <f>SUM(BG38:BG40)</f>
        <v>14.553499599436577</v>
      </c>
      <c r="BH41" s="117">
        <f>BI41/BG41</f>
        <v>300.4800000000001</v>
      </c>
      <c r="BI41" s="99">
        <f>SUM(BI38:BI40)</f>
        <v>4373.0355596387035</v>
      </c>
      <c r="BJ41" s="99">
        <f>SUM(BJ38:BJ40)</f>
        <v>3.073499599436578</v>
      </c>
      <c r="BK41" s="117">
        <f>BL41/BJ41</f>
        <v>215.67</v>
      </c>
      <c r="BL41" s="99">
        <f>SUM(BL38:BL40)</f>
        <v>662.8616586104868</v>
      </c>
      <c r="BM41" s="99">
        <f>SUM(BM38:BM40)</f>
        <v>37.92974579408407</v>
      </c>
      <c r="BN41" s="117">
        <f t="shared" si="22"/>
        <v>187.32999999999998</v>
      </c>
      <c r="BO41" s="99">
        <f>SUM(BO38:BO40)</f>
        <v>7105.379279605769</v>
      </c>
      <c r="BP41" s="99">
        <f>SUM(BP38:BP40)</f>
        <v>5.412</v>
      </c>
      <c r="BQ41" s="117">
        <f>BR41/BP41</f>
        <v>239.77018000000004</v>
      </c>
      <c r="BR41" s="99">
        <f>SUM(BR38:BR40)</f>
        <v>1297.6362141600002</v>
      </c>
    </row>
    <row r="42" spans="2:70" ht="13.5">
      <c r="B42" s="99"/>
      <c r="C42" s="116"/>
      <c r="D42" s="99"/>
      <c r="F42" s="99"/>
      <c r="G42" s="117"/>
      <c r="H42" s="99"/>
      <c r="I42" s="99"/>
      <c r="J42" s="99"/>
      <c r="K42" s="99"/>
      <c r="L42" s="99"/>
      <c r="M42" s="99"/>
      <c r="N42" s="99"/>
      <c r="P42" s="99"/>
      <c r="Q42" s="117"/>
      <c r="R42" s="99"/>
      <c r="S42" s="99"/>
      <c r="T42" s="99"/>
      <c r="U42" s="117"/>
      <c r="V42" s="99"/>
      <c r="W42" s="99"/>
      <c r="Z42" s="99"/>
      <c r="AB42" s="99"/>
      <c r="AC42" s="99"/>
      <c r="AF42" s="99"/>
      <c r="AI42" s="99"/>
      <c r="AJ42" s="99"/>
      <c r="AK42" s="99"/>
      <c r="AL42" s="99"/>
      <c r="AM42" s="118"/>
      <c r="AN42" s="99"/>
      <c r="AO42" s="99"/>
      <c r="AQ42" s="99"/>
      <c r="AR42" s="99"/>
      <c r="AT42" s="99"/>
      <c r="AU42" s="99"/>
      <c r="AW42" s="99"/>
      <c r="AX42" s="99"/>
      <c r="AY42" s="117"/>
      <c r="BA42" s="99"/>
      <c r="BB42" s="117"/>
      <c r="BC42" s="99"/>
      <c r="BD42" s="99"/>
      <c r="BE42" s="117"/>
      <c r="BF42" s="99"/>
      <c r="BG42" s="99"/>
      <c r="BI42" s="99"/>
      <c r="BJ42" s="99"/>
      <c r="BL42" s="99"/>
      <c r="BM42" s="99"/>
      <c r="BN42" s="117"/>
      <c r="BO42" s="99"/>
      <c r="BP42" s="99"/>
      <c r="BQ42" s="117"/>
      <c r="BR42" s="99"/>
    </row>
    <row r="43" ht="12">
      <c r="A43" s="127" t="s">
        <v>91</v>
      </c>
    </row>
    <row r="44" ht="12">
      <c r="A44" s="127" t="s">
        <v>93</v>
      </c>
    </row>
    <row r="45" ht="12">
      <c r="A45" s="79" t="s">
        <v>13</v>
      </c>
    </row>
    <row r="46" ht="12">
      <c r="A46" s="79" t="s">
        <v>90</v>
      </c>
    </row>
    <row r="47" ht="12">
      <c r="A47" s="150" t="s">
        <v>32</v>
      </c>
    </row>
    <row r="48" ht="12">
      <c r="A48" s="81" t="s">
        <v>125</v>
      </c>
    </row>
    <row r="49" ht="12">
      <c r="A49" s="79" t="s">
        <v>126</v>
      </c>
    </row>
    <row r="50" ht="12">
      <c r="A50" s="79" t="s">
        <v>107</v>
      </c>
    </row>
    <row r="51" ht="12">
      <c r="A51" s="79" t="s">
        <v>25</v>
      </c>
    </row>
    <row r="52" ht="12">
      <c r="A52" s="127" t="s">
        <v>92</v>
      </c>
    </row>
    <row r="53" spans="1:15" ht="12">
      <c r="A53" s="106" t="s">
        <v>82</v>
      </c>
      <c r="B53" s="106"/>
      <c r="C53" s="106"/>
      <c r="D53" s="106"/>
      <c r="E53" s="106"/>
      <c r="F53" s="106"/>
      <c r="G53" s="64"/>
      <c r="H53" s="64"/>
      <c r="I53" s="64"/>
      <c r="J53" s="64"/>
      <c r="K53" s="64"/>
      <c r="L53" s="64"/>
      <c r="M53" s="64"/>
      <c r="N53" s="64"/>
      <c r="O53" s="64"/>
    </row>
    <row r="54" spans="1:15" ht="13.5">
      <c r="A54" s="101" t="s">
        <v>14</v>
      </c>
      <c r="B54" s="105"/>
      <c r="C54" s="105"/>
      <c r="D54" s="105"/>
      <c r="E54" s="105"/>
      <c r="F54" s="105"/>
      <c r="G54" s="105"/>
      <c r="H54" s="105"/>
      <c r="I54" s="105"/>
      <c r="J54" s="105"/>
      <c r="K54" s="105"/>
      <c r="L54" s="105"/>
      <c r="M54" s="105"/>
      <c r="N54" s="105"/>
      <c r="O54" s="105"/>
    </row>
    <row r="55" spans="1:16" ht="13.5">
      <c r="A55" s="101" t="s">
        <v>108</v>
      </c>
      <c r="B55" s="105"/>
      <c r="C55" s="105"/>
      <c r="D55" s="105"/>
      <c r="E55" s="105"/>
      <c r="F55" s="105"/>
      <c r="G55" s="105"/>
      <c r="H55" s="105"/>
      <c r="I55" s="105"/>
      <c r="J55" s="105"/>
      <c r="K55" s="105"/>
      <c r="L55" s="105"/>
      <c r="M55" s="105"/>
      <c r="N55" s="105"/>
      <c r="O55" s="105"/>
      <c r="P55" s="105"/>
    </row>
    <row r="56" spans="1:16" ht="13.5">
      <c r="A56" s="101" t="s">
        <v>94</v>
      </c>
      <c r="B56" s="64"/>
      <c r="C56" s="64"/>
      <c r="D56" s="64"/>
      <c r="F56" s="64"/>
      <c r="G56" s="64"/>
      <c r="H56" s="64"/>
      <c r="I56" s="64"/>
      <c r="J56" s="64"/>
      <c r="K56" s="64"/>
      <c r="L56" s="64"/>
      <c r="M56" s="64"/>
      <c r="N56" s="64"/>
      <c r="O56" s="64"/>
      <c r="P56" s="64"/>
    </row>
    <row r="57" spans="1:16" ht="13.5">
      <c r="A57" s="101" t="s">
        <v>136</v>
      </c>
      <c r="B57" s="64"/>
      <c r="C57" s="64"/>
      <c r="D57" s="64"/>
      <c r="F57" s="64"/>
      <c r="G57" s="64"/>
      <c r="H57" s="64"/>
      <c r="I57" s="64"/>
      <c r="J57" s="64"/>
      <c r="K57" s="64"/>
      <c r="L57" s="64"/>
      <c r="M57" s="64"/>
      <c r="N57" s="64"/>
      <c r="O57" s="64"/>
      <c r="P57" s="81"/>
    </row>
    <row r="58" spans="1:16" ht="42">
      <c r="A58" s="80" t="s">
        <v>39</v>
      </c>
      <c r="P58" s="81"/>
    </row>
    <row r="59" spans="1:16" ht="13.5">
      <c r="A59" s="101" t="s">
        <v>49</v>
      </c>
      <c r="B59" s="64"/>
      <c r="C59" s="64"/>
      <c r="D59" s="64"/>
      <c r="F59" s="64"/>
      <c r="G59" s="64"/>
      <c r="H59" s="64"/>
      <c r="I59" s="64"/>
      <c r="J59" s="64"/>
      <c r="K59" s="64"/>
      <c r="L59" s="64"/>
      <c r="M59" s="64"/>
      <c r="N59" s="64"/>
      <c r="O59" s="64"/>
      <c r="P59" s="81"/>
    </row>
    <row r="60" spans="1:16" ht="13.5">
      <c r="A60" s="101" t="s">
        <v>155</v>
      </c>
      <c r="B60" s="64"/>
      <c r="C60" s="64"/>
      <c r="D60" s="64"/>
      <c r="F60" s="64"/>
      <c r="G60" s="64"/>
      <c r="H60" s="64"/>
      <c r="I60" s="64"/>
      <c r="J60" s="64"/>
      <c r="K60" s="64"/>
      <c r="L60" s="64"/>
      <c r="M60" s="64"/>
      <c r="N60" s="64"/>
      <c r="O60" s="64"/>
      <c r="P60" s="81"/>
    </row>
    <row r="61" spans="1:16" ht="13.5">
      <c r="A61" s="101" t="s">
        <v>34</v>
      </c>
      <c r="B61" s="64"/>
      <c r="C61" s="64"/>
      <c r="D61" s="64"/>
      <c r="F61" s="64"/>
      <c r="G61" s="64"/>
      <c r="H61" s="64"/>
      <c r="I61" s="64"/>
      <c r="J61" s="64"/>
      <c r="K61" s="64"/>
      <c r="L61" s="64"/>
      <c r="M61" s="64"/>
      <c r="N61" s="64"/>
      <c r="O61" s="64"/>
      <c r="P61" s="81"/>
    </row>
    <row r="62" spans="1:16" ht="13.5">
      <c r="A62" s="20" t="s">
        <v>24</v>
      </c>
      <c r="B62" s="81"/>
      <c r="C62" s="151"/>
      <c r="D62" s="81"/>
      <c r="E62" s="105"/>
      <c r="F62" s="81"/>
      <c r="G62" s="81"/>
      <c r="H62" s="81"/>
      <c r="I62" s="81"/>
      <c r="J62" s="81"/>
      <c r="K62" s="81"/>
      <c r="L62" s="81"/>
      <c r="M62" s="81"/>
      <c r="N62" s="81"/>
      <c r="O62" s="81"/>
      <c r="P62" s="81"/>
    </row>
    <row r="63" spans="1:16" ht="13.5">
      <c r="A63" s="101" t="s">
        <v>109</v>
      </c>
      <c r="B63" s="104"/>
      <c r="C63" s="104"/>
      <c r="D63" s="104"/>
      <c r="E63" s="104"/>
      <c r="F63" s="104"/>
      <c r="G63" s="64"/>
      <c r="H63" s="64"/>
      <c r="I63" s="64"/>
      <c r="J63" s="64"/>
      <c r="K63" s="64"/>
      <c r="L63" s="64"/>
      <c r="M63" s="64"/>
      <c r="N63" s="64"/>
      <c r="O63" s="64"/>
      <c r="P63" s="64"/>
    </row>
    <row r="64" spans="1:6" ht="42">
      <c r="A64" s="80" t="s">
        <v>137</v>
      </c>
      <c r="B64" s="82"/>
      <c r="C64" s="82"/>
      <c r="D64" s="82"/>
      <c r="E64" s="104"/>
      <c r="F64" s="82"/>
    </row>
    <row r="65" spans="1:16" ht="13.5">
      <c r="A65" s="103" t="s">
        <v>27</v>
      </c>
      <c r="B65" s="104"/>
      <c r="C65" s="104"/>
      <c r="D65" s="104"/>
      <c r="E65" s="104"/>
      <c r="F65" s="104"/>
      <c r="G65" s="104"/>
      <c r="H65" s="104"/>
      <c r="I65" s="104"/>
      <c r="J65" s="104"/>
      <c r="K65" s="104"/>
      <c r="L65" s="104"/>
      <c r="M65" s="104"/>
      <c r="N65" s="104"/>
      <c r="O65" s="104"/>
      <c r="P65" s="81"/>
    </row>
    <row r="66" spans="1:16" ht="13.5">
      <c r="A66" s="101" t="s">
        <v>138</v>
      </c>
      <c r="B66" s="64"/>
      <c r="C66" s="64"/>
      <c r="D66" s="64"/>
      <c r="F66" s="64"/>
      <c r="G66" s="64"/>
      <c r="H66" s="64"/>
      <c r="I66" s="64"/>
      <c r="J66" s="64"/>
      <c r="K66" s="64"/>
      <c r="L66" s="64"/>
      <c r="M66" s="64"/>
      <c r="N66" s="64"/>
      <c r="O66" s="64"/>
      <c r="P66" s="81"/>
    </row>
    <row r="67" spans="1:16" ht="97.5">
      <c r="A67" s="80" t="s">
        <v>168</v>
      </c>
      <c r="P67" s="81"/>
    </row>
    <row r="68" spans="1:16" ht="13.5">
      <c r="A68" s="101" t="s">
        <v>7</v>
      </c>
      <c r="B68" s="64"/>
      <c r="C68" s="64"/>
      <c r="D68" s="64"/>
      <c r="F68" s="64"/>
      <c r="G68" s="64"/>
      <c r="H68" s="64"/>
      <c r="I68" s="64"/>
      <c r="J68" s="64"/>
      <c r="K68" s="64"/>
      <c r="L68" s="64"/>
      <c r="M68" s="64"/>
      <c r="N68" s="64"/>
      <c r="O68" s="64"/>
      <c r="P68" s="81"/>
    </row>
    <row r="69" spans="1:16" ht="13.5">
      <c r="A69" s="102" t="s">
        <v>8</v>
      </c>
      <c r="B69" s="64"/>
      <c r="C69" s="64"/>
      <c r="D69" s="64"/>
      <c r="F69" s="64"/>
      <c r="G69" s="64"/>
      <c r="H69" s="64"/>
      <c r="I69" s="64"/>
      <c r="J69" s="64"/>
      <c r="K69" s="64"/>
      <c r="L69" s="64"/>
      <c r="M69" s="64"/>
      <c r="N69" s="64"/>
      <c r="O69" s="64"/>
      <c r="P69" s="81"/>
    </row>
    <row r="70" spans="1:16" ht="13.5">
      <c r="A70" s="20" t="s">
        <v>26</v>
      </c>
      <c r="B70" s="82"/>
      <c r="C70" s="82"/>
      <c r="D70" s="82"/>
      <c r="E70" s="104"/>
      <c r="F70" s="82"/>
      <c r="G70" s="82"/>
      <c r="H70" s="82"/>
      <c r="I70" s="82"/>
      <c r="J70" s="82"/>
      <c r="K70" s="82"/>
      <c r="L70" s="82"/>
      <c r="M70" s="82"/>
      <c r="N70" s="82"/>
      <c r="O70" s="82"/>
      <c r="P70" s="81"/>
    </row>
    <row r="71" spans="1:16" ht="13.5">
      <c r="A71" s="101" t="s">
        <v>169</v>
      </c>
      <c r="B71" s="64"/>
      <c r="C71" s="64"/>
      <c r="D71" s="64"/>
      <c r="F71" s="64"/>
      <c r="G71" s="64"/>
      <c r="H71" s="64"/>
      <c r="I71" s="64"/>
      <c r="J71" s="64"/>
      <c r="K71" s="64"/>
      <c r="L71" s="64"/>
      <c r="M71" s="64"/>
      <c r="N71" s="64"/>
      <c r="O71" s="64"/>
      <c r="P71" s="81"/>
    </row>
    <row r="72" spans="1:16" ht="13.5">
      <c r="A72" s="80" t="s">
        <v>170</v>
      </c>
      <c r="P72" s="81"/>
    </row>
    <row r="73" spans="1:16" ht="13.5">
      <c r="A73" s="101" t="s">
        <v>171</v>
      </c>
      <c r="B73" s="64"/>
      <c r="C73" s="64"/>
      <c r="D73" s="64"/>
      <c r="F73" s="64"/>
      <c r="G73" s="64"/>
      <c r="H73" s="64"/>
      <c r="I73" s="64"/>
      <c r="J73" s="64"/>
      <c r="K73" s="64"/>
      <c r="L73" s="64"/>
      <c r="M73" s="64"/>
      <c r="N73" s="64"/>
      <c r="O73" s="64"/>
      <c r="P73" s="81"/>
    </row>
    <row r="74" spans="1:16" ht="13.5">
      <c r="A74" s="101" t="s">
        <v>9</v>
      </c>
      <c r="B74" s="64"/>
      <c r="C74" s="64"/>
      <c r="D74" s="64"/>
      <c r="F74" s="64"/>
      <c r="G74" s="64"/>
      <c r="H74" s="64"/>
      <c r="I74" s="64"/>
      <c r="J74" s="64"/>
      <c r="K74" s="64"/>
      <c r="L74" s="64"/>
      <c r="M74" s="64"/>
      <c r="N74" s="64"/>
      <c r="O74" s="64"/>
      <c r="P74" s="81"/>
    </row>
    <row r="75" spans="1:16" ht="13.5">
      <c r="A75" s="101" t="s">
        <v>139</v>
      </c>
      <c r="B75" s="64"/>
      <c r="C75" s="64"/>
      <c r="D75" s="64"/>
      <c r="F75" s="64"/>
      <c r="G75" s="64"/>
      <c r="H75" s="64"/>
      <c r="I75" s="64"/>
      <c r="J75" s="64"/>
      <c r="K75" s="64"/>
      <c r="L75" s="64"/>
      <c r="M75" s="64"/>
      <c r="N75" s="64"/>
      <c r="O75" s="64"/>
      <c r="P75" s="81"/>
    </row>
    <row r="76" spans="1:16" ht="13.5">
      <c r="A76" s="103" t="s">
        <v>96</v>
      </c>
      <c r="B76" s="64"/>
      <c r="C76" s="64"/>
      <c r="D76" s="64"/>
      <c r="F76" s="64"/>
      <c r="G76" s="64"/>
      <c r="H76" s="64"/>
      <c r="I76" s="64"/>
      <c r="J76" s="64"/>
      <c r="K76" s="64"/>
      <c r="L76" s="64"/>
      <c r="M76" s="64"/>
      <c r="N76" s="64"/>
      <c r="O76" s="64"/>
      <c r="P76" s="81"/>
    </row>
    <row r="77" spans="1:16" ht="13.5">
      <c r="A77" s="101" t="s">
        <v>140</v>
      </c>
      <c r="B77" s="64"/>
      <c r="C77" s="64"/>
      <c r="D77" s="64"/>
      <c r="F77" s="64"/>
      <c r="G77" s="64"/>
      <c r="H77" s="64"/>
      <c r="I77" s="64"/>
      <c r="J77" s="64"/>
      <c r="K77" s="64"/>
      <c r="L77" s="64"/>
      <c r="M77" s="64"/>
      <c r="N77" s="64"/>
      <c r="O77" s="64"/>
      <c r="P77" s="81"/>
    </row>
  </sheetData>
  <sheetProtection/>
  <printOptions/>
  <pageMargins left="0.7" right="0.7" top="0.75" bottom="0.75" header="0.3" footer="0.3"/>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CP106"/>
  <sheetViews>
    <sheetView zoomScale="125" zoomScaleNormal="125" zoomScalePageLayoutView="0" workbookViewId="0" topLeftCell="A1">
      <pane xSplit="16780" ySplit="4480" topLeftCell="A27" activePane="topLeft" state="split"/>
      <selection pane="topLeft" activeCell="A4" sqref="A4"/>
      <selection pane="topRight" activeCell="C1" sqref="C1"/>
      <selection pane="bottomLeft" activeCell="C32" sqref="C32:C33"/>
      <selection pane="bottomRight" activeCell="C33" sqref="C33"/>
    </sheetView>
  </sheetViews>
  <sheetFormatPr defaultColWidth="8.8515625" defaultRowHeight="12.75"/>
  <cols>
    <col min="1" max="1" width="33.421875" style="0" customWidth="1"/>
    <col min="2" max="2" width="14.28125" style="0" customWidth="1"/>
    <col min="3" max="3" width="12.421875" style="0" customWidth="1"/>
    <col min="4" max="5" width="10.28125" style="0" customWidth="1"/>
    <col min="6" max="6" width="12.8515625" style="0" customWidth="1"/>
    <col min="7" max="7" width="13.421875" style="0" customWidth="1"/>
    <col min="8" max="8" width="11.00390625" style="0" customWidth="1"/>
    <col min="9" max="9" width="7.7109375" style="0" customWidth="1"/>
    <col min="10" max="13" width="12.28125" style="0" customWidth="1"/>
    <col min="14" max="14" width="13.00390625" style="0" customWidth="1"/>
    <col min="15" max="25" width="12.28125" style="0" customWidth="1"/>
    <col min="26" max="26" width="13.140625" style="0" customWidth="1"/>
    <col min="27" max="27" width="12.421875" style="0" customWidth="1"/>
    <col min="28" max="28" width="13.140625" style="0" customWidth="1"/>
    <col min="29" max="29" width="11.421875" style="0" customWidth="1"/>
    <col min="30" max="30" width="13.8515625" style="0" customWidth="1"/>
    <col min="31" max="31" width="14.00390625" style="0" customWidth="1"/>
    <col min="32" max="32" width="14.28125" style="0" customWidth="1"/>
    <col min="33" max="33" width="12.421875" style="0" customWidth="1"/>
    <col min="34" max="34" width="11.421875" style="0" customWidth="1"/>
    <col min="35" max="35" width="13.421875" style="0" customWidth="1"/>
    <col min="36" max="36" width="11.7109375" style="0" customWidth="1"/>
    <col min="37" max="37" width="11.421875" style="0" customWidth="1"/>
    <col min="40" max="40" width="10.7109375" style="0" bestFit="1" customWidth="1"/>
    <col min="41" max="41" width="11.28125" style="23" customWidth="1"/>
    <col min="43" max="43" width="10.7109375" style="0" bestFit="1" customWidth="1"/>
    <col min="49" max="49" width="10.7109375" style="0" bestFit="1" customWidth="1"/>
  </cols>
  <sheetData>
    <row r="1" ht="16.5">
      <c r="A1" s="5" t="s">
        <v>77</v>
      </c>
    </row>
    <row r="2" ht="18">
      <c r="A2" s="32" t="s">
        <v>115</v>
      </c>
    </row>
    <row r="3" spans="1:94" ht="13.5">
      <c r="A3" s="16"/>
      <c r="E3" s="2"/>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1"/>
      <c r="AK3" s="92"/>
      <c r="AL3" s="92"/>
      <c r="AM3" s="92"/>
      <c r="AN3" s="92"/>
      <c r="AO3" s="2"/>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row>
    <row r="4" spans="1:94" ht="13.5">
      <c r="A4" s="1"/>
      <c r="B4" s="90" t="s">
        <v>41</v>
      </c>
      <c r="C4" s="90"/>
      <c r="D4" s="90"/>
      <c r="E4" s="2"/>
      <c r="F4" s="90" t="s">
        <v>42</v>
      </c>
      <c r="G4" s="90"/>
      <c r="H4" s="90"/>
      <c r="J4" s="90" t="s">
        <v>43</v>
      </c>
      <c r="K4" s="89"/>
      <c r="L4" s="89"/>
      <c r="M4" s="23"/>
      <c r="N4" s="90" t="s">
        <v>105</v>
      </c>
      <c r="O4" s="90"/>
      <c r="P4" s="90"/>
      <c r="Q4" s="91"/>
      <c r="R4" s="91"/>
      <c r="S4" s="91"/>
      <c r="T4" s="91"/>
      <c r="U4" s="91"/>
      <c r="V4" s="91"/>
      <c r="W4" s="91"/>
      <c r="X4" s="91"/>
      <c r="Y4" s="91"/>
      <c r="Z4" s="90" t="s">
        <v>104</v>
      </c>
      <c r="AA4" s="91"/>
      <c r="AB4" s="91"/>
      <c r="AC4" s="91"/>
      <c r="AD4" s="91"/>
      <c r="AE4" s="91"/>
      <c r="AF4" s="91"/>
      <c r="AG4" s="91"/>
      <c r="AH4" s="91"/>
      <c r="AI4" s="91"/>
      <c r="AJ4" s="89"/>
      <c r="AK4" s="89"/>
      <c r="AL4" s="90" t="s">
        <v>103</v>
      </c>
      <c r="AM4" s="90"/>
      <c r="AN4" s="90"/>
      <c r="AO4" s="89"/>
      <c r="AP4" s="89"/>
      <c r="AQ4" s="89"/>
      <c r="AR4" s="89"/>
      <c r="AS4" s="89"/>
      <c r="AT4" s="89"/>
      <c r="AU4" s="89"/>
      <c r="AV4" s="89"/>
      <c r="AW4" s="89"/>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row>
    <row r="5" spans="1:94" ht="15" customHeight="1">
      <c r="A5" s="1"/>
      <c r="B5" s="2"/>
      <c r="C5" s="2"/>
      <c r="D5" s="2"/>
      <c r="E5" s="2"/>
      <c r="N5" s="90" t="s">
        <v>83</v>
      </c>
      <c r="O5" s="90"/>
      <c r="P5" s="90"/>
      <c r="Q5" s="90" t="s">
        <v>84</v>
      </c>
      <c r="R5" s="90"/>
      <c r="S5" s="90"/>
      <c r="T5" s="90" t="s">
        <v>85</v>
      </c>
      <c r="U5" s="90"/>
      <c r="V5" s="90"/>
      <c r="W5" s="90" t="s">
        <v>87</v>
      </c>
      <c r="X5" s="90"/>
      <c r="Y5" s="90"/>
      <c r="Z5" s="90" t="s">
        <v>83</v>
      </c>
      <c r="AA5" s="90"/>
      <c r="AB5" s="90"/>
      <c r="AC5" s="90" t="s">
        <v>84</v>
      </c>
      <c r="AD5" s="90"/>
      <c r="AE5" s="90"/>
      <c r="AF5" s="90" t="s">
        <v>85</v>
      </c>
      <c r="AG5" s="90"/>
      <c r="AH5" s="90"/>
      <c r="AI5" s="90" t="s">
        <v>87</v>
      </c>
      <c r="AJ5" s="90"/>
      <c r="AK5" s="90"/>
      <c r="AL5" s="90" t="s">
        <v>83</v>
      </c>
      <c r="AM5" s="90"/>
      <c r="AN5" s="90"/>
      <c r="AO5" s="90" t="s">
        <v>84</v>
      </c>
      <c r="AP5" s="90"/>
      <c r="AQ5" s="90"/>
      <c r="AR5" s="90" t="s">
        <v>85</v>
      </c>
      <c r="AS5" s="90"/>
      <c r="AT5" s="90"/>
      <c r="AU5" s="90" t="s">
        <v>87</v>
      </c>
      <c r="AV5" s="90"/>
      <c r="AW5" s="90"/>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row>
    <row r="6" spans="1:94" ht="15" customHeight="1">
      <c r="A6" s="1"/>
      <c r="B6" s="90" t="s">
        <v>81</v>
      </c>
      <c r="C6" s="90" t="s">
        <v>78</v>
      </c>
      <c r="D6" s="90"/>
      <c r="E6" s="2"/>
      <c r="F6" s="90" t="s">
        <v>102</v>
      </c>
      <c r="G6" s="90" t="s">
        <v>78</v>
      </c>
      <c r="H6" s="90"/>
      <c r="K6" s="90" t="s">
        <v>78</v>
      </c>
      <c r="L6" s="90"/>
      <c r="M6" s="2"/>
      <c r="N6" s="90" t="s">
        <v>81</v>
      </c>
      <c r="O6" s="90" t="s">
        <v>78</v>
      </c>
      <c r="P6" s="90"/>
      <c r="Q6" s="90" t="s">
        <v>81</v>
      </c>
      <c r="R6" s="90" t="s">
        <v>78</v>
      </c>
      <c r="S6" s="90"/>
      <c r="T6" s="90" t="s">
        <v>81</v>
      </c>
      <c r="U6" s="90" t="s">
        <v>78</v>
      </c>
      <c r="V6" s="90"/>
      <c r="W6" s="90" t="s">
        <v>81</v>
      </c>
      <c r="X6" s="90" t="s">
        <v>78</v>
      </c>
      <c r="Y6" s="90"/>
      <c r="Z6" s="90" t="s">
        <v>81</v>
      </c>
      <c r="AA6" s="90" t="s">
        <v>78</v>
      </c>
      <c r="AB6" s="90"/>
      <c r="AC6" s="90" t="s">
        <v>81</v>
      </c>
      <c r="AD6" s="90" t="s">
        <v>78</v>
      </c>
      <c r="AE6" s="90"/>
      <c r="AF6" s="90" t="s">
        <v>81</v>
      </c>
      <c r="AG6" s="90" t="s">
        <v>78</v>
      </c>
      <c r="AH6" s="90"/>
      <c r="AI6" s="90" t="s">
        <v>81</v>
      </c>
      <c r="AJ6" s="90" t="s">
        <v>78</v>
      </c>
      <c r="AK6" s="90"/>
      <c r="AL6" s="90" t="s">
        <v>81</v>
      </c>
      <c r="AM6" s="90" t="s">
        <v>78</v>
      </c>
      <c r="AN6" s="90"/>
      <c r="AO6" s="90" t="s">
        <v>81</v>
      </c>
      <c r="AP6" s="90" t="s">
        <v>78</v>
      </c>
      <c r="AQ6" s="90"/>
      <c r="AR6" s="90" t="s">
        <v>81</v>
      </c>
      <c r="AS6" s="90" t="s">
        <v>78</v>
      </c>
      <c r="AT6" s="90"/>
      <c r="AU6" s="90" t="s">
        <v>81</v>
      </c>
      <c r="AV6" s="90" t="s">
        <v>78</v>
      </c>
      <c r="AW6" s="90"/>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row>
    <row r="7" spans="1:94" ht="27.75">
      <c r="A7" s="1" t="s">
        <v>17</v>
      </c>
      <c r="B7" s="92"/>
      <c r="C7" s="2" t="s">
        <v>79</v>
      </c>
      <c r="D7" s="2" t="s">
        <v>80</v>
      </c>
      <c r="E7" s="2"/>
      <c r="F7" s="92"/>
      <c r="G7" s="2" t="s">
        <v>79</v>
      </c>
      <c r="H7" s="2" t="s">
        <v>80</v>
      </c>
      <c r="J7" s="2" t="s">
        <v>81</v>
      </c>
      <c r="K7" s="2" t="s">
        <v>79</v>
      </c>
      <c r="L7" s="2" t="s">
        <v>80</v>
      </c>
      <c r="M7" s="2"/>
      <c r="N7" s="92"/>
      <c r="O7" s="2" t="s">
        <v>79</v>
      </c>
      <c r="P7" s="2" t="s">
        <v>80</v>
      </c>
      <c r="Q7" s="92"/>
      <c r="R7" s="2" t="s">
        <v>79</v>
      </c>
      <c r="S7" s="2" t="s">
        <v>80</v>
      </c>
      <c r="T7" s="92"/>
      <c r="U7" s="2" t="s">
        <v>79</v>
      </c>
      <c r="V7" s="2" t="s">
        <v>80</v>
      </c>
      <c r="W7" s="92"/>
      <c r="X7" s="2" t="s">
        <v>79</v>
      </c>
      <c r="Y7" s="2" t="s">
        <v>80</v>
      </c>
      <c r="Z7" s="92"/>
      <c r="AA7" s="2" t="s">
        <v>79</v>
      </c>
      <c r="AB7" s="2" t="s">
        <v>80</v>
      </c>
      <c r="AC7" s="92"/>
      <c r="AD7" s="2" t="s">
        <v>79</v>
      </c>
      <c r="AE7" s="2" t="s">
        <v>80</v>
      </c>
      <c r="AF7" s="92"/>
      <c r="AG7" s="2" t="s">
        <v>79</v>
      </c>
      <c r="AH7" s="2" t="s">
        <v>80</v>
      </c>
      <c r="AI7" s="92"/>
      <c r="AJ7" s="2" t="s">
        <v>79</v>
      </c>
      <c r="AK7" s="2" t="s">
        <v>80</v>
      </c>
      <c r="AL7" s="92"/>
      <c r="AM7" s="2" t="s">
        <v>79</v>
      </c>
      <c r="AN7" s="2" t="s">
        <v>80</v>
      </c>
      <c r="AO7" s="92"/>
      <c r="AP7" s="2" t="s">
        <v>79</v>
      </c>
      <c r="AQ7" s="2" t="s">
        <v>80</v>
      </c>
      <c r="AR7" s="92"/>
      <c r="AS7" s="2" t="s">
        <v>79</v>
      </c>
      <c r="AT7" s="2" t="s">
        <v>80</v>
      </c>
      <c r="AU7" s="92"/>
      <c r="AV7" s="2" t="s">
        <v>79</v>
      </c>
      <c r="AW7" s="2" t="s">
        <v>80</v>
      </c>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row>
    <row r="8" spans="1:49" ht="13.5">
      <c r="A8" t="s">
        <v>18</v>
      </c>
      <c r="B8" s="13">
        <v>578.7</v>
      </c>
      <c r="C8" s="28">
        <f>D8/B8</f>
        <v>84.63420239735582</v>
      </c>
      <c r="D8" s="13">
        <f aca="true" t="shared" si="0" ref="D8:D14">H8+P8+AB8+AN8</f>
        <v>48977.81292734982</v>
      </c>
      <c r="E8" s="13"/>
      <c r="F8" s="13">
        <v>410.646</v>
      </c>
      <c r="G8" s="8">
        <f>0.401*'(2) Free LF earnings 1800'!G8</f>
        <v>82.6461</v>
      </c>
      <c r="H8" s="13">
        <f>F8*G8</f>
        <v>33938.2903806</v>
      </c>
      <c r="J8" s="13">
        <v>168.05400000000003</v>
      </c>
      <c r="K8" s="8">
        <f>L8/J8</f>
        <v>89.4922021894737</v>
      </c>
      <c r="L8" s="13">
        <f>D8-H8</f>
        <v>15039.522546749817</v>
      </c>
      <c r="M8" s="13"/>
      <c r="N8" s="13">
        <v>0</v>
      </c>
      <c r="O8" s="8">
        <v>0</v>
      </c>
      <c r="P8" s="13">
        <f>S8+V8+Y8</f>
        <v>0</v>
      </c>
      <c r="Q8">
        <f>0.16*N8*0.5</f>
        <v>0</v>
      </c>
      <c r="R8" s="8">
        <f>0.523*'(2) Free LF earnings 1800'!X8</f>
        <v>0</v>
      </c>
      <c r="S8">
        <f>Q8*R8</f>
        <v>0</v>
      </c>
      <c r="T8">
        <f>0.16*N8*0.5</f>
        <v>0</v>
      </c>
      <c r="U8" s="8">
        <f>0.523*'(2) Free LF earnings 1800'!AA8</f>
        <v>0</v>
      </c>
      <c r="V8">
        <f>T8*U8</f>
        <v>0</v>
      </c>
      <c r="W8" s="13">
        <f>N8-Q8-T8</f>
        <v>0</v>
      </c>
      <c r="X8" s="8">
        <f>0.523*'(2) Free LF earnings 1800'!AG8</f>
        <v>0</v>
      </c>
      <c r="Y8">
        <f>W8*X8</f>
        <v>0</v>
      </c>
      <c r="Z8" s="13">
        <f aca="true" t="shared" si="1" ref="Z8:Z28">J8-AL8-N8</f>
        <v>90.21846315789476</v>
      </c>
      <c r="AA8" s="26">
        <f>AB8/Z8</f>
        <v>85.49215199999999</v>
      </c>
      <c r="AB8" s="13">
        <f>AE8+AH8+AK8</f>
        <v>7712.9705655011385</v>
      </c>
      <c r="AC8" s="13">
        <f>0.16*0.5*Z8</f>
        <v>7.217477052631581</v>
      </c>
      <c r="AD8" s="8">
        <f>0.471*'(2) Free LF earnings 1800'!AP8</f>
        <v>181.62702</v>
      </c>
      <c r="AE8" s="13">
        <f>AC8*AD8</f>
        <v>1310.888848987857</v>
      </c>
      <c r="AF8" s="13">
        <f>0.16*0.5*Z8</f>
        <v>7.217477052631581</v>
      </c>
      <c r="AG8" s="8">
        <f>0.471*'(2) Free LF earnings 1800'!AS8</f>
        <v>130.36337999999998</v>
      </c>
      <c r="AH8" s="13">
        <f>AF8*AG8</f>
        <v>940.8947036534905</v>
      </c>
      <c r="AI8" s="13">
        <f>Z8-AC8-AF8</f>
        <v>75.7835090526316</v>
      </c>
      <c r="AJ8" s="8">
        <f>0.471*'(2) Free LF earnings 1800'!AY8</f>
        <v>72.063</v>
      </c>
      <c r="AK8" s="13">
        <f aca="true" t="shared" si="2" ref="AK8:AK13">AI8*AJ8</f>
        <v>5461.187012859791</v>
      </c>
      <c r="AL8" s="13">
        <v>77.83553684210527</v>
      </c>
      <c r="AM8" s="8">
        <f>AN8/AL8</f>
        <v>94.12862399999999</v>
      </c>
      <c r="AN8" s="13">
        <f>AT8+AW8+AQ8</f>
        <v>7326.551981248674</v>
      </c>
      <c r="AO8" s="13">
        <f>AL8*0.16*0.5</f>
        <v>6.2268429473684215</v>
      </c>
      <c r="AP8" s="8">
        <f>0.439*'(2) Free LF earnings 1800'!BH8</f>
        <v>131.91072</v>
      </c>
      <c r="AQ8" s="13">
        <f>AO8*AP8</f>
        <v>821.3873365142906</v>
      </c>
      <c r="AR8" s="13">
        <f>AL8*0.16*0.5</f>
        <v>6.2268429473684215</v>
      </c>
      <c r="AS8" s="8">
        <f>0.439*'(2) Free LF earnings 1800'!BK8</f>
        <v>94.67913</v>
      </c>
      <c r="AT8" s="13">
        <f>AR8*AS8</f>
        <v>589.5520729034779</v>
      </c>
      <c r="AU8" s="13">
        <f>AL8-AO8-AR8</f>
        <v>65.38185094736842</v>
      </c>
      <c r="AV8" s="8">
        <f>0.439*'(2) Free LF earnings 1800'!BN8</f>
        <v>90.47789999999999</v>
      </c>
      <c r="AW8" s="13">
        <f>AU8*AV8</f>
        <v>5915.612571830905</v>
      </c>
    </row>
    <row r="9" spans="1:49" ht="13.5">
      <c r="A9" t="s">
        <v>19</v>
      </c>
      <c r="B9" s="13">
        <v>0</v>
      </c>
      <c r="C9" s="28">
        <v>0</v>
      </c>
      <c r="D9" s="13">
        <f t="shared" si="0"/>
        <v>0</v>
      </c>
      <c r="E9" s="13"/>
      <c r="F9" s="13">
        <v>0</v>
      </c>
      <c r="G9" s="8">
        <f>0.401*'(2) Free LF earnings 1800'!G9</f>
        <v>81.13032</v>
      </c>
      <c r="H9" s="13">
        <f aca="true" t="shared" si="3" ref="H9:H29">F9*G9</f>
        <v>0</v>
      </c>
      <c r="J9" s="13">
        <v>0</v>
      </c>
      <c r="K9" s="8">
        <v>0</v>
      </c>
      <c r="L9" s="13">
        <f aca="true" t="shared" si="4" ref="L9:L35">D9-H9</f>
        <v>0</v>
      </c>
      <c r="M9" s="13"/>
      <c r="N9" s="13">
        <v>0</v>
      </c>
      <c r="O9" s="8">
        <v>0</v>
      </c>
      <c r="P9" s="13">
        <f aca="true" t="shared" si="5" ref="P9:P35">S9+V9+Y9</f>
        <v>0</v>
      </c>
      <c r="Q9">
        <f aca="true" t="shared" si="6" ref="Q9:Q14">0.16*N9*0.5</f>
        <v>0</v>
      </c>
      <c r="R9" s="8">
        <f>0.523*'(2) Free LF earnings 1800'!X9</f>
        <v>0</v>
      </c>
      <c r="S9" s="13">
        <f aca="true" t="shared" si="7" ref="S9:S29">Q9*R9</f>
        <v>0</v>
      </c>
      <c r="T9">
        <f aca="true" t="shared" si="8" ref="T9:T14">0.16*N9*0.5</f>
        <v>0</v>
      </c>
      <c r="U9" s="8">
        <f>0.523*'(2) Free LF earnings 1800'!AA9</f>
        <v>0</v>
      </c>
      <c r="V9" s="13">
        <f aca="true" t="shared" si="9" ref="V9:V29">T9*U9</f>
        <v>0</v>
      </c>
      <c r="W9" s="13">
        <f aca="true" t="shared" si="10" ref="W9:W35">N9-Q9-T9</f>
        <v>0</v>
      </c>
      <c r="X9" s="8">
        <f>0.523*'(2) Free LF earnings 1800'!AG9</f>
        <v>0</v>
      </c>
      <c r="Y9" s="13">
        <f aca="true" t="shared" si="11" ref="Y9:Y29">W9*X9</f>
        <v>0</v>
      </c>
      <c r="Z9" s="13">
        <f t="shared" si="1"/>
        <v>0</v>
      </c>
      <c r="AA9" s="26">
        <v>0</v>
      </c>
      <c r="AB9" s="13">
        <f aca="true" t="shared" si="12" ref="AB9:AB35">AE9+AH9+AK9</f>
        <v>0</v>
      </c>
      <c r="AC9" s="13">
        <f aca="true" t="shared" si="13" ref="AC9:AC35">0.16*0.5*Z9</f>
        <v>0</v>
      </c>
      <c r="AD9" s="8">
        <f>0.471*'(2) Free LF earnings 1800'!AP9</f>
        <v>181.62702</v>
      </c>
      <c r="AE9" s="13">
        <f aca="true" t="shared" si="14" ref="AE9:AE29">AC9*AD9</f>
        <v>0</v>
      </c>
      <c r="AF9" s="13">
        <f aca="true" t="shared" si="15" ref="AF9:AF35">0.16*0.5*Z9</f>
        <v>0</v>
      </c>
      <c r="AG9" s="8">
        <f>0.471*'(2) Free LF earnings 1800'!AS9</f>
        <v>130.36337999999998</v>
      </c>
      <c r="AH9" s="13">
        <f aca="true" t="shared" si="16" ref="AH9:AH18">AF9*AG9</f>
        <v>0</v>
      </c>
      <c r="AI9" s="13">
        <f aca="true" t="shared" si="17" ref="AI9:AI35">Z9-AC9-AF9</f>
        <v>0</v>
      </c>
      <c r="AJ9" s="8">
        <f>0.471*'(2) Free LF earnings 1800'!AY9</f>
        <v>72.063</v>
      </c>
      <c r="AK9" s="13">
        <f t="shared" si="2"/>
        <v>0</v>
      </c>
      <c r="AL9" s="13">
        <v>0</v>
      </c>
      <c r="AM9" s="8">
        <v>0</v>
      </c>
      <c r="AN9" s="13">
        <f aca="true" t="shared" si="18" ref="AN9:AN35">AT9+AW9+AQ9</f>
        <v>0</v>
      </c>
      <c r="AO9" s="13">
        <f aca="true" t="shared" si="19" ref="AO9:AO35">AL9*0.16*0.5</f>
        <v>0</v>
      </c>
      <c r="AP9" s="8">
        <f>0.439*'(2) Free LF earnings 1800'!BH9</f>
        <v>131.91072</v>
      </c>
      <c r="AQ9" s="13">
        <f aca="true" t="shared" si="20" ref="AQ9:AQ29">AO9*AP9</f>
        <v>0</v>
      </c>
      <c r="AR9" s="13">
        <f aca="true" t="shared" si="21" ref="AR9:AR35">AL9*0.16*0.5</f>
        <v>0</v>
      </c>
      <c r="AS9" s="8">
        <f>0.439*'(2) Free LF earnings 1800'!BK9</f>
        <v>94.67913</v>
      </c>
      <c r="AT9" s="13">
        <f aca="true" t="shared" si="22" ref="AT9:AT18">AR9*AS9</f>
        <v>0</v>
      </c>
      <c r="AU9" s="13">
        <f aca="true" t="shared" si="23" ref="AU9:AU35">AL9-AO9-AR9</f>
        <v>0</v>
      </c>
      <c r="AV9" s="8">
        <f>0.439*'(2) Free LF earnings 1800'!BN9</f>
        <v>88.81848</v>
      </c>
      <c r="AW9" s="13">
        <f aca="true" t="shared" si="24" ref="AW9:AW29">AU9*AV9</f>
        <v>0</v>
      </c>
    </row>
    <row r="10" spans="1:49" ht="13.5">
      <c r="A10" t="s">
        <v>20</v>
      </c>
      <c r="B10" s="13">
        <v>0</v>
      </c>
      <c r="C10" s="28">
        <v>0</v>
      </c>
      <c r="D10" s="13">
        <f t="shared" si="0"/>
        <v>0</v>
      </c>
      <c r="E10" s="13"/>
      <c r="F10" s="13">
        <v>0</v>
      </c>
      <c r="G10" s="8">
        <f>0.401*'(2) Free LF earnings 1800'!G10</f>
        <v>82.6461</v>
      </c>
      <c r="H10" s="13">
        <f t="shared" si="3"/>
        <v>0</v>
      </c>
      <c r="J10" s="13">
        <v>0</v>
      </c>
      <c r="K10" s="8">
        <v>0</v>
      </c>
      <c r="L10" s="13">
        <f t="shared" si="4"/>
        <v>0</v>
      </c>
      <c r="M10" s="13"/>
      <c r="N10" s="13">
        <v>0</v>
      </c>
      <c r="O10" s="8">
        <v>0</v>
      </c>
      <c r="P10" s="13">
        <f t="shared" si="5"/>
        <v>0</v>
      </c>
      <c r="Q10">
        <f t="shared" si="6"/>
        <v>0</v>
      </c>
      <c r="R10" s="8">
        <f>0.523*'(2) Free LF earnings 1800'!X10</f>
        <v>261.9184</v>
      </c>
      <c r="S10" s="13">
        <f t="shared" si="7"/>
        <v>0</v>
      </c>
      <c r="T10">
        <f t="shared" si="8"/>
        <v>0</v>
      </c>
      <c r="U10" s="8">
        <f>0.523*'(2) Free LF earnings 1800'!AA10</f>
        <v>206.0956289</v>
      </c>
      <c r="V10" s="13">
        <f t="shared" si="9"/>
        <v>0</v>
      </c>
      <c r="W10" s="13">
        <f t="shared" si="10"/>
        <v>0</v>
      </c>
      <c r="X10" s="8">
        <f>0.523*'(2) Free LF earnings 1800'!AG10</f>
        <v>105.28723769000001</v>
      </c>
      <c r="Y10" s="13">
        <f t="shared" si="11"/>
        <v>0</v>
      </c>
      <c r="Z10" s="13">
        <f t="shared" si="1"/>
        <v>0</v>
      </c>
      <c r="AA10" s="26">
        <v>0</v>
      </c>
      <c r="AB10" s="13">
        <f t="shared" si="12"/>
        <v>0</v>
      </c>
      <c r="AC10" s="13">
        <f t="shared" si="13"/>
        <v>0</v>
      </c>
      <c r="AD10" s="8">
        <f>0.471*'(2) Free LF earnings 1800'!AP10</f>
        <v>181.62702</v>
      </c>
      <c r="AE10" s="13">
        <f t="shared" si="14"/>
        <v>0</v>
      </c>
      <c r="AF10" s="13">
        <f t="shared" si="15"/>
        <v>0</v>
      </c>
      <c r="AG10" s="8">
        <f>0.471*'(2) Free LF earnings 1800'!AS10</f>
        <v>130.36337999999998</v>
      </c>
      <c r="AH10" s="13">
        <f t="shared" si="16"/>
        <v>0</v>
      </c>
      <c r="AI10" s="13">
        <f t="shared" si="17"/>
        <v>0</v>
      </c>
      <c r="AJ10" s="8">
        <f>0.471*'(2) Free LF earnings 1800'!AY10</f>
        <v>72.0623701788</v>
      </c>
      <c r="AK10" s="13">
        <f t="shared" si="2"/>
        <v>0</v>
      </c>
      <c r="AL10" s="13">
        <v>0</v>
      </c>
      <c r="AM10" s="8">
        <v>0</v>
      </c>
      <c r="AN10" s="13">
        <f t="shared" si="18"/>
        <v>0</v>
      </c>
      <c r="AO10" s="13">
        <f t="shared" si="19"/>
        <v>0</v>
      </c>
      <c r="AP10" s="8">
        <f>0.439*'(2) Free LF earnings 1800'!BH10</f>
        <v>131.91072</v>
      </c>
      <c r="AQ10" s="13">
        <f t="shared" si="20"/>
        <v>0</v>
      </c>
      <c r="AR10" s="13">
        <f t="shared" si="21"/>
        <v>0</v>
      </c>
      <c r="AS10" s="8">
        <f>0.439*'(2) Free LF earnings 1800'!BK10</f>
        <v>94.67913</v>
      </c>
      <c r="AT10" s="13">
        <f t="shared" si="22"/>
        <v>0</v>
      </c>
      <c r="AU10" s="13">
        <f t="shared" si="23"/>
        <v>0</v>
      </c>
      <c r="AV10" s="8">
        <f>0.439*'(2) Free LF earnings 1800'!BN10</f>
        <v>90.47789999999999</v>
      </c>
      <c r="AW10" s="13">
        <f t="shared" si="24"/>
        <v>0</v>
      </c>
    </row>
    <row r="11" spans="1:49" ht="13.5">
      <c r="A11" t="s">
        <v>58</v>
      </c>
      <c r="B11" s="13">
        <v>5.4</v>
      </c>
      <c r="C11" s="28">
        <f>D11/B11</f>
        <v>69.32135119999998</v>
      </c>
      <c r="D11" s="13">
        <f t="shared" si="0"/>
        <v>374.33529647999995</v>
      </c>
      <c r="E11" s="13"/>
      <c r="F11" s="13">
        <v>4.614</v>
      </c>
      <c r="G11" s="8">
        <f>0.401*'(2) Free LF earnings 1800'!G11</f>
        <v>81.13032</v>
      </c>
      <c r="H11" s="13">
        <f t="shared" si="3"/>
        <v>374.33529647999995</v>
      </c>
      <c r="J11" s="13">
        <v>0</v>
      </c>
      <c r="K11" s="8">
        <v>0</v>
      </c>
      <c r="L11" s="13">
        <f t="shared" si="4"/>
        <v>0</v>
      </c>
      <c r="M11" s="13"/>
      <c r="N11" s="13">
        <v>0</v>
      </c>
      <c r="O11" s="8">
        <v>0</v>
      </c>
      <c r="P11" s="13">
        <f t="shared" si="5"/>
        <v>0</v>
      </c>
      <c r="Q11">
        <f t="shared" si="6"/>
        <v>0</v>
      </c>
      <c r="R11" s="8">
        <f>0.523*'(2) Free LF earnings 1800'!X11</f>
        <v>0</v>
      </c>
      <c r="S11" s="13">
        <f t="shared" si="7"/>
        <v>0</v>
      </c>
      <c r="T11">
        <f t="shared" si="8"/>
        <v>0</v>
      </c>
      <c r="U11" s="8">
        <f>0.523*'(2) Free LF earnings 1800'!AA11</f>
        <v>0</v>
      </c>
      <c r="V11" s="13">
        <f t="shared" si="9"/>
        <v>0</v>
      </c>
      <c r="W11" s="13">
        <f t="shared" si="10"/>
        <v>0</v>
      </c>
      <c r="X11" s="8">
        <f>0.523*'(2) Free LF earnings 1800'!AG11</f>
        <v>0</v>
      </c>
      <c r="Y11" s="13">
        <f t="shared" si="11"/>
        <v>0</v>
      </c>
      <c r="Z11" s="13">
        <f t="shared" si="1"/>
        <v>0</v>
      </c>
      <c r="AA11" s="26">
        <v>0</v>
      </c>
      <c r="AB11" s="13">
        <f t="shared" si="12"/>
        <v>0</v>
      </c>
      <c r="AC11" s="13">
        <f t="shared" si="13"/>
        <v>0</v>
      </c>
      <c r="AD11" s="8">
        <f>0.471*'(2) Free LF earnings 1800'!AP11</f>
        <v>181.62702</v>
      </c>
      <c r="AE11" s="13">
        <f t="shared" si="14"/>
        <v>0</v>
      </c>
      <c r="AF11" s="13">
        <f t="shared" si="15"/>
        <v>0</v>
      </c>
      <c r="AG11" s="8">
        <f>0.471*'(2) Free LF earnings 1800'!AS11</f>
        <v>130.36337999999998</v>
      </c>
      <c r="AH11" s="13">
        <f t="shared" si="16"/>
        <v>0</v>
      </c>
      <c r="AI11" s="13">
        <f t="shared" si="17"/>
        <v>0</v>
      </c>
      <c r="AJ11" s="8">
        <f>0.471*'(2) Free LF earnings 1800'!AY11</f>
        <v>72.063</v>
      </c>
      <c r="AK11" s="13">
        <f t="shared" si="2"/>
        <v>0</v>
      </c>
      <c r="AL11" s="13">
        <v>0</v>
      </c>
      <c r="AM11" s="8">
        <v>0</v>
      </c>
      <c r="AN11" s="13">
        <f t="shared" si="18"/>
        <v>0</v>
      </c>
      <c r="AO11" s="13">
        <f t="shared" si="19"/>
        <v>0</v>
      </c>
      <c r="AP11" s="8">
        <f>0.439*'(2) Free LF earnings 1800'!BH11</f>
        <v>131.91072</v>
      </c>
      <c r="AQ11" s="13">
        <f t="shared" si="20"/>
        <v>0</v>
      </c>
      <c r="AR11" s="13">
        <f t="shared" si="21"/>
        <v>0</v>
      </c>
      <c r="AS11" s="8">
        <f>0.439*'(2) Free LF earnings 1800'!BK11</f>
        <v>94.67913</v>
      </c>
      <c r="AT11" s="13">
        <f t="shared" si="22"/>
        <v>0</v>
      </c>
      <c r="AU11" s="13">
        <f t="shared" si="23"/>
        <v>0</v>
      </c>
      <c r="AV11" s="8">
        <f>0.439*'(2) Free LF earnings 1800'!BN11</f>
        <v>88.81848</v>
      </c>
      <c r="AW11" s="13">
        <f t="shared" si="24"/>
        <v>0</v>
      </c>
    </row>
    <row r="12" spans="1:49" ht="13.5">
      <c r="A12" t="s">
        <v>59</v>
      </c>
      <c r="B12" s="13">
        <v>231.3</v>
      </c>
      <c r="C12" s="28">
        <f>D12/B12</f>
        <v>85.37755480797863</v>
      </c>
      <c r="D12" s="13">
        <f t="shared" si="0"/>
        <v>19747.828427085456</v>
      </c>
      <c r="E12" s="13"/>
      <c r="F12" s="13">
        <v>139.189</v>
      </c>
      <c r="G12" s="8">
        <f>0.401*'(2) Free LF earnings 1800'!G12</f>
        <v>82.6461</v>
      </c>
      <c r="H12" s="13">
        <f t="shared" si="3"/>
        <v>11503.4280129</v>
      </c>
      <c r="J12" s="13">
        <v>92.11100000000002</v>
      </c>
      <c r="K12" s="8">
        <f aca="true" t="shared" si="25" ref="K12:K41">L12/J12</f>
        <v>89.50505818181819</v>
      </c>
      <c r="L12" s="13">
        <f t="shared" si="4"/>
        <v>8244.400414185457</v>
      </c>
      <c r="M12" s="13"/>
      <c r="N12" s="13">
        <v>0</v>
      </c>
      <c r="O12" s="8">
        <v>0</v>
      </c>
      <c r="P12" s="13">
        <f t="shared" si="5"/>
        <v>0</v>
      </c>
      <c r="Q12">
        <f t="shared" si="6"/>
        <v>0</v>
      </c>
      <c r="R12" s="8">
        <f>0.523*'(2) Free LF earnings 1800'!X12</f>
        <v>0</v>
      </c>
      <c r="S12" s="13">
        <f t="shared" si="7"/>
        <v>0</v>
      </c>
      <c r="T12">
        <f t="shared" si="8"/>
        <v>0</v>
      </c>
      <c r="U12" s="8">
        <f>0.523*'(2) Free LF earnings 1800'!AA12</f>
        <v>0</v>
      </c>
      <c r="V12" s="13">
        <f t="shared" si="9"/>
        <v>0</v>
      </c>
      <c r="W12" s="13">
        <f t="shared" si="10"/>
        <v>0</v>
      </c>
      <c r="X12" s="8">
        <f>0.523*'(2) Free LF earnings 1800'!AG12</f>
        <v>0</v>
      </c>
      <c r="Y12" s="13">
        <f t="shared" si="11"/>
        <v>0</v>
      </c>
      <c r="Z12" s="13">
        <f t="shared" si="1"/>
        <v>49.3119494949495</v>
      </c>
      <c r="AA12" s="26">
        <f aca="true" t="shared" si="26" ref="AA12:AA41">AB12/Z12</f>
        <v>85.492152</v>
      </c>
      <c r="AB12" s="13">
        <f t="shared" si="12"/>
        <v>4215.784681638546</v>
      </c>
      <c r="AC12" s="13">
        <f t="shared" si="13"/>
        <v>3.9449559595959602</v>
      </c>
      <c r="AD12" s="8">
        <f>0.471*'(2) Free LF earnings 1800'!AP12</f>
        <v>181.62702</v>
      </c>
      <c r="AE12" s="13">
        <f t="shared" si="14"/>
        <v>716.5105949726546</v>
      </c>
      <c r="AF12" s="13">
        <f t="shared" si="15"/>
        <v>3.9449559595959602</v>
      </c>
      <c r="AG12" s="8">
        <f>0.471*'(2) Free LF earnings 1800'!AS12</f>
        <v>130.36337999999998</v>
      </c>
      <c r="AH12" s="13">
        <f t="shared" si="16"/>
        <v>514.2777928440727</v>
      </c>
      <c r="AI12" s="13">
        <f t="shared" si="17"/>
        <v>41.422037575757585</v>
      </c>
      <c r="AJ12" s="8">
        <f>0.471*'(2) Free LF earnings 1800'!AY12</f>
        <v>72.063</v>
      </c>
      <c r="AK12" s="13">
        <f t="shared" si="2"/>
        <v>2984.996293821819</v>
      </c>
      <c r="AL12" s="13">
        <v>42.799050505050516</v>
      </c>
      <c r="AM12" s="8">
        <f aca="true" t="shared" si="27" ref="AM12:AM41">AN12/AL12</f>
        <v>94.128624</v>
      </c>
      <c r="AN12" s="13">
        <f t="shared" si="18"/>
        <v>4028.6157325469103</v>
      </c>
      <c r="AO12" s="13">
        <f t="shared" si="19"/>
        <v>3.4239240404040414</v>
      </c>
      <c r="AP12" s="8">
        <f>0.439*'(2) Free LF earnings 1800'!BH12</f>
        <v>131.91072</v>
      </c>
      <c r="AQ12" s="13">
        <f t="shared" si="20"/>
        <v>451.6522853950062</v>
      </c>
      <c r="AR12" s="13">
        <f t="shared" si="21"/>
        <v>3.4239240404040414</v>
      </c>
      <c r="AS12" s="8">
        <f>0.439*'(2) Free LF earnings 1800'!BK12</f>
        <v>94.67913</v>
      </c>
      <c r="AT12" s="13">
        <f t="shared" si="22"/>
        <v>324.17414933153947</v>
      </c>
      <c r="AU12" s="13">
        <f t="shared" si="23"/>
        <v>35.95120242424244</v>
      </c>
      <c r="AV12" s="8">
        <f>0.439*'(2) Free LF earnings 1800'!BN12</f>
        <v>90.47789999999999</v>
      </c>
      <c r="AW12" s="13">
        <f t="shared" si="24"/>
        <v>3252.7892978203645</v>
      </c>
    </row>
    <row r="13" spans="1:49" ht="13.5">
      <c r="A13" t="s">
        <v>60</v>
      </c>
      <c r="B13" s="13">
        <v>0</v>
      </c>
      <c r="C13" s="28">
        <v>0</v>
      </c>
      <c r="D13" s="13">
        <f t="shared" si="0"/>
        <v>0</v>
      </c>
      <c r="E13" s="13"/>
      <c r="F13" s="13">
        <v>0</v>
      </c>
      <c r="G13" s="8">
        <f>0.401*'(2) Free LF earnings 1800'!G13</f>
        <v>81.13032</v>
      </c>
      <c r="H13" s="13">
        <f t="shared" si="3"/>
        <v>0</v>
      </c>
      <c r="J13" s="13">
        <v>0</v>
      </c>
      <c r="K13" s="8">
        <v>0</v>
      </c>
      <c r="L13" s="13">
        <f t="shared" si="4"/>
        <v>0</v>
      </c>
      <c r="M13" s="13"/>
      <c r="N13" s="13">
        <v>0</v>
      </c>
      <c r="O13" s="8">
        <v>0</v>
      </c>
      <c r="P13" s="13">
        <f t="shared" si="5"/>
        <v>0</v>
      </c>
      <c r="Q13">
        <f t="shared" si="6"/>
        <v>0</v>
      </c>
      <c r="R13" s="8">
        <f>0.523*'(2) Free LF earnings 1800'!U13</f>
        <v>0</v>
      </c>
      <c r="S13" s="13">
        <f t="shared" si="7"/>
        <v>0</v>
      </c>
      <c r="T13">
        <f t="shared" si="8"/>
        <v>0</v>
      </c>
      <c r="U13" s="8">
        <f>0.523*'(2) Free LF earnings 1800'!AA13</f>
        <v>0</v>
      </c>
      <c r="V13" s="13">
        <f t="shared" si="9"/>
        <v>0</v>
      </c>
      <c r="W13" s="13">
        <f t="shared" si="10"/>
        <v>0</v>
      </c>
      <c r="X13" s="8">
        <f>0.523*'(2) Free LF earnings 1800'!AG13</f>
        <v>0</v>
      </c>
      <c r="Y13" s="13">
        <f t="shared" si="11"/>
        <v>0</v>
      </c>
      <c r="Z13" s="13">
        <f t="shared" si="1"/>
        <v>0</v>
      </c>
      <c r="AA13" s="26">
        <v>0</v>
      </c>
      <c r="AB13" s="13">
        <f t="shared" si="12"/>
        <v>0</v>
      </c>
      <c r="AC13" s="13">
        <f t="shared" si="13"/>
        <v>0</v>
      </c>
      <c r="AD13" s="8">
        <f>0.471*'(2) Free LF earnings 1800'!AP13</f>
        <v>181.62702</v>
      </c>
      <c r="AE13" s="13">
        <f t="shared" si="14"/>
        <v>0</v>
      </c>
      <c r="AF13" s="13">
        <f t="shared" si="15"/>
        <v>0</v>
      </c>
      <c r="AG13" s="8">
        <f>0.471*'(2) Free LF earnings 1800'!AS13</f>
        <v>130.36337999999998</v>
      </c>
      <c r="AH13" s="13">
        <f t="shared" si="16"/>
        <v>0</v>
      </c>
      <c r="AI13" s="13">
        <f t="shared" si="17"/>
        <v>0</v>
      </c>
      <c r="AJ13" s="8">
        <f>0.471*'(2) Free LF earnings 1800'!AY13</f>
        <v>72.063</v>
      </c>
      <c r="AK13" s="13">
        <f t="shared" si="2"/>
        <v>0</v>
      </c>
      <c r="AL13" s="13">
        <v>0</v>
      </c>
      <c r="AM13" s="8">
        <v>0</v>
      </c>
      <c r="AN13" s="13">
        <f t="shared" si="18"/>
        <v>0</v>
      </c>
      <c r="AO13" s="13">
        <f t="shared" si="19"/>
        <v>0</v>
      </c>
      <c r="AP13" s="8">
        <f>0.439*'(2) Free LF earnings 1800'!BH13</f>
        <v>131.91072</v>
      </c>
      <c r="AQ13" s="13">
        <f t="shared" si="20"/>
        <v>0</v>
      </c>
      <c r="AR13" s="13">
        <f t="shared" si="21"/>
        <v>0</v>
      </c>
      <c r="AS13" s="8">
        <f>0.439*'(2) Free LF earnings 1800'!BK13</f>
        <v>94.67913</v>
      </c>
      <c r="AT13" s="13">
        <f t="shared" si="22"/>
        <v>0</v>
      </c>
      <c r="AU13" s="13">
        <f t="shared" si="23"/>
        <v>0</v>
      </c>
      <c r="AV13" s="8">
        <f>0.439*'(2) Free LF earnings 1800'!BN13</f>
        <v>88.81848</v>
      </c>
      <c r="AW13" s="13">
        <f t="shared" si="24"/>
        <v>0</v>
      </c>
    </row>
    <row r="14" spans="1:49" ht="13.5">
      <c r="A14" s="9" t="s">
        <v>61</v>
      </c>
      <c r="B14" s="13">
        <f>SUM(B8:B13)</f>
        <v>815.4000000000001</v>
      </c>
      <c r="C14" s="29">
        <f>D14/B14</f>
        <v>84.74365544630275</v>
      </c>
      <c r="D14" s="13">
        <f t="shared" si="0"/>
        <v>69099.97665091527</v>
      </c>
      <c r="E14" s="30"/>
      <c r="F14" s="13">
        <f>SUM(F8:F13)</f>
        <v>554.449</v>
      </c>
      <c r="G14" s="8">
        <f>H14/F14</f>
        <v>82.63348601941749</v>
      </c>
      <c r="H14" s="13">
        <f>SUM(H8:H13)</f>
        <v>45816.053689980006</v>
      </c>
      <c r="J14" s="13">
        <f>SUM(J8:J13)</f>
        <v>260.1650000000001</v>
      </c>
      <c r="K14" s="8">
        <f t="shared" si="25"/>
        <v>89.4967538328955</v>
      </c>
      <c r="L14" s="13">
        <f t="shared" si="4"/>
        <v>23283.922960935262</v>
      </c>
      <c r="M14" s="13"/>
      <c r="N14" s="14">
        <f>SUM(N8:N13)</f>
        <v>0</v>
      </c>
      <c r="O14" s="8">
        <v>0</v>
      </c>
      <c r="P14" s="13">
        <f t="shared" si="5"/>
        <v>0</v>
      </c>
      <c r="Q14">
        <f t="shared" si="6"/>
        <v>0</v>
      </c>
      <c r="R14" s="8">
        <f>Q8*S8</f>
        <v>0</v>
      </c>
      <c r="S14" s="38">
        <f>SUM(S8:S13)</f>
        <v>0</v>
      </c>
      <c r="T14">
        <f t="shared" si="8"/>
        <v>0</v>
      </c>
      <c r="U14" s="8">
        <v>0</v>
      </c>
      <c r="V14" s="13">
        <f>SUM(V8:V13)</f>
        <v>0</v>
      </c>
      <c r="W14" s="13">
        <f t="shared" si="10"/>
        <v>0</v>
      </c>
      <c r="X14" s="8">
        <v>0</v>
      </c>
      <c r="Y14" s="13">
        <f>SUM(Y8:Y13)</f>
        <v>0</v>
      </c>
      <c r="Z14" s="13">
        <f t="shared" si="1"/>
        <v>139.5304126528443</v>
      </c>
      <c r="AA14" s="26">
        <f t="shared" si="26"/>
        <v>85.49215199999998</v>
      </c>
      <c r="AB14" s="13">
        <f t="shared" si="12"/>
        <v>11928.755247139685</v>
      </c>
      <c r="AC14" s="13">
        <f t="shared" si="13"/>
        <v>11.162433012227543</v>
      </c>
      <c r="AD14" s="8">
        <f>AE8/AC8</f>
        <v>181.62702</v>
      </c>
      <c r="AE14" s="13">
        <f>SUM(AE8:AE13)</f>
        <v>2027.3994439605117</v>
      </c>
      <c r="AF14" s="13">
        <f t="shared" si="15"/>
        <v>11.162433012227543</v>
      </c>
      <c r="AG14" s="8">
        <f>AH8/AF8</f>
        <v>130.36337999999998</v>
      </c>
      <c r="AH14" s="13">
        <f>SUM(AH8:AH13)</f>
        <v>1455.1724964975633</v>
      </c>
      <c r="AI14" s="13">
        <f t="shared" si="17"/>
        <v>117.2055466283892</v>
      </c>
      <c r="AJ14" s="8">
        <f>AK8/AI8</f>
        <v>72.063</v>
      </c>
      <c r="AK14" s="14">
        <f>SUM(AK8:AK13)</f>
        <v>8446.18330668161</v>
      </c>
      <c r="AL14" s="13">
        <f>SUM(AL8:AL13)</f>
        <v>120.63458734715579</v>
      </c>
      <c r="AM14" s="8">
        <f t="shared" si="27"/>
        <v>94.12862399999999</v>
      </c>
      <c r="AN14" s="13">
        <f t="shared" si="18"/>
        <v>11355.167713795583</v>
      </c>
      <c r="AO14" s="13">
        <f t="shared" si="19"/>
        <v>9.650766987772464</v>
      </c>
      <c r="AP14" s="8">
        <f>AQ14/AO14</f>
        <v>131.91072</v>
      </c>
      <c r="AQ14" s="13">
        <f>SUM(AQ8:AQ13)</f>
        <v>1273.0396219092968</v>
      </c>
      <c r="AR14" s="13">
        <f t="shared" si="21"/>
        <v>9.650766987772464</v>
      </c>
      <c r="AS14" s="39">
        <f>AT8/AR8</f>
        <v>94.67912999999999</v>
      </c>
      <c r="AT14" s="13">
        <f>SUM(AT8:AT13)</f>
        <v>913.7262222350173</v>
      </c>
      <c r="AU14" s="13">
        <f t="shared" si="23"/>
        <v>101.33305337161084</v>
      </c>
      <c r="AV14" s="8">
        <f>AW8/AU8</f>
        <v>90.47789999999999</v>
      </c>
      <c r="AW14" s="13">
        <f>SUM(AW8:AW13)</f>
        <v>9168.401869651268</v>
      </c>
    </row>
    <row r="15" spans="1:49" ht="18">
      <c r="A15" s="3"/>
      <c r="C15" s="3"/>
      <c r="D15" s="13"/>
      <c r="E15" s="13"/>
      <c r="G15" s="8"/>
      <c r="H15" s="13"/>
      <c r="K15" s="8"/>
      <c r="L15" s="13"/>
      <c r="N15" s="12"/>
      <c r="O15" s="8"/>
      <c r="P15" s="13"/>
      <c r="R15" s="8"/>
      <c r="S15" s="13"/>
      <c r="U15" s="8"/>
      <c r="V15" s="13"/>
      <c r="W15" s="13"/>
      <c r="X15" s="8"/>
      <c r="Y15" s="13"/>
      <c r="Z15" s="13"/>
      <c r="AA15" s="26"/>
      <c r="AB15" s="13"/>
      <c r="AC15" s="13"/>
      <c r="AD15" s="8"/>
      <c r="AE15" s="13"/>
      <c r="AF15" s="13"/>
      <c r="AG15" s="8"/>
      <c r="AH15" s="13"/>
      <c r="AI15" s="13"/>
      <c r="AJ15" s="8"/>
      <c r="AK15" s="13"/>
      <c r="AM15" s="8"/>
      <c r="AN15" s="13"/>
      <c r="AO15" s="13"/>
      <c r="AP15" s="8"/>
      <c r="AQ15" s="13"/>
      <c r="AR15" s="13"/>
      <c r="AT15" s="13"/>
      <c r="AU15" s="13"/>
      <c r="AV15" s="8"/>
      <c r="AW15" s="13"/>
    </row>
    <row r="16" spans="1:49" ht="13.5">
      <c r="A16" t="s">
        <v>65</v>
      </c>
      <c r="B16" s="13">
        <v>7552.799999999999</v>
      </c>
      <c r="C16" s="28">
        <f aca="true" t="shared" si="28" ref="C16:C41">D16/B16</f>
        <v>78.91881857672938</v>
      </c>
      <c r="D16" s="13">
        <f>H16+P16+AB16+AN16</f>
        <v>596058.0529463215</v>
      </c>
      <c r="E16" s="13"/>
      <c r="F16" s="13">
        <v>6454</v>
      </c>
      <c r="G16" s="8">
        <f>0.401*'(2) Free LF earnings 1800'!G16</f>
        <v>77.10027000000001</v>
      </c>
      <c r="H16" s="13">
        <f t="shared" si="3"/>
        <v>497605.14258000004</v>
      </c>
      <c r="J16" s="13">
        <v>1099.351999999999</v>
      </c>
      <c r="K16" s="8">
        <f t="shared" si="25"/>
        <v>89.55540206077907</v>
      </c>
      <c r="L16" s="13">
        <f t="shared" si="4"/>
        <v>98452.9103663215</v>
      </c>
      <c r="M16" s="13"/>
      <c r="N16" s="13">
        <v>0</v>
      </c>
      <c r="O16" s="8">
        <v>0</v>
      </c>
      <c r="P16" s="13">
        <f t="shared" si="5"/>
        <v>0</v>
      </c>
      <c r="Q16">
        <f aca="true" t="shared" si="29" ref="Q16:Q30">0.34*N16*0.5</f>
        <v>0</v>
      </c>
      <c r="R16" s="8">
        <f>0.523*'(2) Free LF earnings 1800'!X16</f>
        <v>0</v>
      </c>
      <c r="S16" s="13">
        <f t="shared" si="7"/>
        <v>0</v>
      </c>
      <c r="T16">
        <f>0.34*N16*0.5</f>
        <v>0</v>
      </c>
      <c r="U16" s="8">
        <f>0.523*'(2) Free LF earnings 1800'!AA16</f>
        <v>0</v>
      </c>
      <c r="V16" s="13">
        <f t="shared" si="9"/>
        <v>0</v>
      </c>
      <c r="W16" s="13">
        <f t="shared" si="10"/>
        <v>0</v>
      </c>
      <c r="X16" s="8">
        <f>0.523*'(2) Free LF earnings 1800'!AG16</f>
        <v>113.15353948</v>
      </c>
      <c r="Y16" s="13">
        <f t="shared" si="11"/>
        <v>0</v>
      </c>
      <c r="Z16" s="13">
        <f t="shared" si="1"/>
        <v>587.5846896551718</v>
      </c>
      <c r="AA16" s="26">
        <f t="shared" si="26"/>
        <v>90.01416590726399</v>
      </c>
      <c r="AB16" s="13">
        <f t="shared" si="12"/>
        <v>52890.94573918886</v>
      </c>
      <c r="AC16" s="13">
        <f t="shared" si="13"/>
        <v>47.00677517241375</v>
      </c>
      <c r="AD16" s="8">
        <f>0.471*'(2) Free LF earnings 1800'!AP16</f>
        <v>181.62702</v>
      </c>
      <c r="AE16" s="13">
        <f t="shared" si="14"/>
        <v>8537.700494375495</v>
      </c>
      <c r="AF16" s="13">
        <f t="shared" si="15"/>
        <v>47.00677517241375</v>
      </c>
      <c r="AG16" s="8">
        <f>0.471*'(2) Free LF earnings 1800'!AS16</f>
        <v>130.36337999999998</v>
      </c>
      <c r="AH16" s="13">
        <f t="shared" si="16"/>
        <v>6127.962094375937</v>
      </c>
      <c r="AI16" s="13">
        <f t="shared" si="17"/>
        <v>493.5711393103443</v>
      </c>
      <c r="AJ16" s="8">
        <f>0.471*'(2) Free LF earnings 1800'!AY16</f>
        <v>77.4463498896</v>
      </c>
      <c r="AK16" s="13">
        <f aca="true" t="shared" si="30" ref="AK16:AK29">AI16*AJ16</f>
        <v>38225.283150437426</v>
      </c>
      <c r="AL16" s="13">
        <v>511.7673103448271</v>
      </c>
      <c r="AM16" s="8">
        <f t="shared" si="27"/>
        <v>89.02867320000001</v>
      </c>
      <c r="AN16" s="13">
        <f t="shared" si="18"/>
        <v>45561.9646271326</v>
      </c>
      <c r="AO16" s="13">
        <f t="shared" si="19"/>
        <v>40.94138482758617</v>
      </c>
      <c r="AP16" s="8">
        <f>0.439*'(2) Free LF earnings 1800'!BH16</f>
        <v>131.91072</v>
      </c>
      <c r="AQ16" s="13">
        <f t="shared" si="20"/>
        <v>5400.607550403967</v>
      </c>
      <c r="AR16" s="13">
        <f t="shared" si="21"/>
        <v>40.94138482758617</v>
      </c>
      <c r="AS16" s="8">
        <f>0.439*'(2) Free LF earnings 1800'!BK16</f>
        <v>94.67913</v>
      </c>
      <c r="AT16" s="13">
        <f t="shared" si="22"/>
        <v>3876.2946964710586</v>
      </c>
      <c r="AU16" s="13">
        <f t="shared" si="23"/>
        <v>429.8845406896548</v>
      </c>
      <c r="AV16" s="8">
        <f>0.439*'(2) Free LF earnings 1800'!BN16</f>
        <v>84.40653</v>
      </c>
      <c r="AW16" s="13">
        <f t="shared" si="24"/>
        <v>36285.06238025757</v>
      </c>
    </row>
    <row r="17" spans="1:49" ht="13.5">
      <c r="A17" t="s">
        <v>66</v>
      </c>
      <c r="B17" s="13">
        <v>12368.63084311633</v>
      </c>
      <c r="C17" s="28">
        <f t="shared" si="28"/>
        <v>90.43588352501841</v>
      </c>
      <c r="D17" s="13">
        <f>H17+P17+AB17+AN17</f>
        <v>1118568.0582920187</v>
      </c>
      <c r="E17" s="13"/>
      <c r="F17" s="13">
        <v>8282.070909284954</v>
      </c>
      <c r="G17" s="8">
        <f>0.401*'(2) Free LF earnings 1800'!G17</f>
        <v>77.10027000000001</v>
      </c>
      <c r="H17" s="13">
        <f t="shared" si="3"/>
        <v>638549.9032650156</v>
      </c>
      <c r="J17" s="13">
        <v>4086.559933831377</v>
      </c>
      <c r="K17" s="8">
        <f t="shared" si="25"/>
        <v>117.46264897599568</v>
      </c>
      <c r="L17" s="13">
        <f t="shared" si="4"/>
        <v>480018.15502700314</v>
      </c>
      <c r="M17" s="13"/>
      <c r="N17" s="13">
        <v>1775</v>
      </c>
      <c r="O17" s="8">
        <f aca="true" t="shared" si="31" ref="O17:O36">P17/N17</f>
        <v>154.2583760051</v>
      </c>
      <c r="P17" s="13">
        <f t="shared" si="5"/>
        <v>273808.6174090525</v>
      </c>
      <c r="Q17">
        <f t="shared" si="29"/>
        <v>301.75</v>
      </c>
      <c r="R17" s="8">
        <f>0.523*'(2) Free LF earnings 1800'!X17</f>
        <v>261.9184</v>
      </c>
      <c r="S17" s="13">
        <f t="shared" si="7"/>
        <v>79033.8772</v>
      </c>
      <c r="T17">
        <f>0.34*N17*0.5</f>
        <v>301.75</v>
      </c>
      <c r="U17" s="8">
        <f>0.523*'(2) Free LF earnings 1800'!AA17</f>
        <v>206.18183498999997</v>
      </c>
      <c r="V17" s="13">
        <f t="shared" si="9"/>
        <v>62215.36870823249</v>
      </c>
      <c r="W17" s="13">
        <f t="shared" si="10"/>
        <v>1171.5</v>
      </c>
      <c r="X17" s="8">
        <f>0.523*'(2) Free LF earnings 1800'!AG17</f>
        <v>113.15353948</v>
      </c>
      <c r="Y17" s="13">
        <f t="shared" si="11"/>
        <v>132559.37150082</v>
      </c>
      <c r="Z17" s="13">
        <f t="shared" si="1"/>
        <v>420.5243566074455</v>
      </c>
      <c r="AA17" s="26">
        <f t="shared" si="26"/>
        <v>90.01416590726399</v>
      </c>
      <c r="AB17" s="13">
        <f t="shared" si="12"/>
        <v>37853.149203708046</v>
      </c>
      <c r="AC17" s="13">
        <f t="shared" si="13"/>
        <v>33.64194852859564</v>
      </c>
      <c r="AD17" s="8">
        <f>0.471*'(2) Free LF earnings 1800'!AP17</f>
        <v>181.62702</v>
      </c>
      <c r="AE17" s="13">
        <f t="shared" si="14"/>
        <v>6110.286858242211</v>
      </c>
      <c r="AF17" s="13">
        <f t="shared" si="15"/>
        <v>33.64194852859564</v>
      </c>
      <c r="AG17" s="8">
        <f>0.471*'(2) Free LF earnings 1800'!AS17</f>
        <v>130.36337999999998</v>
      </c>
      <c r="AH17" s="13">
        <f t="shared" si="16"/>
        <v>4385.678119973753</v>
      </c>
      <c r="AI17" s="13">
        <f t="shared" si="17"/>
        <v>353.2404595502542</v>
      </c>
      <c r="AJ17" s="8">
        <f>0.471*'(2) Free LF earnings 1800'!AY17</f>
        <v>77.4463498896</v>
      </c>
      <c r="AK17" s="13">
        <f t="shared" si="30"/>
        <v>27357.18422549208</v>
      </c>
      <c r="AL17" s="13">
        <v>1891.0355772239313</v>
      </c>
      <c r="AM17" s="8">
        <f t="shared" si="27"/>
        <v>89.0286732</v>
      </c>
      <c r="AN17" s="13">
        <f t="shared" si="18"/>
        <v>168356.38841424274</v>
      </c>
      <c r="AO17" s="13">
        <f t="shared" si="19"/>
        <v>151.2828461779145</v>
      </c>
      <c r="AP17" s="8">
        <f>0.439*'(2) Free LF earnings 1800'!BH17</f>
        <v>131.91072</v>
      </c>
      <c r="AQ17" s="13">
        <f t="shared" si="20"/>
        <v>19955.82916297795</v>
      </c>
      <c r="AR17" s="13">
        <f t="shared" si="21"/>
        <v>151.2828461779145</v>
      </c>
      <c r="AS17" s="8">
        <f>0.439*'(2) Free LF earnings 1800'!BK17</f>
        <v>94.67913</v>
      </c>
      <c r="AT17" s="13">
        <f t="shared" si="22"/>
        <v>14323.328260048771</v>
      </c>
      <c r="AU17" s="13">
        <f t="shared" si="23"/>
        <v>1588.4698848681023</v>
      </c>
      <c r="AV17" s="8">
        <f>0.439*'(2) Free LF earnings 1800'!BN17</f>
        <v>84.40653</v>
      </c>
      <c r="AW17" s="13">
        <f t="shared" si="24"/>
        <v>134077.23099121603</v>
      </c>
    </row>
    <row r="18" spans="1:49" ht="13.5">
      <c r="A18" t="s">
        <v>67</v>
      </c>
      <c r="B18" s="13">
        <v>1037.7</v>
      </c>
      <c r="C18" s="28">
        <f t="shared" si="28"/>
        <v>85.30079760308155</v>
      </c>
      <c r="D18" s="13">
        <f>H18+P18+AB18+AN18</f>
        <v>88516.63767271773</v>
      </c>
      <c r="E18" s="13"/>
      <c r="F18" s="13">
        <v>838</v>
      </c>
      <c r="G18" s="8">
        <f>0.401*'(2) Free LF earnings 1800'!G18</f>
        <v>79.02908000000001</v>
      </c>
      <c r="H18" s="13">
        <f t="shared" si="3"/>
        <v>66226.36904</v>
      </c>
      <c r="J18" s="13">
        <v>200.25900000000001</v>
      </c>
      <c r="K18" s="8">
        <f t="shared" si="25"/>
        <v>111.3072003391494</v>
      </c>
      <c r="L18" s="13">
        <f t="shared" si="4"/>
        <v>22290.26863271772</v>
      </c>
      <c r="M18" s="13"/>
      <c r="N18" s="13">
        <v>65</v>
      </c>
      <c r="O18" s="8">
        <f t="shared" si="31"/>
        <v>154.49285656990003</v>
      </c>
      <c r="P18" s="13">
        <f t="shared" si="5"/>
        <v>10042.035677043501</v>
      </c>
      <c r="Q18">
        <f t="shared" si="29"/>
        <v>11.05</v>
      </c>
      <c r="R18" s="8">
        <f>0.523*'(2) Free LF earnings 1800'!X18</f>
        <v>261.9184</v>
      </c>
      <c r="S18" s="13">
        <f t="shared" si="7"/>
        <v>2894.1983200000004</v>
      </c>
      <c r="T18">
        <f>0.34*N18*0.5</f>
        <v>11.05</v>
      </c>
      <c r="U18" s="8">
        <f>0.523*'(2) Free LF earnings 1800'!AA18</f>
        <v>207.56113243</v>
      </c>
      <c r="V18" s="13">
        <f t="shared" si="9"/>
        <v>2293.5505133515</v>
      </c>
      <c r="W18" s="13">
        <f t="shared" si="10"/>
        <v>42.900000000000006</v>
      </c>
      <c r="X18" s="8">
        <f>0.523*'(2) Free LF earnings 1800'!AG18</f>
        <v>113.15353948</v>
      </c>
      <c r="Y18" s="13">
        <f t="shared" si="11"/>
        <v>4854.286843692001</v>
      </c>
      <c r="Z18" s="13">
        <f t="shared" si="1"/>
        <v>42.6392125</v>
      </c>
      <c r="AA18" s="26">
        <f t="shared" si="26"/>
        <v>90.01416590726402</v>
      </c>
      <c r="AB18" s="13">
        <f t="shared" si="12"/>
        <v>3838.1331481300854</v>
      </c>
      <c r="AC18" s="13">
        <f t="shared" si="13"/>
        <v>3.411137</v>
      </c>
      <c r="AD18" s="8">
        <f>0.471*'(2) Free LF earnings 1800'!AP18</f>
        <v>181.62702</v>
      </c>
      <c r="AE18" s="13">
        <f t="shared" si="14"/>
        <v>619.55464812174</v>
      </c>
      <c r="AF18" s="13">
        <f t="shared" si="15"/>
        <v>3.411137</v>
      </c>
      <c r="AG18" s="8">
        <f>0.471*'(2) Free LF earnings 1800'!AS18</f>
        <v>130.36337999999998</v>
      </c>
      <c r="AH18" s="13">
        <f t="shared" si="16"/>
        <v>444.68734896305995</v>
      </c>
      <c r="AI18" s="13">
        <f t="shared" si="17"/>
        <v>35.816938500000006</v>
      </c>
      <c r="AJ18" s="8">
        <f>0.471*'(2) Free LF earnings 1800'!AY18</f>
        <v>77.4463498896</v>
      </c>
      <c r="AK18" s="13">
        <f t="shared" si="30"/>
        <v>2773.8911510452854</v>
      </c>
      <c r="AL18" s="13">
        <v>92.61978750000002</v>
      </c>
      <c r="AM18" s="8">
        <f t="shared" si="27"/>
        <v>90.80240880000002</v>
      </c>
      <c r="AN18" s="13">
        <f t="shared" si="18"/>
        <v>8410.099807544133</v>
      </c>
      <c r="AO18" s="13">
        <f t="shared" si="19"/>
        <v>7.409583000000001</v>
      </c>
      <c r="AP18" s="8">
        <f>0.439*'(2) Free LF earnings 1800'!BH18</f>
        <v>131.91072</v>
      </c>
      <c r="AQ18" s="13">
        <f t="shared" si="20"/>
        <v>977.4034284297602</v>
      </c>
      <c r="AR18" s="13">
        <f t="shared" si="21"/>
        <v>7.409583000000001</v>
      </c>
      <c r="AS18" s="8">
        <f>0.439*'(2) Free LF earnings 1800'!BK18</f>
        <v>94.67913</v>
      </c>
      <c r="AT18" s="13">
        <f t="shared" si="22"/>
        <v>701.5328721027902</v>
      </c>
      <c r="AU18" s="13">
        <f t="shared" si="23"/>
        <v>77.80062150000002</v>
      </c>
      <c r="AV18" s="8">
        <f>0.439*'(2) Free LF earnings 1800'!BN18</f>
        <v>86.51812000000001</v>
      </c>
      <c r="AW18" s="13">
        <f t="shared" si="24"/>
        <v>6731.163507011583</v>
      </c>
    </row>
    <row r="19" spans="1:49" ht="13.5">
      <c r="A19" s="9" t="s">
        <v>68</v>
      </c>
      <c r="B19" s="13">
        <f>SUM(B16:B18)</f>
        <v>20959.13084311633</v>
      </c>
      <c r="C19" s="29">
        <f t="shared" si="28"/>
        <v>86.0313704040485</v>
      </c>
      <c r="D19" s="13">
        <f>H19+P19+AB19+AN19</f>
        <v>1803142.7489110583</v>
      </c>
      <c r="E19" s="30"/>
      <c r="F19" s="13">
        <f>SUM(F16:F18)</f>
        <v>15574.070909284954</v>
      </c>
      <c r="G19" s="8">
        <f>H19/F19</f>
        <v>77.20405421861663</v>
      </c>
      <c r="H19" s="13">
        <f>SUM(H16:H18)</f>
        <v>1202381.4148850157</v>
      </c>
      <c r="J19" s="13">
        <f>SUM(J16:J18)</f>
        <v>5386.170933831376</v>
      </c>
      <c r="K19" s="8">
        <f t="shared" si="25"/>
        <v>111.53774015090524</v>
      </c>
      <c r="L19" s="13">
        <f t="shared" si="4"/>
        <v>600761.3340260426</v>
      </c>
      <c r="M19" s="13"/>
      <c r="N19" s="14">
        <f>SUM(N16:N18)</f>
        <v>1840</v>
      </c>
      <c r="O19" s="8">
        <f t="shared" si="31"/>
        <v>154.26665928592178</v>
      </c>
      <c r="P19" s="13">
        <f t="shared" si="5"/>
        <v>283850.65308609605</v>
      </c>
      <c r="Q19">
        <f t="shared" si="29"/>
        <v>312.8</v>
      </c>
      <c r="R19" s="8">
        <f>S19/Q19</f>
        <v>261.91839999999996</v>
      </c>
      <c r="S19" s="38">
        <f>SUM(S16:S18)</f>
        <v>81928.07552</v>
      </c>
      <c r="T19">
        <f>0.34*N19*0.5</f>
        <v>312.8</v>
      </c>
      <c r="U19" s="8">
        <f>V19/T19</f>
        <v>206.2305601713043</v>
      </c>
      <c r="V19" s="13">
        <f>SUM(V16:V18)</f>
        <v>64508.91922158399</v>
      </c>
      <c r="W19" s="13">
        <f t="shared" si="10"/>
        <v>1214.4</v>
      </c>
      <c r="X19" s="8">
        <f>Y19/W19</f>
        <v>113.15353948</v>
      </c>
      <c r="Y19" s="13">
        <f>SUM(Y16:Y18)</f>
        <v>137413.65834451202</v>
      </c>
      <c r="Z19" s="13">
        <f t="shared" si="1"/>
        <v>1050.7482587626178</v>
      </c>
      <c r="AA19" s="26">
        <f t="shared" si="26"/>
        <v>90.01416590726397</v>
      </c>
      <c r="AB19" s="13">
        <f t="shared" si="12"/>
        <v>94582.228091027</v>
      </c>
      <c r="AC19" s="13">
        <f t="shared" si="13"/>
        <v>84.05986070100943</v>
      </c>
      <c r="AD19" s="8">
        <f>AE19/AC19</f>
        <v>181.6270199999999</v>
      </c>
      <c r="AE19" s="13">
        <f>SUM(AE16:AE18)</f>
        <v>15267.542000739446</v>
      </c>
      <c r="AF19" s="13">
        <f t="shared" si="15"/>
        <v>84.05986070100943</v>
      </c>
      <c r="AG19" s="8">
        <f>AH19/AF19</f>
        <v>130.36337999999992</v>
      </c>
      <c r="AH19" s="14">
        <f>SUM(AH16:AH18)</f>
        <v>10958.32756331275</v>
      </c>
      <c r="AI19" s="13">
        <f t="shared" si="17"/>
        <v>882.6285373605988</v>
      </c>
      <c r="AJ19" s="8">
        <f>AK19/AI19</f>
        <v>77.44634988959997</v>
      </c>
      <c r="AK19" s="13">
        <f>SUM(AK16:AK18)</f>
        <v>68356.3585269748</v>
      </c>
      <c r="AL19" s="13">
        <f>SUM(AL16:AL18)</f>
        <v>2495.422675068758</v>
      </c>
      <c r="AM19" s="8">
        <f t="shared" si="27"/>
        <v>89.09450694271402</v>
      </c>
      <c r="AN19" s="13">
        <f t="shared" si="18"/>
        <v>222328.45284891946</v>
      </c>
      <c r="AO19" s="13">
        <f t="shared" si="19"/>
        <v>199.63381400550065</v>
      </c>
      <c r="AP19" s="8">
        <f>AQ19/AO19</f>
        <v>131.91072</v>
      </c>
      <c r="AQ19" s="13">
        <f>SUM(AQ16:AQ18)</f>
        <v>26333.840141811677</v>
      </c>
      <c r="AR19" s="13">
        <f t="shared" si="21"/>
        <v>199.63381400550065</v>
      </c>
      <c r="AS19" s="39">
        <f>AT19/AR19</f>
        <v>94.67913000000001</v>
      </c>
      <c r="AT19" s="13">
        <f>SUM(AT16:AT18)</f>
        <v>18901.15582862262</v>
      </c>
      <c r="AU19" s="13">
        <f t="shared" si="23"/>
        <v>2096.1550470577567</v>
      </c>
      <c r="AV19" s="8">
        <f>AW19/AU19</f>
        <v>84.48490350323098</v>
      </c>
      <c r="AW19" s="13">
        <f>SUM(AW16:AW18)</f>
        <v>177093.4568784852</v>
      </c>
    </row>
    <row r="20" spans="1:63" ht="13.5">
      <c r="A20" s="9" t="s">
        <v>151</v>
      </c>
      <c r="B20" s="13">
        <f>B19+B23</f>
        <v>24738.230843116333</v>
      </c>
      <c r="C20" s="29">
        <f t="shared" si="28"/>
        <v>85.24815896331322</v>
      </c>
      <c r="D20" s="13">
        <f>D19+D23</f>
        <v>2108888.635385119</v>
      </c>
      <c r="E20" s="13"/>
      <c r="F20" s="13">
        <f>F19+F23</f>
        <v>18803.101909284953</v>
      </c>
      <c r="G20" s="8">
        <f>H20/F20</f>
        <v>77.16763843738558</v>
      </c>
      <c r="H20" s="13">
        <f>H19+H23</f>
        <v>1450990.9696370156</v>
      </c>
      <c r="I20" s="13"/>
      <c r="J20" s="13">
        <f>J19+J23</f>
        <v>5936.239933831376</v>
      </c>
      <c r="K20" s="8">
        <f t="shared" si="25"/>
        <v>110.82733735182467</v>
      </c>
      <c r="L20" s="13">
        <f>L19+L23</f>
        <v>657897.6657481033</v>
      </c>
      <c r="M20" s="13"/>
      <c r="N20" s="13">
        <f>N19+N23</f>
        <v>1840</v>
      </c>
      <c r="O20" s="8">
        <f t="shared" si="31"/>
        <v>154.26665928592178</v>
      </c>
      <c r="P20" s="13">
        <f>P19+P23</f>
        <v>283850.65308609605</v>
      </c>
      <c r="Q20" s="13">
        <f>Q19+Q23</f>
        <v>312.8</v>
      </c>
      <c r="R20" s="8">
        <f>S20/Q20</f>
        <v>261.91839999999996</v>
      </c>
      <c r="S20" s="13">
        <f>S19+S23</f>
        <v>81928.07552</v>
      </c>
      <c r="T20" s="13">
        <f>T19+T23</f>
        <v>312.8</v>
      </c>
      <c r="U20" s="8">
        <f>V20/T20</f>
        <v>206.2305601713043</v>
      </c>
      <c r="V20" s="13">
        <f>V19+V23</f>
        <v>64508.91922158399</v>
      </c>
      <c r="W20" s="13">
        <f>W19+W23</f>
        <v>1214.4</v>
      </c>
      <c r="X20" s="8">
        <f>Y20/W20</f>
        <v>113.15353948</v>
      </c>
      <c r="Y20" s="13">
        <f>Y19+Y23</f>
        <v>137413.65834451202</v>
      </c>
      <c r="Z20" s="13">
        <f>Z19+Z23</f>
        <v>1336.784138762618</v>
      </c>
      <c r="AA20" s="26">
        <f t="shared" si="26"/>
        <v>95.93046943819462</v>
      </c>
      <c r="AB20" s="13">
        <f>AB19+AB23</f>
        <v>128238.32996903064</v>
      </c>
      <c r="AC20" s="13">
        <f>AC19+AC23</f>
        <v>106.94273110100944</v>
      </c>
      <c r="AD20" s="8">
        <f>AE20/AC20</f>
        <v>181.62701999999993</v>
      </c>
      <c r="AE20" s="13">
        <f>AE19+AE23</f>
        <v>19423.689560537656</v>
      </c>
      <c r="AF20" s="13">
        <f>AF19+AF23</f>
        <v>106.94273110100944</v>
      </c>
      <c r="AG20" s="8">
        <f>AH20/AF20</f>
        <v>130.36337999999992</v>
      </c>
      <c r="AH20" s="13">
        <f>AH19+AH23</f>
        <v>13941.415892758705</v>
      </c>
      <c r="AI20" s="13">
        <f>AI19+AI23</f>
        <v>1122.898676560599</v>
      </c>
      <c r="AJ20" s="8">
        <f>AK20/AI20</f>
        <v>84.48956837880314</v>
      </c>
      <c r="AK20" s="13">
        <f>AK19+AK23</f>
        <v>94873.22451573427</v>
      </c>
      <c r="AL20" s="13">
        <f>AL19+AL23</f>
        <v>2759.455795068758</v>
      </c>
      <c r="AM20" s="8">
        <f t="shared" si="27"/>
        <v>89.07868106901547</v>
      </c>
      <c r="AN20" s="13">
        <f>AN19+AN23</f>
        <v>245808.68269297644</v>
      </c>
      <c r="AO20" s="13">
        <f>AO19+AO23</f>
        <v>220.75646360550067</v>
      </c>
      <c r="AP20" s="8">
        <f>AQ20/AO20</f>
        <v>131.91072000000003</v>
      </c>
      <c r="AQ20" s="13">
        <f>AQ19+AQ23</f>
        <v>29120.144058855392</v>
      </c>
      <c r="AR20" s="13">
        <f>AR19+AR23</f>
        <v>220.75646360550067</v>
      </c>
      <c r="AS20" s="39">
        <f>AT20/AR20</f>
        <v>94.67913000000001</v>
      </c>
      <c r="AT20" s="13">
        <f>AT19+AT23</f>
        <v>20901.02991604547</v>
      </c>
      <c r="AU20" s="13">
        <f>AU19+AU23</f>
        <v>2317.942867857757</v>
      </c>
      <c r="AV20" s="8">
        <f>AW20/AU20</f>
        <v>84.46606317739938</v>
      </c>
      <c r="AW20" s="13">
        <f>AW19+AW23</f>
        <v>195787.5087180756</v>
      </c>
      <c r="AX20" s="13"/>
      <c r="AY20" s="13"/>
      <c r="AZ20" s="13"/>
      <c r="BA20" s="13"/>
      <c r="BB20" s="13"/>
      <c r="BC20" s="13"/>
      <c r="BD20" s="13"/>
      <c r="BE20" s="13"/>
      <c r="BF20" s="13"/>
      <c r="BG20" s="13"/>
      <c r="BH20" s="13"/>
      <c r="BI20" s="13"/>
      <c r="BJ20" s="13"/>
      <c r="BK20" s="13"/>
    </row>
    <row r="21" spans="1:63" ht="13.5">
      <c r="A21" s="9" t="s">
        <v>150</v>
      </c>
      <c r="B21" s="13">
        <f>B19+B23+B24+B26</f>
        <v>88434.83084311633</v>
      </c>
      <c r="C21" s="29">
        <f t="shared" si="28"/>
        <v>85.65434914393916</v>
      </c>
      <c r="D21" s="13">
        <f>D19+D23+D24+D26</f>
        <v>7574827.877521485</v>
      </c>
      <c r="E21" s="13"/>
      <c r="F21" s="13">
        <f>F19+F23+F24+F26</f>
        <v>70797.10190928495</v>
      </c>
      <c r="G21" s="8">
        <f>H21/F21</f>
        <v>75.26977031722453</v>
      </c>
      <c r="H21" s="13">
        <f>H19+H23+H24+H26</f>
        <v>5328881.599837016</v>
      </c>
      <c r="I21" s="13"/>
      <c r="J21" s="13">
        <f>J19+J23+J24+J26</f>
        <v>17639.21193383138</v>
      </c>
      <c r="K21" s="8">
        <f t="shared" si="25"/>
        <v>127.32690587932814</v>
      </c>
      <c r="L21" s="13">
        <f>L19+L23+L24+L26</f>
        <v>2245946.2776844697</v>
      </c>
      <c r="M21" s="13"/>
      <c r="N21" s="13">
        <f>N19+N23+N24+N26</f>
        <v>7575</v>
      </c>
      <c r="O21" s="8">
        <f t="shared" si="31"/>
        <v>177.1497958798049</v>
      </c>
      <c r="P21" s="13">
        <f>P19+P23+P24+P26</f>
        <v>1341909.7037895222</v>
      </c>
      <c r="Q21" s="13">
        <f>Q19+Q23+Q24+Q26</f>
        <v>1287.75</v>
      </c>
      <c r="R21" s="8">
        <f>S21/Q21</f>
        <v>261.9184</v>
      </c>
      <c r="S21" s="13">
        <f>S19+S23+S24+S26</f>
        <v>337285.4196</v>
      </c>
      <c r="T21" s="13">
        <f>T19+T23+T24+T26</f>
        <v>1287.75</v>
      </c>
      <c r="U21" s="8">
        <f>V21/T21</f>
        <v>199.4777723012561</v>
      </c>
      <c r="V21" s="13">
        <f>V19+V23+V24+V26</f>
        <v>256877.50128094255</v>
      </c>
      <c r="W21" s="13">
        <f>W19+W23+W24+W26</f>
        <v>4999.5</v>
      </c>
      <c r="X21" s="8">
        <f>Y21/W21</f>
        <v>149.5643130130172</v>
      </c>
      <c r="Y21" s="13">
        <f>Y19+Y23+Y24+Y26</f>
        <v>747746.7829085795</v>
      </c>
      <c r="Z21" s="13">
        <f>Z19+Z23+Z24+Z26</f>
        <v>1873.7167005197248</v>
      </c>
      <c r="AA21" s="26">
        <f t="shared" si="26"/>
        <v>102.15898535055555</v>
      </c>
      <c r="AB21" s="13">
        <f>AB19+AB23+AB24+AB26</f>
        <v>191416.99695948584</v>
      </c>
      <c r="AC21" s="13">
        <f>AC19+AC23+AC24+AC26</f>
        <v>149.897336041578</v>
      </c>
      <c r="AD21" s="8">
        <f>AE21/AC21</f>
        <v>181.6270199999999</v>
      </c>
      <c r="AE21" s="13">
        <f>AE19+AE23+AE24+AE26</f>
        <v>27225.406451170395</v>
      </c>
      <c r="AF21" s="13">
        <f>AF19+AF23+AF24+AF26</f>
        <v>149.897336041578</v>
      </c>
      <c r="AG21" s="8">
        <f>AH21/AF21</f>
        <v>130.36337999999992</v>
      </c>
      <c r="AH21" s="13">
        <f>AH19+AH23+AH24+AH26</f>
        <v>19541.123379375917</v>
      </c>
      <c r="AI21" s="13">
        <f>AI19+AI23+AI24+AI26</f>
        <v>1573.9220284365686</v>
      </c>
      <c r="AJ21" s="8">
        <f>AK21/AI21</f>
        <v>91.90446827447089</v>
      </c>
      <c r="AK21" s="13">
        <f>AK19+AK23+AK24+AK26</f>
        <v>144650.4671289395</v>
      </c>
      <c r="AL21" s="13">
        <f>AL19+AL23+AL24+AL26</f>
        <v>8190.495233311654</v>
      </c>
      <c r="AM21" s="8">
        <f t="shared" si="27"/>
        <v>87.00567629136255</v>
      </c>
      <c r="AN21" s="13">
        <f>AN19+AN23+AN24+AN26</f>
        <v>712619.5769354617</v>
      </c>
      <c r="AO21" s="13">
        <f>AO19+AO23+AO24+AO26</f>
        <v>655.2396186649323</v>
      </c>
      <c r="AP21" s="8">
        <f>AQ21/AO21</f>
        <v>131.91072</v>
      </c>
      <c r="AQ21" s="13">
        <f>AQ19+AQ23+AQ24+AQ26</f>
        <v>86433.12987061666</v>
      </c>
      <c r="AR21" s="13">
        <f>AR19+AR23+AR24+AR26</f>
        <v>655.2396186649323</v>
      </c>
      <c r="AS21" s="39">
        <f>AT21/AR21</f>
        <v>94.67913</v>
      </c>
      <c r="AT21" s="13">
        <f>AT19+AT23+AT24+AT26</f>
        <v>62037.51703672756</v>
      </c>
      <c r="AU21" s="13">
        <f>AU19+AU23+AU24+AU26</f>
        <v>6880.015995981789</v>
      </c>
      <c r="AV21" s="8">
        <f>AW21/AU21</f>
        <v>81.99820034686017</v>
      </c>
      <c r="AW21" s="13">
        <f>AW19+AW23+AW24+AW26</f>
        <v>564148.9300281175</v>
      </c>
      <c r="AX21" s="13"/>
      <c r="AY21" s="13"/>
      <c r="AZ21" s="13"/>
      <c r="BA21" s="13"/>
      <c r="BB21" s="13"/>
      <c r="BC21" s="13"/>
      <c r="BD21" s="13"/>
      <c r="BE21" s="13"/>
      <c r="BF21" s="13"/>
      <c r="BG21" s="13"/>
      <c r="BH21" s="13"/>
      <c r="BI21" s="13"/>
      <c r="BJ21" s="13"/>
      <c r="BK21" s="13"/>
    </row>
    <row r="22" spans="1:49" ht="18">
      <c r="A22" s="9"/>
      <c r="C22" s="3"/>
      <c r="D22" s="13"/>
      <c r="E22" s="13"/>
      <c r="G22" s="22"/>
      <c r="H22" s="13"/>
      <c r="K22" s="8"/>
      <c r="L22" s="13"/>
      <c r="N22" s="12"/>
      <c r="O22" s="8"/>
      <c r="P22" s="13"/>
      <c r="R22" s="8"/>
      <c r="S22" s="13"/>
      <c r="U22" s="3"/>
      <c r="V22" s="13"/>
      <c r="W22" s="13"/>
      <c r="X22" s="8"/>
      <c r="Y22" s="13"/>
      <c r="Z22" s="13"/>
      <c r="AA22" s="26"/>
      <c r="AB22" s="13"/>
      <c r="AC22" s="13"/>
      <c r="AE22" s="13"/>
      <c r="AF22" s="13"/>
      <c r="AH22" s="13"/>
      <c r="AI22" s="13"/>
      <c r="AJ22" s="8"/>
      <c r="AK22" s="13"/>
      <c r="AM22" s="8"/>
      <c r="AN22" s="13"/>
      <c r="AO22" s="13"/>
      <c r="AQ22" s="13"/>
      <c r="AR22" s="13"/>
      <c r="AT22" s="13"/>
      <c r="AU22" s="13"/>
      <c r="AV22" s="8"/>
      <c r="AW22" s="13"/>
    </row>
    <row r="23" spans="1:49" ht="13.5">
      <c r="A23" t="s">
        <v>62</v>
      </c>
      <c r="B23" s="13">
        <v>3779.1000000000004</v>
      </c>
      <c r="C23" s="28">
        <f>D23/B23</f>
        <v>80.9044181085604</v>
      </c>
      <c r="D23" s="13">
        <f>H23+P23+AB23+AN23</f>
        <v>305745.88647406065</v>
      </c>
      <c r="E23" s="13"/>
      <c r="F23" s="13">
        <v>3229.031</v>
      </c>
      <c r="G23" s="8">
        <f>0.401*'(2) Free LF earnings 1800'!G23</f>
        <v>76.992</v>
      </c>
      <c r="H23" s="13">
        <f>F23*G23</f>
        <v>248609.554752</v>
      </c>
      <c r="J23" s="13">
        <v>550.0690000000004</v>
      </c>
      <c r="K23" s="8">
        <f>L23/J23</f>
        <v>103.8712083794226</v>
      </c>
      <c r="L23" s="13">
        <f>D23-H23</f>
        <v>57136.331722060655</v>
      </c>
      <c r="M23" s="13"/>
      <c r="N23" s="13">
        <v>0</v>
      </c>
      <c r="O23" s="8">
        <v>0</v>
      </c>
      <c r="P23" s="13">
        <f>S23+V23+Y23</f>
        <v>0</v>
      </c>
      <c r="Q23">
        <f>0.16*N23*0.5</f>
        <v>0</v>
      </c>
      <c r="R23" s="8">
        <f>0.523*'(2) Free LF earnings 1800'!X23</f>
        <v>0</v>
      </c>
      <c r="S23" s="13">
        <f>Q23*R23</f>
        <v>0</v>
      </c>
      <c r="T23">
        <f>0.16*N23*0.5</f>
        <v>0</v>
      </c>
      <c r="U23" s="8">
        <f>0.523*'(2) Free LF earnings 1800'!AA23</f>
        <v>0</v>
      </c>
      <c r="V23" s="13">
        <f>T23*U23</f>
        <v>0</v>
      </c>
      <c r="W23" s="13">
        <f>N23-Q23-T23</f>
        <v>0</v>
      </c>
      <c r="X23" s="8">
        <f>0.523*'(2) Free LF earnings 1800'!AG23</f>
        <v>161.24623512300002</v>
      </c>
      <c r="Y23" s="13">
        <f>W23*X23</f>
        <v>0</v>
      </c>
      <c r="Z23" s="13">
        <f>J23-AL23-N23</f>
        <v>286.03588000000025</v>
      </c>
      <c r="AA23" s="26">
        <f>AB23/Z23</f>
        <v>117.6639164219664</v>
      </c>
      <c r="AB23" s="13">
        <f>AE23+AH23+AK23</f>
        <v>33656.10187800364</v>
      </c>
      <c r="AC23" s="13">
        <f>0.16*0.5*Z23</f>
        <v>22.88287040000002</v>
      </c>
      <c r="AD23" s="8">
        <f>0.471*'(2) Free LF earnings 1800'!AP23</f>
        <v>181.62702</v>
      </c>
      <c r="AE23" s="13">
        <f>AC23*AD23</f>
        <v>4156.147559798212</v>
      </c>
      <c r="AF23" s="13">
        <f>0.16*0.5*Z23</f>
        <v>22.88287040000002</v>
      </c>
      <c r="AG23" s="8">
        <f>0.471*'(2) Free LF earnings 1800'!AS23</f>
        <v>130.36337999999998</v>
      </c>
      <c r="AH23" s="13">
        <f aca="true" t="shared" si="32" ref="AH23:AH29">AF23*AG23</f>
        <v>2983.088329445954</v>
      </c>
      <c r="AI23" s="13">
        <f>Z23-AC23-AF23</f>
        <v>240.27013920000022</v>
      </c>
      <c r="AJ23" s="8">
        <f>0.471*'(2) Free LF earnings 1800'!AY23</f>
        <v>110.36271954996</v>
      </c>
      <c r="AK23" s="13">
        <f>AI23*AJ23</f>
        <v>26516.865988759477</v>
      </c>
      <c r="AL23" s="13">
        <v>264.03312000000017</v>
      </c>
      <c r="AM23" s="8">
        <f>AN23/AL23</f>
        <v>88.929108</v>
      </c>
      <c r="AN23" s="13">
        <f>AT23+AW23+AQ23</f>
        <v>23480.229844056976</v>
      </c>
      <c r="AO23" s="13">
        <f>AL23*0.16*0.5</f>
        <v>21.122649600000013</v>
      </c>
      <c r="AP23" s="8">
        <f>0.439*'(2) Free LF earnings 1800'!BH23</f>
        <v>131.91072</v>
      </c>
      <c r="AQ23" s="13">
        <f>AO23*AP23</f>
        <v>2786.3039170437137</v>
      </c>
      <c r="AR23" s="13">
        <f>AL23*0.16*0.5</f>
        <v>21.122649600000013</v>
      </c>
      <c r="AS23" s="8">
        <f>0.439*'(2) Free LF earnings 1800'!BK23</f>
        <v>94.67913</v>
      </c>
      <c r="AT23" s="13">
        <f aca="true" t="shared" si="33" ref="AT23:AT29">AR23*AS23</f>
        <v>1999.8740874228492</v>
      </c>
      <c r="AU23" s="13">
        <f>AL23-AO23-AR23</f>
        <v>221.78782080000013</v>
      </c>
      <c r="AV23" s="8">
        <f>0.439*'(2) Free LF earnings 1800'!BN23</f>
        <v>84.288</v>
      </c>
      <c r="AW23" s="13">
        <f>AU23*AV23</f>
        <v>18694.05183959041</v>
      </c>
    </row>
    <row r="24" spans="1:49" ht="13.5">
      <c r="A24" t="s">
        <v>63</v>
      </c>
      <c r="B24" s="13">
        <v>1367.1</v>
      </c>
      <c r="C24" s="28">
        <f>D24/B24</f>
        <v>90.2689220700347</v>
      </c>
      <c r="D24" s="13">
        <f>H24+P24+AB24+AN24</f>
        <v>123406.64336194443</v>
      </c>
      <c r="E24" s="13"/>
      <c r="F24" s="13">
        <v>334</v>
      </c>
      <c r="G24" s="8">
        <f>0.401*'(2) Free LF earnings 1800'!G24</f>
        <v>64.88180000000001</v>
      </c>
      <c r="H24" s="13">
        <f>F24*G24</f>
        <v>21670.521200000003</v>
      </c>
      <c r="J24" s="13">
        <v>1032.585</v>
      </c>
      <c r="K24" s="8">
        <f>L24/J24</f>
        <v>98.52566341942254</v>
      </c>
      <c r="L24" s="13">
        <f>D24-H24</f>
        <v>101736.12216194443</v>
      </c>
      <c r="M24" s="13"/>
      <c r="N24" s="13">
        <v>0</v>
      </c>
      <c r="O24" s="8">
        <v>0</v>
      </c>
      <c r="P24" s="13">
        <f>S24+V24+Y24</f>
        <v>0</v>
      </c>
      <c r="Q24">
        <f>0.16*N24*0.5</f>
        <v>0</v>
      </c>
      <c r="R24" s="8">
        <f>0.523*'(2) Free LF earnings 1800'!X24</f>
        <v>0</v>
      </c>
      <c r="S24" s="13">
        <f>Q24*R24</f>
        <v>0</v>
      </c>
      <c r="T24">
        <f>0.16*N24*0.5</f>
        <v>0</v>
      </c>
      <c r="U24" s="8">
        <f>0.523*'(2) Free LF earnings 1800'!AA24</f>
        <v>0</v>
      </c>
      <c r="V24" s="13">
        <f>T24*U24</f>
        <v>0</v>
      </c>
      <c r="W24" s="13">
        <f>N24-Q24-T24</f>
        <v>0</v>
      </c>
      <c r="X24" s="8">
        <f>0.523*'(2) Free LF earnings 1800'!AG24</f>
        <v>161.24623512300002</v>
      </c>
      <c r="Y24" s="13">
        <f>W24*X24</f>
        <v>0</v>
      </c>
      <c r="Z24" s="13">
        <f>J24-AL24-N24</f>
        <v>536.9442</v>
      </c>
      <c r="AA24" s="26">
        <f>AB24/Z24</f>
        <v>117.66391642196642</v>
      </c>
      <c r="AB24" s="13">
        <f>AE24+AH24+AK24</f>
        <v>63178.95747205962</v>
      </c>
      <c r="AC24" s="13">
        <f>0.16*0.5*Z24</f>
        <v>42.955536</v>
      </c>
      <c r="AD24" s="8">
        <f>0.471*'(2) Free LF earnings 1800'!AP24</f>
        <v>181.62702</v>
      </c>
      <c r="AE24" s="13">
        <f>AC24*AD24</f>
        <v>7801.88599618272</v>
      </c>
      <c r="AF24" s="13">
        <f>0.16*0.5*Z24</f>
        <v>42.955536</v>
      </c>
      <c r="AG24" s="8">
        <f>0.471*'(2) Free LF earnings 1800'!AS24</f>
        <v>130.36337999999998</v>
      </c>
      <c r="AH24" s="13">
        <f t="shared" si="32"/>
        <v>5599.828862671679</v>
      </c>
      <c r="AI24" s="13">
        <f>Z24-AC24-AF24</f>
        <v>451.03312800000003</v>
      </c>
      <c r="AJ24" s="8">
        <f>0.471*'(2) Free LF earnings 1800'!AY24</f>
        <v>110.36271954996</v>
      </c>
      <c r="AK24" s="13">
        <f>AI24*AJ24</f>
        <v>49777.24261320522</v>
      </c>
      <c r="AL24" s="13">
        <v>495.6408</v>
      </c>
      <c r="AM24" s="8">
        <f>AN24/AL24</f>
        <v>77.79255599999999</v>
      </c>
      <c r="AN24" s="13">
        <f>AT24+AW24+AQ24</f>
        <v>38557.1646898848</v>
      </c>
      <c r="AO24" s="13">
        <f>AL24*0.16*0.5</f>
        <v>39.651264000000005</v>
      </c>
      <c r="AP24" s="8">
        <f>0.439*'(2) Free LF earnings 1800'!BH24</f>
        <v>131.91072</v>
      </c>
      <c r="AQ24" s="13">
        <f>AO24*AP24</f>
        <v>5230.42678315008</v>
      </c>
      <c r="AR24" s="13">
        <f>AL24*0.16*0.5</f>
        <v>39.651264000000005</v>
      </c>
      <c r="AS24" s="8">
        <f>0.439*'(2) Free LF earnings 1800'!BK24</f>
        <v>94.67913</v>
      </c>
      <c r="AT24" s="13">
        <f t="shared" si="33"/>
        <v>3754.1471789203206</v>
      </c>
      <c r="AU24" s="13">
        <f>AL24-AO24-AR24</f>
        <v>416.33827199999996</v>
      </c>
      <c r="AV24" s="8">
        <f>0.439*'(2) Free LF earnings 1800'!BN24</f>
        <v>71.03020000000001</v>
      </c>
      <c r="AW24" s="13">
        <f>AU24*AV24</f>
        <v>29572.5907278144</v>
      </c>
    </row>
    <row r="25" spans="1:49" ht="13.5">
      <c r="A25" t="s">
        <v>69</v>
      </c>
      <c r="B25" s="13">
        <v>35099.39655270608</v>
      </c>
      <c r="C25" s="28">
        <f t="shared" si="28"/>
        <v>82.47988482355127</v>
      </c>
      <c r="D25" s="13">
        <f aca="true" t="shared" si="34" ref="D25:D30">H25+P25+AB25+AN25</f>
        <v>2894994.18504335</v>
      </c>
      <c r="E25" s="13"/>
      <c r="F25" s="13">
        <v>28690.105387812193</v>
      </c>
      <c r="G25" s="8">
        <f>0.414*'(2) Free LF earnings 1800'!G25</f>
        <v>77.55462</v>
      </c>
      <c r="H25" s="13">
        <f t="shared" si="3"/>
        <v>2225050.2211117274</v>
      </c>
      <c r="J25" s="13">
        <v>6409.291164893886</v>
      </c>
      <c r="K25" s="8">
        <f t="shared" si="25"/>
        <v>104.52699786852548</v>
      </c>
      <c r="L25" s="13">
        <f t="shared" si="4"/>
        <v>669943.9639316224</v>
      </c>
      <c r="M25" s="13"/>
      <c r="N25" s="13">
        <v>0</v>
      </c>
      <c r="O25" s="8">
        <v>0</v>
      </c>
      <c r="P25" s="13">
        <f t="shared" si="5"/>
        <v>0</v>
      </c>
      <c r="Q25">
        <f t="shared" si="29"/>
        <v>0</v>
      </c>
      <c r="R25" s="8">
        <f>0.527*'(2) Free LF earnings 1800'!X25</f>
        <v>0</v>
      </c>
      <c r="S25" s="13">
        <f t="shared" si="7"/>
        <v>0</v>
      </c>
      <c r="T25">
        <f>0.34*N25*0.5</f>
        <v>0</v>
      </c>
      <c r="U25" s="8">
        <f>0.527*'(2) Free LF earnings 1800'!AA25</f>
        <v>0</v>
      </c>
      <c r="V25" s="13">
        <f t="shared" si="9"/>
        <v>0</v>
      </c>
      <c r="W25" s="13">
        <f t="shared" si="10"/>
        <v>0</v>
      </c>
      <c r="X25" s="8">
        <f>0.527*'(2) Free LF earnings 1800'!AG25</f>
        <v>162.479475927</v>
      </c>
      <c r="Y25" s="13">
        <f t="shared" si="11"/>
        <v>0</v>
      </c>
      <c r="Z25" s="13">
        <f t="shared" si="1"/>
        <v>3454.3582252350166</v>
      </c>
      <c r="AA25" s="26">
        <f t="shared" si="26"/>
        <v>118.66318535123999</v>
      </c>
      <c r="AB25" s="13">
        <f t="shared" si="12"/>
        <v>409905.1503506432</v>
      </c>
      <c r="AC25" s="13">
        <f t="shared" si="13"/>
        <v>276.34865801880136</v>
      </c>
      <c r="AD25" s="8">
        <f>0.475*'(2) Free LF earnings 1800'!AP25</f>
        <v>183.1695</v>
      </c>
      <c r="AE25" s="13">
        <f t="shared" si="14"/>
        <v>50618.645514974836</v>
      </c>
      <c r="AF25" s="13">
        <f t="shared" si="15"/>
        <v>276.34865801880136</v>
      </c>
      <c r="AG25" s="8">
        <f>0.475*'(2) Free LF earnings 1800'!AS25</f>
        <v>131.4705</v>
      </c>
      <c r="AH25" s="13">
        <f t="shared" si="32"/>
        <v>36331.69624406082</v>
      </c>
      <c r="AI25" s="13">
        <f t="shared" si="17"/>
        <v>2901.6609091974137</v>
      </c>
      <c r="AJ25" s="8">
        <f>0.475*'(2) Free LF earnings 1800'!AY25</f>
        <v>111.299982561</v>
      </c>
      <c r="AK25" s="13">
        <f t="shared" si="30"/>
        <v>322954.80859160755</v>
      </c>
      <c r="AL25" s="13">
        <v>2954.9329396588696</v>
      </c>
      <c r="AM25" s="8">
        <f t="shared" si="27"/>
        <v>88.00159560000002</v>
      </c>
      <c r="AN25" s="13">
        <f t="shared" si="18"/>
        <v>260038.8135809791</v>
      </c>
      <c r="AO25" s="13">
        <f t="shared" si="19"/>
        <v>236.39463517270957</v>
      </c>
      <c r="AP25" s="8">
        <f>0.443*'(2) Free LF earnings 1800'!BH25</f>
        <v>133.11264</v>
      </c>
      <c r="AQ25" s="13">
        <f t="shared" si="20"/>
        <v>31467.113969676226</v>
      </c>
      <c r="AR25" s="13">
        <f t="shared" si="21"/>
        <v>236.39463517270957</v>
      </c>
      <c r="AS25" s="8">
        <f>0.443*'(2) Free LF earnings 1800'!BK25</f>
        <v>95.54181</v>
      </c>
      <c r="AT25" s="13">
        <f t="shared" si="33"/>
        <v>22585.571318690334</v>
      </c>
      <c r="AU25" s="13">
        <f t="shared" si="23"/>
        <v>2482.1436693134506</v>
      </c>
      <c r="AV25" s="8">
        <f>0.443*'(2) Free LF earnings 1800'!BN25</f>
        <v>82.98719000000001</v>
      </c>
      <c r="AW25" s="13">
        <f t="shared" si="24"/>
        <v>205986.12829261253</v>
      </c>
    </row>
    <row r="26" spans="1:49" ht="13.5">
      <c r="A26" t="s">
        <v>64</v>
      </c>
      <c r="B26" s="13">
        <v>62329.5</v>
      </c>
      <c r="C26" s="28">
        <f>D26/B26</f>
        <v>85.71435032808577</v>
      </c>
      <c r="D26" s="13">
        <f>H26+P26+AB26+AN26</f>
        <v>5342532.598774422</v>
      </c>
      <c r="E26" s="13"/>
      <c r="F26" s="13">
        <v>51660</v>
      </c>
      <c r="G26" s="8">
        <f>0.401*'(2) Free LF earnings 1800'!G26</f>
        <v>74.64615</v>
      </c>
      <c r="H26" s="13">
        <f>F26*G26</f>
        <v>3856220.109</v>
      </c>
      <c r="J26" s="13">
        <v>10670.387000000002</v>
      </c>
      <c r="K26" s="8">
        <f>L26/J26</f>
        <v>139.29321305538605</v>
      </c>
      <c r="L26" s="13">
        <f>D26-H26</f>
        <v>1486312.4897744218</v>
      </c>
      <c r="M26" s="13"/>
      <c r="N26" s="13">
        <v>5735</v>
      </c>
      <c r="O26" s="8">
        <f>P26/N26</f>
        <v>184.49155199711004</v>
      </c>
      <c r="P26" s="13">
        <f>S26+V26+Y26</f>
        <v>1058059.0507034261</v>
      </c>
      <c r="Q26">
        <f>0.34*N26*0.5</f>
        <v>974.95</v>
      </c>
      <c r="R26" s="8">
        <f>0.523*'(2) Free LF earnings 1800'!X26</f>
        <v>261.9184</v>
      </c>
      <c r="S26" s="13">
        <f>Q26*R26</f>
        <v>255357.34408000004</v>
      </c>
      <c r="T26">
        <f>0.34*N26*0.5</f>
        <v>974.95</v>
      </c>
      <c r="U26" s="8">
        <f>0.523*'(2) Free LF earnings 1800'!AA26</f>
        <v>197.31122832900002</v>
      </c>
      <c r="V26" s="13">
        <f>T26*U26</f>
        <v>192368.58205935857</v>
      </c>
      <c r="W26" s="13">
        <f>N26-Q26-T26</f>
        <v>3785.1000000000004</v>
      </c>
      <c r="X26" s="8">
        <f>0.523*'(2) Free LF earnings 1800'!AG26</f>
        <v>161.24623512300002</v>
      </c>
      <c r="Y26" s="13">
        <f>W26*X26</f>
        <v>610333.1245640675</v>
      </c>
      <c r="Z26" s="13">
        <f>J26-AL26-N26</f>
        <v>-0.011638242893241113</v>
      </c>
      <c r="AA26" s="26">
        <v>0</v>
      </c>
      <c r="AB26" s="13">
        <f>AE26+AH26+AK26</f>
        <v>-0.2904816044447561</v>
      </c>
      <c r="AC26" s="13">
        <f>0.16*0.5*Z26</f>
        <v>-0.000931059431459289</v>
      </c>
      <c r="AD26" s="8">
        <f>0.471*'(2) Free LF earnings 1800'!AP26</f>
        <v>181.62702</v>
      </c>
      <c r="AE26" s="13">
        <f>AC26*AD26</f>
        <v>-0.16910554997884492</v>
      </c>
      <c r="AF26" s="13">
        <f>0.16*0.5*Z26</f>
        <v>-0.000931059431459289</v>
      </c>
      <c r="AG26" s="8">
        <f>0.471*'(2) Free LF earnings 1800'!AS26</f>
        <v>130.36337999999998</v>
      </c>
      <c r="AH26" s="13">
        <f t="shared" si="32"/>
        <v>-0.12137605446591122</v>
      </c>
      <c r="AI26" s="13">
        <f>Z26-AC26-AF26</f>
        <v>-0.009776124030322533</v>
      </c>
      <c r="AJ26" s="8">
        <f>0.471*'(2) Free LF earnings 1800'!AY26</f>
        <v>110.36271954996</v>
      </c>
      <c r="AK26" s="13">
        <v>0</v>
      </c>
      <c r="AL26" s="13">
        <v>4935.398638242896</v>
      </c>
      <c r="AM26" s="8">
        <f>AN26/AL26</f>
        <v>86.771862</v>
      </c>
      <c r="AN26" s="13">
        <f>AT26+AW26+AQ26</f>
        <v>428253.7295526005</v>
      </c>
      <c r="AO26" s="13">
        <f>AL26*0.16*0.5</f>
        <v>394.83189105943165</v>
      </c>
      <c r="AP26" s="8">
        <f>0.439*'(2) Free LF earnings 1800'!BH26</f>
        <v>131.91072</v>
      </c>
      <c r="AQ26" s="13">
        <f>AO26*AP26</f>
        <v>52082.55902861119</v>
      </c>
      <c r="AR26" s="13">
        <f>AL26*0.16*0.5</f>
        <v>394.83189105943165</v>
      </c>
      <c r="AS26" s="8">
        <f>0.439*'(2) Free LF earnings 1800'!BK26</f>
        <v>94.67913</v>
      </c>
      <c r="AT26" s="13">
        <f t="shared" si="33"/>
        <v>37382.33994176177</v>
      </c>
      <c r="AU26" s="13">
        <f>AL26-AO26-AR26</f>
        <v>4145.734856124032</v>
      </c>
      <c r="AV26" s="8">
        <f>0.439*'(2) Free LF earnings 1800'!BN26</f>
        <v>81.71985000000001</v>
      </c>
      <c r="AW26" s="13">
        <f>AU26*AV26</f>
        <v>338788.83058222756</v>
      </c>
    </row>
    <row r="27" spans="1:49" ht="13.5">
      <c r="A27" t="s">
        <v>72</v>
      </c>
      <c r="B27" s="13">
        <v>74202.29999999999</v>
      </c>
      <c r="C27" s="28">
        <f t="shared" si="28"/>
        <v>81.4796493432952</v>
      </c>
      <c r="D27" s="13">
        <f t="shared" si="34"/>
        <v>6045977.3844659915</v>
      </c>
      <c r="E27" s="13"/>
      <c r="F27" s="13">
        <v>63401</v>
      </c>
      <c r="G27" s="8">
        <f>0.414*'(2) Free LF earnings 1800'!G27</f>
        <v>77.55462</v>
      </c>
      <c r="H27" s="13">
        <f t="shared" si="3"/>
        <v>4917040.46262</v>
      </c>
      <c r="J27" s="13">
        <v>10800.556999999986</v>
      </c>
      <c r="K27" s="8">
        <f t="shared" si="25"/>
        <v>104.52580564557852</v>
      </c>
      <c r="L27" s="13">
        <f t="shared" si="4"/>
        <v>1128936.9218459912</v>
      </c>
      <c r="M27" s="13"/>
      <c r="N27" s="13">
        <v>0</v>
      </c>
      <c r="O27" s="8">
        <v>0</v>
      </c>
      <c r="P27" s="13">
        <f t="shared" si="5"/>
        <v>0</v>
      </c>
      <c r="Q27">
        <f t="shared" si="29"/>
        <v>0</v>
      </c>
      <c r="R27" s="8">
        <f>0.527*'(2) Free LF earnings 1800'!X27</f>
        <v>0</v>
      </c>
      <c r="S27" s="13">
        <f t="shared" si="7"/>
        <v>0</v>
      </c>
      <c r="T27">
        <f>0.34*N27*0.5</f>
        <v>0</v>
      </c>
      <c r="U27" s="8">
        <f>0.527*'(2) Free LF earnings 1800'!AA27</f>
        <v>0</v>
      </c>
      <c r="V27" s="13">
        <f t="shared" si="9"/>
        <v>0</v>
      </c>
      <c r="W27" s="13">
        <f t="shared" si="10"/>
        <v>0</v>
      </c>
      <c r="X27" s="8">
        <f>0.527*'(2) Free LF earnings 1800'!AG27</f>
        <v>162.479475927</v>
      </c>
      <c r="Y27" s="13">
        <f t="shared" si="11"/>
        <v>0</v>
      </c>
      <c r="Z27" s="13">
        <f t="shared" si="1"/>
        <v>5820.659461077837</v>
      </c>
      <c r="AA27" s="26">
        <f t="shared" si="26"/>
        <v>118.66318535124</v>
      </c>
      <c r="AB27" s="13">
        <f t="shared" si="12"/>
        <v>690697.9924963281</v>
      </c>
      <c r="AC27" s="13">
        <f t="shared" si="13"/>
        <v>465.65275688622694</v>
      </c>
      <c r="AD27" s="8">
        <f>0.475*'(2) Free LF earnings 1800'!AP27</f>
        <v>183.1695</v>
      </c>
      <c r="AE27" s="13">
        <f t="shared" si="14"/>
        <v>85293.38265247174</v>
      </c>
      <c r="AF27" s="13">
        <f t="shared" si="15"/>
        <v>465.65275688622694</v>
      </c>
      <c r="AG27" s="8">
        <f>0.475*'(2) Free LF earnings 1800'!AS27</f>
        <v>131.4705</v>
      </c>
      <c r="AH27" s="13">
        <f t="shared" si="32"/>
        <v>61219.600774210696</v>
      </c>
      <c r="AI27" s="13">
        <f t="shared" si="17"/>
        <v>4889.353947305383</v>
      </c>
      <c r="AJ27" s="8">
        <f>0.475*'(2) Free LF earnings 1800'!AY27</f>
        <v>111.299982561</v>
      </c>
      <c r="AK27" s="13">
        <f t="shared" si="30"/>
        <v>544185.0090696457</v>
      </c>
      <c r="AL27" s="13">
        <v>4979.89753892215</v>
      </c>
      <c r="AM27" s="8">
        <f t="shared" si="27"/>
        <v>88.00159560000003</v>
      </c>
      <c r="AN27" s="13">
        <f t="shared" si="18"/>
        <v>438238.9293496624</v>
      </c>
      <c r="AO27" s="13">
        <f t="shared" si="19"/>
        <v>398.39180311377197</v>
      </c>
      <c r="AP27" s="8">
        <f>0.443*'(2) Free LF earnings 1800'!BH27</f>
        <v>133.11264</v>
      </c>
      <c r="AQ27" s="13">
        <f t="shared" si="20"/>
        <v>53030.9846668344</v>
      </c>
      <c r="AR27" s="13">
        <f t="shared" si="21"/>
        <v>398.39180311377197</v>
      </c>
      <c r="AS27" s="8">
        <f>0.443*'(2) Free LF earnings 1800'!BK27</f>
        <v>95.54181</v>
      </c>
      <c r="AT27" s="13">
        <f t="shared" si="33"/>
        <v>38063.07395865341</v>
      </c>
      <c r="AU27" s="13">
        <f t="shared" si="23"/>
        <v>4183.113932694606</v>
      </c>
      <c r="AV27" s="8">
        <f>0.443*'(2) Free LF earnings 1800'!BN27</f>
        <v>82.98719000000001</v>
      </c>
      <c r="AW27" s="13">
        <f t="shared" si="24"/>
        <v>347144.87072417454</v>
      </c>
    </row>
    <row r="28" spans="1:49" ht="13.5">
      <c r="A28" t="s">
        <v>73</v>
      </c>
      <c r="B28" s="13">
        <v>88870.5</v>
      </c>
      <c r="C28" s="28">
        <f t="shared" si="28"/>
        <v>84.62428831679436</v>
      </c>
      <c r="D28" s="13">
        <f t="shared" si="34"/>
        <v>7520602.814857674</v>
      </c>
      <c r="E28" s="13"/>
      <c r="F28" s="13">
        <v>70828</v>
      </c>
      <c r="G28" s="8">
        <f>0.414*'(2) Free LF earnings 1800'!G28</f>
        <v>77.55462</v>
      </c>
      <c r="H28" s="13">
        <f t="shared" si="3"/>
        <v>5493038.62536</v>
      </c>
      <c r="J28" s="13">
        <v>18043.293000000005</v>
      </c>
      <c r="K28" s="8">
        <f t="shared" si="25"/>
        <v>112.3721811477358</v>
      </c>
      <c r="L28" s="13">
        <f t="shared" si="4"/>
        <v>2027564.189497674</v>
      </c>
      <c r="M28" s="13"/>
      <c r="N28" s="13">
        <v>2400</v>
      </c>
      <c r="O28" s="8">
        <f t="shared" si="31"/>
        <v>178.07617094844002</v>
      </c>
      <c r="P28" s="13">
        <f t="shared" si="5"/>
        <v>427382.81027625606</v>
      </c>
      <c r="Q28">
        <f>0.24*N28*0.5</f>
        <v>288</v>
      </c>
      <c r="R28" s="8">
        <f>0.527*'(2) Free LF earnings 1800'!X28</f>
        <v>263.9216</v>
      </c>
      <c r="S28" s="13">
        <f t="shared" si="7"/>
        <v>76009.4208</v>
      </c>
      <c r="T28">
        <f>0.24*N28*0.5</f>
        <v>288</v>
      </c>
      <c r="U28" s="8">
        <f>0.527*'(2) Free LF earnings 1800'!AA28</f>
        <v>191.009810366</v>
      </c>
      <c r="V28" s="13">
        <f t="shared" si="9"/>
        <v>55010.825385408</v>
      </c>
      <c r="W28" s="13">
        <f t="shared" si="10"/>
        <v>1824</v>
      </c>
      <c r="X28" s="8">
        <f>0.527*'(2) Free LF earnings 1800'!AG28</f>
        <v>162.479475927</v>
      </c>
      <c r="Y28" s="13">
        <f t="shared" si="11"/>
        <v>296362.564090848</v>
      </c>
      <c r="Z28" s="13">
        <f t="shared" si="1"/>
        <v>7290.771176470591</v>
      </c>
      <c r="AA28" s="26">
        <f t="shared" si="26"/>
        <v>118.66318535123999</v>
      </c>
      <c r="AB28" s="13">
        <f t="shared" si="12"/>
        <v>865146.1314670078</v>
      </c>
      <c r="AC28" s="13">
        <f t="shared" si="13"/>
        <v>583.2616941176473</v>
      </c>
      <c r="AD28" s="8">
        <f>0.475*'(2) Free LF earnings 1800'!AP28</f>
        <v>183.1695</v>
      </c>
      <c r="AE28" s="13">
        <f t="shared" si="14"/>
        <v>106835.7528806824</v>
      </c>
      <c r="AF28" s="13">
        <f t="shared" si="15"/>
        <v>583.2616941176473</v>
      </c>
      <c r="AG28" s="8">
        <f>0.475*'(2) Free LF earnings 1800'!AS28</f>
        <v>131.4705</v>
      </c>
      <c r="AH28" s="13">
        <f t="shared" si="32"/>
        <v>76681.70655649414</v>
      </c>
      <c r="AI28" s="13">
        <f t="shared" si="17"/>
        <v>6124.247788235296</v>
      </c>
      <c r="AJ28" s="8">
        <f>0.475*'(2) Free LF earnings 1800'!AY28</f>
        <v>111.299982561</v>
      </c>
      <c r="AK28" s="13">
        <f t="shared" si="30"/>
        <v>681628.6720298312</v>
      </c>
      <c r="AL28" s="13">
        <v>8352.521823529414</v>
      </c>
      <c r="AM28" s="8">
        <f t="shared" si="27"/>
        <v>88.0015956</v>
      </c>
      <c r="AN28" s="13">
        <f t="shared" si="18"/>
        <v>735035.2477544101</v>
      </c>
      <c r="AO28" s="13">
        <f t="shared" si="19"/>
        <v>668.2017458823532</v>
      </c>
      <c r="AP28" s="8">
        <f>0.443*'(2) Free LF earnings 1800'!BH28</f>
        <v>133.11264</v>
      </c>
      <c r="AQ28" s="13">
        <f t="shared" si="20"/>
        <v>88946.09844700916</v>
      </c>
      <c r="AR28" s="13">
        <f t="shared" si="21"/>
        <v>668.2017458823532</v>
      </c>
      <c r="AS28" s="8">
        <f>0.443*'(2) Free LF earnings 1800'!BK28</f>
        <v>95.54181</v>
      </c>
      <c r="AT28" s="13">
        <f t="shared" si="33"/>
        <v>63841.20424676007</v>
      </c>
      <c r="AU28" s="13">
        <f t="shared" si="23"/>
        <v>7016.118331764708</v>
      </c>
      <c r="AV28" s="8">
        <f>0.443*'(2) Free LF earnings 1800'!BN28</f>
        <v>82.98719000000001</v>
      </c>
      <c r="AW28" s="13">
        <f t="shared" si="24"/>
        <v>582247.9450606409</v>
      </c>
    </row>
    <row r="29" spans="1:49" ht="13.5">
      <c r="A29" t="s">
        <v>75</v>
      </c>
      <c r="B29" s="13">
        <v>198126.90000000002</v>
      </c>
      <c r="C29" s="28">
        <f t="shared" si="28"/>
        <v>83.06967928637839</v>
      </c>
      <c r="D29" s="13">
        <f t="shared" si="34"/>
        <v>16458338.041004363</v>
      </c>
      <c r="E29" s="13"/>
      <c r="F29" s="13">
        <v>165115.835</v>
      </c>
      <c r="G29" s="8">
        <f>0.414*'(2) Free LF earnings 1800'!G29</f>
        <v>77.55462</v>
      </c>
      <c r="H29" s="13">
        <f t="shared" si="3"/>
        <v>12805495.8394077</v>
      </c>
      <c r="J29" s="13">
        <v>33011.06500000003</v>
      </c>
      <c r="K29" s="8">
        <f t="shared" si="25"/>
        <v>110.65508494187209</v>
      </c>
      <c r="L29" s="13">
        <f t="shared" si="4"/>
        <v>3652842.2015966643</v>
      </c>
      <c r="M29" s="13"/>
      <c r="N29" s="13">
        <v>2935</v>
      </c>
      <c r="O29" s="8">
        <f t="shared" si="31"/>
        <v>187.95373017772005</v>
      </c>
      <c r="P29" s="13">
        <f t="shared" si="5"/>
        <v>551644.1980716083</v>
      </c>
      <c r="Q29">
        <f t="shared" si="29"/>
        <v>498.95000000000005</v>
      </c>
      <c r="R29" s="8">
        <f>0.527*'(2) Free LF earnings 1800'!X29</f>
        <v>263.9216</v>
      </c>
      <c r="S29" s="13">
        <f t="shared" si="7"/>
        <v>131683.68232000002</v>
      </c>
      <c r="T29">
        <f>0.34*N29*0.5</f>
        <v>498.95000000000005</v>
      </c>
      <c r="U29" s="8">
        <f>0.527*'(2) Free LF earnings 1800'!AA29</f>
        <v>210.88590627</v>
      </c>
      <c r="V29" s="13">
        <f t="shared" si="9"/>
        <v>105221.5229334165</v>
      </c>
      <c r="W29" s="13">
        <f t="shared" si="10"/>
        <v>1937.1000000000001</v>
      </c>
      <c r="X29" s="8">
        <f>0.527*'(2) Free LF earnings 1800'!AG29</f>
        <v>162.479475927</v>
      </c>
      <c r="Y29" s="13">
        <f t="shared" si="11"/>
        <v>314738.99281819176</v>
      </c>
      <c r="Z29" s="13">
        <f>J29-AL29-N29</f>
        <v>14821.680736151618</v>
      </c>
      <c r="AA29" s="26">
        <f t="shared" si="26"/>
        <v>118.66318535123997</v>
      </c>
      <c r="AB29" s="13">
        <f t="shared" si="12"/>
        <v>1758787.8484108625</v>
      </c>
      <c r="AC29" s="13">
        <f t="shared" si="13"/>
        <v>1185.7344588921294</v>
      </c>
      <c r="AD29" s="8">
        <f>0.475*'(2) Free LF earnings 1800'!AP29</f>
        <v>183.1695</v>
      </c>
      <c r="AE29" s="13">
        <f t="shared" si="14"/>
        <v>217190.3879680419</v>
      </c>
      <c r="AF29" s="13">
        <f t="shared" si="15"/>
        <v>1185.7344588921294</v>
      </c>
      <c r="AG29" s="8">
        <f>0.475*'(2) Free LF earnings 1800'!AS29</f>
        <v>131.4705</v>
      </c>
      <c r="AH29" s="13">
        <f t="shared" si="32"/>
        <v>155889.10217777768</v>
      </c>
      <c r="AI29" s="13">
        <f t="shared" si="17"/>
        <v>12450.21181836736</v>
      </c>
      <c r="AJ29" s="8">
        <f>0.475*'(2) Free LF earnings 1800'!AY29</f>
        <v>111.299982561</v>
      </c>
      <c r="AK29" s="13">
        <f t="shared" si="30"/>
        <v>1385708.358265043</v>
      </c>
      <c r="AL29" s="13">
        <v>15254.384263848411</v>
      </c>
      <c r="AM29" s="8">
        <f t="shared" si="27"/>
        <v>88.00159560000002</v>
      </c>
      <c r="AN29" s="13">
        <f t="shared" si="18"/>
        <v>1342410.1551141918</v>
      </c>
      <c r="AO29" s="13">
        <f t="shared" si="19"/>
        <v>1220.3507411078729</v>
      </c>
      <c r="AP29" s="8">
        <f>0.443*'(2) Free LF earnings 1800'!BH29</f>
        <v>133.11264</v>
      </c>
      <c r="AQ29" s="13">
        <f t="shared" si="20"/>
        <v>162444.10887482547</v>
      </c>
      <c r="AR29" s="13">
        <f t="shared" si="21"/>
        <v>1220.3507411078729</v>
      </c>
      <c r="AS29" s="8">
        <f>0.443*'(2) Free LF earnings 1800'!BK29</f>
        <v>95.54181</v>
      </c>
      <c r="AT29" s="13">
        <f t="shared" si="33"/>
        <v>116594.51864028757</v>
      </c>
      <c r="AU29" s="13">
        <f t="shared" si="23"/>
        <v>12813.682781632664</v>
      </c>
      <c r="AV29" s="8">
        <f>0.443*'(2) Free LF earnings 1800'!BN29</f>
        <v>82.98719000000001</v>
      </c>
      <c r="AW29" s="13">
        <f t="shared" si="24"/>
        <v>1063371.5275990786</v>
      </c>
    </row>
    <row r="30" spans="1:49" ht="13.5">
      <c r="A30" s="9" t="s">
        <v>76</v>
      </c>
      <c r="B30" s="13">
        <f>SUM(B23:B29)</f>
        <v>463774.7965527061</v>
      </c>
      <c r="C30" s="28">
        <f t="shared" si="28"/>
        <v>83.4275554462664</v>
      </c>
      <c r="D30" s="13">
        <f t="shared" si="34"/>
        <v>38691597.5539818</v>
      </c>
      <c r="E30" s="18"/>
      <c r="F30" s="13">
        <f>SUM(F23:F29)</f>
        <v>383257.97138781217</v>
      </c>
      <c r="G30" s="8">
        <f>H30/F30</f>
        <v>77.14679808585889</v>
      </c>
      <c r="H30" s="13">
        <f>SUM(H23:H29)</f>
        <v>29567125.333451428</v>
      </c>
      <c r="J30" s="13">
        <f>SUM(J23:J29)</f>
        <v>80517.24716489391</v>
      </c>
      <c r="K30" s="8">
        <f t="shared" si="25"/>
        <v>113.32320144830672</v>
      </c>
      <c r="L30" s="13">
        <f t="shared" si="4"/>
        <v>9124472.220530376</v>
      </c>
      <c r="M30" s="13"/>
      <c r="N30" s="38">
        <f>SUM(N23:N29)</f>
        <v>11070</v>
      </c>
      <c r="O30" s="8">
        <f t="shared" si="31"/>
        <v>184.01861418710843</v>
      </c>
      <c r="P30" s="13">
        <f t="shared" si="5"/>
        <v>2037086.0590512902</v>
      </c>
      <c r="Q30">
        <f t="shared" si="29"/>
        <v>1881.9</v>
      </c>
      <c r="R30" s="8">
        <f>S30/Q30</f>
        <v>246.05475700090335</v>
      </c>
      <c r="S30" s="13">
        <f>SUM(S23:S29)</f>
        <v>463050.44720000005</v>
      </c>
      <c r="T30">
        <f>0.34*N30*0.5</f>
        <v>1881.9</v>
      </c>
      <c r="U30" s="8">
        <f>V30/T30</f>
        <v>187.36432880502846</v>
      </c>
      <c r="V30" s="13">
        <f>SUM(V23:V29)</f>
        <v>352600.9303781831</v>
      </c>
      <c r="W30" s="13">
        <f t="shared" si="10"/>
        <v>7306.200000000001</v>
      </c>
      <c r="X30" s="8">
        <f>Y30/W30</f>
        <v>167.17783272742423</v>
      </c>
      <c r="Y30" s="45">
        <f>SUM(Y23:Y29)</f>
        <v>1221434.681473107</v>
      </c>
      <c r="Z30" s="46">
        <f>SUM(Z23:Z29)</f>
        <v>32210.43804069217</v>
      </c>
      <c r="AA30" s="26">
        <f t="shared" si="26"/>
        <v>118.63768778200644</v>
      </c>
      <c r="AB30" s="13">
        <f t="shared" si="12"/>
        <v>3821371.8915933007</v>
      </c>
      <c r="AC30" s="13">
        <f t="shared" si="13"/>
        <v>2576.835043255374</v>
      </c>
      <c r="AD30" s="8">
        <f>AE30/AC30</f>
        <v>183.1300900310813</v>
      </c>
      <c r="AE30" s="38">
        <f>SUM(AE23:AE29)</f>
        <v>471896.03346660186</v>
      </c>
      <c r="AF30" s="13">
        <f t="shared" si="15"/>
        <v>2576.835043255374</v>
      </c>
      <c r="AG30" s="8">
        <f>AH30/AF30</f>
        <v>131.44221336757084</v>
      </c>
      <c r="AH30" s="38">
        <f>SUM(AH23:AH29)</f>
        <v>338704.9015686065</v>
      </c>
      <c r="AI30" s="13">
        <f t="shared" si="17"/>
        <v>27056.76795418142</v>
      </c>
      <c r="AJ30" s="8">
        <f>AK30/AI30</f>
        <v>111.2760756072789</v>
      </c>
      <c r="AK30" s="38">
        <f>SUM(AK23:AK29)</f>
        <v>3010770.9565580925</v>
      </c>
      <c r="AL30" s="13">
        <f>SUM(AL23:AL29)</f>
        <v>37236.80912420174</v>
      </c>
      <c r="AM30" s="8">
        <f t="shared" si="27"/>
        <v>87.709294826851</v>
      </c>
      <c r="AN30" s="13">
        <f t="shared" si="18"/>
        <v>3266014.269885786</v>
      </c>
      <c r="AO30" s="13">
        <f t="shared" si="19"/>
        <v>2978.944729936139</v>
      </c>
      <c r="AP30" s="8">
        <f>AQ30/AO30</f>
        <v>132.9288159353125</v>
      </c>
      <c r="AQ30" s="13">
        <f>SUM(AQ23:AQ29)</f>
        <v>395987.59568715026</v>
      </c>
      <c r="AR30" s="13">
        <f t="shared" si="21"/>
        <v>2978.944729936139</v>
      </c>
      <c r="AS30" s="8">
        <f>AT30/AR30</f>
        <v>95.40986998392188</v>
      </c>
      <c r="AT30" s="38">
        <f>SUM(AT23:AT29)</f>
        <v>284220.7293724963</v>
      </c>
      <c r="AU30" s="13">
        <f t="shared" si="23"/>
        <v>31278.91966432946</v>
      </c>
      <c r="AV30" s="8">
        <f>AW30/AU30</f>
        <v>82.66928565870506</v>
      </c>
      <c r="AW30" s="38">
        <f>SUM(AW23:AW29)</f>
        <v>2585805.944826139</v>
      </c>
    </row>
    <row r="31" spans="1:49" ht="13.5">
      <c r="A31" s="9" t="s">
        <v>152</v>
      </c>
      <c r="B31" s="13">
        <f>B30-B23</f>
        <v>459995.6965527061</v>
      </c>
      <c r="C31" s="28">
        <f t="shared" si="28"/>
        <v>83.44828431043705</v>
      </c>
      <c r="D31" s="13">
        <f>D30-D23</f>
        <v>38385851.667507745</v>
      </c>
      <c r="E31" s="18"/>
      <c r="F31" s="13">
        <f>F30-F23</f>
        <v>380028.94038781215</v>
      </c>
      <c r="G31" s="8">
        <f>H31/F31</f>
        <v>77.1481133746826</v>
      </c>
      <c r="H31" s="13">
        <f>H30-H23</f>
        <v>29318515.778699428</v>
      </c>
      <c r="J31" s="13">
        <f>J30-J23</f>
        <v>79967.1781648939</v>
      </c>
      <c r="K31" s="8">
        <f t="shared" si="25"/>
        <v>113.38821872782968</v>
      </c>
      <c r="L31" s="13">
        <f>L30-L23</f>
        <v>9067335.888808316</v>
      </c>
      <c r="M31" s="13"/>
      <c r="N31" s="13">
        <f>N30-N23</f>
        <v>11070</v>
      </c>
      <c r="O31" s="8">
        <f t="shared" si="31"/>
        <v>184.01861418710843</v>
      </c>
      <c r="P31" s="13">
        <f>P30-P23</f>
        <v>2037086.0590512902</v>
      </c>
      <c r="Q31" s="13">
        <f>Q30-Q23</f>
        <v>1881.9</v>
      </c>
      <c r="R31" s="8">
        <f>S31/Q31</f>
        <v>246.05475700090335</v>
      </c>
      <c r="S31" s="13">
        <f>S30-S23</f>
        <v>463050.44720000005</v>
      </c>
      <c r="T31" s="13">
        <f>T30-T23</f>
        <v>1881.9</v>
      </c>
      <c r="U31" s="8">
        <f>V31/T31</f>
        <v>187.36432880502846</v>
      </c>
      <c r="V31" s="13">
        <f>V30-V23</f>
        <v>352600.9303781831</v>
      </c>
      <c r="W31" s="13">
        <f>W30-W23</f>
        <v>7306.200000000001</v>
      </c>
      <c r="X31" s="8">
        <f>Y31/W31</f>
        <v>167.17783272742423</v>
      </c>
      <c r="Y31" s="13">
        <f>Y30-Y23</f>
        <v>1221434.681473107</v>
      </c>
      <c r="Z31" s="13">
        <f>Z30-Z23</f>
        <v>31924.40216069217</v>
      </c>
      <c r="AA31" s="26">
        <f t="shared" si="26"/>
        <v>118.64641256709358</v>
      </c>
      <c r="AB31" s="13">
        <f>AB30-AB23</f>
        <v>3787715.789715297</v>
      </c>
      <c r="AC31" s="13">
        <f>AC30-AC23</f>
        <v>2553.9521728553736</v>
      </c>
      <c r="AD31" s="8">
        <f>AE31/AC31</f>
        <v>183.14355722012616</v>
      </c>
      <c r="AE31" s="13">
        <f>AE30-AE23</f>
        <v>467739.88590680365</v>
      </c>
      <c r="AF31" s="13">
        <f>AF30-AF23</f>
        <v>2553.9521728553736</v>
      </c>
      <c r="AG31" s="8">
        <f>AH31/AF31</f>
        <v>131.45187948598752</v>
      </c>
      <c r="AH31" s="13">
        <f>AH30-AH23</f>
        <v>335721.8132391605</v>
      </c>
      <c r="AI31" s="13">
        <f>AI30-AI23</f>
        <v>26816.49781498142</v>
      </c>
      <c r="AJ31" s="8">
        <f>AK31/AI31</f>
        <v>111.28425908405299</v>
      </c>
      <c r="AK31" s="13">
        <f>AK30-AK23</f>
        <v>2984254.090569333</v>
      </c>
      <c r="AL31" s="13">
        <f>AL30-AL23</f>
        <v>36972.77600420174</v>
      </c>
      <c r="AM31" s="8">
        <f t="shared" si="27"/>
        <v>87.70058379368739</v>
      </c>
      <c r="AN31" s="13">
        <f>AN30-AN23</f>
        <v>3242534.040041729</v>
      </c>
      <c r="AO31" s="13">
        <f>AO30-AO23</f>
        <v>2957.822080336139</v>
      </c>
      <c r="AP31" s="8">
        <f>AQ31/AO31</f>
        <v>132.93608644824963</v>
      </c>
      <c r="AQ31" s="13">
        <f>AQ30-AQ23</f>
        <v>393201.29177010653</v>
      </c>
      <c r="AR31" s="13">
        <f>AR30-AR23</f>
        <v>2957.822080336139</v>
      </c>
      <c r="AS31" s="8">
        <f>AT31/AR31</f>
        <v>95.41508840619673</v>
      </c>
      <c r="AT31" s="13">
        <f>AT30-AT23</f>
        <v>282220.85528507346</v>
      </c>
      <c r="AU31" s="13">
        <f>AU30-AU23</f>
        <v>31057.13184352946</v>
      </c>
      <c r="AV31" s="8">
        <f>AW31/AU31</f>
        <v>82.65772595872818</v>
      </c>
      <c r="AW31" s="13">
        <f>AW30-AW23</f>
        <v>2567111.8929865486</v>
      </c>
    </row>
    <row r="32" spans="1:49" ht="13.5">
      <c r="A32" s="9" t="s">
        <v>159</v>
      </c>
      <c r="B32" s="13">
        <f>B30-B23-B24-B26</f>
        <v>396299.09655270615</v>
      </c>
      <c r="C32" s="28">
        <f t="shared" si="28"/>
        <v>83.06835092921582</v>
      </c>
      <c r="D32" s="13">
        <f>D30-D23-D24-D26</f>
        <v>32919912.425371382</v>
      </c>
      <c r="E32" s="18"/>
      <c r="F32" s="13">
        <f>F30-F23-F24-F26</f>
        <v>328034.94038781215</v>
      </c>
      <c r="G32" s="8">
        <f>H32/F32</f>
        <v>77.55462</v>
      </c>
      <c r="H32" s="13">
        <f>H30-H23-H24-H26</f>
        <v>25440625.148499426</v>
      </c>
      <c r="J32" s="13">
        <f>J30-J23-J24-J26</f>
        <v>68264.2061648939</v>
      </c>
      <c r="K32" s="8">
        <f t="shared" si="25"/>
        <v>109.56382117453389</v>
      </c>
      <c r="L32" s="13">
        <f>L30-L23-L24-L26</f>
        <v>7479287.2768719485</v>
      </c>
      <c r="M32" s="13"/>
      <c r="N32" s="13">
        <f>N30-N23-N24-N26</f>
        <v>5335</v>
      </c>
      <c r="O32" s="8">
        <f t="shared" si="31"/>
        <v>183.51021712237377</v>
      </c>
      <c r="P32" s="13">
        <f>P30-P23-P24-P26</f>
        <v>979027.008347864</v>
      </c>
      <c r="Q32" s="13">
        <f>Q30-Q23-Q24-Q26</f>
        <v>906.95</v>
      </c>
      <c r="R32" s="8">
        <f>S32/Q32</f>
        <v>229.00171246485473</v>
      </c>
      <c r="S32" s="13">
        <f>S30-S23-S24-S26</f>
        <v>207693.10312</v>
      </c>
      <c r="T32" s="13">
        <f>T30-T23-T24-T26</f>
        <v>906.95</v>
      </c>
      <c r="U32" s="8">
        <f>V32/T32</f>
        <v>176.67164487438615</v>
      </c>
      <c r="V32" s="13">
        <f>V30-V23-V24-V26</f>
        <v>160232.34831882452</v>
      </c>
      <c r="W32" s="13">
        <f>W30-W23-W24-W26</f>
        <v>3521.1000000000004</v>
      </c>
      <c r="X32" s="8">
        <f>Y32/W32</f>
        <v>173.55416117379215</v>
      </c>
      <c r="Y32" s="13">
        <f>Y30-Y23-Y24-Y26</f>
        <v>611101.5569090396</v>
      </c>
      <c r="Z32" s="13">
        <f>Z30-Z23-Z24-Z26</f>
        <v>31387.469598935062</v>
      </c>
      <c r="AA32" s="26">
        <f t="shared" si="26"/>
        <v>118.66318535124002</v>
      </c>
      <c r="AB32" s="13">
        <f>AB30-AB23-AB24-AB26</f>
        <v>3724537.1227248423</v>
      </c>
      <c r="AC32" s="13">
        <f>AC30-AC23-AC24-AC26</f>
        <v>2510.997567914805</v>
      </c>
      <c r="AD32" s="8">
        <f>AE32/AC32</f>
        <v>183.1695</v>
      </c>
      <c r="AE32" s="13">
        <f>AE30-AE23-AE24-AE26</f>
        <v>459938.1690161709</v>
      </c>
      <c r="AF32" s="13">
        <f>AF30-AF23-AF24-AF26</f>
        <v>2510.997567914805</v>
      </c>
      <c r="AG32" s="8">
        <f>AH32/AF32</f>
        <v>131.47049999999996</v>
      </c>
      <c r="AH32" s="13">
        <f>AH30-AH23-AH24-AH26</f>
        <v>330122.1057525433</v>
      </c>
      <c r="AI32" s="13">
        <f>AI30-AI23-AI24-AI26</f>
        <v>26365.47446310545</v>
      </c>
      <c r="AJ32" s="8">
        <f>AK32/AI32</f>
        <v>111.29998256100002</v>
      </c>
      <c r="AK32" s="13">
        <f>AK30-AK23-AK24-AK26</f>
        <v>2934476.847956128</v>
      </c>
      <c r="AL32" s="13">
        <f>AL30-AL23-AL24-AL26</f>
        <v>31541.736565958843</v>
      </c>
      <c r="AM32" s="8">
        <f t="shared" si="27"/>
        <v>88.00159560000002</v>
      </c>
      <c r="AN32" s="13">
        <f>AN30-AN23-AN24-AN26</f>
        <v>2775723.1457992434</v>
      </c>
      <c r="AO32" s="13">
        <f>AO30-AO23-AO24-AO26</f>
        <v>2523.3389252767074</v>
      </c>
      <c r="AP32" s="8">
        <f>AQ32/AO32</f>
        <v>133.11264000000003</v>
      </c>
      <c r="AQ32" s="13">
        <f>AQ30-AQ23-AQ24-AQ26</f>
        <v>335888.3059583453</v>
      </c>
      <c r="AR32" s="13">
        <f>AR30-AR23-AR24-AR26</f>
        <v>2523.3389252767074</v>
      </c>
      <c r="AS32" s="8">
        <f>AT32/AR32</f>
        <v>95.54180999999998</v>
      </c>
      <c r="AT32" s="13">
        <f>AT30-AT23-AT24-AT26</f>
        <v>241084.36816439134</v>
      </c>
      <c r="AU32" s="13">
        <f>AU30-AU23-AU24-AU26</f>
        <v>26495.058715405426</v>
      </c>
      <c r="AV32" s="8">
        <f>AW32/AU32</f>
        <v>82.98719000000001</v>
      </c>
      <c r="AW32" s="13">
        <f>AW30-AW23-AW24-AW26</f>
        <v>2198750.4716765066</v>
      </c>
    </row>
    <row r="33" spans="1:50" ht="13.5">
      <c r="A33" s="9" t="s">
        <v>133</v>
      </c>
      <c r="B33" s="13">
        <f>B25+B27+B28</f>
        <v>198172.19655270607</v>
      </c>
      <c r="C33" s="28">
        <f t="shared" si="28"/>
        <v>83.06702287567812</v>
      </c>
      <c r="D33" s="13">
        <f>D25+D27+D28</f>
        <v>16461574.384367015</v>
      </c>
      <c r="E33" s="18"/>
      <c r="F33" s="13">
        <f>F25+F27+F28</f>
        <v>162919.1053878122</v>
      </c>
      <c r="G33" s="8">
        <f>H33/F33</f>
        <v>77.55462000000001</v>
      </c>
      <c r="H33" s="13">
        <f>H25+H27+H28</f>
        <v>12635129.309091728</v>
      </c>
      <c r="J33" s="13">
        <f>J25+J27+J28</f>
        <v>35253.14116489388</v>
      </c>
      <c r="K33" s="8">
        <f t="shared" si="25"/>
        <v>108.54196105185017</v>
      </c>
      <c r="L33" s="13">
        <f>L25+L27+L28</f>
        <v>3826445.0752752875</v>
      </c>
      <c r="M33" s="13"/>
      <c r="N33" s="13">
        <f>N25+N27+N28</f>
        <v>2400</v>
      </c>
      <c r="O33" s="8">
        <f t="shared" si="31"/>
        <v>178.07617094844002</v>
      </c>
      <c r="P33" s="13">
        <f>P25+P27+P28</f>
        <v>427382.81027625606</v>
      </c>
      <c r="Q33" s="13">
        <f>Q25+Q27+Q28</f>
        <v>288</v>
      </c>
      <c r="R33" s="8">
        <f>S33/Q33</f>
        <v>263.9216</v>
      </c>
      <c r="S33" s="13">
        <f>S25+S27+S28</f>
        <v>76009.4208</v>
      </c>
      <c r="T33" s="13">
        <f>T25+T27+T28</f>
        <v>288</v>
      </c>
      <c r="U33" s="8">
        <f>V33/T33</f>
        <v>191.009810366</v>
      </c>
      <c r="V33" s="13">
        <f>V25+V27+V28</f>
        <v>55010.825385408</v>
      </c>
      <c r="W33" s="13">
        <f>W25+W27+W28</f>
        <v>1824</v>
      </c>
      <c r="X33" s="8">
        <f>Y33/W33</f>
        <v>162.479475927</v>
      </c>
      <c r="Y33" s="13">
        <f>Y25+Y27+Y28</f>
        <v>296362.564090848</v>
      </c>
      <c r="Z33" s="13">
        <f>Z25+Z27+Z28</f>
        <v>16565.788862783444</v>
      </c>
      <c r="AA33" s="26">
        <f t="shared" si="26"/>
        <v>118.66318535124</v>
      </c>
      <c r="AB33" s="13">
        <f>AB25+AB27+AB28</f>
        <v>1965749.274313979</v>
      </c>
      <c r="AC33" s="13">
        <f>AC25+AC27+AC28</f>
        <v>1325.2631090226755</v>
      </c>
      <c r="AD33" s="8">
        <f>AE33/AC33</f>
        <v>183.1695</v>
      </c>
      <c r="AE33" s="13">
        <f>AE25+AE27+AE28</f>
        <v>242747.78104812896</v>
      </c>
      <c r="AF33" s="13">
        <f>AF25+AF27+AF28</f>
        <v>1325.2631090226755</v>
      </c>
      <c r="AG33" s="8">
        <f>AH33/AF33</f>
        <v>131.47050000000002</v>
      </c>
      <c r="AH33" s="13">
        <f>AH25+AH27+AH28</f>
        <v>174233.00357476567</v>
      </c>
      <c r="AI33" s="13">
        <f>AI25+AI27+AI28</f>
        <v>13915.262644738094</v>
      </c>
      <c r="AJ33" s="8">
        <f>AK33/AI33</f>
        <v>111.299982561</v>
      </c>
      <c r="AK33" s="13">
        <f>AK25+AK27+AK28</f>
        <v>1548768.4896910845</v>
      </c>
      <c r="AL33" s="13">
        <f>AL25+AL27+AL28</f>
        <v>16287.352302110434</v>
      </c>
      <c r="AM33" s="8">
        <f t="shared" si="27"/>
        <v>88.00159560000002</v>
      </c>
      <c r="AN33" s="13">
        <f>AN25+AN27+AN28</f>
        <v>1433312.9906850518</v>
      </c>
      <c r="AO33" s="13">
        <f>AO25+AO27+AO28</f>
        <v>1302.9881841688348</v>
      </c>
      <c r="AP33" s="8">
        <f>AQ33/AO33</f>
        <v>133.11264</v>
      </c>
      <c r="AQ33" s="13">
        <f>AQ25+AQ27+AQ28</f>
        <v>173444.1970835198</v>
      </c>
      <c r="AR33" s="13">
        <f>AR25+AR27+AR28</f>
        <v>1302.9881841688348</v>
      </c>
      <c r="AS33" s="8">
        <f>AT33/AR33</f>
        <v>95.54181</v>
      </c>
      <c r="AT33" s="13">
        <f>AT25+AT27+AT28</f>
        <v>124489.84952410382</v>
      </c>
      <c r="AU33" s="13">
        <f>AU25+AU27+AU28</f>
        <v>13681.375933772764</v>
      </c>
      <c r="AV33" s="8">
        <f>AW33/AU33</f>
        <v>82.98719000000001</v>
      </c>
      <c r="AW33" s="13">
        <f>AW25+AW27+AW28</f>
        <v>1135378.944077428</v>
      </c>
      <c r="AX33" s="13"/>
    </row>
    <row r="34" spans="3:47" ht="13.5">
      <c r="C34" s="28"/>
      <c r="D34" s="13"/>
      <c r="G34" s="8"/>
      <c r="H34" s="13"/>
      <c r="K34" s="8"/>
      <c r="L34" s="13"/>
      <c r="N34" s="11"/>
      <c r="O34" s="8"/>
      <c r="P34" s="13"/>
      <c r="R34" s="8"/>
      <c r="W34" s="13"/>
      <c r="Y34" s="13"/>
      <c r="Z34" s="13"/>
      <c r="AA34" s="26"/>
      <c r="AB34" s="13"/>
      <c r="AC34" s="13"/>
      <c r="AE34" s="13"/>
      <c r="AF34" s="13"/>
      <c r="AI34" s="13"/>
      <c r="AM34" s="8"/>
      <c r="AN34" s="13"/>
      <c r="AO34" s="13"/>
      <c r="AR34" s="13"/>
      <c r="AU34" s="13"/>
    </row>
    <row r="35" spans="1:94" ht="18">
      <c r="A35" s="9" t="s">
        <v>45</v>
      </c>
      <c r="B35" s="13">
        <f>B14+B19+B30</f>
        <v>485549.32739582245</v>
      </c>
      <c r="C35" s="29">
        <f t="shared" si="28"/>
        <v>83.54216140531469</v>
      </c>
      <c r="D35" s="13">
        <f>H35+P35+AB35+AN35</f>
        <v>40563840.27954378</v>
      </c>
      <c r="E35" s="19"/>
      <c r="F35" s="13">
        <f>F14+F19+F30</f>
        <v>399386.4912970971</v>
      </c>
      <c r="G35" s="17">
        <f>H35/F35</f>
        <v>77.15664769218097</v>
      </c>
      <c r="H35" s="13">
        <f>H14+H19+H30</f>
        <v>30815322.802026425</v>
      </c>
      <c r="J35" s="13">
        <f>J14+J19+J30</f>
        <v>86163.58309872528</v>
      </c>
      <c r="K35" s="10">
        <f t="shared" si="25"/>
        <v>113.13964817767166</v>
      </c>
      <c r="L35" s="13">
        <f t="shared" si="4"/>
        <v>9748517.477517355</v>
      </c>
      <c r="M35" s="13"/>
      <c r="N35" s="37">
        <f>N14+N19+N30</f>
        <v>12910</v>
      </c>
      <c r="O35" s="10">
        <f t="shared" si="31"/>
        <v>179.77821162954191</v>
      </c>
      <c r="P35" s="13">
        <f t="shared" si="5"/>
        <v>2320936.712137386</v>
      </c>
      <c r="Q35">
        <f>0.34*N35*0.5</f>
        <v>2194.7000000000003</v>
      </c>
      <c r="R35" s="10">
        <f>S35/Q35</f>
        <v>248.3157254841208</v>
      </c>
      <c r="S35" s="19">
        <f>S14+S19+S30</f>
        <v>544978.52272</v>
      </c>
      <c r="T35">
        <f>0.34*N35*0.5</f>
        <v>2194.7000000000003</v>
      </c>
      <c r="U35" s="21">
        <f>V35/T35</f>
        <v>190.05324171857976</v>
      </c>
      <c r="V35" s="19">
        <f>V14+V19+V30</f>
        <v>417109.84959976707</v>
      </c>
      <c r="W35" s="13">
        <f t="shared" si="10"/>
        <v>8520.599999999999</v>
      </c>
      <c r="X35" s="21">
        <f>Y35/W35</f>
        <v>159.4780109167922</v>
      </c>
      <c r="Y35" s="19">
        <f>Y14+Y19+Y30</f>
        <v>1358848.3398176192</v>
      </c>
      <c r="Z35" s="14">
        <f>Z14+Z19+Z30</f>
        <v>33400.716712107635</v>
      </c>
      <c r="AA35" s="21">
        <f t="shared" si="26"/>
        <v>117.59876019389802</v>
      </c>
      <c r="AB35" s="13">
        <f t="shared" si="12"/>
        <v>3927882.8749314677</v>
      </c>
      <c r="AC35" s="13">
        <f t="shared" si="13"/>
        <v>2672.057336968611</v>
      </c>
      <c r="AD35" s="10">
        <f>AE35/AC35</f>
        <v>183.0765261445617</v>
      </c>
      <c r="AE35" s="14">
        <f>AE14+AE19+AE30</f>
        <v>489190.9749113018</v>
      </c>
      <c r="AF35" s="13">
        <f t="shared" si="15"/>
        <v>2672.057336968611</v>
      </c>
      <c r="AG35" s="10">
        <f>AH35/AF35</f>
        <v>131.40376771508681</v>
      </c>
      <c r="AH35" s="14">
        <f>AH14+AH19+AH30</f>
        <v>351118.4016284168</v>
      </c>
      <c r="AI35" s="13">
        <f t="shared" si="17"/>
        <v>28056.602038170415</v>
      </c>
      <c r="AJ35" s="10">
        <f>AK35/AI35</f>
        <v>110.04801986324539</v>
      </c>
      <c r="AK35" s="14">
        <f>AK14+AK19+AK30</f>
        <v>3087573.498391749</v>
      </c>
      <c r="AL35" s="13">
        <f>AL14+AL19+AL30</f>
        <v>39852.86638661765</v>
      </c>
      <c r="AM35" s="10">
        <f t="shared" si="27"/>
        <v>87.81546241862488</v>
      </c>
      <c r="AN35" s="13">
        <f t="shared" si="18"/>
        <v>3499697.890448501</v>
      </c>
      <c r="AO35" s="13">
        <f t="shared" si="19"/>
        <v>3188.229310929412</v>
      </c>
      <c r="AP35" s="31">
        <f>AQ35/AO35</f>
        <v>132.86198517740485</v>
      </c>
      <c r="AQ35" s="18">
        <f>AQ14+AQ19+AQ30</f>
        <v>423594.4754508712</v>
      </c>
      <c r="AR35" s="13">
        <f t="shared" si="21"/>
        <v>3188.229310929412</v>
      </c>
      <c r="AS35" s="31">
        <f>AT35/AR35</f>
        <v>95.36190210067527</v>
      </c>
      <c r="AT35" s="18">
        <f>AT14+AT19+AT30</f>
        <v>304035.61142335396</v>
      </c>
      <c r="AU35" s="13">
        <f t="shared" si="23"/>
        <v>33476.40776475883</v>
      </c>
      <c r="AV35" s="31">
        <f>AW35/AU35</f>
        <v>82.8066088528315</v>
      </c>
      <c r="AW35" s="18">
        <f>AW14+AW19+AW30</f>
        <v>2772067.8035742757</v>
      </c>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row>
    <row r="36" spans="1:94" ht="18">
      <c r="A36" s="9" t="s">
        <v>46</v>
      </c>
      <c r="B36" s="13">
        <f>B35+B41</f>
        <v>516808.12739582243</v>
      </c>
      <c r="C36" s="29">
        <f t="shared" si="28"/>
        <v>83.33061731532501</v>
      </c>
      <c r="D36" s="13">
        <f>D35+D41</f>
        <v>43065940.289471015</v>
      </c>
      <c r="E36" s="13"/>
      <c r="F36" s="13">
        <f>F35+F41</f>
        <v>426095.3992970971</v>
      </c>
      <c r="G36" s="17">
        <f>H36/F36</f>
        <v>77.18159376241225</v>
      </c>
      <c r="H36" s="13">
        <f>H35+H41</f>
        <v>32886722.012581386</v>
      </c>
      <c r="I36" s="13"/>
      <c r="J36" s="13">
        <f>J35+J41</f>
        <v>90713.47509872528</v>
      </c>
      <c r="K36" s="10">
        <f t="shared" si="25"/>
        <v>112.21285774590143</v>
      </c>
      <c r="L36" s="13">
        <f>L35+L41</f>
        <v>10179218.276889632</v>
      </c>
      <c r="M36" s="13"/>
      <c r="N36" s="13">
        <f>N35+N41</f>
        <v>12910</v>
      </c>
      <c r="O36" s="10">
        <f t="shared" si="31"/>
        <v>179.77821162954191</v>
      </c>
      <c r="P36" s="13">
        <f>P35+P41</f>
        <v>2320936.712137386</v>
      </c>
      <c r="Q36" s="13">
        <f>Q35+Q41</f>
        <v>2194.7000000000003</v>
      </c>
      <c r="R36" s="10">
        <f>S36/Q36</f>
        <v>248.3157254841208</v>
      </c>
      <c r="S36" s="13">
        <f>S35+S41</f>
        <v>544978.52272</v>
      </c>
      <c r="T36" s="13">
        <f>T35+T41</f>
        <v>2194.7000000000003</v>
      </c>
      <c r="U36" s="21">
        <f>V36/T36</f>
        <v>190.05324171857976</v>
      </c>
      <c r="V36" s="13">
        <f>V35+V41</f>
        <v>417109.84959976707</v>
      </c>
      <c r="W36" s="13">
        <f>W35+W41</f>
        <v>8520.599999999999</v>
      </c>
      <c r="X36" s="21">
        <f>Y36/W36</f>
        <v>159.4780109167922</v>
      </c>
      <c r="Y36" s="13">
        <f>Y35+Y41</f>
        <v>1358848.3398176192</v>
      </c>
      <c r="Z36" s="13">
        <f>Z35+Z41</f>
        <v>35847.483211403356</v>
      </c>
      <c r="AA36" s="21">
        <f t="shared" si="26"/>
        <v>116.42394111414481</v>
      </c>
      <c r="AB36" s="13">
        <f>AB35+AB41</f>
        <v>4173505.274494719</v>
      </c>
      <c r="AC36" s="13">
        <f>AC35+AC41</f>
        <v>2867.7986569122686</v>
      </c>
      <c r="AD36" s="10">
        <f>AE36/AC36</f>
        <v>183.08287206607187</v>
      </c>
      <c r="AE36" s="13">
        <f>AE35+AE41</f>
        <v>525044.8146147216</v>
      </c>
      <c r="AF36" s="13">
        <f>AF35+AF41</f>
        <v>2867.7986569122686</v>
      </c>
      <c r="AG36" s="10">
        <f>AH36/AF36</f>
        <v>131.40832252073898</v>
      </c>
      <c r="AH36" s="13">
        <f>AH35+AH41</f>
        <v>376852.6108320694</v>
      </c>
      <c r="AI36" s="13">
        <f>AI35+AI41</f>
        <v>30111.88589757882</v>
      </c>
      <c r="AJ36" s="10">
        <f>AK36/AI36</f>
        <v>108.6483875561904</v>
      </c>
      <c r="AK36" s="13">
        <f>AK35+AK41</f>
        <v>3271607.849047928</v>
      </c>
      <c r="AL36" s="13">
        <f>AL35+AL41</f>
        <v>41955.99188732193</v>
      </c>
      <c r="AM36" s="10">
        <f t="shared" si="27"/>
        <v>87.82479270549614</v>
      </c>
      <c r="AN36" s="13">
        <f>AN35+AN41</f>
        <v>3684776.290257526</v>
      </c>
      <c r="AO36" s="13">
        <f>AO35+AO41</f>
        <v>3356.479350985754</v>
      </c>
      <c r="AP36" s="31">
        <f>AQ36/AO36</f>
        <v>132.87454973673383</v>
      </c>
      <c r="AQ36" s="13">
        <f>AQ35+AQ41</f>
        <v>445990.68246287666</v>
      </c>
      <c r="AR36" s="13">
        <f>AR35+AR41</f>
        <v>3356.479350985754</v>
      </c>
      <c r="AS36" s="31">
        <f>AT36/AR36</f>
        <v>95.37092033320482</v>
      </c>
      <c r="AT36" s="13">
        <f>AT35+AT41</f>
        <v>320110.5247829094</v>
      </c>
      <c r="AU36" s="13">
        <f>AU35+AU41</f>
        <v>35243.03318535042</v>
      </c>
      <c r="AV36" s="31">
        <f>AW36/AU36</f>
        <v>82.81566083321553</v>
      </c>
      <c r="AW36" s="13">
        <f>AW35+AW41</f>
        <v>2918675.08301174</v>
      </c>
      <c r="AX36" s="13"/>
      <c r="AY36" s="13"/>
      <c r="AZ36" s="13"/>
      <c r="BA36" s="13"/>
      <c r="BB36" s="13"/>
      <c r="BC36" s="13"/>
      <c r="BD36" s="13"/>
      <c r="BE36" s="13"/>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row>
    <row r="37" spans="1:94" ht="18">
      <c r="A37" s="9"/>
      <c r="B37" s="13"/>
      <c r="C37" s="29"/>
      <c r="D37" s="13"/>
      <c r="E37" s="13"/>
      <c r="F37" s="13"/>
      <c r="G37" s="17"/>
      <c r="H37" s="13"/>
      <c r="I37" s="13"/>
      <c r="J37" s="13"/>
      <c r="K37" s="10"/>
      <c r="L37" s="13"/>
      <c r="M37" s="13"/>
      <c r="N37" s="13"/>
      <c r="O37" s="10"/>
      <c r="P37" s="13"/>
      <c r="Q37" s="13"/>
      <c r="R37" s="10"/>
      <c r="S37" s="13"/>
      <c r="T37" s="13"/>
      <c r="U37" s="21"/>
      <c r="V37" s="13"/>
      <c r="W37" s="13"/>
      <c r="X37" s="21"/>
      <c r="Y37" s="13"/>
      <c r="Z37" s="13"/>
      <c r="AA37" s="21"/>
      <c r="AB37" s="13"/>
      <c r="AC37" s="13"/>
      <c r="AD37" s="10"/>
      <c r="AE37" s="13"/>
      <c r="AF37" s="13"/>
      <c r="AG37" s="10"/>
      <c r="AH37" s="13"/>
      <c r="AI37" s="13"/>
      <c r="AJ37" s="10"/>
      <c r="AK37" s="13"/>
      <c r="AL37" s="13"/>
      <c r="AM37" s="10"/>
      <c r="AN37" s="13"/>
      <c r="AO37" s="13"/>
      <c r="AP37" s="31"/>
      <c r="AQ37" s="13"/>
      <c r="AR37" s="13"/>
      <c r="AS37" s="31"/>
      <c r="AT37" s="13"/>
      <c r="AU37" s="13"/>
      <c r="AV37" s="31"/>
      <c r="AW37" s="13"/>
      <c r="AX37" s="13"/>
      <c r="AY37" s="13"/>
      <c r="AZ37" s="13"/>
      <c r="BA37" s="13"/>
      <c r="BB37" s="13"/>
      <c r="BC37" s="13"/>
      <c r="BD37" s="13"/>
      <c r="BE37" s="13"/>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row>
    <row r="38" spans="1:49" ht="13.5">
      <c r="A38" t="s">
        <v>70</v>
      </c>
      <c r="B38" s="13">
        <v>21639.6</v>
      </c>
      <c r="C38" s="28">
        <f>D38/B38</f>
        <v>80.04253566507317</v>
      </c>
      <c r="D38" s="13">
        <f>H38+P38+AB38+AN38</f>
        <v>1732088.4547779174</v>
      </c>
      <c r="E38" s="13"/>
      <c r="F38" s="13">
        <v>18489.836</v>
      </c>
      <c r="G38" s="8">
        <f>0.414*'(2) Free LF earnings 1800'!G38</f>
        <v>77.55462</v>
      </c>
      <c r="H38" s="13">
        <f>F38*G38</f>
        <v>1433972.20484232</v>
      </c>
      <c r="J38" s="13">
        <v>3149.763999999999</v>
      </c>
      <c r="K38" s="8">
        <f>L38/J38</f>
        <v>94.64717037073174</v>
      </c>
      <c r="L38" s="13">
        <f>D38-H38</f>
        <v>298116.2499355974</v>
      </c>
      <c r="M38" s="13"/>
      <c r="N38" s="13">
        <v>0</v>
      </c>
      <c r="O38" s="8">
        <v>0</v>
      </c>
      <c r="P38" s="13">
        <f>S38+V38+Y38</f>
        <v>0</v>
      </c>
      <c r="Q38">
        <f>0.34*N38*0.5</f>
        <v>0</v>
      </c>
      <c r="R38" s="8">
        <f>0.527*'(2) Free LF earnings 1800'!X38</f>
        <v>0</v>
      </c>
      <c r="S38" s="13">
        <f>Q38*R38</f>
        <v>0</v>
      </c>
      <c r="T38">
        <f>0.34*N38*0.5</f>
        <v>0</v>
      </c>
      <c r="U38" s="8">
        <f>0.527*'(2) Free LF earnings 1800'!AA38</f>
        <v>0</v>
      </c>
      <c r="V38" s="13">
        <f>T38*U38</f>
        <v>0</v>
      </c>
      <c r="W38" s="13">
        <f>N38-Q38-T38</f>
        <v>0</v>
      </c>
      <c r="X38" s="8">
        <f>0.527*'(2) Free LF earnings 1800'!AG38</f>
        <v>0</v>
      </c>
      <c r="Y38" s="13">
        <f>W38*X38</f>
        <v>0</v>
      </c>
      <c r="Z38" s="13">
        <f>J38-AL38-N38</f>
        <v>1690.1172682926824</v>
      </c>
      <c r="AA38" s="26">
        <f>AB38/Z38</f>
        <v>100.38653040000001</v>
      </c>
      <c r="AB38" s="13">
        <f>AE38+AH38+AK38</f>
        <v>169665.00853302833</v>
      </c>
      <c r="AC38" s="13">
        <f>0.16*0.5*Z38</f>
        <v>135.2093814634146</v>
      </c>
      <c r="AD38" s="8">
        <f>0.475*'(2) Free LF earnings 1800'!AP38</f>
        <v>183.1695</v>
      </c>
      <c r="AE38" s="13">
        <f>AC38*AD38</f>
        <v>24766.23479796292</v>
      </c>
      <c r="AF38" s="13">
        <f>0.16*0.5*Z38</f>
        <v>135.2093814634146</v>
      </c>
      <c r="AG38" s="8">
        <f>0.475*'(2) Free LF earnings 1800'!AS38</f>
        <v>131.4705</v>
      </c>
      <c r="AH38" s="13">
        <f>AF38*AG38</f>
        <v>17776.044985685847</v>
      </c>
      <c r="AI38" s="13">
        <f>Z38-AC38-AF38</f>
        <v>1419.6985053658534</v>
      </c>
      <c r="AJ38" s="8">
        <f>0.475*'(2) Free LF earnings 1800'!AY38</f>
        <v>89.54205999999999</v>
      </c>
      <c r="AK38" s="13">
        <f>AI38*AJ38</f>
        <v>127122.72874937956</v>
      </c>
      <c r="AL38" s="13">
        <v>1459.6467317073168</v>
      </c>
      <c r="AM38" s="8">
        <f>AN38/AL38</f>
        <v>88.0015956</v>
      </c>
      <c r="AN38" s="13">
        <f>AT38+AW38+AQ38</f>
        <v>128451.241402569</v>
      </c>
      <c r="AO38" s="13">
        <f>AL38*0.16*0.5</f>
        <v>116.77173853658535</v>
      </c>
      <c r="AP38" s="8">
        <f>0.443*'(2) Free LF earnings 1800'!BH38</f>
        <v>133.11264</v>
      </c>
      <c r="AQ38" s="13">
        <f>AO38*AP38</f>
        <v>15543.794393994613</v>
      </c>
      <c r="AR38" s="13">
        <f>AL38*0.16*0.5</f>
        <v>116.77173853658535</v>
      </c>
      <c r="AS38" s="8">
        <f>0.443*'(2) Free LF earnings 1800'!BK38</f>
        <v>95.54181</v>
      </c>
      <c r="AT38" s="13">
        <f>AR38*AS38</f>
        <v>11156.583256632115</v>
      </c>
      <c r="AU38" s="13">
        <f>AL38-AO38-AR38</f>
        <v>1226.103254634146</v>
      </c>
      <c r="AV38" s="8">
        <f>0.443*'(2) Free LF earnings 1800'!BN38</f>
        <v>82.98719000000001</v>
      </c>
      <c r="AW38" s="13">
        <f>AU38*AV38</f>
        <v>101750.86375194226</v>
      </c>
    </row>
    <row r="39" spans="1:49" ht="13.5">
      <c r="A39" t="s">
        <v>71</v>
      </c>
      <c r="B39" s="13">
        <v>2069.1</v>
      </c>
      <c r="C39" s="28">
        <f>D39/B39</f>
        <v>80.10534737466668</v>
      </c>
      <c r="D39" s="13">
        <f>H39+P39+AB39+AN39</f>
        <v>165745.9742529228</v>
      </c>
      <c r="E39" s="13"/>
      <c r="F39" s="13">
        <v>1767.931</v>
      </c>
      <c r="G39" s="8">
        <f>0.414*'(2) Free LF earnings 1800'!G39</f>
        <v>77.55462</v>
      </c>
      <c r="H39" s="13">
        <f>F39*G39</f>
        <v>137111.21689122</v>
      </c>
      <c r="J39" s="13">
        <v>301.16899999999987</v>
      </c>
      <c r="K39" s="8">
        <f>L39/J39</f>
        <v>95.07870120000003</v>
      </c>
      <c r="L39" s="13">
        <f>D39-H39</f>
        <v>28634.757361702796</v>
      </c>
      <c r="M39" s="13"/>
      <c r="N39" s="13">
        <v>0</v>
      </c>
      <c r="O39" s="8">
        <v>0</v>
      </c>
      <c r="P39" s="13">
        <f>S39+V39+Y39</f>
        <v>0</v>
      </c>
      <c r="Q39">
        <f>0.34*N39*0.5</f>
        <v>0</v>
      </c>
      <c r="R39" s="8">
        <f>0.527*'(2) Free LF earnings 1800'!X39</f>
        <v>0</v>
      </c>
      <c r="S39" s="13">
        <f>Q39*R39</f>
        <v>0</v>
      </c>
      <c r="T39">
        <f>0.34*N39*0.5</f>
        <v>0</v>
      </c>
      <c r="U39" s="8">
        <f>0.527*'(2) Free LF earnings 1800'!AA39</f>
        <v>0</v>
      </c>
      <c r="V39" s="13">
        <f>T39*U39</f>
        <v>0</v>
      </c>
      <c r="W39" s="13">
        <f>N39-Q39-T39</f>
        <v>0</v>
      </c>
      <c r="X39" s="8">
        <f>0.527*'(2) Free LF earnings 1800'!AG39</f>
        <v>0</v>
      </c>
      <c r="Y39" s="13">
        <f>W39*X39</f>
        <v>0</v>
      </c>
      <c r="Z39" s="13">
        <f>J39-AL39-N39</f>
        <v>172.09657142857137</v>
      </c>
      <c r="AA39" s="26">
        <f>AB39/Z39</f>
        <v>100.38653039999998</v>
      </c>
      <c r="AB39" s="13">
        <f>AE39+AH39+AK39</f>
        <v>17276.177699450047</v>
      </c>
      <c r="AC39" s="13">
        <f>0.16*0.5*Z39</f>
        <v>13.76772571428571</v>
      </c>
      <c r="AD39" s="8">
        <f>0.475*'(2) Free LF earnings 1800'!AP39</f>
        <v>183.1695</v>
      </c>
      <c r="AE39" s="13">
        <f>AC39*AD39</f>
        <v>2521.8274352228564</v>
      </c>
      <c r="AF39" s="13">
        <f>0.16*0.5*Z39</f>
        <v>13.76772571428571</v>
      </c>
      <c r="AG39" s="8">
        <f>0.475*'(2) Free LF earnings 1800'!AS39</f>
        <v>131.4705</v>
      </c>
      <c r="AH39" s="13">
        <f>AF39*AG39</f>
        <v>1810.0497835199992</v>
      </c>
      <c r="AI39" s="13">
        <f>Z39-AC39-AF39</f>
        <v>144.56111999999993</v>
      </c>
      <c r="AJ39" s="8">
        <f>0.475*'(2) Free LF earnings 1800'!AY39</f>
        <v>89.54205999999999</v>
      </c>
      <c r="AK39" s="13">
        <f>AI39*AJ39</f>
        <v>12944.300480707192</v>
      </c>
      <c r="AL39" s="13">
        <v>129.0724285714285</v>
      </c>
      <c r="AM39" s="8">
        <f>AN39/AL39</f>
        <v>88.0015956</v>
      </c>
      <c r="AN39" s="13">
        <f>AT39+AW39+AQ39</f>
        <v>11358.579662252738</v>
      </c>
      <c r="AO39" s="13">
        <f>AL39*0.16*0.5</f>
        <v>10.32579428571428</v>
      </c>
      <c r="AP39" s="8">
        <f>0.443*'(2) Free LF earnings 1800'!BH39</f>
        <v>133.11264</v>
      </c>
      <c r="AQ39" s="13">
        <f>AO39*AP39</f>
        <v>1374.4937374683423</v>
      </c>
      <c r="AR39" s="13">
        <f>AL39*0.16*0.5</f>
        <v>10.32579428571428</v>
      </c>
      <c r="AS39" s="8">
        <f>0.443*'(2) Free LF earnings 1800'!BK39</f>
        <v>95.54181</v>
      </c>
      <c r="AT39" s="13">
        <f>AR39*AS39</f>
        <v>986.5450757447995</v>
      </c>
      <c r="AU39" s="13">
        <f>AL39-AO39-AR39</f>
        <v>108.42083999999994</v>
      </c>
      <c r="AV39" s="8">
        <f>0.443*'(2) Free LF earnings 1800'!BN39</f>
        <v>82.98719000000001</v>
      </c>
      <c r="AW39" s="13">
        <f>AU39*AV39</f>
        <v>8997.540849039597</v>
      </c>
    </row>
    <row r="40" spans="1:49" ht="13.5">
      <c r="A40" t="s">
        <v>74</v>
      </c>
      <c r="B40" s="13">
        <v>7550.1</v>
      </c>
      <c r="C40" s="28">
        <f>D40/B40</f>
        <v>80.03411622314893</v>
      </c>
      <c r="D40" s="13">
        <f>H40+P40+AB40+AN40</f>
        <v>604265.5808963968</v>
      </c>
      <c r="E40" s="13"/>
      <c r="F40" s="13">
        <v>6451.1410000000005</v>
      </c>
      <c r="G40" s="8">
        <f>0.414*'(2) Free LF earnings 1800'!G40</f>
        <v>77.55462</v>
      </c>
      <c r="H40" s="13">
        <f>F40*G40</f>
        <v>500315.78882142005</v>
      </c>
      <c r="J40" s="13">
        <v>1098.9589999999998</v>
      </c>
      <c r="K40" s="8">
        <f>L40/J40</f>
        <v>94.5893268765957</v>
      </c>
      <c r="L40" s="13">
        <f>D40-H40</f>
        <v>103949.79207497672</v>
      </c>
      <c r="M40" s="13"/>
      <c r="N40" s="13">
        <v>0</v>
      </c>
      <c r="O40" s="8">
        <v>0</v>
      </c>
      <c r="P40" s="13">
        <f>S40+V40+Y40</f>
        <v>0</v>
      </c>
      <c r="Q40">
        <v>0</v>
      </c>
      <c r="R40" s="8">
        <v>0</v>
      </c>
      <c r="S40" s="13">
        <f>Q40*R40</f>
        <v>0</v>
      </c>
      <c r="T40">
        <f>0.34*N40*0.5</f>
        <v>0</v>
      </c>
      <c r="U40" s="8">
        <f>0.527*'(2) Free LF earnings 1800'!AA40</f>
        <v>0</v>
      </c>
      <c r="V40" s="13">
        <v>0</v>
      </c>
      <c r="W40" s="13">
        <v>0</v>
      </c>
      <c r="X40" s="8">
        <f>0.527*'(2) Free LF earnings 1800'!AG40</f>
        <v>0</v>
      </c>
      <c r="Y40" s="13">
        <f>W40*X40</f>
        <v>0</v>
      </c>
      <c r="Z40" s="13">
        <f>J40-AL40-N40</f>
        <v>584.552659574468</v>
      </c>
      <c r="AA40" s="26">
        <f>AB40/Z40</f>
        <v>100.38653040000001</v>
      </c>
      <c r="AB40" s="13">
        <f>AE40+AH40+AK40</f>
        <v>58681.213330773186</v>
      </c>
      <c r="AC40" s="13">
        <f>0.16*0.5*Z40</f>
        <v>46.76421276595744</v>
      </c>
      <c r="AD40" s="8">
        <f>0.475*'(2) Free LF earnings 1800'!AP40</f>
        <v>183.1695</v>
      </c>
      <c r="AE40" s="13">
        <f>AC40*AD40</f>
        <v>8565.777470234041</v>
      </c>
      <c r="AF40" s="13">
        <f>0.16*0.5*Z40</f>
        <v>46.76421276595744</v>
      </c>
      <c r="AG40" s="8">
        <f>0.475*'(2) Free LF earnings 1800'!AS40</f>
        <v>131.4705</v>
      </c>
      <c r="AH40" s="13">
        <f>AF40*AG40</f>
        <v>6148.114434446807</v>
      </c>
      <c r="AI40" s="13">
        <f>Z40-AC40-AF40</f>
        <v>491.02423404255313</v>
      </c>
      <c r="AJ40" s="8">
        <f>0.475*'(2) Free LF earnings 1800'!AY40</f>
        <v>89.54205999999999</v>
      </c>
      <c r="AK40" s="13">
        <f>AI40*AJ40</f>
        <v>43967.321426092334</v>
      </c>
      <c r="AL40" s="13">
        <v>514.4063404255319</v>
      </c>
      <c r="AM40" s="8">
        <f>AN40/AL40</f>
        <v>88.00159560000002</v>
      </c>
      <c r="AN40" s="13">
        <f>AT40+AW40+AQ40</f>
        <v>45268.578744203594</v>
      </c>
      <c r="AO40" s="13">
        <f>AL40*0.16*0.5</f>
        <v>41.15250723404255</v>
      </c>
      <c r="AP40" s="8">
        <f>0.443*'(2) Free LF earnings 1800'!BH40</f>
        <v>133.11264</v>
      </c>
      <c r="AQ40" s="13">
        <f>AO40*AP40</f>
        <v>5477.918880542502</v>
      </c>
      <c r="AR40" s="13">
        <f>AL40*0.16*0.5</f>
        <v>41.15250723404255</v>
      </c>
      <c r="AS40" s="8">
        <f>0.443*'(2) Free LF earnings 1800'!BK40</f>
        <v>95.54181</v>
      </c>
      <c r="AT40" s="13">
        <f>AR40*AS40</f>
        <v>3931.785027178519</v>
      </c>
      <c r="AU40" s="13">
        <f>AL40-AO40-AR40</f>
        <v>432.10132595744676</v>
      </c>
      <c r="AV40" s="8">
        <f>0.443*'(2) Free LF earnings 1800'!BN40</f>
        <v>82.98719000000001</v>
      </c>
      <c r="AW40" s="13">
        <f>AU40*AV40</f>
        <v>35858.87483648257</v>
      </c>
    </row>
    <row r="41" spans="1:94" ht="18">
      <c r="A41" s="9" t="s">
        <v>44</v>
      </c>
      <c r="B41" s="13">
        <f>B38+B39+B40</f>
        <v>31258.799999999996</v>
      </c>
      <c r="C41" s="29">
        <f t="shared" si="28"/>
        <v>80.04465974148839</v>
      </c>
      <c r="D41" s="13">
        <f>D38+D39+D40</f>
        <v>2502100.009927237</v>
      </c>
      <c r="E41" s="13"/>
      <c r="F41" s="13">
        <f>F38+F39+F40</f>
        <v>26708.908</v>
      </c>
      <c r="G41" s="17">
        <f>H41/F41</f>
        <v>77.55462000000001</v>
      </c>
      <c r="H41" s="13">
        <f>H38+H39+H40</f>
        <v>2071399.2105549602</v>
      </c>
      <c r="I41" s="13"/>
      <c r="J41" s="13">
        <f>J38+J39+J40</f>
        <v>4549.891999999999</v>
      </c>
      <c r="K41" s="10">
        <f t="shared" si="25"/>
        <v>94.66176326213392</v>
      </c>
      <c r="L41" s="13">
        <f>L38+L39+L40</f>
        <v>430700.79937227693</v>
      </c>
      <c r="M41" s="13"/>
      <c r="N41" s="13">
        <f>N38+N39+N40</f>
        <v>0</v>
      </c>
      <c r="O41" s="44" t="s">
        <v>47</v>
      </c>
      <c r="P41" s="13">
        <f>P38+P39+P40</f>
        <v>0</v>
      </c>
      <c r="Q41" s="13">
        <f>Q38+Q39+Q40</f>
        <v>0</v>
      </c>
      <c r="R41" s="44" t="s">
        <v>47</v>
      </c>
      <c r="S41" s="13">
        <f>S38+S39+S40</f>
        <v>0</v>
      </c>
      <c r="T41" s="13">
        <f>T38+T39+T40</f>
        <v>0</v>
      </c>
      <c r="U41" s="44">
        <v>0</v>
      </c>
      <c r="V41" s="13">
        <f>V38+V39+V40</f>
        <v>0</v>
      </c>
      <c r="W41" s="13">
        <f>W38+W39+W40</f>
        <v>0</v>
      </c>
      <c r="X41" s="44">
        <v>0</v>
      </c>
      <c r="Y41" s="13">
        <f>Y38+Y39+Y40</f>
        <v>0</v>
      </c>
      <c r="Z41" s="13">
        <f>Z38+Z39+Z40</f>
        <v>2446.7664992957216</v>
      </c>
      <c r="AA41" s="21">
        <f t="shared" si="26"/>
        <v>100.38653040000003</v>
      </c>
      <c r="AB41" s="13">
        <f>AB38+AB39+AB40</f>
        <v>245622.3995632516</v>
      </c>
      <c r="AC41" s="13">
        <f>AC38+AC39+AC40</f>
        <v>195.74131994365774</v>
      </c>
      <c r="AD41" s="10">
        <f>AE41/AC41</f>
        <v>183.16949999999997</v>
      </c>
      <c r="AE41" s="13">
        <f>AE38+AE39+AE40</f>
        <v>35853.83970341981</v>
      </c>
      <c r="AF41" s="13">
        <f>AF38+AF39+AF40</f>
        <v>195.74131994365774</v>
      </c>
      <c r="AG41" s="10">
        <f>AH41/AF41</f>
        <v>131.4705</v>
      </c>
      <c r="AH41" s="13">
        <f>AH38+AH39+AH40</f>
        <v>25734.209203652652</v>
      </c>
      <c r="AI41" s="13">
        <f>AI38+AI39+AI40</f>
        <v>2055.2838594084064</v>
      </c>
      <c r="AJ41" s="10">
        <f>AK41/AI41</f>
        <v>89.54205999999999</v>
      </c>
      <c r="AK41" s="13">
        <f>AK38+AK39+AK40</f>
        <v>184034.35065617907</v>
      </c>
      <c r="AL41" s="13">
        <f>AL38+AL39+AL40</f>
        <v>2103.1255007042773</v>
      </c>
      <c r="AM41" s="10">
        <f t="shared" si="27"/>
        <v>88.0015956</v>
      </c>
      <c r="AN41" s="13">
        <f>AN38+AN39+AN40</f>
        <v>185078.39980902534</v>
      </c>
      <c r="AO41" s="13">
        <f>AO38+AO39+AO40</f>
        <v>168.2500400563422</v>
      </c>
      <c r="AP41" s="31">
        <f>AQ41/AO41</f>
        <v>133.11264</v>
      </c>
      <c r="AQ41" s="13">
        <f>AQ38+AQ39+AQ40</f>
        <v>22396.207012005456</v>
      </c>
      <c r="AR41" s="13">
        <f>AR38+AR39+AR40</f>
        <v>168.2500400563422</v>
      </c>
      <c r="AS41" s="31">
        <f>AT41/AR41</f>
        <v>95.54181</v>
      </c>
      <c r="AT41" s="13">
        <f>AT38+AT39+AT40</f>
        <v>16074.913359555434</v>
      </c>
      <c r="AU41" s="13">
        <f>AU38+AU39+AU40</f>
        <v>1766.6254205915927</v>
      </c>
      <c r="AV41" s="31">
        <f>AW41/AU41</f>
        <v>82.98719000000001</v>
      </c>
      <c r="AW41" s="13">
        <f>AW38+AW39+AW40</f>
        <v>146607.27943746443</v>
      </c>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row>
    <row r="43" ht="12">
      <c r="A43" s="6" t="s">
        <v>91</v>
      </c>
    </row>
    <row r="44" ht="12">
      <c r="A44" s="6"/>
    </row>
    <row r="45" ht="12">
      <c r="A45" s="33" t="s">
        <v>55</v>
      </c>
    </row>
    <row r="46" ht="12">
      <c r="A46" s="33" t="s">
        <v>33</v>
      </c>
    </row>
    <row r="47" ht="12">
      <c r="A47" s="34" t="s">
        <v>106</v>
      </c>
    </row>
    <row r="48" spans="2:3" ht="12">
      <c r="B48" s="36" t="s">
        <v>35</v>
      </c>
      <c r="C48" s="36" t="s">
        <v>97</v>
      </c>
    </row>
    <row r="49" spans="1:5" ht="12">
      <c r="A49" s="35" t="s">
        <v>101</v>
      </c>
      <c r="B49" s="35">
        <v>41.4</v>
      </c>
      <c r="C49" s="35">
        <v>40.1</v>
      </c>
      <c r="D49" s="33"/>
      <c r="E49" s="33"/>
    </row>
    <row r="50" spans="1:4" ht="12">
      <c r="A50" s="35" t="s">
        <v>98</v>
      </c>
      <c r="B50" s="35">
        <v>44.3</v>
      </c>
      <c r="C50" s="35">
        <v>43.9</v>
      </c>
      <c r="D50" s="33"/>
    </row>
    <row r="51" spans="1:5" ht="12">
      <c r="A51" s="35" t="s">
        <v>99</v>
      </c>
      <c r="B51" s="35">
        <v>47.5</v>
      </c>
      <c r="C51" s="35">
        <v>47.1</v>
      </c>
      <c r="D51" s="33"/>
      <c r="E51" s="33"/>
    </row>
    <row r="52" spans="1:5" ht="12">
      <c r="A52" s="35" t="s">
        <v>100</v>
      </c>
      <c r="B52" s="35">
        <v>52.7</v>
      </c>
      <c r="C52" s="35">
        <v>52.3</v>
      </c>
      <c r="D52" s="33"/>
      <c r="E52" s="33"/>
    </row>
    <row r="53" spans="1:9" ht="12">
      <c r="A53" s="96"/>
      <c r="B53" s="96"/>
      <c r="C53" s="96"/>
      <c r="D53" s="96"/>
      <c r="E53" s="96"/>
      <c r="F53" s="96"/>
      <c r="G53" s="89"/>
      <c r="H53" s="89"/>
      <c r="I53" s="89"/>
    </row>
    <row r="54" spans="1:9" ht="13.5">
      <c r="A54" s="94"/>
      <c r="B54" s="97"/>
      <c r="C54" s="97"/>
      <c r="D54" s="97"/>
      <c r="E54" s="97"/>
      <c r="F54" s="97"/>
      <c r="G54" s="97"/>
      <c r="H54" s="97"/>
      <c r="I54" s="97"/>
    </row>
    <row r="55" spans="1:13" ht="13.5">
      <c r="A55" s="94"/>
      <c r="B55" s="97"/>
      <c r="C55" s="97"/>
      <c r="D55" s="97"/>
      <c r="E55" s="97"/>
      <c r="F55" s="97"/>
      <c r="G55" s="97"/>
      <c r="H55" s="97"/>
      <c r="I55" s="97"/>
      <c r="J55" s="97"/>
      <c r="K55" s="7"/>
      <c r="L55" s="7"/>
      <c r="M55" s="7"/>
    </row>
    <row r="56" spans="1:13" ht="13.5">
      <c r="A56" s="94"/>
      <c r="B56" s="89"/>
      <c r="C56" s="89"/>
      <c r="D56" s="89"/>
      <c r="E56" s="89"/>
      <c r="F56" s="89"/>
      <c r="G56" s="89"/>
      <c r="H56" s="89"/>
      <c r="I56" s="89"/>
      <c r="J56" s="89"/>
      <c r="K56" s="23"/>
      <c r="L56" s="23"/>
      <c r="M56" s="23"/>
    </row>
    <row r="57" spans="1:13" ht="13.5">
      <c r="A57" s="94"/>
      <c r="B57" s="89"/>
      <c r="C57" s="89"/>
      <c r="D57" s="89"/>
      <c r="E57" s="89"/>
      <c r="F57" s="89"/>
      <c r="G57" s="89"/>
      <c r="H57" s="89"/>
      <c r="I57" s="89"/>
      <c r="J57" s="7"/>
      <c r="K57" s="7"/>
      <c r="L57" s="7"/>
      <c r="M57" s="7"/>
    </row>
    <row r="58" spans="1:13" ht="13.5">
      <c r="A58" s="94"/>
      <c r="B58" s="89"/>
      <c r="C58" s="89"/>
      <c r="D58" s="89"/>
      <c r="E58" s="89"/>
      <c r="F58" s="89"/>
      <c r="G58" s="89"/>
      <c r="H58" s="89"/>
      <c r="I58" s="89"/>
      <c r="J58" s="7"/>
      <c r="K58" s="7"/>
      <c r="L58" s="7"/>
      <c r="M58" s="7"/>
    </row>
    <row r="59" spans="1:13" ht="13.5">
      <c r="A59" s="94"/>
      <c r="B59" s="89"/>
      <c r="C59" s="89"/>
      <c r="D59" s="89"/>
      <c r="E59" s="89"/>
      <c r="F59" s="89"/>
      <c r="G59" s="89"/>
      <c r="H59" s="89"/>
      <c r="I59" s="89"/>
      <c r="J59" s="7"/>
      <c r="K59" s="7"/>
      <c r="L59" s="7"/>
      <c r="M59" s="7"/>
    </row>
    <row r="60" spans="1:13" ht="13.5">
      <c r="A60" s="94"/>
      <c r="B60" s="89"/>
      <c r="C60" s="89"/>
      <c r="D60" s="89"/>
      <c r="E60" s="89"/>
      <c r="F60" s="89"/>
      <c r="G60" s="89"/>
      <c r="H60" s="89"/>
      <c r="I60" s="89"/>
      <c r="J60" s="7"/>
      <c r="K60" s="7"/>
      <c r="L60" s="7"/>
      <c r="M60" s="7"/>
    </row>
    <row r="61" spans="1:13" ht="13.5">
      <c r="A61" s="20"/>
      <c r="B61" s="7"/>
      <c r="C61" s="15"/>
      <c r="D61" s="7"/>
      <c r="E61" s="7"/>
      <c r="F61" s="7"/>
      <c r="G61" s="7"/>
      <c r="H61" s="7"/>
      <c r="I61" s="7"/>
      <c r="J61" s="7"/>
      <c r="K61" s="7"/>
      <c r="L61" s="7"/>
      <c r="M61" s="7"/>
    </row>
    <row r="62" spans="1:13" ht="13.5">
      <c r="A62" s="93"/>
      <c r="B62" s="95"/>
      <c r="C62" s="95"/>
      <c r="D62" s="95"/>
      <c r="E62" s="95"/>
      <c r="F62" s="95"/>
      <c r="G62" s="89"/>
      <c r="H62" s="89"/>
      <c r="I62" s="89"/>
      <c r="J62" s="89"/>
      <c r="K62" s="23"/>
      <c r="L62" s="23"/>
      <c r="M62" s="23"/>
    </row>
    <row r="63" spans="1:13" ht="13.5">
      <c r="A63" s="93"/>
      <c r="B63" s="95"/>
      <c r="C63" s="95"/>
      <c r="D63" s="95"/>
      <c r="E63" s="95"/>
      <c r="F63" s="95"/>
      <c r="G63" s="95"/>
      <c r="H63" s="95"/>
      <c r="I63" s="95"/>
      <c r="J63" s="7"/>
      <c r="K63" s="7"/>
      <c r="L63" s="7"/>
      <c r="M63" s="7"/>
    </row>
    <row r="64" spans="1:13" ht="13.5">
      <c r="A64" s="93"/>
      <c r="B64" s="89"/>
      <c r="C64" s="89"/>
      <c r="D64" s="89"/>
      <c r="E64" s="89"/>
      <c r="F64" s="89"/>
      <c r="G64" s="89"/>
      <c r="H64" s="89"/>
      <c r="I64" s="89"/>
      <c r="J64" s="7"/>
      <c r="K64" s="7"/>
      <c r="L64" s="7"/>
      <c r="M64" s="7"/>
    </row>
    <row r="65" spans="1:13" ht="13.5">
      <c r="A65" s="93"/>
      <c r="B65" s="89"/>
      <c r="C65" s="89"/>
      <c r="D65" s="89"/>
      <c r="E65" s="89"/>
      <c r="F65" s="89"/>
      <c r="G65" s="89"/>
      <c r="H65" s="89"/>
      <c r="I65" s="89"/>
      <c r="J65" s="7"/>
      <c r="K65" s="7"/>
      <c r="L65" s="7"/>
      <c r="M65" s="7"/>
    </row>
    <row r="66" spans="1:13" ht="13.5">
      <c r="A66" s="98"/>
      <c r="B66" s="89"/>
      <c r="C66" s="89"/>
      <c r="D66" s="89"/>
      <c r="E66" s="89"/>
      <c r="F66" s="89"/>
      <c r="G66" s="89"/>
      <c r="H66" s="89"/>
      <c r="I66" s="89"/>
      <c r="J66" s="7"/>
      <c r="K66" s="7"/>
      <c r="L66" s="7"/>
      <c r="M66" s="7"/>
    </row>
    <row r="67" spans="1:13" ht="13.5">
      <c r="A67" s="20"/>
      <c r="B67" s="25"/>
      <c r="C67" s="25"/>
      <c r="D67" s="25"/>
      <c r="E67" s="25"/>
      <c r="F67" s="25"/>
      <c r="G67" s="25"/>
      <c r="H67" s="25"/>
      <c r="I67" s="25"/>
      <c r="J67" s="7"/>
      <c r="K67" s="7"/>
      <c r="L67" s="7"/>
      <c r="M67" s="7"/>
    </row>
    <row r="68" spans="1:13" ht="13.5">
      <c r="A68" s="93"/>
      <c r="B68" s="89"/>
      <c r="C68" s="89"/>
      <c r="D68" s="89"/>
      <c r="E68" s="89"/>
      <c r="F68" s="89"/>
      <c r="G68" s="89"/>
      <c r="H68" s="89"/>
      <c r="I68" s="89"/>
      <c r="J68" s="7"/>
      <c r="K68" s="7"/>
      <c r="L68" s="7"/>
      <c r="M68" s="7"/>
    </row>
    <row r="69" spans="1:13" ht="13.5">
      <c r="A69" s="93"/>
      <c r="B69" s="89"/>
      <c r="C69" s="89"/>
      <c r="D69" s="89"/>
      <c r="E69" s="89"/>
      <c r="F69" s="89"/>
      <c r="G69" s="89"/>
      <c r="H69" s="89"/>
      <c r="I69" s="89"/>
      <c r="J69" s="7"/>
      <c r="K69" s="7"/>
      <c r="L69" s="7"/>
      <c r="M69" s="7"/>
    </row>
    <row r="70" spans="1:13" ht="13.5">
      <c r="A70" s="93"/>
      <c r="B70" s="89"/>
      <c r="C70" s="89"/>
      <c r="D70" s="89"/>
      <c r="E70" s="89"/>
      <c r="F70" s="89"/>
      <c r="G70" s="89"/>
      <c r="H70" s="89"/>
      <c r="I70" s="89"/>
      <c r="J70" s="7"/>
      <c r="K70" s="7"/>
      <c r="L70" s="7"/>
      <c r="M70" s="7"/>
    </row>
    <row r="71" spans="1:13" ht="13.5">
      <c r="A71" s="93"/>
      <c r="B71" s="89"/>
      <c r="C71" s="89"/>
      <c r="D71" s="89"/>
      <c r="E71" s="89"/>
      <c r="F71" s="89"/>
      <c r="G71" s="89"/>
      <c r="H71" s="89"/>
      <c r="I71" s="89"/>
      <c r="J71" s="7"/>
      <c r="K71" s="7"/>
      <c r="L71" s="7"/>
      <c r="M71" s="7"/>
    </row>
    <row r="72" spans="1:13" ht="13.5">
      <c r="A72" s="93"/>
      <c r="B72" s="89"/>
      <c r="C72" s="89"/>
      <c r="D72" s="89"/>
      <c r="E72" s="89"/>
      <c r="F72" s="89"/>
      <c r="G72" s="89"/>
      <c r="H72" s="89"/>
      <c r="I72" s="89"/>
      <c r="J72" s="7"/>
      <c r="K72" s="7"/>
      <c r="L72" s="7"/>
      <c r="M72" s="7"/>
    </row>
    <row r="73" spans="1:13" ht="13.5">
      <c r="A73" s="93"/>
      <c r="B73" s="89"/>
      <c r="C73" s="89"/>
      <c r="D73" s="89"/>
      <c r="E73" s="89"/>
      <c r="F73" s="89"/>
      <c r="G73" s="89"/>
      <c r="H73" s="89"/>
      <c r="I73" s="89"/>
      <c r="J73" s="7"/>
      <c r="K73" s="7"/>
      <c r="L73" s="7"/>
      <c r="M73" s="7"/>
    </row>
    <row r="74" spans="1:13" ht="13.5">
      <c r="A74" s="24"/>
      <c r="B74" s="23"/>
      <c r="C74" s="23"/>
      <c r="D74" s="23"/>
      <c r="E74" s="23"/>
      <c r="F74" s="23"/>
      <c r="G74" s="23"/>
      <c r="H74" s="23"/>
      <c r="I74" s="23"/>
      <c r="J74" s="7"/>
      <c r="K74" s="7"/>
      <c r="L74" s="7"/>
      <c r="M74" s="7"/>
    </row>
    <row r="75" ht="12">
      <c r="A75" s="6"/>
    </row>
    <row r="82" spans="1:8" ht="18">
      <c r="A82" s="3"/>
      <c r="B82" s="3"/>
      <c r="C82" s="3"/>
      <c r="D82" s="3"/>
      <c r="E82" s="3"/>
      <c r="F82" s="3"/>
      <c r="G82" s="3"/>
      <c r="H82" s="3"/>
    </row>
    <row r="88" spans="1:8" ht="18">
      <c r="A88" s="3"/>
      <c r="B88" s="3"/>
      <c r="C88" s="3"/>
      <c r="D88" s="3"/>
      <c r="E88" s="3"/>
      <c r="F88" s="3"/>
      <c r="G88" s="3"/>
      <c r="H88" s="3"/>
    </row>
    <row r="89" spans="1:8" ht="18">
      <c r="A89" s="3"/>
      <c r="B89" s="3"/>
      <c r="C89" s="3"/>
      <c r="D89" s="3"/>
      <c r="E89" s="3"/>
      <c r="F89" s="3"/>
      <c r="G89" s="3"/>
      <c r="H89" s="3"/>
    </row>
    <row r="90" spans="1:8" ht="18">
      <c r="A90" s="3"/>
      <c r="B90" s="3"/>
      <c r="C90" s="3"/>
      <c r="D90" s="3"/>
      <c r="E90" s="3"/>
      <c r="F90" s="3"/>
      <c r="G90" s="3"/>
      <c r="H90" s="3"/>
    </row>
    <row r="91" spans="1:8" ht="18">
      <c r="A91" s="3"/>
      <c r="B91" s="3"/>
      <c r="C91" s="3"/>
      <c r="D91" s="3"/>
      <c r="E91" s="3"/>
      <c r="F91" s="3"/>
      <c r="G91" s="3"/>
      <c r="H91" s="3"/>
    </row>
    <row r="100" spans="1:8" ht="18">
      <c r="A100" s="3"/>
      <c r="B100" s="3"/>
      <c r="C100" s="3"/>
      <c r="D100" s="3"/>
      <c r="E100" s="3"/>
      <c r="F100" s="3"/>
      <c r="G100" s="3"/>
      <c r="H100" s="3"/>
    </row>
    <row r="101" spans="1:8" ht="18">
      <c r="A101" s="3"/>
      <c r="B101" s="3"/>
      <c r="C101" s="3"/>
      <c r="D101" s="3"/>
      <c r="E101" s="3"/>
      <c r="F101" s="3"/>
      <c r="G101" s="3"/>
      <c r="H101" s="3"/>
    </row>
    <row r="104" spans="1:8" ht="18">
      <c r="A104" s="3"/>
      <c r="B104" s="3"/>
      <c r="C104" s="3"/>
      <c r="D104" s="3"/>
      <c r="E104" s="3"/>
      <c r="F104" s="3"/>
      <c r="G104" s="3"/>
      <c r="H104" s="3"/>
    </row>
    <row r="106" spans="1:8" ht="18">
      <c r="A106" s="4"/>
      <c r="B106" s="4"/>
      <c r="C106" s="4"/>
      <c r="D106" s="4"/>
      <c r="E106" s="4"/>
      <c r="F106" s="4"/>
      <c r="G106" s="4"/>
      <c r="H106" s="4"/>
    </row>
  </sheetData>
  <sheetProtection/>
  <mergeCells count="67">
    <mergeCell ref="I3:AN3"/>
    <mergeCell ref="N4:Y4"/>
    <mergeCell ref="Z4:AK4"/>
    <mergeCell ref="N5:P5"/>
    <mergeCell ref="W5:Y5"/>
    <mergeCell ref="AL5:AN5"/>
    <mergeCell ref="J4:L4"/>
    <mergeCell ref="AO5:AQ5"/>
    <mergeCell ref="AR5:AT5"/>
    <mergeCell ref="B4:D4"/>
    <mergeCell ref="F4:H4"/>
    <mergeCell ref="AL4:AW4"/>
    <mergeCell ref="C6:D6"/>
    <mergeCell ref="F6:F7"/>
    <mergeCell ref="G6:H6"/>
    <mergeCell ref="N6:N7"/>
    <mergeCell ref="Z5:AB5"/>
    <mergeCell ref="W6:W7"/>
    <mergeCell ref="X6:Y6"/>
    <mergeCell ref="Z6:Z7"/>
    <mergeCell ref="Q5:S5"/>
    <mergeCell ref="T5:V5"/>
    <mergeCell ref="AU6:AU7"/>
    <mergeCell ref="AI6:AI7"/>
    <mergeCell ref="AJ6:AK6"/>
    <mergeCell ref="AL6:AL7"/>
    <mergeCell ref="AA6:AB6"/>
    <mergeCell ref="T6:T7"/>
    <mergeCell ref="K6:L6"/>
    <mergeCell ref="AU5:AW5"/>
    <mergeCell ref="AC5:AE5"/>
    <mergeCell ref="AF5:AH5"/>
    <mergeCell ref="AI5:AK5"/>
    <mergeCell ref="AF6:AF7"/>
    <mergeCell ref="AG6:AH6"/>
    <mergeCell ref="AC6:AC7"/>
    <mergeCell ref="AD6:AE6"/>
    <mergeCell ref="AV6:AW6"/>
    <mergeCell ref="A53:I53"/>
    <mergeCell ref="A54:I54"/>
    <mergeCell ref="AM6:AN6"/>
    <mergeCell ref="AO6:AO7"/>
    <mergeCell ref="AP6:AQ6"/>
    <mergeCell ref="AR6:AR7"/>
    <mergeCell ref="AS6:AT6"/>
    <mergeCell ref="O6:P6"/>
    <mergeCell ref="Q6:Q7"/>
    <mergeCell ref="A66:I66"/>
    <mergeCell ref="A68:I68"/>
    <mergeCell ref="A69:I69"/>
    <mergeCell ref="A70:I70"/>
    <mergeCell ref="A71:I71"/>
    <mergeCell ref="U6:V6"/>
    <mergeCell ref="B6:B7"/>
    <mergeCell ref="A59:I59"/>
    <mergeCell ref="A60:I60"/>
    <mergeCell ref="R6:S6"/>
    <mergeCell ref="A72:I72"/>
    <mergeCell ref="A55:J55"/>
    <mergeCell ref="A56:J56"/>
    <mergeCell ref="A57:I57"/>
    <mergeCell ref="A58:I58"/>
    <mergeCell ref="A73:I73"/>
    <mergeCell ref="A62:J62"/>
    <mergeCell ref="A63:I63"/>
    <mergeCell ref="A64:I64"/>
    <mergeCell ref="A65:I65"/>
  </mergeCells>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Harvard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Jeffrey Williamson</dc:creator>
  <cp:keywords/>
  <dc:description/>
  <cp:lastModifiedBy>Peter Lindert</cp:lastModifiedBy>
  <cp:lastPrinted>2010-08-11T11:52:29Z</cp:lastPrinted>
  <dcterms:created xsi:type="dcterms:W3CDTF">2010-07-19T11:17:19Z</dcterms:created>
  <dcterms:modified xsi:type="dcterms:W3CDTF">2013-01-31T00:12:31Z</dcterms:modified>
  <cp:category/>
  <cp:version/>
  <cp:contentType/>
  <cp:contentStatus/>
</cp:coreProperties>
</file>