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60" yWindow="65336" windowWidth="24840" windowHeight="15180" tabRatio="711" firstSheet="1" activeTab="5"/>
  </bookViews>
  <sheets>
    <sheet name="Sources &amp; notes" sheetId="1" r:id="rId1"/>
    <sheet name="(1) Commercial time" sheetId="2" r:id="rId2"/>
    <sheet name="(2) Farm incomes" sheetId="3" r:id="rId3"/>
    <sheet name="(3) Indentured LF earnings" sheetId="4" r:id="rId4"/>
    <sheet name="(4) Slave earnings divided" sheetId="5" r:id="rId5"/>
    <sheet name="(5) Own-labor income results" sheetId="6" r:id="rId6"/>
  </sheets>
  <definedNames/>
  <calcPr fullCalcOnLoad="1"/>
</workbook>
</file>

<file path=xl/sharedStrings.xml><?xml version="1.0" encoding="utf-8"?>
<sst xmlns="http://schemas.openxmlformats.org/spreadsheetml/2006/main" count="918" uniqueCount="599">
  <si>
    <t>Jan 2011, revised May 2011</t>
  </si>
  <si>
    <r>
      <t>Labor force</t>
    </r>
    <r>
      <rPr>
        <sz val="12"/>
        <rFont val="Arial"/>
        <family val="0"/>
      </rPr>
      <t xml:space="preserve">: Lindert-Williamson estimates, in the "Occupations 1774 by region" Excel file. Based on the colonial censuses in </t>
    </r>
    <r>
      <rPr>
        <i/>
        <sz val="12"/>
        <rFont val="Arial"/>
        <family val="0"/>
      </rPr>
      <t>Historical Statistics, Millennial Edition</t>
    </r>
    <r>
      <rPr>
        <sz val="12"/>
        <rFont val="Arial"/>
        <family val="0"/>
      </rPr>
      <t xml:space="preserve"> (2006), interpolating from the US censuses of 1790 and 1800, and on Thomas Weiss's estimates of labor force participation rates.</t>
    </r>
  </si>
  <si>
    <t>revised May 2011</t>
  </si>
  <si>
    <t>Implied by American incomes 1774 g  file</t>
  </si>
  <si>
    <r>
      <t xml:space="preserve">Component </t>
    </r>
    <r>
      <rPr>
        <b/>
        <u val="single"/>
        <sz val="12"/>
        <rFont val="Arial"/>
        <family val="0"/>
      </rPr>
      <t>(E.) Farm profits</t>
    </r>
    <r>
      <rPr>
        <sz val="12"/>
        <rFont val="Arial"/>
        <family val="0"/>
      </rPr>
      <t xml:space="preserve"> [See the guesstimates by J.T. Main (1965), below]</t>
    </r>
  </si>
  <si>
    <t>of return for all slaves should have been slightly above the 11.0% calculated for Maryland 1796-1804.</t>
  </si>
  <si>
    <t>Farm (for NE and MC = rural; For S = all)</t>
  </si>
  <si>
    <t>Group 1 = titled &amp; professionals</t>
  </si>
  <si>
    <t>England</t>
  </si>
  <si>
    <t>Colonies</t>
  </si>
  <si>
    <t>South</t>
  </si>
  <si>
    <t xml:space="preserve">while shopkeepers earned less than half of that sum".  His comment is not specific to any particular place within the colonies.  </t>
  </si>
  <si>
    <t>(Charleston 7 = 5 shopkeepers, 1 innkeeper, and only 1 modest-W merchant)</t>
  </si>
  <si>
    <t>Colonies</t>
  </si>
  <si>
    <t>How thin were Jones's probate sub-samples for these higher occupations?</t>
  </si>
  <si>
    <t>the farm sector, not the incomes of those in farm operators' households.</t>
  </si>
  <si>
    <t>Note: The farm sector's incomes = incomes of persons employed primarily in</t>
  </si>
  <si>
    <t>Agree with "Amer inc's", LF by persons' OWN occ's, wkshts (2) and (3) - not by reconstituted households.</t>
  </si>
  <si>
    <t>Agree with "Amer inc's", wkshts (2), (3)</t>
  </si>
  <si>
    <t>$ per farmer</t>
  </si>
  <si>
    <t>Components of farm sector's income</t>
  </si>
  <si>
    <t>earnings of persons</t>
  </si>
  <si>
    <t>employed in farm</t>
  </si>
  <si>
    <t>sector (Variant B)</t>
  </si>
  <si>
    <t>non-human assets</t>
  </si>
  <si>
    <t>No. of persons in farm labor force</t>
  </si>
  <si>
    <t>Repeat: persons in farm labor force</t>
  </si>
  <si>
    <t>(A.) thru (E.) Total farm sector income</t>
  </si>
  <si>
    <t>Group 7, male household heads, with positive wealth by no stated occupation:</t>
  </si>
  <si>
    <r>
      <t xml:space="preserve">AHJ sample sizes for </t>
    </r>
    <r>
      <rPr>
        <u val="single"/>
        <sz val="12"/>
        <rFont val="Arial"/>
        <family val="0"/>
      </rPr>
      <t>artisans &amp; building trades</t>
    </r>
    <r>
      <rPr>
        <sz val="12"/>
        <rFont val="Arial"/>
        <family val="0"/>
      </rPr>
      <t xml:space="preserve"> =</t>
    </r>
  </si>
  <si>
    <t>Furthermore, this estimate of "income" probably mixes property returns, returns to effort, and the profit residual.</t>
  </si>
  <si>
    <t>n = 17</t>
  </si>
  <si>
    <t>n = 12</t>
  </si>
  <si>
    <t>n = 5</t>
  </si>
  <si>
    <t>n = 32</t>
  </si>
  <si>
    <t>South, cash only ($)</t>
  </si>
  <si>
    <t>Profits, excluding his farm-labor component.</t>
  </si>
  <si>
    <t>(5) Own-labor income results</t>
  </si>
  <si>
    <t xml:space="preserve">Alternatively, where Alice Hanson Jones's probate samples capture too few individuals in these sub-groups, we can assume a lower bound on the implicit labor income </t>
  </si>
  <si>
    <t>(1) The Property-ladder procedure</t>
  </si>
  <si>
    <t>(Group 6A) in the same places.  This is our way of trying to capture the likelihood that they are a mix of employed (and generally young) common laborers and those truly in poverty with near-zero labor earnings.</t>
  </si>
  <si>
    <r>
      <t>J.T. Main (</t>
    </r>
    <r>
      <rPr>
        <i/>
        <sz val="12"/>
        <rFont val="Arial"/>
        <family val="0"/>
      </rPr>
      <t>Social Structure</t>
    </r>
    <r>
      <rPr>
        <sz val="12"/>
        <rFont val="Arial"/>
        <family val="0"/>
      </rPr>
      <t>, 1965, pp. 87-88) noted the daunting range of incomes implied by the few clues about merchant and</t>
    </r>
  </si>
  <si>
    <t xml:space="preserve">What were the implicit wage earnings of merchants and shopkeepers, who never received a wage?  How productive, and how rewarded, was their work time?  </t>
  </si>
  <si>
    <t xml:space="preserve">Clearly, the shaky indirect estimates have some variation, and further historical data are needed.  </t>
  </si>
  <si>
    <t>Repeat: persons in farm HHs' labor force</t>
  </si>
  <si>
    <t>No. of farm operators</t>
  </si>
  <si>
    <t>No. farm operators, from</t>
  </si>
  <si>
    <t>"Occs" &amp; "Amer Incomes" files</t>
  </si>
  <si>
    <r>
      <t xml:space="preserve">Occupational and Geographic Distribution in the Late Eighteenth-Century Mid-Atlantic Economy", </t>
    </r>
    <r>
      <rPr>
        <i/>
        <sz val="12"/>
        <rFont val="Arial"/>
        <family val="0"/>
      </rPr>
      <t>Social Science History</t>
    </r>
    <r>
      <rPr>
        <sz val="12"/>
        <rFont val="Arial"/>
        <family val="0"/>
      </rPr>
      <t xml:space="preserve"> 9, 3 (Summer 1985): 249-75.</t>
    </r>
  </si>
  <si>
    <t>SC Charleston 1770-1774</t>
  </si>
  <si>
    <t>select towns (maybe from 1771 assessment lists)</t>
  </si>
  <si>
    <t>Merchants and shopkeepers do not record any labor earnings of their own, though we imagine that their work involved more skill</t>
  </si>
  <si>
    <t>but the city's true share of the region's slaves must have been far smaller.  The slave-weighted regional rate</t>
  </si>
  <si>
    <t>shopkeeper incomes, and conjectured only that "Probably the average income of the established merchant was well over £500 sterling,</t>
  </si>
  <si>
    <t>LW estimation choice</t>
  </si>
  <si>
    <t>AVERAGE EARNINGS per LF in dollar equivalents*</t>
  </si>
  <si>
    <r>
      <t xml:space="preserve">AHJ sample sizes for </t>
    </r>
    <r>
      <rPr>
        <u val="single"/>
        <sz val="12"/>
        <rFont val="Arial"/>
        <family val="0"/>
      </rPr>
      <t>officials, titled, professions</t>
    </r>
    <r>
      <rPr>
        <sz val="12"/>
        <rFont val="Arial"/>
        <family val="0"/>
      </rPr>
      <t xml:space="preserve"> =</t>
    </r>
  </si>
  <si>
    <r>
      <t xml:space="preserve">AHJ sample sizes for </t>
    </r>
    <r>
      <rPr>
        <u val="single"/>
        <sz val="12"/>
        <rFont val="Arial"/>
        <family val="0"/>
      </rPr>
      <t>commercial class</t>
    </r>
    <r>
      <rPr>
        <sz val="12"/>
        <rFont val="Arial"/>
        <family val="0"/>
      </rPr>
      <t xml:space="preserve"> =</t>
    </r>
  </si>
  <si>
    <t>These $ figures are used above</t>
  </si>
  <si>
    <t>NB: Not part of the next row.</t>
  </si>
  <si>
    <t>** For New England and New York, Group 1 was represented in the salary data only by rural schoolteachers. Hence the low values.</t>
  </si>
  <si>
    <t>n = 10</t>
  </si>
  <si>
    <t>n = 13</t>
  </si>
  <si>
    <t>n = 28</t>
  </si>
  <si>
    <t>Jackson T. Main (1965) on farm operator incomes, apparently focusing on the profit residual:</t>
  </si>
  <si>
    <t>We apply the same assumption as for Group 7, assigning them the same earning power as male common laborers.  The wealth side-test suggests that</t>
  </si>
  <si>
    <t>Specifically, this idea assumes for each region and each urban-or-rural that (E2/E4) / (E1/E4) = (Prop 2 / Prop 4) / (Prop 1 / Prop 4).</t>
  </si>
  <si>
    <t>The "E's" = average own-labor earnings, in $</t>
  </si>
  <si>
    <t>TOTAL EARNINGS in dollar equivalents</t>
  </si>
  <si>
    <t>The "Props", in dollar equivalents</t>
  </si>
  <si>
    <t>(2) The commercials = artisans procedure</t>
  </si>
  <si>
    <t xml:space="preserve">(A.) Imputed own-labor </t>
  </si>
  <si>
    <t>Imputed</t>
  </si>
  <si>
    <t>here</t>
  </si>
  <si>
    <t>from J.T. Main estimates</t>
  </si>
  <si>
    <t>from slave ownership</t>
  </si>
  <si>
    <t>|</t>
  </si>
  <si>
    <t xml:space="preserve">  &gt;</t>
  </si>
  <si>
    <t xml:space="preserve">(c.) Farm-operator "profits" are hard to infer. Use the cash “profits” reported occasionally in J.T. Main's (1965) book. </t>
  </si>
  <si>
    <r>
      <t xml:space="preserve">Sales prices from Kulikoff, Allan, </t>
    </r>
    <r>
      <rPr>
        <i/>
        <sz val="12"/>
        <rFont val="Arial"/>
        <family val="0"/>
      </rPr>
      <t xml:space="preserve">Tobacco and Slaves </t>
    </r>
    <r>
      <rPr>
        <sz val="12"/>
        <rFont val="Arial"/>
        <family val="0"/>
      </rPr>
      <t>(1986, graphed on p. 133).  Professor Kulikoff has helpfully confirmed the value, taken from his doctoral dissertation.</t>
    </r>
  </si>
  <si>
    <t>Group definition</t>
  </si>
  <si>
    <t>Artisans and building trades</t>
  </si>
  <si>
    <t>Rural</t>
  </si>
  <si>
    <t>Aggregate incomes of farms ($1000s)</t>
  </si>
  <si>
    <t>Repeat: no. of farm operator HHs</t>
  </si>
  <si>
    <t>"Aggregate property 1774 …" files. They are</t>
  </si>
  <si>
    <t>[The average incomes are already entered in the</t>
  </si>
  <si>
    <t>Solve for E2, the kind of earnings sought here, and the only kind for which Main and others could not provide estimates.  </t>
  </si>
  <si>
    <t>did they have lower wealth than the assessed males identified as common laborers.  In the Middle Colonies and the South, they tended to have greater</t>
  </si>
  <si>
    <t>(E.) Profit residual</t>
  </si>
  <si>
    <t>cities</t>
  </si>
  <si>
    <t>Average gross property incomes from the "Aggreg Property 1774" files</t>
  </si>
  <si>
    <t>E2 =</t>
  </si>
  <si>
    <t>Group 1</t>
  </si>
  <si>
    <t>Property income</t>
  </si>
  <si>
    <t xml:space="preserve">where this group is represented only by school-teachers, a low-paid group.  </t>
  </si>
  <si>
    <t>Officials, titled, professions**</t>
  </si>
  <si>
    <t>Aggregate incomes of farms ($1000s)</t>
  </si>
  <si>
    <t>MD eastern shore</t>
  </si>
  <si>
    <t>NC average farm</t>
  </si>
  <si>
    <t>Slaves ages 10 up, retained earnings</t>
  </si>
  <si>
    <t>Group 4 = artisans in manufacturing and construction (4B and 4B together).</t>
  </si>
  <si>
    <t xml:space="preserve">Let E = own-labor earnings, and </t>
  </si>
  <si>
    <t>See the worksheet "commercial time" for important assumptions used to estimate the implicit skilled-labor earnings of this group,</t>
  </si>
  <si>
    <t xml:space="preserve">which were never estimated by colonial sources and are hard to measure even for today's economy.  </t>
  </si>
  <si>
    <t>for commercial implicit wages</t>
  </si>
  <si>
    <t>New Eng</t>
  </si>
  <si>
    <t>Only for New England are lesser cities estimated separately from rural.  For New England, the property-related procedure</t>
  </si>
  <si>
    <t>Accept this property-related procedure for northern cities, but for Charleston's thin samples, just equate the commercial wage with the artisans' wage.</t>
  </si>
  <si>
    <t>could be called a return to their skill (and their risk-taking).  Yet we lack direct estimates of their profits before the twentieth century.</t>
  </si>
  <si>
    <r>
      <t>Slave earnings</t>
    </r>
    <r>
      <rPr>
        <sz val="12"/>
        <rFont val="Arial"/>
        <family val="0"/>
      </rPr>
      <t>:</t>
    </r>
  </si>
  <si>
    <t>Read the "Sources and notes" worksheet in this file for important definitions, assumptions, and side data.</t>
  </si>
  <si>
    <r>
      <t xml:space="preserve">Group 9, household heads with zero assessed wealth: These, whatever their (unknown) gender, are </t>
    </r>
    <r>
      <rPr>
        <u val="single"/>
        <sz val="12"/>
        <rFont val="Arial"/>
        <family val="0"/>
      </rPr>
      <t>assumed to have half (50%) of the same own-labor incomes as unskilled free male laborers</t>
    </r>
    <r>
      <rPr>
        <sz val="12"/>
        <rFont val="Arial"/>
        <family val="0"/>
      </rPr>
      <t xml:space="preserve"> </t>
    </r>
  </si>
  <si>
    <t>in assigning labor earnings to assessed no-occupation males.</t>
  </si>
  <si>
    <t>(New England's 7 "rural" commercials = 3 shipmasters, 1 merchant-and-other-businesses, and only 3 of the shopkeeper sub-class = 1 shopkeeper, 1 inkeeper, and 1 baker)</t>
  </si>
  <si>
    <r>
      <t xml:space="preserve">Components </t>
    </r>
    <r>
      <rPr>
        <b/>
        <u val="single"/>
        <sz val="12"/>
        <rFont val="Arial"/>
        <family val="0"/>
      </rPr>
      <t xml:space="preserve">(B.), (C.), and (D.) = Gross Property incomes </t>
    </r>
    <r>
      <rPr>
        <sz val="12"/>
        <rFont val="Arial"/>
        <family val="0"/>
      </rPr>
      <t>from realty, other non-human capital, and slaves</t>
    </r>
  </si>
  <si>
    <t>"(5) Own-labor incomes 1774"</t>
  </si>
  <si>
    <t>and totals to the worksheet</t>
  </si>
  <si>
    <t>All</t>
  </si>
  <si>
    <t>four alternative conversions for 1789 and after. For the 1792 mentioned by Jones, the Officer values in $/£ are 4.6206, 4.4400, 4.5714, and 4.5554.  </t>
  </si>
  <si>
    <r>
      <t xml:space="preserve">Source = Main, Jackson Turner. 1965. </t>
    </r>
    <r>
      <rPr>
        <i/>
        <sz val="12"/>
        <rFont val="Arial"/>
        <family val="0"/>
      </rPr>
      <t>The Social Structure of Revolutionary America</t>
    </r>
    <r>
      <rPr>
        <sz val="12"/>
        <rFont val="Arial"/>
        <family val="0"/>
      </rPr>
      <t>.  Princeton: Princeton University Press.</t>
    </r>
  </si>
  <si>
    <t xml:space="preserve">Estimated from </t>
  </si>
  <si>
    <t>As aggregate dollars per year,</t>
  </si>
  <si>
    <t>w/NY added,</t>
  </si>
  <si>
    <t>Retained</t>
  </si>
  <si>
    <t>annual $</t>
  </si>
  <si>
    <t>New England, cash only</t>
  </si>
  <si>
    <t>Groups 2-3</t>
  </si>
  <si>
    <t>Merchant &amp; shopkeepers</t>
  </si>
  <si>
    <t>Group 4</t>
  </si>
  <si>
    <r>
      <t xml:space="preserve">Collar category below refers to clerks for merchants. </t>
    </r>
    <r>
      <rPr>
        <b/>
        <sz val="12"/>
        <rFont val="Arial"/>
        <family val="0"/>
      </rPr>
      <t>Finally, the small 690 female minority are allocated like the 10810 male majority.</t>
    </r>
    <r>
      <rPr>
        <sz val="12"/>
        <rFont val="Arial"/>
        <family val="0"/>
      </rPr>
      <t xml:space="preserve"> Sources: David Galenson, </t>
    </r>
  </si>
  <si>
    <t>Assume that the commercials' own-labor earning power is as far up the earnings ladder from artisans to title&amp; professionals as they are up the property income ladder.</t>
  </si>
  <si>
    <t xml:space="preserve">(Prop 1 - Prop 4) </t>
  </si>
  <si>
    <t xml:space="preserve">Step 3. </t>
  </si>
  <si>
    <t>E4+ (E1-E4)*(Prop 2 - Prop 4)</t>
  </si>
  <si>
    <t>LABOR FORCE (using the assumptions of "Variant B")</t>
  </si>
  <si>
    <t>Yearly Cash Income (£)</t>
  </si>
  <si>
    <t>cash income only</t>
  </si>
  <si>
    <t>MA 1771</t>
  </si>
  <si>
    <t>have property incomes that are only half of those of the free men labeled as unskilled.  Perhaps optimistically, we assign them the same labor earnings</t>
  </si>
  <si>
    <t>The lack of an occupational label for many people listed by local records as having at least some wealth requires that we make an assumption about their</t>
  </si>
  <si>
    <t>This assumption assigns to Group 9's free household heads an average labor income near the part of earnings retained by slaves.</t>
  </si>
  <si>
    <t>Group 8, female household heads, but no stated occupations (other than widow or single woman):</t>
  </si>
  <si>
    <t>as menial free male laborers, on the belief that they have similar earning power but have accumulated less because they are younger.</t>
  </si>
  <si>
    <t>(5) The resulting own-labor incomes for 1774</t>
  </si>
  <si>
    <t>(1) "Commercial Time":</t>
  </si>
  <si>
    <t>Big</t>
  </si>
  <si>
    <t>It turns out that Group 7's no-occupation males with some likely wealth (i.e. listed as assessible but tax-exempted because of the low level of their wealth)</t>
  </si>
  <si>
    <t xml:space="preserve">derived in the "Aggregate property 1774 ..." Excel files.  </t>
  </si>
  <si>
    <t xml:space="preserve">Here is a 1774-specific way of estimating the implicit labor-skill earning power of the commercial (merchant-shopkeeper) class, to be added to their property earnings. </t>
  </si>
  <si>
    <t>Consider our top three groups among the free:</t>
  </si>
  <si>
    <t>(4) Slave earnings divided 1774</t>
  </si>
  <si>
    <t>Retained Earnings for slave labor force c1774 = free labor earnings for same occupation * share retained by slave</t>
  </si>
  <si>
    <t xml:space="preserve">children under 12, the disabled, and those 50 and older. Let us therefore include a 47.7% with zero return. </t>
  </si>
  <si>
    <t>Group 4A</t>
  </si>
  <si>
    <t>New England total c1774</t>
  </si>
  <si>
    <r>
      <t xml:space="preserve">Probate values from MRW [Mancall, Peter C., Joshua L. Rosenbloom and Thomas Weiss. 2001. “Slave Prices and the South Carolina Economy, 1722-1809.” </t>
    </r>
    <r>
      <rPr>
        <i/>
        <sz val="12"/>
        <rFont val="Arial"/>
        <family val="0"/>
      </rPr>
      <t>Journal of Economic History</t>
    </r>
    <r>
      <rPr>
        <sz val="12"/>
        <rFont val="Arial"/>
        <family val="0"/>
      </rPr>
      <t xml:space="preserve"> 61:3 (September), Table 3.]</t>
    </r>
  </si>
  <si>
    <t>to be worth £151 annually.  [Despite possible currency differences between the two figures,] "…. The rate of return was</t>
  </si>
  <si>
    <t>than for common laborers or for most craftsmen in the manufacturing or building trades. In principle, one could examine their profits</t>
  </si>
  <si>
    <t>and try to infer how those were divided between competitive returns to land and non-human capital, leaving a residual that</t>
  </si>
  <si>
    <t>THE RESULTING ESTIMATIONS, DIVIDING UP SLAVE EARNINGS:</t>
  </si>
  <si>
    <t>Colonies</t>
  </si>
  <si>
    <t>South</t>
  </si>
  <si>
    <t>Big</t>
  </si>
  <si>
    <t>DE</t>
  </si>
  <si>
    <t>average $</t>
  </si>
  <si>
    <t>all slaves</t>
  </si>
  <si>
    <t>valuation,</t>
  </si>
  <si>
    <t>(£ sterling UK)</t>
  </si>
  <si>
    <r>
      <t>Annual earnings rates</t>
    </r>
    <r>
      <rPr>
        <sz val="12"/>
        <rFont val="Arial"/>
        <family val="0"/>
      </rPr>
      <t xml:space="preserve"> by occupation/region are described in the "Wage data survey 1774" file. The wage data supply by colony is very thin, and thus the table reports only averages across colonies for each of the three regions.</t>
    </r>
  </si>
  <si>
    <r>
      <t>Exchange rates for converting colony-specific £sd into the dollars shown here</t>
    </r>
    <r>
      <rPr>
        <sz val="12"/>
        <rFont val="Arial"/>
        <family val="0"/>
      </rPr>
      <t>:</t>
    </r>
  </si>
  <si>
    <t>South</t>
  </si>
  <si>
    <t>Retained</t>
  </si>
  <si>
    <t>areas,</t>
  </si>
  <si>
    <t>urban &amp;</t>
  </si>
  <si>
    <t>rural</t>
  </si>
  <si>
    <t>Rural</t>
  </si>
  <si>
    <t>Thus we turn to a pair of procedures, which in combination produce plausible estimates of this hidden labor, by region and by urban-rural setting.</t>
  </si>
  <si>
    <t>n = 5</t>
  </si>
  <si>
    <t>say:</t>
  </si>
  <si>
    <t>Mean =</t>
  </si>
  <si>
    <t>Transfer (A.) + (E.)'s average</t>
  </si>
  <si>
    <t>(B.) from land</t>
  </si>
  <si>
    <t>(C.) Property income,</t>
  </si>
  <si>
    <t>(D.) Income extracted</t>
  </si>
  <si>
    <t>South</t>
  </si>
  <si>
    <t>Annual $ labor income / person</t>
  </si>
  <si>
    <t>weighted here by numbers of farm operators, not sample size,</t>
  </si>
  <si>
    <t>13 colonies</t>
  </si>
  <si>
    <r>
      <t>3 percent and the</t>
    </r>
    <r>
      <rPr>
        <b/>
        <sz val="12"/>
        <color indexed="8"/>
        <rFont val="Arial"/>
        <family val="0"/>
      </rPr>
      <t xml:space="preserve"> income perhaps £22 sterling</t>
    </r>
    <r>
      <rPr>
        <sz val="12"/>
        <color indexed="8"/>
        <rFont val="Arial"/>
        <family val="0"/>
      </rPr>
      <t>." [So is "income" a net cash profit?]</t>
    </r>
  </si>
  <si>
    <t>New Jersey</t>
  </si>
  <si>
    <t>TOTAL EARNINGS in dollar equivalents*</t>
  </si>
  <si>
    <t>Row</t>
  </si>
  <si>
    <t>Urban or</t>
  </si>
  <si>
    <t>Occupation</t>
  </si>
  <si>
    <t>New</t>
  </si>
  <si>
    <t>Middle</t>
  </si>
  <si>
    <t>Group 7</t>
  </si>
  <si>
    <t>General price tendencies, combined with the implied annual returns from above, imply:</t>
  </si>
  <si>
    <t>Is it total farm income, most of which is not "profit" but something else, such as a return to family labor or payment for inputs?]</t>
  </si>
  <si>
    <t>Charleston)</t>
  </si>
  <si>
    <t>Group 6A</t>
  </si>
  <si>
    <t>As noted in the files generating property incomes, in 1798 in Queen Annes County Maryland</t>
  </si>
  <si>
    <t xml:space="preserve">These prices can be combined with the annual returns for employed slaves (above) to imply rates of annual return, and these rates can give </t>
  </si>
  <si>
    <t>employed</t>
  </si>
  <si>
    <t>Officials, titled, professions</t>
  </si>
  <si>
    <t>Total labor force</t>
  </si>
  <si>
    <t>What one unit of each colony's currency was worth in 1774 --</t>
  </si>
  <si>
    <t>Placing Merchants and Shopkeepers on the Ladder of Own-Labor Earnings</t>
  </si>
  <si>
    <t>Group 2 = commercials (merchants/shopkeepers), our focus here.  In our occupation tables, it consists of Group 2 (big city) or Group 3 (elsewhere).\</t>
  </si>
  <si>
    <t>Note: But Main thought this list undervalued the property.</t>
  </si>
  <si>
    <t>Colony</t>
  </si>
  <si>
    <t>9 to 11</t>
  </si>
  <si>
    <t xml:space="preserve">send warning signals by being implausibly high or low.  First, however, we must adjust for the demography of slave employment.  </t>
  </si>
  <si>
    <t xml:space="preserve">Total  </t>
  </si>
  <si>
    <t>total</t>
  </si>
  <si>
    <t>MA 3 Boston-area counties c1774</t>
  </si>
  <si>
    <t>CT New Haven c1774</t>
  </si>
  <si>
    <t>SC Charleston c1774</t>
  </si>
  <si>
    <t>Thirteen colonies c1774</t>
  </si>
  <si>
    <t>Female HHs w/wealth, no occ stated</t>
  </si>
  <si>
    <t>income per farm (£/yr)</t>
  </si>
  <si>
    <t>By comparison, the relationship of Fogel-Engerman slave hire rates to slave prices in Queen Annes County</t>
  </si>
  <si>
    <t>4 Mid Cols</t>
  </si>
  <si>
    <t>Main argues that "probably the median annual income was between two and four times the assessed value.</t>
  </si>
  <si>
    <t>NY 1779</t>
  </si>
  <si>
    <t>PA</t>
  </si>
  <si>
    <t>for 1796-1804 imply a rate of annual return of 11.0 percent for apparently healthy adult slaves, assuming half</t>
  </si>
  <si>
    <t>Shares (%) of their total income implied by these estimates</t>
  </si>
  <si>
    <t>&lt;</t>
  </si>
  <si>
    <r>
      <t>Related estimates for England</t>
    </r>
    <r>
      <rPr>
        <sz val="12"/>
        <rFont val="Arial"/>
        <family val="0"/>
      </rPr>
      <t xml:space="preserve"> (and Wales?):</t>
    </r>
  </si>
  <si>
    <t>South outside NC</t>
  </si>
  <si>
    <t>(p. 106)</t>
  </si>
  <si>
    <t>per earner</t>
  </si>
  <si>
    <t>Groups</t>
  </si>
  <si>
    <t>England</t>
  </si>
  <si>
    <t>Main seems to think that the return on the value of the property was 2-3%. (pp.105-106)</t>
  </si>
  <si>
    <t>Our underlying occupational-share estimates from primary sources are detailed in the set of regional files entitled "Aggregate property 1774 [name of region]",</t>
  </si>
  <si>
    <t>Group 6B</t>
  </si>
  <si>
    <t>Annual earnings</t>
  </si>
  <si>
    <t xml:space="preserve">a small cash surplus, and that the return on the value of the property, according to the usual estimate of its worth, </t>
  </si>
  <si>
    <t xml:space="preserve">was low - probably seldom over 4 percent.  This is, of course, all found: after the family had been supported, </t>
  </si>
  <si>
    <t xml:space="preserve">   ==&gt; </t>
  </si>
  <si>
    <t>(A.)+(E.) = Own-labor part</t>
  </si>
  <si>
    <t>Mass</t>
  </si>
  <si>
    <t>gives an estimate close to the commercial = artisan procedure.  Use the property-based procedure despite the thinness of the sub-sample.</t>
  </si>
  <si>
    <t xml:space="preserve">wealth than the common-labor free males. The possibility that we are too pessimistic about female earning power is hopefully offset by the likely over-optimism </t>
  </si>
  <si>
    <t>Artisans (manufacturing trades)</t>
  </si>
  <si>
    <t>force</t>
  </si>
  <si>
    <t>annual $</t>
  </si>
  <si>
    <r>
      <t xml:space="preserve">We rely mainly on John J. McCusker, </t>
    </r>
    <r>
      <rPr>
        <i/>
        <sz val="12"/>
        <rFont val="Arial"/>
        <family val="0"/>
      </rPr>
      <t>How Much is That in Real Money? …</t>
    </r>
    <r>
      <rPr>
        <sz val="12"/>
        <rFont val="Arial"/>
        <family val="0"/>
      </rPr>
      <t xml:space="preserve"> (Worcester MA: American Antiquarian Society, 2001), especially Appendix B,</t>
    </r>
  </si>
  <si>
    <t>n = 29</t>
  </si>
  <si>
    <t>n = 19</t>
  </si>
  <si>
    <t>$</t>
  </si>
  <si>
    <t>Median</t>
  </si>
  <si>
    <t>Middle colonies, cash only</t>
  </si>
  <si>
    <t>say:</t>
  </si>
  <si>
    <t>11.0% rate from Maryland slave hires 1796-1804, based on Fogel-Engerman and census data, allows us to</t>
  </si>
  <si>
    <t>(2) Farm incomes</t>
  </si>
  <si>
    <t>(3) Indentured LF earnings</t>
  </si>
  <si>
    <t>These figures are a bit higher than Main’s assertion that the figure was “only a small cash surplus.” See the elaboration below.</t>
  </si>
  <si>
    <t>areas,</t>
  </si>
  <si>
    <t>urban &amp;</t>
  </si>
  <si>
    <t>rural</t>
  </si>
  <si>
    <t>no.</t>
  </si>
  <si>
    <t xml:space="preserve">For the South, colonial censuses counted slaves at the all-colony level but not separately for cities (e.g. Charleston).  In these tables, all slave numbers appear as rural.  </t>
  </si>
  <si>
    <t>are applied to urban and rural alike, since J.T. Main's underlying estimates of incomes per farm do not permit much spatial separation within each region.</t>
  </si>
  <si>
    <t>4 Mid Cols</t>
  </si>
  <si>
    <t>The implied slaveowner income from expropriating part of slave earnings</t>
  </si>
  <si>
    <t xml:space="preserve"> 47.7% of all slaves in Queen Anne's County MD 1798 were in the not-so-employable classes --</t>
  </si>
  <si>
    <t>Regional total</t>
  </si>
  <si>
    <t>MD white male servants</t>
  </si>
  <si>
    <t>Group 18B</t>
  </si>
  <si>
    <t>as %'s of the</t>
  </si>
  <si>
    <t>in Spanish</t>
  </si>
  <si>
    <t>Group 1, officials, titled, and professionals.  This group, with its wide range of incomes, was only modestly represented in both the wage and the wealth data.  Using the samplings</t>
  </si>
  <si>
    <t xml:space="preserve">labor earning power.  Good clues are given by the wealth and property returns (see the files "Aggreg property income 1774").   </t>
  </si>
  <si>
    <t>other productive</t>
  </si>
  <si>
    <t>£ 20-29</t>
  </si>
  <si>
    <t>£ 30-49</t>
  </si>
  <si>
    <t>£ 50+</t>
  </si>
  <si>
    <r>
      <t>Occupation Notes</t>
    </r>
    <r>
      <rPr>
        <sz val="12"/>
        <rFont val="Arial"/>
        <family val="0"/>
      </rPr>
      <t>:</t>
    </r>
  </si>
  <si>
    <t>Guesstimated from</t>
  </si>
  <si>
    <t>in this worksheet</t>
  </si>
  <si>
    <t>The implied shares</t>
  </si>
  <si>
    <t>South</t>
  </si>
  <si>
    <t>NY cash only</t>
  </si>
  <si>
    <t xml:space="preserve">Step 2. </t>
  </si>
  <si>
    <t>North</t>
  </si>
  <si>
    <t>Annual $</t>
  </si>
  <si>
    <t>Region</t>
  </si>
  <si>
    <t>As percentage rates</t>
  </si>
  <si>
    <t>Male HHs w/wealth, no occ stated</t>
  </si>
  <si>
    <t>from the data as if they were random draws yields plausible-looking averages in most cases.  The main exception is for the rural parts of New England and New York,</t>
  </si>
  <si>
    <t>Prop = property income, painstakingly estimated from AHJ data.</t>
  </si>
  <si>
    <t>Yet 47.7% of all slaves in Queen Anne's County MD 1798 were in the not-so-employable classes -- children under 12, the disabled, and those 50 and older.</t>
  </si>
  <si>
    <t>Thirteen</t>
  </si>
  <si>
    <t>rural</t>
  </si>
  <si>
    <t>Queen Anne's County, Maryland, 1796-1804</t>
  </si>
  <si>
    <t>From Fogel and Engerman ICPSR file 07422</t>
  </si>
  <si>
    <t>NJ Burlington County c1774</t>
  </si>
  <si>
    <t>Middle colonies total c1774</t>
  </si>
  <si>
    <t>NY 10 counties c1774</t>
  </si>
  <si>
    <t>These estimates combine Weiss labor force estimates, LW occupation distributions, and free-labor occupation wage data.</t>
  </si>
  <si>
    <t>Unskilled male workers</t>
  </si>
  <si>
    <t>For England, the weighted share of farming, fishing, and forestry in all occupations, 1560-1599 = 0.59 (Table 11).</t>
  </si>
  <si>
    <t>Zero-wealth free HHs</t>
  </si>
  <si>
    <t>South</t>
  </si>
  <si>
    <t>Date</t>
  </si>
  <si>
    <t>Maryland (hard)</t>
  </si>
  <si>
    <t>NC</t>
  </si>
  <si>
    <t>SC</t>
  </si>
  <si>
    <t>Total</t>
  </si>
  <si>
    <t>Artisans</t>
  </si>
  <si>
    <t>"The one generalization [that] seems to be valid for all sections is that the great majority of farms produced only</t>
  </si>
  <si>
    <t>VA eight counties c1774</t>
  </si>
  <si>
    <t>NC two counties c1774</t>
  </si>
  <si>
    <t>Construction</t>
  </si>
  <si>
    <t>Unskilled</t>
  </si>
  <si>
    <t>White Collar</t>
  </si>
  <si>
    <t>New England</t>
  </si>
  <si>
    <t>(later US)</t>
  </si>
  <si>
    <t xml:space="preserve">to a considerable degree, and represents therefore a true income much higher than the cash earnings.  </t>
  </si>
  <si>
    <t xml:space="preserve">Pennsylvania (63%: Galenson 1981, Table 6.6, p. 93). We use Galenson's Chesapeake figures to distribute our 11,500 indentured in the labor force. The White </t>
  </si>
  <si>
    <t>Group 9</t>
  </si>
  <si>
    <t>this does not understate their relative position in the labor market.  For one thing, females received lower wage rates.  For another, only in New England</t>
  </si>
  <si>
    <t>employed</t>
  </si>
  <si>
    <t xml:space="preserve">The question cannot be ignored for want of direct data, since it is highly unlikely that all their income was just a competitive return to their non-human assets.  </t>
  </si>
  <si>
    <t>Main drew on a wide range of newspapers and legal documents.</t>
  </si>
  <si>
    <t>Sample n</t>
  </si>
  <si>
    <t>|</t>
  </si>
  <si>
    <t>NY</t>
  </si>
  <si>
    <t xml:space="preserve">See other notes in this file and in the "Total incomes 1774" file for discussions of the separation of farm operators' free labor earnings, property earnings, and residual profits.  </t>
  </si>
  <si>
    <t>Aggregating over farm operators ($1000s)</t>
  </si>
  <si>
    <t>£</t>
  </si>
  <si>
    <t>(1) J.T. Main's overview (p. 105):</t>
  </si>
  <si>
    <t>where the property income values are derived from the Jones probate side. That is, the slave-owner's residual calculated here</t>
  </si>
  <si>
    <r>
      <t>See also Lawrence Officer's Series Ee612-Ee620 in Carter </t>
    </r>
    <r>
      <rPr>
        <i/>
        <sz val="12"/>
        <rFont val="Arial"/>
        <family val="0"/>
      </rPr>
      <t>et al., Historical Statistics of the United States (2006)</t>
    </r>
    <r>
      <rPr>
        <sz val="12"/>
        <rFont val="Arial"/>
        <family val="0"/>
      </rPr>
      <t>, volume 5, which gives</t>
    </r>
  </si>
  <si>
    <t>The remaining worksheets in this Excel file =</t>
  </si>
  <si>
    <t>Lindert-</t>
  </si>
  <si>
    <t>Williamson</t>
  </si>
  <si>
    <t>[NB: Slave dependents are excluded here]</t>
  </si>
  <si>
    <t>Alice Hanson Jones's $4.15 could be reconciled with the others if a weighted average of all colonial currencies were worth 4.125/4.444 (or 0.93468) of Pennsylvania currency.</t>
  </si>
  <si>
    <t xml:space="preserve">Step 1. </t>
  </si>
  <si>
    <t>MD white female servants</t>
  </si>
  <si>
    <t>Group 19</t>
  </si>
  <si>
    <t>Each of these implies an average devaluation of the 1774 colonial currency when combined with Alice's US$4.15 per local (inter-) colonial pounds.  </t>
  </si>
  <si>
    <t>Group 18A</t>
  </si>
  <si>
    <t>LABOR FORCE</t>
  </si>
  <si>
    <t xml:space="preserve">Non-Farm </t>
  </si>
  <si>
    <t xml:space="preserve">Labor Force </t>
  </si>
  <si>
    <t>North</t>
  </si>
  <si>
    <t>Small town</t>
  </si>
  <si>
    <t>Big city</t>
  </si>
  <si>
    <t>Farm</t>
  </si>
  <si>
    <t>Urban: Small Town Non-Farm</t>
  </si>
  <si>
    <t>Group 1</t>
  </si>
  <si>
    <t>in ounces</t>
  </si>
  <si>
    <t>value of a £</t>
  </si>
  <si>
    <t>value of a £ of</t>
  </si>
  <si>
    <t>All 13 cols</t>
  </si>
  <si>
    <t>£ 3-4</t>
  </si>
  <si>
    <t>£ 5-9</t>
  </si>
  <si>
    <t>£ 10-19</t>
  </si>
  <si>
    <t>Let us therefore include a 47.7% population share with zero return, and with the remainder of the slave population split evenly between adult males and adult females of hirable ages 12-50.</t>
  </si>
  <si>
    <r>
      <t>Occupation mix</t>
    </r>
    <r>
      <rPr>
        <sz val="12"/>
        <rFont val="Arial"/>
        <family val="0"/>
      </rPr>
      <t xml:space="preserve">: Galenson (1981) and Grubb (1985: pp. 250, 253, 272) tell us that by the American Revolution, white indentured servants in the PA and MD area </t>
    </r>
  </si>
  <si>
    <t xml:space="preserve">The annual returns above refer to employed slaves, whereas the valuations shown here may refer to slaves of all ages and physical conditions.  </t>
  </si>
  <si>
    <t>reports earnings retention rates of 82.4% for British indentured 1771-3 and 77.9% for Germans for the same years, for an average of 80.2%. We assume that this</t>
  </si>
  <si>
    <t>Clark, Gregory. 2010. "The Wealth of Pre-industrial England". University of California - Davis</t>
  </si>
  <si>
    <t>Annual rates of return (%)</t>
  </si>
  <si>
    <t>employed</t>
  </si>
  <si>
    <t>slaves</t>
  </si>
  <si>
    <t>Lindert-Williamson</t>
  </si>
  <si>
    <t>PA Philadelphia County (mostly), c1774</t>
  </si>
  <si>
    <t>DE Kent County c1774</t>
  </si>
  <si>
    <t>MD Prince Georges County c1774</t>
  </si>
  <si>
    <t>MD Queen Anne &amp; Anne Arundel c1774</t>
  </si>
  <si>
    <t>Sussex or Kent, DE</t>
  </si>
  <si>
    <t>or less</t>
  </si>
  <si>
    <t>Pennsylvania currency</t>
  </si>
  <si>
    <t>Main argues that "probably the median annual income was between two and four times the assessed annual value of real estate.)</t>
  </si>
  <si>
    <t>All</t>
  </si>
  <si>
    <t>Place and date</t>
  </si>
  <si>
    <t>in Spanish dollars</t>
  </si>
  <si>
    <t>Notes and sources</t>
  </si>
  <si>
    <t>Yet he also wrote "certainly most of the farms in MA provided only a slight profit, since over 90% were assessed for less than £ 20.</t>
  </si>
  <si>
    <t>Assumed work days</t>
  </si>
  <si>
    <t xml:space="preserve">Rural </t>
  </si>
  <si>
    <r>
      <t xml:space="preserve">Auction of Redemptioner Servants, Philadelphia, 1771-1804: An Economic Analysis," </t>
    </r>
    <r>
      <rPr>
        <i/>
        <sz val="12"/>
        <rFont val="Arial"/>
        <family val="0"/>
      </rPr>
      <t>Journal of Economic History</t>
    </r>
    <r>
      <rPr>
        <sz val="12"/>
        <rFont val="Arial"/>
        <family val="0"/>
      </rPr>
      <t xml:space="preserve"> 48, 3 (September 1988), Table 1, pp. 588-9 </t>
    </r>
  </si>
  <si>
    <t xml:space="preserve">The figure also does not include the rise in farm land values." </t>
  </si>
  <si>
    <t xml:space="preserve">and farm laborer 31%, construction 15%, artisan 40%, and services 14% (Galenson 1981: Tables 4.5 and 4.6, pp. 57-58). The skilled share was a little lower for </t>
  </si>
  <si>
    <t>Artisans</t>
  </si>
  <si>
    <t>Labor</t>
  </si>
  <si>
    <t>(These passages also mention the numbers of acres, omitted here.)</t>
  </si>
  <si>
    <t>Middle Colonies</t>
  </si>
  <si>
    <t>Artisan</t>
  </si>
  <si>
    <t>Big Cities</t>
  </si>
  <si>
    <t>Lesser Towns</t>
  </si>
  <si>
    <t>Urban: Big City Non-Farm</t>
  </si>
  <si>
    <t>$/year return</t>
  </si>
  <si>
    <t xml:space="preserve">because the occupational distributions had to be applied to the Alice Hanson Jones estimates of wealth, to derive property incomes by occupational class.  </t>
  </si>
  <si>
    <r>
      <t xml:space="preserve">(4) Assessed annual value of Massachusetts farm </t>
    </r>
    <r>
      <rPr>
        <b/>
        <u val="single"/>
        <sz val="12"/>
        <color indexed="8"/>
        <rFont val="Arial"/>
        <family val="0"/>
      </rPr>
      <t>real estate</t>
    </r>
    <r>
      <rPr>
        <b/>
        <sz val="12"/>
        <color indexed="8"/>
        <rFont val="Arial"/>
        <family val="0"/>
      </rPr>
      <t xml:space="preserve">, </t>
    </r>
  </si>
  <si>
    <t>South (MD)</t>
  </si>
  <si>
    <t>New Eng</t>
  </si>
  <si>
    <t>proceed provisionally with the above annual rates of slaveowners' expropriation of part of slaves' earnings.</t>
  </si>
  <si>
    <t>Small city</t>
  </si>
  <si>
    <t>small city</t>
  </si>
  <si>
    <r>
      <t xml:space="preserve">Probate values from Alice Hanson Jones, </t>
    </r>
    <r>
      <rPr>
        <i/>
        <sz val="12"/>
        <rFont val="Arial"/>
        <family val="0"/>
      </rPr>
      <t>Wealth of a Nation to Be</t>
    </r>
    <r>
      <rPr>
        <sz val="12"/>
        <rFont val="Arial"/>
        <family val="0"/>
      </rPr>
      <t xml:space="preserve"> p. 114 and its footnote c.</t>
    </r>
  </si>
  <si>
    <t>rural</t>
  </si>
  <si>
    <t>For Southern big city Charleston 1774</t>
  </si>
  <si>
    <t>Sales price from MRW, p. 619.</t>
  </si>
  <si>
    <t>New York</t>
  </si>
  <si>
    <t xml:space="preserve">If light weights were given to Massachusetts and Virginia, and heavy weights to NY and the Carolinas, the 0.93468 ratio implied by Jones might work.  </t>
  </si>
  <si>
    <t>to derive the averages for 4 Middle Colonies and for the 13 Colonies.]</t>
  </si>
  <si>
    <t xml:space="preserve">   ---&gt;  </t>
  </si>
  <si>
    <t>given the number of slaves employed</t>
  </si>
  <si>
    <t xml:space="preserve">Charleston accounts for a large share (68.6%) of Alice Hanson Jones's probated Southern slaves, </t>
  </si>
  <si>
    <t>Virginia</t>
  </si>
  <si>
    <t xml:space="preserve">South </t>
  </si>
  <si>
    <t>dollars</t>
  </si>
  <si>
    <r>
      <t>Sources</t>
    </r>
    <r>
      <rPr>
        <i/>
        <sz val="12"/>
        <rFont val="Arial"/>
        <family val="0"/>
      </rPr>
      <t>: White Servitude in Colonial America: An Economic Analysis</t>
    </r>
    <r>
      <rPr>
        <sz val="12"/>
        <rFont val="Arial"/>
        <family val="0"/>
      </rPr>
      <t xml:space="preserve"> (Cambridge: Cambridge University Press, 1981); Farley Grubb, "Immigrant Servant Labor: Their </t>
    </r>
  </si>
  <si>
    <t xml:space="preserve">were relatively skilled and urban. Indeed, those in the Chesapeake from London 1773-1775 were 69% non-farm, implying an occupational distribution: farmer </t>
  </si>
  <si>
    <t xml:space="preserve">Sources and Notes: </t>
  </si>
  <si>
    <t>All apparently adult males</t>
  </si>
  <si>
    <t>South</t>
  </si>
  <si>
    <t>North</t>
  </si>
  <si>
    <t>*See "Sources &amp; notes" worksheet for the colony-specific exchange rates.</t>
  </si>
  <si>
    <t>Alice Hanson Jones's</t>
  </si>
  <si>
    <t>Unskilled female workers</t>
  </si>
  <si>
    <t>(Main, pp.106-108)</t>
  </si>
  <si>
    <t>[The context suggests that these "earnings" are profits net of costs, but that is not stated.]</t>
  </si>
  <si>
    <r>
      <t xml:space="preserve">the sterling </t>
    </r>
    <r>
      <rPr>
        <b/>
        <sz val="12"/>
        <color indexed="8"/>
        <rFont val="Arial"/>
        <family val="0"/>
      </rPr>
      <t>profit being about £14</t>
    </r>
    <r>
      <rPr>
        <sz val="12"/>
        <color indexed="8"/>
        <rFont val="Arial"/>
        <family val="0"/>
      </rPr>
      <t>. [The 1.5 percent number seems to be 100/6389, but what does the 100 refer to?</t>
    </r>
  </si>
  <si>
    <t>Group 4B</t>
  </si>
  <si>
    <t>Group 5</t>
  </si>
  <si>
    <t xml:space="preserve">are used as weights for rural non-farm and lesser cities; the same is true of artisans and white collar; the other categories are taken directly from lesser cities. </t>
  </si>
  <si>
    <t>(in % per annum)</t>
  </si>
  <si>
    <t>Implied gross annual rates of return on hiring out slaves,</t>
  </si>
  <si>
    <t>of merchants and shopkeepers.  It seems unlikely that on the average merchants and shopleepers had a lower price of their time than did</t>
  </si>
  <si>
    <t>There are no slave rental estimates, so one turns to the less direct evidence offered by slave prices, asking whether the implied rates of annual return look reasonable.</t>
  </si>
  <si>
    <t>per farm family</t>
  </si>
  <si>
    <t>Aggregate profits of farms ($1000s)</t>
  </si>
  <si>
    <t>Total 13 colonies</t>
  </si>
  <si>
    <t>average retention rate applied for all indentured LF occupational groups.</t>
  </si>
  <si>
    <t>of silver</t>
  </si>
  <si>
    <t>In £ sterling</t>
  </si>
  <si>
    <t xml:space="preserve">Net Retained Earnings: The evidence here is limited, but using poor free worker budget studies from Philadelphia to estimate consumption, Farley Grubb ("The </t>
  </si>
  <si>
    <t>Providing such estimates is particularly important for the Middle Colonies, where slightly over half of the colonies' merchants and shopkeepers lived and worked.</t>
  </si>
  <si>
    <t>For Southern rural, c1774 =</t>
  </si>
  <si>
    <t>[From file "1774 Occs by region 10jan'11"]</t>
  </si>
  <si>
    <t>For Northern big city c1774</t>
  </si>
  <si>
    <t>Total Indentured LF (Group 18)</t>
  </si>
  <si>
    <r>
      <t>Notes</t>
    </r>
    <r>
      <rPr>
        <sz val="12"/>
        <rFont val="Arial"/>
        <family val="0"/>
      </rPr>
      <t>:</t>
    </r>
  </si>
  <si>
    <r>
      <t xml:space="preserve">and on the series he displayed in </t>
    </r>
    <r>
      <rPr>
        <i/>
        <sz val="12"/>
        <rFont val="Arial"/>
        <family val="0"/>
      </rPr>
      <t>HSUS Millennial</t>
    </r>
    <r>
      <rPr>
        <sz val="12"/>
        <rFont val="Arial"/>
        <family val="0"/>
      </rPr>
      <t xml:space="preserve"> (2006):</t>
    </r>
  </si>
  <si>
    <r>
      <t>NH 1761</t>
    </r>
    <r>
      <rPr>
        <b/>
        <sz val="12"/>
        <color indexed="8"/>
        <rFont val="Arial"/>
        <family val="0"/>
      </rPr>
      <t xml:space="preserve"> </t>
    </r>
    <r>
      <rPr>
        <sz val="12"/>
        <color indexed="8"/>
        <rFont val="Arial"/>
        <family val="0"/>
      </rPr>
      <t xml:space="preserve">(2a) "A farm of above average size in Hampton, New Hampshire, near the coast, was valued at 3,592 in 1761, and estimated </t>
    </r>
  </si>
  <si>
    <t>artisans in manufacturing sectors (Group 4A) or building craftsmen (Group 4B).  The wage rates for these artisans and craftsmen can</t>
  </si>
  <si>
    <t>after rent and laborers' wages were paid.</t>
  </si>
  <si>
    <t xml:space="preserve">serves only as a very rough confirmation to the probate-based calculations of incomes from owning slaves.  </t>
  </si>
  <si>
    <t>rural</t>
  </si>
  <si>
    <t>Thus for slaves, it includes only what they retained, and not what the part of their earnings (or marginal product) that was expropriated by the owner or renter.</t>
  </si>
  <si>
    <t>SC Charleston slave imports, 1769</t>
  </si>
  <si>
    <t>place</t>
  </si>
  <si>
    <t>Type of</t>
  </si>
  <si>
    <t>mostly rural</t>
  </si>
  <si>
    <t>Pennsylvania</t>
  </si>
  <si>
    <r>
      <t xml:space="preserve">Probate values from Alice Hanson Jones, </t>
    </r>
    <r>
      <rPr>
        <i/>
        <sz val="12"/>
        <rFont val="Arial"/>
        <family val="0"/>
      </rPr>
      <t>Wealth of a Nation to Be</t>
    </r>
    <r>
      <rPr>
        <sz val="12"/>
        <rFont val="Arial"/>
        <family val="0"/>
      </rPr>
      <t xml:space="preserve"> p. 114.</t>
    </r>
  </si>
  <si>
    <t>cities</t>
  </si>
  <si>
    <t>the assumed slave retention rate (see " Slave earnings retention 1774 &amp; 1800" file). The retention rates (%) are:</t>
  </si>
  <si>
    <t>of them to be males and half of them females.  [See display on the right here -&gt;]</t>
  </si>
  <si>
    <t>Ditto, for</t>
  </si>
  <si>
    <r>
      <t>RI 1785</t>
    </r>
    <r>
      <rPr>
        <sz val="12"/>
        <color indexed="8"/>
        <rFont val="Arial"/>
        <family val="0"/>
      </rPr>
      <t xml:space="preserve"> (2c) "A Rhode Island </t>
    </r>
    <r>
      <rPr>
        <b/>
        <sz val="12"/>
        <color indexed="8"/>
        <rFont val="Arial"/>
        <family val="0"/>
      </rPr>
      <t>tenant's farm</t>
    </r>
    <r>
      <rPr>
        <sz val="12"/>
        <color indexed="8"/>
        <rFont val="Arial"/>
        <family val="0"/>
      </rPr>
      <t>, supposedly a good one, yielded £103 per year, netting £31.14.5 [</t>
    </r>
    <r>
      <rPr>
        <b/>
        <sz val="12"/>
        <color indexed="8"/>
        <rFont val="Arial"/>
        <family val="0"/>
      </rPr>
      <t>£31.72</t>
    </r>
    <r>
      <rPr>
        <sz val="12"/>
        <color indexed="8"/>
        <rFont val="Arial"/>
        <family val="0"/>
      </rPr>
      <t xml:space="preserve">] </t>
    </r>
  </si>
  <si>
    <t>All apparently healthy adult females</t>
  </si>
  <si>
    <r>
      <t xml:space="preserve">(3) Median </t>
    </r>
    <r>
      <rPr>
        <b/>
        <u val="single"/>
        <sz val="12"/>
        <color indexed="8"/>
        <rFont val="Arial"/>
        <family val="0"/>
      </rPr>
      <t>Income</t>
    </r>
    <r>
      <rPr>
        <b/>
        <sz val="12"/>
        <color indexed="8"/>
        <rFont val="Arial"/>
        <family val="0"/>
      </rPr>
      <t xml:space="preserve"> of Small Farms or Tenants</t>
    </r>
  </si>
  <si>
    <t>Delaware is included in the Middle Colonies, to be consistent with the Alice Hanson Jones regionalization of wealth.</t>
  </si>
  <si>
    <t>Occupational distributions based on adjusted AHJ and other documents elaborated in the "1774 Occupations by region, a" Excel file, Worksheet entitled "(4) Summary LF totals".</t>
  </si>
  <si>
    <t>Group 5, farm operators:  The average labor plus profit incomes are calculated in the worksheet "(2) Farm incomes".  These region-wide averages</t>
  </si>
  <si>
    <t>(2) Main again, on income and rate of annual return to individual farms</t>
  </si>
  <si>
    <t>[Reminder: Just the farm operator's individual own-labor income, without family members or hired laborers.]</t>
  </si>
  <si>
    <t>Average annual income value of the real estate</t>
  </si>
  <si>
    <t>%</t>
  </si>
  <si>
    <t>This worksheet spells out the assumptions with which we have converted some meager data into estimates of the implicit wages of merchants and shopkeepers.</t>
  </si>
  <si>
    <t>Non-Farm (here = non-rural)</t>
  </si>
  <si>
    <t>Table 2: Broadberry-Campbell assumptions work days per family (Clark's Table 2)</t>
  </si>
  <si>
    <t xml:space="preserve">times the assumed slave retention rate (see "Slave earnings retention 1774 &amp; 1800" Excel file, October 2010). </t>
  </si>
  <si>
    <t>slaves</t>
  </si>
  <si>
    <t>all</t>
  </si>
  <si>
    <t>Spanish dollar equivalents at $4.444/£</t>
  </si>
  <si>
    <t>From</t>
  </si>
  <si>
    <t>to</t>
  </si>
  <si>
    <t>Group 8</t>
  </si>
  <si>
    <t>(d) For the returns to ownership of farm assets, use the Lindert-Williamson calculations of income from productive farm assets,</t>
  </si>
  <si>
    <t>Sources and notes to the "Own-labor incomes 1774" file</t>
  </si>
  <si>
    <t>For the present, we find no contradiction to our using the 11.0% rate of return based on the Jones</t>
  </si>
  <si>
    <t>3 Mid Cols</t>
  </si>
  <si>
    <t>sterling (UK)</t>
  </si>
  <si>
    <t>The share of cash income (net profits, one assumes) in total income so calculated was 8.4% one NH farm 1754, 17.5% NH 1754, and 23.4% RI 1785.</t>
  </si>
  <si>
    <r>
      <t xml:space="preserve">Source: Broadberry, Campbell </t>
    </r>
    <r>
      <rPr>
        <i/>
        <sz val="12"/>
        <rFont val="Arial"/>
        <family val="0"/>
      </rPr>
      <t>et al.</t>
    </r>
    <r>
      <rPr>
        <sz val="12"/>
        <rFont val="Arial"/>
        <family val="0"/>
      </rPr>
      <t xml:space="preserve"> (2009), Table 24.</t>
    </r>
  </si>
  <si>
    <t xml:space="preserve">Wage rates for non-farm rural occupations are especially sparse, and thus that for lesser cities and towns are used: for male common labor, the numbers of observations </t>
  </si>
  <si>
    <t>Slave annual earnings, retained versus expropriated: Earnings retained are derived as free labor force average location/occupation earnings (see "Total LF earnings 1774" worksheet)</t>
  </si>
  <si>
    <t>Using the first procedure when possible, and the second when the first seems unreliable, yields the bracketed estimates of the commercial sector's implicit wages:</t>
  </si>
  <si>
    <t>For the South the property-related procedure has a better sample base.</t>
  </si>
  <si>
    <t>This file is a building block in estimating total incomes, from property as well as from own-labor sources, in the "Total incomes 1774" file.</t>
  </si>
  <si>
    <t>the annual dollar values presented in Step 1 at the top of this worksheet.</t>
  </si>
  <si>
    <t>n = 7</t>
  </si>
  <si>
    <t>n = 8</t>
  </si>
  <si>
    <t>(a) Posit that farm income = implicit value of family labor + profits + returns to ownership of slaves and non-human farm assets</t>
  </si>
  <si>
    <t>Towns</t>
  </si>
  <si>
    <t xml:space="preserve">Even in today's economy one must accept the challenge of measuring the labor and earnings of the self-employed.  </t>
  </si>
  <si>
    <t xml:space="preserve">The small numbers in other trades are ignored. The location-specific distribution of slaves between the three is assumed the same as for free labor. </t>
  </si>
  <si>
    <t>(incl. in rural)</t>
  </si>
  <si>
    <t>Slave prices ($/£ exchange rate = 4.44)</t>
  </si>
  <si>
    <t>Mid Atlantic</t>
  </si>
  <si>
    <t>Rural</t>
  </si>
  <si>
    <t>big city</t>
  </si>
  <si>
    <t>big city</t>
  </si>
  <si>
    <t xml:space="preserve">People would not dedicate much of their adult time to an activity that gave zero wage if they could just invest their non-human wealth passively.  </t>
  </si>
  <si>
    <t>n = 13</t>
  </si>
  <si>
    <t>big cities</t>
  </si>
  <si>
    <t>New York,</t>
  </si>
  <si>
    <t>of slaves</t>
  </si>
  <si>
    <t>the 52.3%</t>
  </si>
  <si>
    <t>n = 25</t>
  </si>
  <si>
    <t>n = 6</t>
  </si>
  <si>
    <t>Groups 2 and 3 = merchants and shopkeepers, which the  in big cities (Group 2) and elsewhere (Group 3).</t>
  </si>
  <si>
    <t>n = 24</t>
  </si>
  <si>
    <t>Approximate</t>
  </si>
  <si>
    <t>Merchant &amp; shopkeepers</t>
  </si>
  <si>
    <t>(Boston,</t>
  </si>
  <si>
    <t xml:space="preserve">For other, more narrowly focused, assumptions about earnings, see the accompanying worksheets. </t>
  </si>
  <si>
    <t>circa-1774 slave-weighted average of the Southern rates, 7.1% for Charleston and 15.8% for the rural South.</t>
  </si>
  <si>
    <t>All apparently healthy adult males</t>
  </si>
  <si>
    <t>All apparently adult females</t>
  </si>
  <si>
    <t xml:space="preserve">We cannot compute this slave-weighted average, for want of a census-based slave count for Charleston.  </t>
  </si>
  <si>
    <t>Groups 2-3</t>
  </si>
  <si>
    <t>(E.) / all = farm residual share</t>
  </si>
  <si>
    <t>The shares captured by their employers was reflected, we assume, in the income figures for those employers given by J.T. Main and others.</t>
  </si>
  <si>
    <t>(horizontal sums)</t>
  </si>
  <si>
    <t>For Northern rural, c1774</t>
  </si>
  <si>
    <t>per slave</t>
  </si>
  <si>
    <t>Overall rate of return =  ((25.4+16.8)/2)/(1-0.47737) = 11.0 percent.</t>
  </si>
  <si>
    <t>(4) Slave earnings divided 1774 (i.e. divided between earnings retained by slaves and earnings expropriated by owners)</t>
  </si>
  <si>
    <t>(1) Commercial time: Placing merchants and shopkeepers on the ladder of own-labor earnings</t>
  </si>
  <si>
    <t>and towns</t>
  </si>
  <si>
    <t>Rural areas and towns have now been combined.</t>
  </si>
  <si>
    <t>If this cannot be sustained, then the average colonial pound might have been worth more than the $4.14 Jones implies.  Perhaps closer to the $4.44</t>
  </si>
  <si>
    <t>implied by other authors for 1774? Provisionally, we set £1 sterling = $4.44 in 1774.</t>
  </si>
  <si>
    <t>Aggregate farm labor earnings, in $1000s</t>
  </si>
  <si>
    <t>(b) To impute family labor income, use the "not-found" (adult) farm wage or the adjusted found wage for the same region.</t>
  </si>
  <si>
    <t>As dollars per year, per slave employed</t>
  </si>
  <si>
    <t>(2) Farm incomes 1774</t>
  </si>
  <si>
    <t>(3) Indentured labor force retained earnings c1774</t>
  </si>
  <si>
    <t xml:space="preserve">Slave annual earnings: Derived as free labor force average location/occupation earnings (see "Total LF earnings 1774" worksheet) times </t>
  </si>
  <si>
    <t>Big</t>
  </si>
  <si>
    <t>A rate-of-return comparison:</t>
  </si>
  <si>
    <t>lesser cities</t>
  </si>
  <si>
    <t>For further details on the slave labor force and earnings, see the Slave Occ Dist 1774 &amp; 1800 file.</t>
  </si>
  <si>
    <t>Using the "Variant B" occupational distributions from the Excel file "1774 occ's by region", and the "Wage data 1774" file.</t>
  </si>
  <si>
    <t>Rural and</t>
  </si>
  <si>
    <t>Towns</t>
  </si>
  <si>
    <t>towns</t>
  </si>
  <si>
    <t>combined</t>
  </si>
  <si>
    <t>"Own labor incomes" here means annual (not necessarily full-time) earnings from human sources, as received by the laborer.</t>
  </si>
  <si>
    <t>(2) We attribute the remainder of earnings per employed slave to the slave owners in the Excel files on "Aggregate property 1774 …",</t>
  </si>
  <si>
    <t xml:space="preserve">For rural New England and the Middle Colonies, the commercial class is given the artisan wage. </t>
  </si>
  <si>
    <t>Farm operators' individual earnings</t>
  </si>
  <si>
    <t xml:space="preserve">For the purposes of workshet (5) and later files, the town and country sectors had to be combined to overcome thinness in the historical data. </t>
  </si>
  <si>
    <t>The farm wage rate used as part of the farm operator's family members differs from the all-sector average wage rate in Groups 6 and 7.</t>
  </si>
  <si>
    <t>The retention rates (%) used above are:</t>
  </si>
  <si>
    <t>therefore serve as a low estimate of the value of a merchant's or shopkeeper's time, if we lack any better data for valuing that time.</t>
  </si>
  <si>
    <t xml:space="preserve">(females = domestics, maids, cooks, laundresses, etc.; males = house servants, grooms, porters, coach and carriage drivers, teamsters, gardeners, etc.). </t>
  </si>
  <si>
    <t>(c.) South:  For convenience, the later calculations of slave retained incomes (in Worksheet (5) here and in "American incomes 1774")</t>
  </si>
  <si>
    <t>With corrections, 23 April 2011. Wording slightly edited, 19 June 2012, no change in totals.</t>
  </si>
  <si>
    <t xml:space="preserve">will aggregate the South's slave labor force into the rural farm sector.  </t>
  </si>
  <si>
    <t>[Red = slave LF</t>
  </si>
  <si>
    <t>revisions, May 2011]</t>
  </si>
  <si>
    <t>Urban+ rural totals, free labor only</t>
  </si>
  <si>
    <t xml:space="preserve">The crucial test here would be a comparison of the 11% rate for Queen Annes County MD in 1796-1804 with a </t>
  </si>
  <si>
    <t>(1) In the worksheet "Own-labor incomes 1774", we infer that slaves retained something like</t>
  </si>
  <si>
    <r>
      <t>A procedure for calculating farm operators' individual incomes 1774</t>
    </r>
    <r>
      <rPr>
        <sz val="12"/>
        <rFont val="Arial"/>
        <family val="0"/>
      </rPr>
      <t>:</t>
    </r>
  </si>
  <si>
    <t>income per farm ($/yr @ 4.44)</t>
  </si>
  <si>
    <t>See the "Wage data survey 1774" file, "1774 farm" worksheet.</t>
  </si>
  <si>
    <t>Retained $</t>
  </si>
  <si>
    <t>per earner-yr</t>
  </si>
  <si>
    <t>[See "South" note.]</t>
  </si>
  <si>
    <t>(a.) Slave labor force, all occupations: See the Excel file "Occupations 1774 by region e" dated 28 May 2011, for details.</t>
  </si>
  <si>
    <t xml:space="preserve">(b.) Non-farm occupation distribution: Rural or urban slaves doing non-farm work are assumed to have been either artisans, construction workers, or unskilled </t>
  </si>
  <si>
    <t>See the Word file "Slave occupational distrib 1800" for details.</t>
  </si>
  <si>
    <r>
      <t xml:space="preserve">Component </t>
    </r>
    <r>
      <rPr>
        <b/>
        <u val="single"/>
        <sz val="12"/>
        <rFont val="Arial"/>
        <family val="0"/>
      </rPr>
      <t>(A.) Imputed own-labor income</t>
    </r>
    <r>
      <rPr>
        <sz val="12"/>
        <rFont val="Arial"/>
        <family val="0"/>
      </rPr>
      <t xml:space="preserve"> of farm operator [See the "Wage data survey 1774" Excel file.]</t>
    </r>
  </si>
  <si>
    <t>For the categorization of occupations into occupational groupings, see the"Aggreg property 1774" files and especially the file "Occupation codes (Lindert-Williamson" at http://gpih.ucdavis.edu,</t>
  </si>
  <si>
    <t>(To see their use, click on the cells for "Retained annual $ per earner" above.)</t>
  </si>
  <si>
    <t>All 3</t>
  </si>
  <si>
    <t>Location-specific occupational shares for slaves =</t>
  </si>
  <si>
    <r>
      <t>NH 1754</t>
    </r>
    <r>
      <rPr>
        <sz val="12"/>
        <color indexed="8"/>
        <rFont val="Arial"/>
        <family val="0"/>
      </rPr>
      <t xml:space="preserve"> (2b) Another farm in the same area of NH, "assessed for £6,389 in 1754, was worth £100 per year - only 1 1/2 percent, </t>
    </r>
  </si>
  <si>
    <t>Philadelphia,</t>
  </si>
  <si>
    <t>Reconciling the Southern slaveowner income per slave with previous estimates of slave prices in the 1770s</t>
  </si>
  <si>
    <r>
      <t>General notes</t>
    </r>
    <r>
      <rPr>
        <sz val="12"/>
        <rFont val="Arial"/>
        <family val="0"/>
      </rPr>
      <t>:</t>
    </r>
  </si>
  <si>
    <t>Free total labor force</t>
  </si>
  <si>
    <t>This plus his farm-labor component above</t>
  </si>
  <si>
    <t>Yet the fact that the crucial rate here, the Southern rural rate of 15.8%, does not depart radically from the</t>
  </si>
  <si>
    <t>sample, as calculated in the separate Excel files "Aggregate property 1774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</si>
</sst>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0.0000"/>
    <numFmt numFmtId="176" formatCode="0.00000"/>
    <numFmt numFmtId="177" formatCode="0.0000000000"/>
    <numFmt numFmtId="178" formatCode="0.000000"/>
    <numFmt numFmtId="179" formatCode="m/d/yyyy"/>
    <numFmt numFmtId="180" formatCode="0.000000000000"/>
    <numFmt numFmtId="181" formatCode="0.00000000000"/>
    <numFmt numFmtId="182" formatCode="0.000000000"/>
    <numFmt numFmtId="183" formatCode="0.00000000"/>
    <numFmt numFmtId="184" formatCode="0.0000000"/>
    <numFmt numFmtId="185" formatCode="0,000"/>
    <numFmt numFmtId="186" formatCode="0,000,000"/>
    <numFmt numFmtId="187" formatCode="General"/>
  </numFmts>
  <fonts count="3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erdana"/>
      <family val="0"/>
    </font>
    <font>
      <b/>
      <sz val="12"/>
      <name val="Arial"/>
      <family val="0"/>
    </font>
    <font>
      <sz val="12"/>
      <name val="Arial"/>
      <family val="0"/>
    </font>
    <font>
      <b/>
      <sz val="12"/>
      <color indexed="8"/>
      <name val="Arial"/>
      <family val="0"/>
    </font>
    <font>
      <sz val="12"/>
      <color indexed="8"/>
      <name val="Arial"/>
      <family val="0"/>
    </font>
    <font>
      <i/>
      <sz val="12"/>
      <name val="Arial"/>
      <family val="0"/>
    </font>
    <font>
      <u val="single"/>
      <sz val="10"/>
      <color indexed="12"/>
      <name val="Arial"/>
      <family val="0"/>
    </font>
    <font>
      <u val="single"/>
      <sz val="10"/>
      <color indexed="61"/>
      <name val="Arial"/>
      <family val="0"/>
    </font>
    <font>
      <b/>
      <sz val="14"/>
      <color indexed="10"/>
      <name val="Arial"/>
      <family val="0"/>
    </font>
    <font>
      <b/>
      <sz val="12"/>
      <color indexed="8"/>
      <name val="Calibri"/>
      <family val="2"/>
    </font>
    <font>
      <b/>
      <u val="single"/>
      <sz val="12"/>
      <name val="Arial"/>
      <family val="0"/>
    </font>
    <font>
      <b/>
      <sz val="12"/>
      <color indexed="10"/>
      <name val="Arial"/>
      <family val="0"/>
    </font>
    <font>
      <u val="single"/>
      <sz val="12"/>
      <name val="Arial"/>
      <family val="0"/>
    </font>
    <font>
      <sz val="14"/>
      <color indexed="10"/>
      <name val="Arial"/>
      <family val="0"/>
    </font>
    <font>
      <b/>
      <u val="single"/>
      <sz val="12"/>
      <color indexed="8"/>
      <name val="Arial"/>
      <family val="0"/>
    </font>
    <font>
      <sz val="14"/>
      <name val="Arial"/>
      <family val="0"/>
    </font>
    <font>
      <u val="single"/>
      <sz val="12"/>
      <color indexed="8"/>
      <name val="Arial"/>
      <family val="0"/>
    </font>
    <font>
      <b/>
      <sz val="14"/>
      <name val="Arial"/>
      <family val="2"/>
    </font>
    <font>
      <sz val="12"/>
      <color indexed="10"/>
      <name val="Arial"/>
      <family val="0"/>
    </font>
    <font>
      <b/>
      <sz val="16"/>
      <color indexed="10"/>
      <name val="Arial"/>
      <family val="0"/>
    </font>
    <font>
      <sz val="14"/>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91">
    <xf numFmtId="0" fontId="0" fillId="0" borderId="0" xfId="0" applyAlignment="1">
      <alignment/>
    </xf>
    <xf numFmtId="0" fontId="20" fillId="0" borderId="0" xfId="0" applyFont="1" applyAlignment="1">
      <alignment/>
    </xf>
    <xf numFmtId="1" fontId="20" fillId="0" borderId="0" xfId="0" applyNumberFormat="1" applyFont="1" applyAlignment="1">
      <alignment/>
    </xf>
    <xf numFmtId="2" fontId="20" fillId="0" borderId="0" xfId="0" applyNumberFormat="1" applyFont="1" applyAlignment="1">
      <alignment/>
    </xf>
    <xf numFmtId="1" fontId="20" fillId="0" borderId="0" xfId="0" applyNumberFormat="1" applyFont="1" applyAlignment="1">
      <alignment/>
    </xf>
    <xf numFmtId="0" fontId="21" fillId="0" borderId="0" xfId="0" applyFont="1" applyAlignment="1">
      <alignment/>
    </xf>
    <xf numFmtId="0" fontId="19" fillId="0" borderId="0" xfId="0" applyFont="1" applyAlignment="1">
      <alignment/>
    </xf>
    <xf numFmtId="1" fontId="19" fillId="0" borderId="0" xfId="0" applyNumberFormat="1" applyFont="1" applyAlignment="1">
      <alignment/>
    </xf>
    <xf numFmtId="0" fontId="21" fillId="0" borderId="0" xfId="0" applyFont="1" applyAlignment="1">
      <alignment/>
    </xf>
    <xf numFmtId="0" fontId="27" fillId="0" borderId="0" xfId="0" applyFont="1" applyAlignment="1">
      <alignment horizontal="center" wrapText="1"/>
    </xf>
    <xf numFmtId="0" fontId="19" fillId="0" borderId="0" xfId="0" applyFont="1" applyAlignment="1">
      <alignment horizontal="right"/>
    </xf>
    <xf numFmtId="0" fontId="23" fillId="0" borderId="0" xfId="0" applyFont="1" applyAlignment="1">
      <alignment/>
    </xf>
    <xf numFmtId="0" fontId="28" fillId="0" borderId="0" xfId="0" applyFont="1" applyAlignment="1">
      <alignment/>
    </xf>
    <xf numFmtId="0" fontId="20" fillId="0" borderId="10" xfId="0" applyFont="1" applyBorder="1" applyAlignment="1">
      <alignment/>
    </xf>
    <xf numFmtId="0" fontId="29" fillId="0" borderId="0" xfId="0" applyFont="1" applyAlignment="1">
      <alignment/>
    </xf>
    <xf numFmtId="0" fontId="22" fillId="0" borderId="0" xfId="0" applyFont="1" applyAlignment="1">
      <alignment/>
    </xf>
    <xf numFmtId="0" fontId="30" fillId="0" borderId="0" xfId="0" applyFont="1" applyAlignment="1">
      <alignment/>
    </xf>
    <xf numFmtId="0" fontId="20" fillId="0" borderId="0" xfId="0" applyFont="1" applyAlignment="1">
      <alignment/>
    </xf>
    <xf numFmtId="0" fontId="20" fillId="0" borderId="0" xfId="0" applyFont="1" applyFill="1" applyBorder="1" applyAlignment="1">
      <alignment/>
    </xf>
    <xf numFmtId="2" fontId="20" fillId="0" borderId="0" xfId="0" applyNumberFormat="1" applyFont="1" applyAlignment="1">
      <alignment/>
    </xf>
    <xf numFmtId="0" fontId="20" fillId="0" borderId="0" xfId="0" applyFont="1" applyAlignment="1">
      <alignment horizontal="right"/>
    </xf>
    <xf numFmtId="0" fontId="30" fillId="0" borderId="0" xfId="0" applyFont="1" applyAlignment="1">
      <alignment horizontal="right"/>
    </xf>
    <xf numFmtId="0" fontId="20" fillId="0" borderId="11" xfId="0" applyFont="1" applyBorder="1" applyAlignment="1">
      <alignment/>
    </xf>
    <xf numFmtId="2" fontId="20" fillId="0" borderId="0" xfId="0" applyNumberFormat="1" applyFont="1" applyAlignment="1">
      <alignment/>
    </xf>
    <xf numFmtId="0" fontId="31" fillId="0" borderId="0" xfId="0" applyFont="1" applyAlignment="1">
      <alignment/>
    </xf>
    <xf numFmtId="0" fontId="20" fillId="0" borderId="0" xfId="0" applyFont="1" applyAlignment="1">
      <alignment horizontal="center"/>
    </xf>
    <xf numFmtId="0" fontId="20" fillId="7" borderId="12" xfId="0" applyFont="1" applyFill="1" applyBorder="1" applyAlignment="1">
      <alignment horizontal="center"/>
    </xf>
    <xf numFmtId="0" fontId="20" fillId="7" borderId="13" xfId="0" applyFont="1" applyFill="1" applyBorder="1" applyAlignment="1">
      <alignment horizontal="center"/>
    </xf>
    <xf numFmtId="0" fontId="20" fillId="7" borderId="14" xfId="0" applyFont="1" applyFill="1" applyBorder="1" applyAlignment="1">
      <alignment horizontal="center"/>
    </xf>
    <xf numFmtId="0" fontId="20" fillId="4" borderId="12" xfId="0" applyFont="1" applyFill="1" applyBorder="1" applyAlignment="1">
      <alignment horizontal="center"/>
    </xf>
    <xf numFmtId="0" fontId="20" fillId="4" borderId="13" xfId="0" applyFont="1" applyFill="1" applyBorder="1" applyAlignment="1">
      <alignment horizontal="center"/>
    </xf>
    <xf numFmtId="0" fontId="20" fillId="4" borderId="14" xfId="0" applyFont="1" applyFill="1" applyBorder="1" applyAlignment="1">
      <alignment horizontal="center"/>
    </xf>
    <xf numFmtId="0" fontId="20" fillId="0" borderId="15"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1" fontId="20" fillId="0" borderId="0" xfId="0" applyNumberFormat="1" applyFont="1" applyAlignment="1">
      <alignment/>
    </xf>
    <xf numFmtId="1" fontId="20" fillId="0" borderId="18" xfId="0" applyNumberFormat="1" applyFont="1" applyBorder="1" applyAlignment="1">
      <alignment/>
    </xf>
    <xf numFmtId="1" fontId="20" fillId="0" borderId="19" xfId="0" applyNumberFormat="1" applyFont="1" applyBorder="1" applyAlignment="1">
      <alignment/>
    </xf>
    <xf numFmtId="1" fontId="20" fillId="0" borderId="0" xfId="0" applyNumberFormat="1" applyFont="1" applyAlignment="1">
      <alignment horizontal="right"/>
    </xf>
    <xf numFmtId="1" fontId="0" fillId="0" borderId="0" xfId="0" applyNumberFormat="1" applyAlignment="1">
      <alignment/>
    </xf>
    <xf numFmtId="1" fontId="20" fillId="0" borderId="0" xfId="0" applyNumberFormat="1" applyFont="1" applyFill="1" applyAlignment="1">
      <alignment/>
    </xf>
    <xf numFmtId="1" fontId="20" fillId="7" borderId="0" xfId="0" applyNumberFormat="1" applyFont="1" applyFill="1" applyAlignment="1">
      <alignment/>
    </xf>
    <xf numFmtId="1" fontId="20" fillId="0" borderId="16" xfId="0" applyNumberFormat="1" applyFont="1" applyBorder="1" applyAlignment="1">
      <alignment/>
    </xf>
    <xf numFmtId="1" fontId="20" fillId="0" borderId="17" xfId="0" applyNumberFormat="1" applyFont="1" applyBorder="1" applyAlignment="1">
      <alignment/>
    </xf>
    <xf numFmtId="0" fontId="20" fillId="0" borderId="0" xfId="0" applyFont="1" applyAlignment="1">
      <alignment horizontal="left" vertical="center" indent="4"/>
    </xf>
    <xf numFmtId="0" fontId="20" fillId="0" borderId="0" xfId="0" applyFont="1" applyAlignment="1">
      <alignment horizontal="center" vertical="center"/>
    </xf>
    <xf numFmtId="0" fontId="20" fillId="0" borderId="0" xfId="0" applyFont="1" applyAlignment="1">
      <alignment/>
    </xf>
    <xf numFmtId="0" fontId="19" fillId="0" borderId="0" xfId="0" applyFont="1" applyAlignment="1">
      <alignment/>
    </xf>
    <xf numFmtId="0" fontId="20" fillId="0" borderId="0" xfId="0" applyFont="1" applyAlignment="1">
      <alignment horizontal="center"/>
    </xf>
    <xf numFmtId="2" fontId="20" fillId="0" borderId="0" xfId="0" applyNumberFormat="1" applyFont="1" applyAlignment="1">
      <alignment/>
    </xf>
    <xf numFmtId="2" fontId="20" fillId="0" borderId="18" xfId="0" applyNumberFormat="1" applyFont="1" applyBorder="1" applyAlignment="1">
      <alignment/>
    </xf>
    <xf numFmtId="2" fontId="20" fillId="0" borderId="19" xfId="0" applyNumberFormat="1" applyFont="1" applyBorder="1" applyAlignment="1">
      <alignment/>
    </xf>
    <xf numFmtId="2" fontId="20" fillId="0" borderId="0" xfId="0" applyNumberFormat="1" applyFont="1" applyAlignment="1">
      <alignment horizontal="right"/>
    </xf>
    <xf numFmtId="2" fontId="0" fillId="0" borderId="0" xfId="0" applyNumberFormat="1" applyAlignment="1">
      <alignment/>
    </xf>
    <xf numFmtId="1" fontId="20" fillId="0" borderId="0" xfId="0" applyNumberFormat="1" applyFont="1" applyAlignment="1">
      <alignment/>
    </xf>
    <xf numFmtId="1" fontId="20" fillId="0" borderId="20" xfId="0" applyNumberFormat="1" applyFont="1" applyBorder="1" applyAlignment="1">
      <alignment/>
    </xf>
    <xf numFmtId="1" fontId="20" fillId="0" borderId="18" xfId="0" applyNumberFormat="1" applyFont="1" applyBorder="1" applyAlignment="1">
      <alignment/>
    </xf>
    <xf numFmtId="1" fontId="20" fillId="0" borderId="19" xfId="0" applyNumberFormat="1" applyFont="1" applyBorder="1" applyAlignment="1">
      <alignment/>
    </xf>
    <xf numFmtId="1" fontId="20" fillId="0" borderId="0" xfId="0" applyNumberFormat="1" applyFont="1" applyAlignment="1">
      <alignment horizontal="right"/>
    </xf>
    <xf numFmtId="1" fontId="0" fillId="0" borderId="0" xfId="0" applyNumberFormat="1" applyAlignment="1">
      <alignment/>
    </xf>
    <xf numFmtId="1" fontId="21" fillId="0" borderId="0" xfId="0" applyNumberFormat="1" applyFont="1" applyAlignment="1">
      <alignment/>
    </xf>
    <xf numFmtId="2" fontId="21" fillId="0" borderId="0" xfId="0" applyNumberFormat="1" applyFont="1" applyAlignment="1">
      <alignment/>
    </xf>
    <xf numFmtId="2" fontId="20" fillId="0" borderId="0" xfId="0" applyNumberFormat="1" applyFont="1" applyAlignment="1">
      <alignment/>
    </xf>
    <xf numFmtId="2" fontId="22" fillId="0" borderId="0" xfId="0" applyNumberFormat="1" applyFont="1" applyAlignment="1">
      <alignment/>
    </xf>
    <xf numFmtId="3" fontId="20" fillId="0" borderId="0" xfId="0" applyNumberFormat="1" applyFont="1" applyAlignment="1">
      <alignment/>
    </xf>
    <xf numFmtId="0" fontId="20" fillId="0" borderId="0" xfId="0" applyFont="1" applyAlignment="1">
      <alignment horizontal="right" vertical="center"/>
    </xf>
    <xf numFmtId="0" fontId="30" fillId="0" borderId="0" xfId="0" applyFont="1" applyAlignment="1">
      <alignment horizontal="center"/>
    </xf>
    <xf numFmtId="0" fontId="21" fillId="0" borderId="0" xfId="0" applyFont="1" applyAlignment="1">
      <alignment horizontal="center"/>
    </xf>
    <xf numFmtId="0" fontId="22" fillId="0" borderId="0" xfId="0" applyFont="1" applyAlignment="1">
      <alignment horizontal="left"/>
    </xf>
    <xf numFmtId="0" fontId="22" fillId="0" borderId="0" xfId="0" applyFont="1" applyAlignment="1">
      <alignment/>
    </xf>
    <xf numFmtId="0" fontId="22" fillId="0" borderId="0" xfId="0" applyFont="1" applyAlignment="1">
      <alignment wrapText="1"/>
    </xf>
    <xf numFmtId="0" fontId="20" fillId="0" borderId="0" xfId="0" applyFont="1" applyAlignment="1">
      <alignment/>
    </xf>
    <xf numFmtId="0" fontId="20" fillId="0" borderId="0" xfId="0" applyNumberFormat="1" applyFont="1" applyAlignment="1">
      <alignment/>
    </xf>
    <xf numFmtId="0" fontId="19" fillId="0" borderId="0" xfId="0" applyFont="1" applyAlignment="1">
      <alignment/>
    </xf>
    <xf numFmtId="0" fontId="26" fillId="0" borderId="0" xfId="0" applyFont="1" applyAlignment="1">
      <alignment/>
    </xf>
    <xf numFmtId="0" fontId="22" fillId="0" borderId="0" xfId="0" applyFont="1" applyFill="1" applyAlignment="1">
      <alignment/>
    </xf>
    <xf numFmtId="0" fontId="22" fillId="0" borderId="0" xfId="0" applyFont="1" applyFill="1" applyAlignment="1">
      <alignment wrapText="1"/>
    </xf>
    <xf numFmtId="0" fontId="22" fillId="24" borderId="0" xfId="0" applyFont="1" applyFill="1" applyAlignment="1">
      <alignment horizontal="right" wrapText="1"/>
    </xf>
    <xf numFmtId="0" fontId="22" fillId="24" borderId="0" xfId="0" applyFont="1" applyFill="1" applyAlignment="1">
      <alignment/>
    </xf>
    <xf numFmtId="0" fontId="22" fillId="24" borderId="0" xfId="0" applyFont="1" applyFill="1" applyAlignment="1">
      <alignment/>
    </xf>
    <xf numFmtId="0" fontId="22" fillId="0" borderId="0" xfId="0" applyFont="1" applyFill="1" applyAlignment="1">
      <alignment/>
    </xf>
    <xf numFmtId="0" fontId="22" fillId="24" borderId="0" xfId="0" applyFont="1" applyFill="1" applyAlignment="1">
      <alignment horizontal="left"/>
    </xf>
    <xf numFmtId="0" fontId="22" fillId="0" borderId="0" xfId="0" applyFont="1" applyFill="1" applyAlignment="1">
      <alignment horizontal="right"/>
    </xf>
    <xf numFmtId="0" fontId="22" fillId="0" borderId="0" xfId="0" applyFont="1" applyAlignment="1">
      <alignment horizontal="right"/>
    </xf>
    <xf numFmtId="0" fontId="22" fillId="24" borderId="0" xfId="0" applyFont="1" applyFill="1" applyAlignment="1">
      <alignment wrapText="1"/>
    </xf>
    <xf numFmtId="168" fontId="22" fillId="0" borderId="0" xfId="0" applyNumberFormat="1" applyFont="1" applyAlignment="1">
      <alignment/>
    </xf>
    <xf numFmtId="0" fontId="29" fillId="0" borderId="0" xfId="0" applyFont="1" applyFill="1" applyAlignment="1">
      <alignment/>
    </xf>
    <xf numFmtId="0" fontId="21" fillId="0" borderId="0" xfId="0" applyFont="1" applyFill="1" applyAlignment="1">
      <alignment/>
    </xf>
    <xf numFmtId="2" fontId="22" fillId="0" borderId="0" xfId="0" applyNumberFormat="1" applyFont="1" applyAlignment="1">
      <alignment/>
    </xf>
    <xf numFmtId="0" fontId="33" fillId="0" borderId="0" xfId="0" applyFont="1" applyAlignment="1">
      <alignment/>
    </xf>
    <xf numFmtId="17" fontId="0" fillId="0" borderId="0" xfId="0" applyNumberFormat="1" applyAlignment="1">
      <alignment/>
    </xf>
    <xf numFmtId="0" fontId="20" fillId="0" borderId="0" xfId="0" applyFont="1" applyAlignment="1">
      <alignment/>
    </xf>
    <xf numFmtId="0" fontId="19" fillId="0" borderId="0" xfId="0" applyFont="1" applyAlignment="1">
      <alignment/>
    </xf>
    <xf numFmtId="0" fontId="28" fillId="0" borderId="0" xfId="0" applyNumberFormat="1" applyFont="1" applyAlignment="1">
      <alignment/>
    </xf>
    <xf numFmtId="1" fontId="30" fillId="0" borderId="0" xfId="0" applyNumberFormat="1" applyFont="1" applyAlignment="1">
      <alignment horizontal="center"/>
    </xf>
    <xf numFmtId="0" fontId="21" fillId="0" borderId="0" xfId="0" applyFont="1" applyAlignment="1">
      <alignment horizontal="right"/>
    </xf>
    <xf numFmtId="2" fontId="22" fillId="0" borderId="0" xfId="0" applyNumberFormat="1" applyFont="1" applyAlignment="1">
      <alignment/>
    </xf>
    <xf numFmtId="0" fontId="21" fillId="0" borderId="21" xfId="0" applyFont="1" applyBorder="1" applyAlignment="1">
      <alignment horizontal="center"/>
    </xf>
    <xf numFmtId="0" fontId="20" fillId="0" borderId="22" xfId="0" applyFont="1" applyBorder="1" applyAlignment="1">
      <alignment/>
    </xf>
    <xf numFmtId="0" fontId="20" fillId="0" borderId="21" xfId="0" applyFont="1" applyBorder="1" applyAlignment="1">
      <alignment/>
    </xf>
    <xf numFmtId="0" fontId="20" fillId="0" borderId="23" xfId="0" applyFont="1" applyBorder="1" applyAlignment="1">
      <alignment/>
    </xf>
    <xf numFmtId="0" fontId="22" fillId="0" borderId="0" xfId="0" applyFont="1" applyAlignment="1">
      <alignment horizontal="center"/>
    </xf>
    <xf numFmtId="0" fontId="34" fillId="0" borderId="0" xfId="0" applyFont="1" applyAlignment="1">
      <alignment horizontal="right"/>
    </xf>
    <xf numFmtId="0" fontId="34" fillId="0" borderId="0" xfId="0" applyFont="1" applyAlignment="1">
      <alignment horizontal="left"/>
    </xf>
    <xf numFmtId="2" fontId="20" fillId="0" borderId="0" xfId="0" applyNumberFormat="1" applyFont="1" applyAlignment="1">
      <alignment horizontal="center"/>
    </xf>
    <xf numFmtId="1" fontId="20" fillId="0" borderId="0" xfId="0" applyNumberFormat="1" applyFont="1" applyAlignment="1">
      <alignment/>
    </xf>
    <xf numFmtId="0" fontId="20" fillId="0" borderId="0" xfId="0" applyFont="1" applyAlignment="1">
      <alignment/>
    </xf>
    <xf numFmtId="0" fontId="30" fillId="0" borderId="0" xfId="0" applyFont="1" applyAlignment="1">
      <alignment/>
    </xf>
    <xf numFmtId="0" fontId="23" fillId="0" borderId="0" xfId="0" applyFont="1" applyAlignment="1">
      <alignment/>
    </xf>
    <xf numFmtId="168" fontId="20" fillId="0" borderId="0" xfId="0" applyNumberFormat="1" applyFont="1" applyAlignment="1">
      <alignment/>
    </xf>
    <xf numFmtId="2" fontId="20" fillId="0" borderId="0" xfId="0" applyNumberFormat="1" applyFont="1" applyAlignment="1">
      <alignment/>
    </xf>
    <xf numFmtId="168" fontId="20" fillId="0" borderId="0" xfId="0" applyNumberFormat="1" applyFont="1" applyAlignment="1">
      <alignment/>
    </xf>
    <xf numFmtId="2" fontId="20" fillId="0" borderId="0" xfId="0" applyNumberFormat="1" applyFont="1" applyAlignment="1">
      <alignment/>
    </xf>
    <xf numFmtId="2" fontId="20" fillId="0" borderId="0" xfId="0" applyNumberFormat="1" applyFont="1" applyAlignment="1">
      <alignment/>
    </xf>
    <xf numFmtId="1" fontId="20" fillId="0" borderId="0" xfId="0" applyNumberFormat="1" applyFont="1" applyAlignment="1">
      <alignment/>
    </xf>
    <xf numFmtId="2" fontId="20" fillId="0" borderId="0" xfId="0" applyNumberFormat="1" applyFont="1" applyAlignment="1">
      <alignment/>
    </xf>
    <xf numFmtId="0" fontId="20" fillId="0" borderId="0" xfId="0" applyFont="1" applyAlignment="1">
      <alignment/>
    </xf>
    <xf numFmtId="0" fontId="19" fillId="0" borderId="0" xfId="0" applyFont="1" applyAlignment="1">
      <alignment/>
    </xf>
    <xf numFmtId="0" fontId="20" fillId="0" borderId="0" xfId="0" applyNumberFormat="1" applyFont="1" applyAlignment="1">
      <alignment/>
    </xf>
    <xf numFmtId="10" fontId="20" fillId="0" borderId="0" xfId="0" applyNumberFormat="1" applyFont="1" applyAlignment="1">
      <alignment horizontal="right"/>
    </xf>
    <xf numFmtId="0" fontId="20" fillId="0" borderId="0" xfId="0" applyFont="1" applyAlignment="1">
      <alignment horizontal="left"/>
    </xf>
    <xf numFmtId="0" fontId="32" fillId="0" borderId="0" xfId="0" applyFont="1" applyAlignment="1">
      <alignment/>
    </xf>
    <xf numFmtId="0" fontId="20" fillId="0" borderId="0" xfId="0" applyFont="1" applyAlignment="1">
      <alignment/>
    </xf>
    <xf numFmtId="0" fontId="20" fillId="7" borderId="22" xfId="0" applyFont="1" applyFill="1" applyBorder="1" applyAlignment="1">
      <alignment horizontal="left"/>
    </xf>
    <xf numFmtId="0" fontId="20" fillId="7" borderId="21" xfId="0" applyFont="1" applyFill="1" applyBorder="1" applyAlignment="1">
      <alignment horizontal="left"/>
    </xf>
    <xf numFmtId="0" fontId="20" fillId="7" borderId="23" xfId="0" applyFont="1" applyFill="1" applyBorder="1" applyAlignment="1">
      <alignment horizontal="left"/>
    </xf>
    <xf numFmtId="0" fontId="20" fillId="22" borderId="22" xfId="0" applyFont="1" applyFill="1" applyBorder="1" applyAlignment="1">
      <alignment horizontal="left"/>
    </xf>
    <xf numFmtId="0" fontId="20" fillId="22" borderId="21" xfId="0" applyFont="1" applyFill="1" applyBorder="1" applyAlignment="1">
      <alignment horizontal="left"/>
    </xf>
    <xf numFmtId="0" fontId="20" fillId="22" borderId="23" xfId="0" applyFont="1" applyFill="1" applyBorder="1" applyAlignment="1">
      <alignment horizontal="left"/>
    </xf>
    <xf numFmtId="0" fontId="20" fillId="4" borderId="22" xfId="0" applyFont="1" applyFill="1" applyBorder="1" applyAlignment="1">
      <alignment horizontal="left"/>
    </xf>
    <xf numFmtId="0" fontId="20" fillId="4" borderId="21" xfId="0" applyFont="1" applyFill="1" applyBorder="1" applyAlignment="1">
      <alignment horizontal="left"/>
    </xf>
    <xf numFmtId="0" fontId="20" fillId="4" borderId="23" xfId="0" applyFont="1" applyFill="1" applyBorder="1" applyAlignment="1">
      <alignment horizontal="left"/>
    </xf>
    <xf numFmtId="0" fontId="20" fillId="0" borderId="11" xfId="0" applyFont="1" applyBorder="1" applyAlignment="1">
      <alignment horizontal="right"/>
    </xf>
    <xf numFmtId="168" fontId="20" fillId="0" borderId="0" xfId="0" applyNumberFormat="1" applyFont="1" applyAlignment="1">
      <alignment/>
    </xf>
    <xf numFmtId="168" fontId="20" fillId="0" borderId="0" xfId="0" applyNumberFormat="1" applyFont="1" applyAlignment="1">
      <alignment/>
    </xf>
    <xf numFmtId="0" fontId="20" fillId="0" borderId="22" xfId="0" applyFont="1" applyBorder="1" applyAlignment="1">
      <alignment horizontal="left"/>
    </xf>
    <xf numFmtId="1" fontId="20" fillId="0" borderId="0" xfId="0" applyNumberFormat="1" applyFont="1" applyFill="1" applyBorder="1" applyAlignment="1">
      <alignment/>
    </xf>
    <xf numFmtId="2" fontId="20" fillId="0" borderId="0" xfId="0" applyNumberFormat="1" applyFont="1" applyFill="1" applyBorder="1" applyAlignment="1">
      <alignment/>
    </xf>
    <xf numFmtId="168" fontId="20" fillId="0" borderId="0" xfId="0" applyNumberFormat="1" applyFont="1" applyFill="1" applyBorder="1" applyAlignment="1">
      <alignment/>
    </xf>
    <xf numFmtId="0" fontId="35" fillId="0" borderId="0" xfId="0" applyFont="1" applyAlignment="1">
      <alignment/>
    </xf>
    <xf numFmtId="0" fontId="20" fillId="3" borderId="24" xfId="0" applyFont="1" applyFill="1" applyBorder="1" applyAlignment="1">
      <alignment/>
    </xf>
    <xf numFmtId="0" fontId="20" fillId="3" borderId="25" xfId="0" applyFont="1" applyFill="1" applyBorder="1" applyAlignment="1">
      <alignment/>
    </xf>
    <xf numFmtId="0" fontId="20" fillId="4" borderId="24" xfId="0" applyFont="1" applyFill="1" applyBorder="1" applyAlignment="1">
      <alignment/>
    </xf>
    <xf numFmtId="0" fontId="20" fillId="4" borderId="25" xfId="0" applyFont="1" applyFill="1" applyBorder="1" applyAlignment="1">
      <alignment/>
    </xf>
    <xf numFmtId="0" fontId="20" fillId="7" borderId="26" xfId="0" applyFont="1" applyFill="1" applyBorder="1" applyAlignment="1">
      <alignment/>
    </xf>
    <xf numFmtId="0" fontId="20" fillId="7" borderId="27" xfId="0" applyFont="1" applyFill="1" applyBorder="1" applyAlignment="1">
      <alignment/>
    </xf>
    <xf numFmtId="0" fontId="20" fillId="7" borderId="24" xfId="0" applyFont="1" applyFill="1" applyBorder="1" applyAlignment="1">
      <alignment/>
    </xf>
    <xf numFmtId="0" fontId="20" fillId="7" borderId="25" xfId="0" applyFont="1" applyFill="1" applyBorder="1" applyAlignment="1">
      <alignment/>
    </xf>
    <xf numFmtId="0" fontId="20" fillId="20" borderId="26" xfId="0" applyFont="1" applyFill="1" applyBorder="1" applyAlignment="1">
      <alignment/>
    </xf>
    <xf numFmtId="0" fontId="20" fillId="20" borderId="27" xfId="0" applyFont="1" applyFill="1" applyBorder="1" applyAlignment="1">
      <alignment/>
    </xf>
    <xf numFmtId="0" fontId="20" fillId="20" borderId="24" xfId="0" applyFont="1" applyFill="1" applyBorder="1" applyAlignment="1">
      <alignment/>
    </xf>
    <xf numFmtId="0" fontId="20" fillId="20" borderId="25" xfId="0" applyFont="1" applyFill="1" applyBorder="1" applyAlignment="1">
      <alignment/>
    </xf>
    <xf numFmtId="0" fontId="20" fillId="22" borderId="24" xfId="0" applyFont="1" applyFill="1" applyBorder="1" applyAlignment="1">
      <alignment/>
    </xf>
    <xf numFmtId="0" fontId="20" fillId="22" borderId="25" xfId="0" applyFont="1" applyFill="1" applyBorder="1" applyAlignment="1">
      <alignment/>
    </xf>
    <xf numFmtId="0" fontId="20" fillId="3" borderId="28" xfId="0" applyFont="1" applyFill="1" applyBorder="1" applyAlignment="1">
      <alignment/>
    </xf>
    <xf numFmtId="0" fontId="20" fillId="3" borderId="29" xfId="0" applyFont="1" applyFill="1" applyBorder="1" applyAlignment="1">
      <alignment/>
    </xf>
    <xf numFmtId="0" fontId="20" fillId="22" borderId="30" xfId="0" applyFont="1" applyFill="1" applyBorder="1" applyAlignment="1">
      <alignment/>
    </xf>
    <xf numFmtId="1" fontId="20" fillId="0" borderId="0" xfId="0" applyNumberFormat="1" applyFont="1" applyAlignment="1">
      <alignment horizontal="right"/>
    </xf>
    <xf numFmtId="2" fontId="20" fillId="0" borderId="0" xfId="0" applyNumberFormat="1" applyFont="1" applyAlignment="1">
      <alignment/>
    </xf>
    <xf numFmtId="1" fontId="20" fillId="0" borderId="0" xfId="0" applyNumberFormat="1" applyFont="1" applyAlignment="1">
      <alignment/>
    </xf>
    <xf numFmtId="0" fontId="20" fillId="20" borderId="31" xfId="0" applyFont="1" applyFill="1" applyBorder="1" applyAlignment="1">
      <alignment/>
    </xf>
    <xf numFmtId="0" fontId="20" fillId="20" borderId="30" xfId="0" applyFont="1" applyFill="1" applyBorder="1" applyAlignment="1">
      <alignment/>
    </xf>
    <xf numFmtId="0" fontId="20" fillId="0" borderId="32" xfId="0" applyFont="1" applyBorder="1" applyAlignment="1">
      <alignment horizontal="center"/>
    </xf>
    <xf numFmtId="0" fontId="20" fillId="0" borderId="33" xfId="0" applyFont="1" applyBorder="1" applyAlignment="1">
      <alignment horizontal="center"/>
    </xf>
    <xf numFmtId="0" fontId="20" fillId="3" borderId="34" xfId="0" applyFont="1" applyFill="1" applyBorder="1" applyAlignment="1">
      <alignment/>
    </xf>
    <xf numFmtId="0" fontId="20" fillId="3" borderId="35" xfId="0" applyFont="1" applyFill="1" applyBorder="1" applyAlignment="1">
      <alignment/>
    </xf>
    <xf numFmtId="1" fontId="20" fillId="0" borderId="0" xfId="0" applyNumberFormat="1" applyFont="1" applyAlignment="1">
      <alignment/>
    </xf>
    <xf numFmtId="2" fontId="20" fillId="0" borderId="0" xfId="0" applyNumberFormat="1" applyFont="1" applyAlignment="1">
      <alignment/>
    </xf>
    <xf numFmtId="2" fontId="20" fillId="0" borderId="0" xfId="0" applyNumberFormat="1" applyFont="1" applyAlignment="1">
      <alignment horizontal="right"/>
    </xf>
    <xf numFmtId="2" fontId="20" fillId="0" borderId="0" xfId="0" applyNumberFormat="1" applyFont="1" applyAlignment="1">
      <alignment/>
    </xf>
    <xf numFmtId="2" fontId="20" fillId="0" borderId="0" xfId="0" applyNumberFormat="1" applyFont="1" applyAlignment="1">
      <alignment horizontal="right"/>
    </xf>
    <xf numFmtId="2" fontId="20" fillId="0" borderId="0" xfId="0" applyNumberFormat="1" applyFont="1" applyAlignment="1">
      <alignment/>
    </xf>
    <xf numFmtId="2" fontId="20" fillId="0" borderId="0" xfId="0" applyNumberFormat="1" applyFont="1" applyAlignment="1">
      <alignment/>
    </xf>
    <xf numFmtId="168" fontId="22" fillId="0" borderId="0" xfId="0" applyNumberFormat="1" applyFont="1" applyAlignment="1">
      <alignment horizontal="right"/>
    </xf>
    <xf numFmtId="2" fontId="20" fillId="0" borderId="10" xfId="0" applyNumberFormat="1" applyFont="1" applyBorder="1" applyAlignment="1">
      <alignment/>
    </xf>
    <xf numFmtId="16" fontId="22" fillId="0" borderId="0" xfId="0" applyNumberFormat="1" applyFont="1" applyFill="1" applyAlignment="1">
      <alignment horizontal="right"/>
    </xf>
    <xf numFmtId="2" fontId="20" fillId="0" borderId="0" xfId="0" applyNumberFormat="1" applyFont="1" applyAlignment="1">
      <alignment/>
    </xf>
    <xf numFmtId="2" fontId="20" fillId="0" borderId="0" xfId="0" applyNumberFormat="1" applyFont="1" applyAlignment="1">
      <alignment/>
    </xf>
    <xf numFmtId="1" fontId="20" fillId="0" borderId="0" xfId="0" applyNumberFormat="1" applyFont="1" applyAlignment="1">
      <alignment/>
    </xf>
    <xf numFmtId="0" fontId="20" fillId="0" borderId="36" xfId="0" applyFont="1" applyBorder="1" applyAlignment="1">
      <alignment horizontal="right"/>
    </xf>
    <xf numFmtId="2" fontId="20" fillId="0" borderId="0" xfId="0" applyNumberFormat="1" applyFont="1" applyAlignment="1">
      <alignment/>
    </xf>
    <xf numFmtId="1" fontId="20" fillId="0" borderId="0" xfId="0" applyNumberFormat="1" applyFont="1" applyAlignment="1">
      <alignment/>
    </xf>
    <xf numFmtId="2" fontId="20" fillId="0" borderId="0" xfId="0" applyNumberFormat="1" applyFont="1" applyAlignment="1">
      <alignment/>
    </xf>
    <xf numFmtId="2" fontId="22" fillId="0" borderId="0" xfId="0" applyNumberFormat="1" applyFont="1" applyAlignment="1">
      <alignment/>
    </xf>
    <xf numFmtId="2" fontId="0" fillId="0" borderId="0" xfId="0" applyNumberFormat="1" applyAlignment="1">
      <alignment/>
    </xf>
    <xf numFmtId="0" fontId="21" fillId="22" borderId="22" xfId="0" applyFont="1" applyFill="1" applyBorder="1" applyAlignment="1">
      <alignment horizontal="left"/>
    </xf>
    <xf numFmtId="0" fontId="20" fillId="22" borderId="21" xfId="0" applyFont="1" applyFill="1" applyBorder="1" applyAlignment="1">
      <alignment horizontal="center"/>
    </xf>
    <xf numFmtId="0" fontId="20" fillId="22" borderId="21" xfId="0" applyFont="1" applyFill="1" applyBorder="1" applyAlignment="1">
      <alignment/>
    </xf>
    <xf numFmtId="0" fontId="20" fillId="22" borderId="23" xfId="0" applyFont="1" applyFill="1" applyBorder="1" applyAlignment="1">
      <alignment/>
    </xf>
    <xf numFmtId="0" fontId="21" fillId="7" borderId="22" xfId="0" applyFont="1" applyFill="1" applyBorder="1" applyAlignment="1">
      <alignment horizontal="left"/>
    </xf>
    <xf numFmtId="0" fontId="21" fillId="7" borderId="21" xfId="0" applyFont="1" applyFill="1" applyBorder="1" applyAlignment="1">
      <alignment horizontal="center"/>
    </xf>
    <xf numFmtId="0" fontId="20" fillId="7" borderId="21" xfId="0" applyFont="1" applyFill="1" applyBorder="1" applyAlignment="1">
      <alignment horizontal="center"/>
    </xf>
    <xf numFmtId="0" fontId="20" fillId="7" borderId="23" xfId="0" applyFont="1" applyFill="1" applyBorder="1" applyAlignment="1">
      <alignment horizontal="center"/>
    </xf>
    <xf numFmtId="0" fontId="21" fillId="4" borderId="22" xfId="0" applyFont="1" applyFill="1" applyBorder="1" applyAlignment="1">
      <alignment horizontal="left"/>
    </xf>
    <xf numFmtId="0" fontId="21" fillId="4" borderId="21" xfId="0" applyFont="1" applyFill="1" applyBorder="1" applyAlignment="1">
      <alignment horizontal="center"/>
    </xf>
    <xf numFmtId="0" fontId="21" fillId="4" borderId="23" xfId="0" applyFont="1" applyFill="1" applyBorder="1" applyAlignment="1">
      <alignment horizontal="center"/>
    </xf>
    <xf numFmtId="0" fontId="22" fillId="0" borderId="22" xfId="0" applyFont="1" applyBorder="1" applyAlignment="1">
      <alignment horizontal="center"/>
    </xf>
    <xf numFmtId="0" fontId="22" fillId="0" borderId="21" xfId="0" applyFont="1" applyBorder="1" applyAlignment="1">
      <alignment horizontal="center"/>
    </xf>
    <xf numFmtId="0" fontId="22" fillId="0" borderId="23" xfId="0" applyFont="1" applyBorder="1" applyAlignment="1">
      <alignment horizontal="center"/>
    </xf>
    <xf numFmtId="15" fontId="20" fillId="0" borderId="0" xfId="0" applyNumberFormat="1" applyFont="1" applyAlignment="1">
      <alignment/>
    </xf>
    <xf numFmtId="185" fontId="20" fillId="5" borderId="22" xfId="0" applyNumberFormat="1" applyFont="1" applyFill="1" applyBorder="1" applyAlignment="1">
      <alignment/>
    </xf>
    <xf numFmtId="2" fontId="20" fillId="0" borderId="0" xfId="0" applyNumberFormat="1" applyFont="1" applyAlignment="1">
      <alignment/>
    </xf>
    <xf numFmtId="0" fontId="20" fillId="0" borderId="0" xfId="0" applyFont="1" applyBorder="1" applyAlignment="1">
      <alignment/>
    </xf>
    <xf numFmtId="168" fontId="20" fillId="0" borderId="0" xfId="0" applyNumberFormat="1" applyFont="1" applyAlignment="1">
      <alignment/>
    </xf>
    <xf numFmtId="168" fontId="20" fillId="0" borderId="0" xfId="0" applyNumberFormat="1" applyFont="1" applyAlignment="1">
      <alignment/>
    </xf>
    <xf numFmtId="1" fontId="20" fillId="20" borderId="0" xfId="0" applyNumberFormat="1" applyFont="1" applyFill="1" applyAlignment="1">
      <alignment/>
    </xf>
    <xf numFmtId="2" fontId="20" fillId="20" borderId="0" xfId="0" applyNumberFormat="1" applyFont="1" applyFill="1" applyAlignment="1">
      <alignment/>
    </xf>
    <xf numFmtId="0" fontId="20" fillId="20" borderId="0" xfId="0" applyFont="1" applyFill="1" applyAlignment="1">
      <alignment/>
    </xf>
    <xf numFmtId="168" fontId="20" fillId="20" borderId="0" xfId="0" applyNumberFormat="1" applyFont="1" applyFill="1" applyAlignment="1">
      <alignment/>
    </xf>
    <xf numFmtId="0" fontId="20" fillId="3" borderId="0" xfId="0" applyFont="1" applyFill="1" applyAlignment="1">
      <alignment/>
    </xf>
    <xf numFmtId="168" fontId="20" fillId="3" borderId="0" xfId="0" applyNumberFormat="1" applyFont="1" applyFill="1" applyAlignment="1">
      <alignment/>
    </xf>
    <xf numFmtId="2" fontId="36" fillId="0" borderId="0" xfId="0" applyNumberFormat="1" applyFont="1" applyAlignment="1">
      <alignment/>
    </xf>
    <xf numFmtId="0" fontId="36" fillId="0" borderId="0" xfId="0" applyFont="1" applyAlignment="1">
      <alignment/>
    </xf>
    <xf numFmtId="2" fontId="36" fillId="0" borderId="0" xfId="0" applyNumberFormat="1" applyFont="1" applyAlignment="1">
      <alignment/>
    </xf>
    <xf numFmtId="0" fontId="26" fillId="0" borderId="0" xfId="0" applyFont="1" applyFill="1" applyAlignment="1">
      <alignment/>
    </xf>
    <xf numFmtId="1" fontId="20" fillId="0" borderId="0" xfId="0" applyNumberFormat="1" applyFont="1" applyAlignment="1">
      <alignment/>
    </xf>
    <xf numFmtId="1" fontId="20" fillId="0" borderId="20" xfId="0" applyNumberFormat="1" applyFont="1" applyBorder="1" applyAlignment="1">
      <alignment/>
    </xf>
    <xf numFmtId="1" fontId="20" fillId="0" borderId="18" xfId="0" applyNumberFormat="1" applyFont="1" applyBorder="1" applyAlignment="1">
      <alignment/>
    </xf>
    <xf numFmtId="1" fontId="20" fillId="0" borderId="19" xfId="0" applyNumberFormat="1" applyFont="1" applyBorder="1" applyAlignment="1">
      <alignment/>
    </xf>
    <xf numFmtId="1" fontId="20" fillId="0" borderId="0" xfId="0" applyNumberFormat="1" applyFont="1" applyAlignment="1">
      <alignment horizontal="right"/>
    </xf>
    <xf numFmtId="2" fontId="20" fillId="0" borderId="0" xfId="0" applyNumberFormat="1" applyFont="1" applyAlignment="1">
      <alignment/>
    </xf>
    <xf numFmtId="2" fontId="20" fillId="0" borderId="20" xfId="0" applyNumberFormat="1" applyFont="1" applyBorder="1" applyAlignment="1">
      <alignment/>
    </xf>
    <xf numFmtId="2" fontId="20" fillId="0" borderId="18" xfId="0" applyNumberFormat="1" applyFont="1" applyBorder="1" applyAlignment="1">
      <alignment/>
    </xf>
    <xf numFmtId="2" fontId="20" fillId="0" borderId="19" xfId="0" applyNumberFormat="1" applyFont="1" applyBorder="1" applyAlignment="1">
      <alignment/>
    </xf>
    <xf numFmtId="2" fontId="20" fillId="0" borderId="0" xfId="0" applyNumberFormat="1" applyFont="1" applyAlignment="1">
      <alignment horizontal="right"/>
    </xf>
    <xf numFmtId="1" fontId="20" fillId="0" borderId="0" xfId="0" applyNumberFormat="1" applyFont="1" applyAlignment="1">
      <alignment/>
    </xf>
    <xf numFmtId="1" fontId="20" fillId="0" borderId="20" xfId="0" applyNumberFormat="1" applyFont="1" applyBorder="1" applyAlignment="1">
      <alignment/>
    </xf>
    <xf numFmtId="1" fontId="20" fillId="0" borderId="18" xfId="0" applyNumberFormat="1" applyFont="1" applyBorder="1" applyAlignment="1">
      <alignment/>
    </xf>
    <xf numFmtId="1" fontId="20" fillId="0" borderId="19" xfId="0" applyNumberFormat="1" applyFont="1" applyBorder="1" applyAlignment="1">
      <alignment/>
    </xf>
    <xf numFmtId="1" fontId="20" fillId="0" borderId="0" xfId="0" applyNumberFormat="1" applyFont="1" applyAlignment="1">
      <alignment horizontal="right"/>
    </xf>
    <xf numFmtId="0" fontId="20" fillId="7" borderId="12" xfId="0" applyFont="1" applyFill="1" applyBorder="1" applyAlignment="1">
      <alignment/>
    </xf>
    <xf numFmtId="0" fontId="20" fillId="7" borderId="13" xfId="0" applyFont="1" applyFill="1" applyBorder="1" applyAlignment="1">
      <alignment/>
    </xf>
    <xf numFmtId="0" fontId="20" fillId="7" borderId="14" xfId="0" applyFont="1" applyFill="1" applyBorder="1" applyAlignment="1">
      <alignment/>
    </xf>
    <xf numFmtId="0" fontId="20" fillId="22" borderId="12" xfId="0" applyFont="1" applyFill="1" applyBorder="1" applyAlignment="1">
      <alignment/>
    </xf>
    <xf numFmtId="0" fontId="20" fillId="22" borderId="13" xfId="0" applyFont="1" applyFill="1" applyBorder="1" applyAlignment="1">
      <alignment/>
    </xf>
    <xf numFmtId="0" fontId="20" fillId="22" borderId="14" xfId="0" applyFont="1" applyFill="1" applyBorder="1" applyAlignment="1">
      <alignment/>
    </xf>
    <xf numFmtId="0" fontId="20" fillId="4" borderId="12" xfId="0" applyFont="1" applyFill="1" applyBorder="1" applyAlignment="1">
      <alignment/>
    </xf>
    <xf numFmtId="0" fontId="20" fillId="4" borderId="13" xfId="0" applyFont="1" applyFill="1" applyBorder="1" applyAlignment="1">
      <alignment/>
    </xf>
    <xf numFmtId="0" fontId="20" fillId="4" borderId="14" xfId="0" applyFont="1" applyFill="1" applyBorder="1" applyAlignment="1">
      <alignment/>
    </xf>
    <xf numFmtId="2" fontId="20" fillId="0" borderId="0" xfId="0" applyNumberFormat="1" applyFont="1" applyAlignment="1">
      <alignment/>
    </xf>
    <xf numFmtId="2" fontId="20" fillId="0" borderId="20" xfId="0" applyNumberFormat="1" applyFont="1" applyBorder="1" applyAlignment="1">
      <alignment/>
    </xf>
    <xf numFmtId="2" fontId="20" fillId="0" borderId="18" xfId="0" applyNumberFormat="1" applyFont="1" applyBorder="1" applyAlignment="1">
      <alignment/>
    </xf>
    <xf numFmtId="2" fontId="20" fillId="0" borderId="19" xfId="0" applyNumberFormat="1" applyFont="1" applyBorder="1" applyAlignment="1">
      <alignment/>
    </xf>
    <xf numFmtId="2" fontId="20" fillId="0" borderId="0" xfId="0" applyNumberFormat="1" applyFont="1" applyAlignment="1">
      <alignment horizontal="right"/>
    </xf>
    <xf numFmtId="2" fontId="20" fillId="4" borderId="0" xfId="0" applyNumberFormat="1" applyFont="1" applyFill="1" applyAlignment="1">
      <alignment/>
    </xf>
    <xf numFmtId="2" fontId="22" fillId="3" borderId="0" xfId="0" applyNumberFormat="1" applyFont="1" applyFill="1" applyAlignment="1">
      <alignment/>
    </xf>
    <xf numFmtId="2" fontId="20" fillId="3" borderId="0" xfId="0" applyNumberFormat="1" applyFont="1" applyFill="1" applyAlignment="1">
      <alignment/>
    </xf>
    <xf numFmtId="2" fontId="20" fillId="0" borderId="0" xfId="0" applyNumberFormat="1" applyFont="1" applyFill="1" applyAlignment="1">
      <alignment/>
    </xf>
    <xf numFmtId="2" fontId="20" fillId="0" borderId="0" xfId="0" applyNumberFormat="1" applyFont="1" applyAlignment="1">
      <alignment horizontal="left"/>
    </xf>
    <xf numFmtId="2" fontId="20" fillId="3" borderId="0" xfId="0" applyNumberFormat="1" applyFont="1" applyFill="1" applyAlignment="1">
      <alignment horizontal="right"/>
    </xf>
    <xf numFmtId="2" fontId="30" fillId="0" borderId="0" xfId="0" applyNumberFormat="1" applyFont="1" applyAlignment="1">
      <alignment horizontal="right"/>
    </xf>
    <xf numFmtId="2" fontId="20" fillId="0" borderId="0" xfId="0" applyNumberFormat="1" applyFont="1" applyBorder="1" applyAlignment="1">
      <alignment/>
    </xf>
    <xf numFmtId="0" fontId="20" fillId="0" borderId="0" xfId="0" applyFont="1" applyFill="1" applyAlignment="1">
      <alignment/>
    </xf>
    <xf numFmtId="2" fontId="19" fillId="0" borderId="22" xfId="0" applyNumberFormat="1" applyFont="1" applyBorder="1" applyAlignment="1">
      <alignment/>
    </xf>
    <xf numFmtId="2" fontId="19" fillId="0" borderId="23" xfId="0" applyNumberFormat="1" applyFont="1" applyBorder="1" applyAlignment="1">
      <alignment/>
    </xf>
    <xf numFmtId="2" fontId="19" fillId="0" borderId="21" xfId="0" applyNumberFormat="1" applyFont="1" applyBorder="1" applyAlignment="1">
      <alignment/>
    </xf>
    <xf numFmtId="2" fontId="20" fillId="0" borderId="0" xfId="0" applyNumberFormat="1" applyFont="1" applyAlignment="1">
      <alignment/>
    </xf>
    <xf numFmtId="2" fontId="20" fillId="4" borderId="0" xfId="0" applyNumberFormat="1" applyFont="1" applyFill="1" applyAlignment="1">
      <alignment/>
    </xf>
    <xf numFmtId="0" fontId="37" fillId="0" borderId="0" xfId="0" applyFont="1" applyAlignment="1">
      <alignment/>
    </xf>
    <xf numFmtId="0" fontId="37" fillId="0" borderId="0" xfId="0" applyFont="1" applyAlignment="1">
      <alignment/>
    </xf>
    <xf numFmtId="0" fontId="38" fillId="0" borderId="0" xfId="0" applyFont="1" applyAlignment="1">
      <alignment/>
    </xf>
    <xf numFmtId="185" fontId="20" fillId="5" borderId="22" xfId="0" applyNumberFormat="1" applyFont="1" applyFill="1" applyBorder="1" applyAlignment="1">
      <alignment/>
    </xf>
    <xf numFmtId="185" fontId="20" fillId="0" borderId="0" xfId="0" applyNumberFormat="1" applyFont="1" applyAlignment="1">
      <alignment/>
    </xf>
    <xf numFmtId="2" fontId="22" fillId="0" borderId="0" xfId="0" applyNumberFormat="1" applyFont="1" applyFill="1" applyBorder="1" applyAlignment="1">
      <alignment/>
    </xf>
    <xf numFmtId="1" fontId="20" fillId="0" borderId="15" xfId="0" applyNumberFormat="1" applyFont="1" applyBorder="1" applyAlignment="1">
      <alignment/>
    </xf>
    <xf numFmtId="2" fontId="22" fillId="0" borderId="0" xfId="0" applyNumberFormat="1" applyFont="1" applyFill="1" applyAlignment="1">
      <alignment/>
    </xf>
    <xf numFmtId="0" fontId="20" fillId="0" borderId="12" xfId="0" applyFont="1" applyBorder="1" applyAlignment="1">
      <alignment/>
    </xf>
    <xf numFmtId="0" fontId="20" fillId="0" borderId="13" xfId="0" applyFont="1" applyBorder="1" applyAlignment="1">
      <alignment/>
    </xf>
    <xf numFmtId="0" fontId="20" fillId="0" borderId="14" xfId="0" applyFont="1" applyBorder="1" applyAlignment="1">
      <alignment/>
    </xf>
    <xf numFmtId="1" fontId="20" fillId="4" borderId="0" xfId="0" applyNumberFormat="1" applyFont="1" applyFill="1" applyAlignment="1">
      <alignment/>
    </xf>
    <xf numFmtId="0" fontId="36" fillId="0" borderId="0" xfId="0" applyFont="1" applyAlignment="1">
      <alignment horizontal="right"/>
    </xf>
    <xf numFmtId="1" fontId="36" fillId="0" borderId="0" xfId="0" applyNumberFormat="1" applyFont="1" applyAlignment="1">
      <alignment/>
    </xf>
    <xf numFmtId="1" fontId="36" fillId="0" borderId="0" xfId="0" applyNumberFormat="1" applyFont="1" applyAlignment="1">
      <alignment/>
    </xf>
    <xf numFmtId="1" fontId="36" fillId="0" borderId="0" xfId="0" applyNumberFormat="1" applyFont="1" applyAlignment="1">
      <alignment/>
    </xf>
    <xf numFmtId="2" fontId="36" fillId="0" borderId="0" xfId="0" applyNumberFormat="1" applyFont="1" applyAlignment="1">
      <alignment/>
    </xf>
    <xf numFmtId="1" fontId="36" fillId="0" borderId="0" xfId="0" applyNumberFormat="1" applyFont="1" applyAlignment="1">
      <alignment/>
    </xf>
    <xf numFmtId="1" fontId="36" fillId="0" borderId="0" xfId="0" applyNumberFormat="1" applyFont="1" applyAlignment="1">
      <alignment horizontal="right"/>
    </xf>
    <xf numFmtId="0" fontId="20" fillId="24" borderId="0" xfId="0" applyFont="1" applyFill="1" applyAlignment="1">
      <alignment/>
    </xf>
    <xf numFmtId="0" fontId="20" fillId="24" borderId="0" xfId="0" applyFont="1" applyFill="1" applyAlignment="1">
      <alignment horizontal="right"/>
    </xf>
    <xf numFmtId="1" fontId="36" fillId="24" borderId="0" xfId="0" applyNumberFormat="1" applyFont="1" applyFill="1" applyAlignment="1">
      <alignment/>
    </xf>
    <xf numFmtId="0" fontId="20" fillId="24" borderId="0" xfId="0" applyFont="1" applyFill="1" applyBorder="1" applyAlignment="1">
      <alignment horizontal="right"/>
    </xf>
    <xf numFmtId="0" fontId="20" fillId="4" borderId="0" xfId="0" applyFont="1" applyFill="1" applyAlignment="1">
      <alignment horizontal="center"/>
    </xf>
    <xf numFmtId="0" fontId="20" fillId="4" borderId="0" xfId="0" applyFont="1" applyFill="1" applyAlignment="1">
      <alignment horizontal="center" vertical="center"/>
    </xf>
    <xf numFmtId="0" fontId="20" fillId="22" borderId="0" xfId="0" applyFont="1" applyFill="1" applyAlignment="1">
      <alignment horizontal="center" vertical="center"/>
    </xf>
    <xf numFmtId="0" fontId="20" fillId="7" borderId="0" xfId="0" applyFont="1" applyFill="1" applyAlignment="1">
      <alignment horizontal="center" vertical="center"/>
    </xf>
    <xf numFmtId="169" fontId="20" fillId="0" borderId="0" xfId="0" applyNumberFormat="1" applyFont="1" applyAlignment="1">
      <alignment/>
    </xf>
    <xf numFmtId="0" fontId="20" fillId="0" borderId="0" xfId="0" applyFont="1" applyFill="1" applyAlignment="1">
      <alignment horizontal="right"/>
    </xf>
    <xf numFmtId="0" fontId="20" fillId="24" borderId="0" xfId="0" applyFont="1" applyFill="1" applyAlignment="1">
      <alignment horizontal="right" wrapText="1"/>
    </xf>
    <xf numFmtId="0" fontId="27" fillId="0" borderId="0" xfId="0" applyFont="1" applyAlignment="1">
      <alignment horizontal="center" wrapText="1"/>
    </xf>
    <xf numFmtId="0" fontId="20" fillId="0" borderId="0" xfId="0" applyFont="1" applyAlignment="1">
      <alignment wrapText="1"/>
    </xf>
    <xf numFmtId="0" fontId="20"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0"/>
  <sheetViews>
    <sheetView zoomScale="125" zoomScaleNormal="125" workbookViewId="0" topLeftCell="A1">
      <selection activeCell="A7" sqref="A7"/>
    </sheetView>
  </sheetViews>
  <sheetFormatPr defaultColWidth="11.421875" defaultRowHeight="12.75"/>
  <cols>
    <col min="1" max="16384" width="10.8515625" style="1" customWidth="1"/>
  </cols>
  <sheetData>
    <row r="1" spans="1:3" ht="16.5">
      <c r="A1" s="1" t="s">
        <v>339</v>
      </c>
      <c r="C1" s="24" t="s">
        <v>490</v>
      </c>
    </row>
    <row r="2" spans="1:3" ht="15">
      <c r="A2" s="1" t="s">
        <v>340</v>
      </c>
      <c r="C2" s="1" t="s">
        <v>338</v>
      </c>
    </row>
    <row r="3" spans="1:3" ht="15">
      <c r="A3" s="199">
        <v>40561</v>
      </c>
      <c r="C3" s="1" t="s">
        <v>540</v>
      </c>
    </row>
    <row r="4" spans="1:3" ht="15">
      <c r="A4" s="1" t="s">
        <v>2</v>
      </c>
      <c r="C4" s="1" t="s">
        <v>258</v>
      </c>
    </row>
    <row r="5" ht="15">
      <c r="C5" s="1" t="s">
        <v>259</v>
      </c>
    </row>
    <row r="6" ht="15">
      <c r="C6" s="1" t="s">
        <v>539</v>
      </c>
    </row>
    <row r="7" ht="15">
      <c r="C7" s="12" t="s">
        <v>37</v>
      </c>
    </row>
    <row r="9" ht="15">
      <c r="A9" s="16" t="s">
        <v>594</v>
      </c>
    </row>
    <row r="10" ht="15">
      <c r="A10" s="1" t="s">
        <v>560</v>
      </c>
    </row>
    <row r="11" ht="15">
      <c r="B11" s="1" t="s">
        <v>458</v>
      </c>
    </row>
    <row r="12" ht="15">
      <c r="B12" s="1" t="s">
        <v>500</v>
      </c>
    </row>
    <row r="13" ht="15">
      <c r="B13" s="1" t="s">
        <v>332</v>
      </c>
    </row>
    <row r="14" ht="15">
      <c r="A14" s="1" t="s">
        <v>472</v>
      </c>
    </row>
    <row r="16" ht="15">
      <c r="A16" s="16" t="s">
        <v>1</v>
      </c>
    </row>
    <row r="18" ht="15">
      <c r="A18" s="16" t="s">
        <v>281</v>
      </c>
    </row>
    <row r="19" ht="15">
      <c r="A19" s="1" t="s">
        <v>587</v>
      </c>
    </row>
    <row r="20" ht="15">
      <c r="A20" s="1" t="s">
        <v>473</v>
      </c>
    </row>
    <row r="21" ht="15">
      <c r="A21" s="1" t="s">
        <v>237</v>
      </c>
    </row>
    <row r="22" ht="15">
      <c r="A22" s="1" t="s">
        <v>400</v>
      </c>
    </row>
    <row r="24" ht="15">
      <c r="A24" s="16" t="s">
        <v>169</v>
      </c>
    </row>
    <row r="25" ht="15">
      <c r="B25" s="1" t="s">
        <v>496</v>
      </c>
    </row>
    <row r="26" ht="15">
      <c r="B26" s="1" t="s">
        <v>434</v>
      </c>
    </row>
    <row r="27" ht="15">
      <c r="A27" s="1" t="s">
        <v>275</v>
      </c>
    </row>
    <row r="28" ht="15">
      <c r="B28" s="1" t="s">
        <v>293</v>
      </c>
    </row>
    <row r="29" ht="15">
      <c r="B29" s="1" t="s">
        <v>95</v>
      </c>
    </row>
    <row r="30" ht="15">
      <c r="A30" s="1" t="s">
        <v>522</v>
      </c>
    </row>
    <row r="31" ht="15">
      <c r="B31" s="1" t="s">
        <v>103</v>
      </c>
    </row>
    <row r="32" ht="15">
      <c r="B32" s="1" t="s">
        <v>104</v>
      </c>
    </row>
    <row r="33" ht="15">
      <c r="A33" s="1" t="s">
        <v>474</v>
      </c>
    </row>
    <row r="34" ht="15">
      <c r="B34" s="1" t="s">
        <v>266</v>
      </c>
    </row>
    <row r="35" ht="15">
      <c r="B35" s="1" t="s">
        <v>565</v>
      </c>
    </row>
    <row r="36" ht="15">
      <c r="B36" s="1" t="s">
        <v>579</v>
      </c>
    </row>
    <row r="37" ht="15">
      <c r="A37" s="1" t="s">
        <v>28</v>
      </c>
    </row>
    <row r="38" ht="15">
      <c r="B38" s="1" t="s">
        <v>140</v>
      </c>
    </row>
    <row r="39" ht="15">
      <c r="B39" s="1" t="s">
        <v>276</v>
      </c>
    </row>
    <row r="40" ht="15">
      <c r="B40" s="1" t="s">
        <v>147</v>
      </c>
    </row>
    <row r="41" ht="15">
      <c r="B41" s="1" t="s">
        <v>139</v>
      </c>
    </row>
    <row r="42" ht="15">
      <c r="B42" s="1" t="s">
        <v>143</v>
      </c>
    </row>
    <row r="43" ht="15">
      <c r="A43" s="1" t="s">
        <v>142</v>
      </c>
    </row>
    <row r="44" ht="15">
      <c r="B44" s="1" t="s">
        <v>65</v>
      </c>
    </row>
    <row r="45" ht="15">
      <c r="B45" s="1" t="s">
        <v>325</v>
      </c>
    </row>
    <row r="46" ht="15">
      <c r="B46" s="1" t="s">
        <v>88</v>
      </c>
    </row>
    <row r="47" ht="15">
      <c r="B47" s="1" t="s">
        <v>246</v>
      </c>
    </row>
    <row r="48" ht="15">
      <c r="B48" s="1" t="s">
        <v>113</v>
      </c>
    </row>
    <row r="49" ht="15">
      <c r="A49" s="1" t="s">
        <v>112</v>
      </c>
    </row>
    <row r="50" ht="15">
      <c r="B50" s="1" t="s">
        <v>40</v>
      </c>
    </row>
    <row r="51" ht="15">
      <c r="B51" s="1" t="s">
        <v>141</v>
      </c>
    </row>
    <row r="52" ht="15">
      <c r="A52" s="1" t="s">
        <v>527</v>
      </c>
    </row>
    <row r="54" ht="15">
      <c r="A54" s="16" t="s">
        <v>110</v>
      </c>
    </row>
    <row r="55" ht="15">
      <c r="A55" s="1" t="s">
        <v>265</v>
      </c>
    </row>
    <row r="56" ht="15">
      <c r="B56" s="1" t="s">
        <v>554</v>
      </c>
    </row>
    <row r="57" spans="2:4" ht="15">
      <c r="B57" s="118" t="s">
        <v>550</v>
      </c>
      <c r="C57" s="4"/>
      <c r="D57" s="46"/>
    </row>
    <row r="58" spans="2:4" ht="15">
      <c r="B58" s="118" t="s">
        <v>466</v>
      </c>
      <c r="C58" s="114"/>
      <c r="D58" s="122"/>
    </row>
    <row r="59" spans="1:4" ht="15">
      <c r="A59" s="46"/>
      <c r="C59" s="66" t="s">
        <v>351</v>
      </c>
      <c r="D59" s="66" t="s">
        <v>307</v>
      </c>
    </row>
    <row r="60" spans="2:4" ht="15">
      <c r="B60" s="65" t="s">
        <v>354</v>
      </c>
      <c r="C60" s="282">
        <v>40.1</v>
      </c>
      <c r="D60" s="281">
        <v>41.4</v>
      </c>
    </row>
    <row r="61" spans="2:4" ht="15">
      <c r="B61" s="65" t="s">
        <v>352</v>
      </c>
      <c r="C61" s="283">
        <v>47.1</v>
      </c>
      <c r="D61" s="283">
        <v>47.5</v>
      </c>
    </row>
    <row r="62" spans="2:4" ht="15">
      <c r="B62" s="65" t="s">
        <v>353</v>
      </c>
      <c r="C62" s="284">
        <v>52.3</v>
      </c>
      <c r="D62" s="284">
        <v>52.7</v>
      </c>
    </row>
    <row r="64" ht="15">
      <c r="A64" s="16" t="s">
        <v>170</v>
      </c>
    </row>
    <row r="65" ht="15">
      <c r="A65" s="1" t="s">
        <v>250</v>
      </c>
    </row>
    <row r="66" ht="15">
      <c r="B66" s="1" t="s">
        <v>452</v>
      </c>
    </row>
    <row r="68" ht="15">
      <c r="D68" s="1" t="s">
        <v>207</v>
      </c>
    </row>
    <row r="69" spans="6:10" ht="15">
      <c r="F69" s="1" t="s">
        <v>273</v>
      </c>
      <c r="H69" s="1" t="s">
        <v>273</v>
      </c>
      <c r="J69" s="20" t="s">
        <v>274</v>
      </c>
    </row>
    <row r="70" spans="4:10" ht="15">
      <c r="D70" s="20" t="s">
        <v>357</v>
      </c>
      <c r="F70" s="1" t="s">
        <v>358</v>
      </c>
      <c r="H70" s="1" t="s">
        <v>359</v>
      </c>
      <c r="J70" s="20" t="s">
        <v>321</v>
      </c>
    </row>
    <row r="71" spans="3:10" ht="15">
      <c r="C71" s="21" t="s">
        <v>211</v>
      </c>
      <c r="D71" s="21" t="s">
        <v>443</v>
      </c>
      <c r="E71" s="16"/>
      <c r="F71" s="16" t="s">
        <v>493</v>
      </c>
      <c r="G71" s="16"/>
      <c r="H71" s="16" t="s">
        <v>379</v>
      </c>
      <c r="I71" s="16"/>
      <c r="J71" s="21" t="s">
        <v>419</v>
      </c>
    </row>
    <row r="72" spans="3:10" ht="15">
      <c r="C72" s="20" t="s">
        <v>244</v>
      </c>
      <c r="D72" s="19">
        <v>83.18385248292898</v>
      </c>
      <c r="E72" s="19"/>
      <c r="F72" s="19">
        <v>74.6825989544436</v>
      </c>
      <c r="G72" s="19"/>
      <c r="H72" s="19">
        <v>126.75130694548169</v>
      </c>
      <c r="J72" s="256">
        <v>3.38007710231516</v>
      </c>
    </row>
    <row r="73" spans="3:10" ht="15">
      <c r="C73" s="20" t="s">
        <v>411</v>
      </c>
      <c r="D73" s="19">
        <v>61.71497034277589</v>
      </c>
      <c r="E73" s="19"/>
      <c r="F73" s="19">
        <v>55.40780141843972</v>
      </c>
      <c r="G73" s="19"/>
      <c r="H73" s="19">
        <v>94.03812056737591</v>
      </c>
      <c r="J73" s="256">
        <v>2.5077145611702134</v>
      </c>
    </row>
    <row r="74" spans="3:10" ht="15">
      <c r="C74" s="20" t="s">
        <v>190</v>
      </c>
      <c r="D74" s="19">
        <v>65.7127896605557</v>
      </c>
      <c r="E74" s="19"/>
      <c r="F74" s="19">
        <v>58.99705014749262</v>
      </c>
      <c r="G74" s="19"/>
      <c r="H74" s="19">
        <v>100.12979351032448</v>
      </c>
      <c r="J74" s="256">
        <v>2.6701612035398226</v>
      </c>
    </row>
    <row r="75" spans="3:10" ht="15">
      <c r="C75" s="20" t="s">
        <v>463</v>
      </c>
      <c r="D75" s="19">
        <v>65.62760928272562</v>
      </c>
      <c r="E75" s="19"/>
      <c r="F75" s="19">
        <v>58.92057506481263</v>
      </c>
      <c r="G75" s="19"/>
      <c r="H75" s="19">
        <v>100</v>
      </c>
      <c r="J75" s="256">
        <v>2.6667</v>
      </c>
    </row>
    <row r="76" spans="3:10" ht="15">
      <c r="C76" s="20" t="s">
        <v>309</v>
      </c>
      <c r="D76" s="19">
        <v>66.63666076855634</v>
      </c>
      <c r="E76" s="19"/>
      <c r="F76" s="19">
        <v>59.82650314089141</v>
      </c>
      <c r="G76" s="19"/>
      <c r="H76" s="19">
        <v>101.53754113072091</v>
      </c>
      <c r="J76" s="256">
        <v>2.707701609332935</v>
      </c>
    </row>
    <row r="77" spans="3:10" ht="15">
      <c r="C77" s="20" t="s">
        <v>417</v>
      </c>
      <c r="D77" s="19">
        <v>84.97343490589098</v>
      </c>
      <c r="E77" s="19"/>
      <c r="F77" s="19">
        <v>76.28928898382667</v>
      </c>
      <c r="G77" s="19"/>
      <c r="H77" s="19">
        <v>129.47818126335062</v>
      </c>
      <c r="J77" s="256">
        <v>3.4527946597497707</v>
      </c>
    </row>
    <row r="78" spans="3:10" ht="15">
      <c r="C78" s="20" t="s">
        <v>310</v>
      </c>
      <c r="D78" s="19">
        <v>63.647530556938236</v>
      </c>
      <c r="E78" s="19"/>
      <c r="F78" s="19">
        <v>57.142857142857146</v>
      </c>
      <c r="G78" s="19"/>
      <c r="H78" s="19">
        <v>96.98285714285714</v>
      </c>
      <c r="J78" s="256">
        <v>2.5862418514285714</v>
      </c>
    </row>
    <row r="79" spans="3:10" ht="15">
      <c r="C79" s="20" t="s">
        <v>311</v>
      </c>
      <c r="D79" s="19">
        <v>15.334009536969894</v>
      </c>
      <c r="E79" s="19"/>
      <c r="F79" s="19">
        <v>13.766898868360913</v>
      </c>
      <c r="G79" s="19"/>
      <c r="H79" s="19">
        <v>23.365180759382145</v>
      </c>
      <c r="J79" s="256">
        <v>0.6230792753104437</v>
      </c>
    </row>
    <row r="80" ht="15.75" thickBot="1"/>
    <row r="81" spans="3:10" ht="15.75" thickBot="1">
      <c r="C81" s="20" t="s">
        <v>168</v>
      </c>
      <c r="D81" s="23">
        <v>111.38317847464192</v>
      </c>
      <c r="J81" s="22">
        <v>4.44</v>
      </c>
    </row>
    <row r="83" ht="15">
      <c r="A83" s="1" t="s">
        <v>342</v>
      </c>
    </row>
    <row r="84" ht="15">
      <c r="B84" s="1" t="s">
        <v>412</v>
      </c>
    </row>
    <row r="85" ht="15">
      <c r="B85" s="1" t="s">
        <v>543</v>
      </c>
    </row>
    <row r="86" ht="15">
      <c r="B86" s="1" t="s">
        <v>544</v>
      </c>
    </row>
    <row r="88" ht="15">
      <c r="A88" s="1" t="s">
        <v>337</v>
      </c>
    </row>
    <row r="89" ht="15">
      <c r="B89" s="1" t="s">
        <v>119</v>
      </c>
    </row>
    <row r="90" ht="15">
      <c r="B90" s="1" t="s">
        <v>346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Z76"/>
  <sheetViews>
    <sheetView workbookViewId="0" topLeftCell="A1">
      <selection activeCell="E1" sqref="E1"/>
    </sheetView>
  </sheetViews>
  <sheetFormatPr defaultColWidth="11.421875" defaultRowHeight="12.75"/>
  <cols>
    <col min="1" max="5" width="10.8515625" style="1" customWidth="1"/>
    <col min="6" max="9" width="10.8515625" style="215" customWidth="1"/>
    <col min="10" max="10" width="4.140625" style="1" customWidth="1"/>
    <col min="11" max="14" width="10.8515625" style="220" customWidth="1"/>
    <col min="15" max="15" width="4.140625" style="1" customWidth="1"/>
    <col min="16" max="19" width="10.8515625" style="225" customWidth="1"/>
    <col min="20" max="20" width="6.8515625" style="1" customWidth="1"/>
    <col min="21" max="22" width="10.8515625" style="239" customWidth="1"/>
    <col min="23" max="23" width="8.140625" style="239" customWidth="1"/>
    <col min="24" max="24" width="10.8515625" style="239" customWidth="1"/>
    <col min="25" max="25" width="3.8515625" style="239" customWidth="1"/>
    <col min="26" max="16384" width="10.8515625" style="1" customWidth="1"/>
  </cols>
  <sheetData>
    <row r="1" ht="16.5">
      <c r="B1" s="74" t="s">
        <v>145</v>
      </c>
    </row>
    <row r="2" ht="16.5">
      <c r="B2" s="74" t="s">
        <v>208</v>
      </c>
    </row>
    <row r="4" spans="1:14" ht="15">
      <c r="A4" s="1" t="s">
        <v>42</v>
      </c>
      <c r="F4" s="225"/>
      <c r="G4" s="225"/>
      <c r="H4" s="225"/>
      <c r="I4" s="225"/>
      <c r="K4" s="239"/>
      <c r="L4" s="239"/>
      <c r="M4" s="239"/>
      <c r="N4" s="239"/>
    </row>
    <row r="5" spans="2:14" ht="15">
      <c r="B5" s="1" t="s">
        <v>327</v>
      </c>
      <c r="F5" s="225"/>
      <c r="G5" s="225"/>
      <c r="H5" s="225"/>
      <c r="I5" s="225"/>
      <c r="K5" s="239"/>
      <c r="L5" s="239"/>
      <c r="M5" s="239"/>
      <c r="N5" s="239"/>
    </row>
    <row r="6" spans="2:14" ht="15">
      <c r="B6" s="1" t="s">
        <v>514</v>
      </c>
      <c r="F6" s="225"/>
      <c r="G6" s="225"/>
      <c r="H6" s="225"/>
      <c r="I6" s="225"/>
      <c r="K6" s="239"/>
      <c r="L6" s="239"/>
      <c r="M6" s="239"/>
      <c r="N6" s="239"/>
    </row>
    <row r="7" spans="2:14" ht="15">
      <c r="B7" s="1" t="s">
        <v>506</v>
      </c>
      <c r="F7" s="225"/>
      <c r="G7" s="225"/>
      <c r="H7" s="225"/>
      <c r="I7" s="225"/>
      <c r="K7" s="239"/>
      <c r="L7" s="239"/>
      <c r="M7" s="239"/>
      <c r="N7" s="239"/>
    </row>
    <row r="8" spans="2:14" ht="15">
      <c r="B8" s="1" t="s">
        <v>479</v>
      </c>
      <c r="F8" s="225"/>
      <c r="G8" s="225"/>
      <c r="H8" s="225"/>
      <c r="I8" s="225"/>
      <c r="K8" s="239"/>
      <c r="L8" s="239"/>
      <c r="M8" s="239"/>
      <c r="N8" s="239"/>
    </row>
    <row r="9" spans="2:14" ht="15">
      <c r="B9" s="1" t="s">
        <v>446</v>
      </c>
      <c r="F9" s="225"/>
      <c r="G9" s="225"/>
      <c r="H9" s="225"/>
      <c r="I9" s="225"/>
      <c r="K9" s="239"/>
      <c r="L9" s="239"/>
      <c r="M9" s="239"/>
      <c r="N9" s="239"/>
    </row>
    <row r="10" ht="15">
      <c r="A10" s="1" t="s">
        <v>51</v>
      </c>
    </row>
    <row r="11" spans="2:26" ht="15">
      <c r="B11" s="1" t="s">
        <v>158</v>
      </c>
      <c r="F11" s="1"/>
      <c r="J11" s="215"/>
      <c r="K11" s="1"/>
      <c r="O11" s="220"/>
      <c r="P11" s="1"/>
      <c r="T11" s="225"/>
      <c r="U11" s="1"/>
      <c r="Z11" s="239"/>
    </row>
    <row r="12" spans="2:26" ht="15">
      <c r="B12" s="1" t="s">
        <v>159</v>
      </c>
      <c r="F12" s="1"/>
      <c r="J12" s="215"/>
      <c r="K12" s="1"/>
      <c r="O12" s="220"/>
      <c r="P12" s="1"/>
      <c r="T12" s="225"/>
      <c r="U12" s="1"/>
      <c r="Z12" s="239"/>
    </row>
    <row r="13" spans="2:26" ht="15">
      <c r="B13" s="1" t="s">
        <v>109</v>
      </c>
      <c r="F13" s="1"/>
      <c r="J13" s="215"/>
      <c r="K13" s="1"/>
      <c r="O13" s="220"/>
      <c r="P13" s="1"/>
      <c r="T13" s="225"/>
      <c r="U13" s="1"/>
      <c r="Z13" s="239"/>
    </row>
    <row r="14" spans="2:26" ht="15">
      <c r="B14" s="1" t="s">
        <v>41</v>
      </c>
      <c r="F14" s="1"/>
      <c r="J14" s="215"/>
      <c r="K14" s="1"/>
      <c r="O14" s="220"/>
      <c r="P14" s="1"/>
      <c r="T14" s="225"/>
      <c r="U14" s="1"/>
      <c r="Z14" s="239"/>
    </row>
    <row r="15" spans="2:26" ht="15">
      <c r="B15" s="1" t="s">
        <v>53</v>
      </c>
      <c r="F15" s="1"/>
      <c r="J15" s="215"/>
      <c r="K15" s="1"/>
      <c r="O15" s="220"/>
      <c r="P15" s="1"/>
      <c r="T15" s="225"/>
      <c r="U15" s="1"/>
      <c r="Z15" s="239"/>
    </row>
    <row r="16" spans="2:26" ht="15">
      <c r="B16" s="1" t="s">
        <v>11</v>
      </c>
      <c r="F16" s="1"/>
      <c r="J16" s="215"/>
      <c r="K16" s="1"/>
      <c r="O16" s="220"/>
      <c r="P16" s="1"/>
      <c r="T16" s="225"/>
      <c r="U16" s="1"/>
      <c r="Z16" s="239"/>
    </row>
    <row r="17" spans="2:26" ht="15">
      <c r="B17" s="1" t="s">
        <v>30</v>
      </c>
      <c r="F17" s="1"/>
      <c r="J17" s="215"/>
      <c r="K17" s="1"/>
      <c r="O17" s="220"/>
      <c r="P17" s="1"/>
      <c r="T17" s="225"/>
      <c r="U17" s="1"/>
      <c r="Z17" s="239"/>
    </row>
    <row r="18" ht="15">
      <c r="A18" s="1" t="s">
        <v>177</v>
      </c>
    </row>
    <row r="19" spans="6:14" ht="15">
      <c r="F19" s="225"/>
      <c r="G19" s="225"/>
      <c r="H19" s="225"/>
      <c r="I19" s="225"/>
      <c r="K19" s="239"/>
      <c r="L19" s="239"/>
      <c r="M19" s="239"/>
      <c r="N19" s="239"/>
    </row>
    <row r="20" spans="1:14" ht="15">
      <c r="A20" s="12" t="s">
        <v>39</v>
      </c>
      <c r="F20" s="225"/>
      <c r="G20" s="225"/>
      <c r="H20" s="225"/>
      <c r="I20" s="225"/>
      <c r="K20" s="239"/>
      <c r="L20" s="239"/>
      <c r="M20" s="239"/>
      <c r="N20" s="239"/>
    </row>
    <row r="21" ht="15">
      <c r="A21" s="1" t="s">
        <v>149</v>
      </c>
    </row>
    <row r="22" ht="15">
      <c r="A22" s="1" t="s">
        <v>150</v>
      </c>
    </row>
    <row r="23" ht="15">
      <c r="B23" s="1" t="s">
        <v>7</v>
      </c>
    </row>
    <row r="24" ht="15">
      <c r="B24" s="1" t="s">
        <v>209</v>
      </c>
    </row>
    <row r="25" ht="15">
      <c r="B25" s="1" t="s">
        <v>101</v>
      </c>
    </row>
    <row r="27" ht="15">
      <c r="A27" s="1" t="s">
        <v>102</v>
      </c>
    </row>
    <row r="28" ht="15">
      <c r="B28" s="1" t="s">
        <v>294</v>
      </c>
    </row>
    <row r="30" ht="15">
      <c r="A30" s="1" t="s">
        <v>131</v>
      </c>
    </row>
    <row r="31" ht="15">
      <c r="A31" s="1" t="s">
        <v>66</v>
      </c>
    </row>
    <row r="32" ht="15">
      <c r="A32" s="1" t="s">
        <v>87</v>
      </c>
    </row>
    <row r="33" spans="1:6" ht="15">
      <c r="A33" s="20" t="s">
        <v>92</v>
      </c>
      <c r="B33" s="16" t="s">
        <v>134</v>
      </c>
      <c r="D33" s="16"/>
      <c r="F33" s="225"/>
    </row>
    <row r="34" ht="15">
      <c r="C34" s="1" t="s">
        <v>132</v>
      </c>
    </row>
    <row r="35" spans="6:14" ht="15">
      <c r="F35" s="225"/>
      <c r="G35" s="225"/>
      <c r="H35" s="225"/>
      <c r="I35" s="225"/>
      <c r="K35" s="239"/>
      <c r="L35" s="239"/>
      <c r="M35" s="239"/>
      <c r="N35" s="239"/>
    </row>
    <row r="36" spans="1:14" ht="15">
      <c r="A36" s="12" t="s">
        <v>70</v>
      </c>
      <c r="F36" s="225"/>
      <c r="G36" s="225"/>
      <c r="H36" s="225"/>
      <c r="I36" s="225"/>
      <c r="K36" s="239"/>
      <c r="L36" s="239"/>
      <c r="M36" s="239"/>
      <c r="N36" s="239"/>
    </row>
    <row r="37" spans="1:14" ht="15">
      <c r="A37" s="1" t="s">
        <v>38</v>
      </c>
      <c r="F37" s="225"/>
      <c r="G37" s="225"/>
      <c r="H37" s="225"/>
      <c r="I37" s="225"/>
      <c r="K37" s="239"/>
      <c r="L37" s="239"/>
      <c r="M37" s="239"/>
      <c r="N37" s="239"/>
    </row>
    <row r="38" spans="2:14" ht="15">
      <c r="B38" s="1" t="s">
        <v>437</v>
      </c>
      <c r="F38" s="225"/>
      <c r="G38" s="225"/>
      <c r="H38" s="225"/>
      <c r="I38" s="225"/>
      <c r="K38" s="239"/>
      <c r="L38" s="239"/>
      <c r="M38" s="239"/>
      <c r="N38" s="239"/>
    </row>
    <row r="39" spans="2:14" ht="15">
      <c r="B39" s="1" t="s">
        <v>454</v>
      </c>
      <c r="F39" s="225"/>
      <c r="G39" s="225"/>
      <c r="H39" s="225"/>
      <c r="I39" s="225"/>
      <c r="K39" s="239"/>
      <c r="L39" s="239"/>
      <c r="M39" s="239"/>
      <c r="N39" s="239"/>
    </row>
    <row r="40" spans="2:14" ht="15">
      <c r="B40" s="1" t="s">
        <v>567</v>
      </c>
      <c r="F40" s="225"/>
      <c r="G40" s="225"/>
      <c r="H40" s="225"/>
      <c r="I40" s="225"/>
      <c r="K40" s="239"/>
      <c r="L40" s="239"/>
      <c r="M40" s="239"/>
      <c r="N40" s="239"/>
    </row>
    <row r="41" spans="6:14" ht="15">
      <c r="F41" s="225"/>
      <c r="G41" s="225"/>
      <c r="H41" s="225"/>
      <c r="I41" s="225"/>
      <c r="K41" s="239"/>
      <c r="L41" s="239"/>
      <c r="M41" s="239"/>
      <c r="N41" s="239"/>
    </row>
    <row r="42" spans="1:14" ht="15">
      <c r="A42" s="1" t="s">
        <v>498</v>
      </c>
      <c r="F42" s="225"/>
      <c r="G42" s="225"/>
      <c r="H42" s="225"/>
      <c r="I42" s="225"/>
      <c r="K42" s="239"/>
      <c r="L42" s="239"/>
      <c r="M42" s="239"/>
      <c r="N42" s="239"/>
    </row>
    <row r="43" spans="6:14" ht="15">
      <c r="F43" s="225"/>
      <c r="G43" s="225"/>
      <c r="H43" s="225"/>
      <c r="I43" s="225"/>
      <c r="K43" s="239"/>
      <c r="L43" s="239"/>
      <c r="M43" s="239"/>
      <c r="N43" s="239"/>
    </row>
    <row r="44" ht="15.75" thickBot="1">
      <c r="U44" s="239" t="s">
        <v>91</v>
      </c>
    </row>
    <row r="45" spans="6:25" ht="15.75" thickBot="1">
      <c r="F45" s="216" t="s">
        <v>348</v>
      </c>
      <c r="G45" s="217"/>
      <c r="H45" s="217"/>
      <c r="I45" s="218"/>
      <c r="K45" s="221" t="s">
        <v>67</v>
      </c>
      <c r="L45" s="222"/>
      <c r="M45" s="222"/>
      <c r="N45" s="223"/>
      <c r="P45" s="226" t="s">
        <v>68</v>
      </c>
      <c r="Q45" s="227"/>
      <c r="R45" s="227"/>
      <c r="S45" s="228"/>
      <c r="U45" s="240" t="s">
        <v>69</v>
      </c>
      <c r="V45" s="241"/>
      <c r="W45" s="241"/>
      <c r="X45" s="242"/>
      <c r="Y45" s="251"/>
    </row>
    <row r="46" spans="6:26" ht="15">
      <c r="F46" s="219" t="s">
        <v>195</v>
      </c>
      <c r="G46" s="219" t="s">
        <v>196</v>
      </c>
      <c r="H46" s="219"/>
      <c r="I46" s="219" t="s">
        <v>296</v>
      </c>
      <c r="K46" s="224" t="s">
        <v>195</v>
      </c>
      <c r="L46" s="224" t="s">
        <v>196</v>
      </c>
      <c r="M46" s="224"/>
      <c r="N46" s="224" t="s">
        <v>296</v>
      </c>
      <c r="P46" s="229" t="s">
        <v>195</v>
      </c>
      <c r="Q46" s="229" t="s">
        <v>196</v>
      </c>
      <c r="R46" s="229"/>
      <c r="S46" s="229" t="s">
        <v>296</v>
      </c>
      <c r="U46" s="243" t="s">
        <v>195</v>
      </c>
      <c r="V46" s="243" t="s">
        <v>196</v>
      </c>
      <c r="W46" s="243"/>
      <c r="X46" s="243" t="s">
        <v>296</v>
      </c>
      <c r="Y46" s="243"/>
      <c r="Z46" s="1" t="s">
        <v>54</v>
      </c>
    </row>
    <row r="47" spans="6:26" ht="15">
      <c r="F47" s="219" t="s">
        <v>235</v>
      </c>
      <c r="G47" s="219" t="s">
        <v>161</v>
      </c>
      <c r="H47" s="219" t="s">
        <v>162</v>
      </c>
      <c r="I47" s="219" t="s">
        <v>161</v>
      </c>
      <c r="K47" s="224" t="s">
        <v>235</v>
      </c>
      <c r="L47" s="224" t="s">
        <v>161</v>
      </c>
      <c r="M47" s="224" t="s">
        <v>162</v>
      </c>
      <c r="N47" s="224" t="s">
        <v>161</v>
      </c>
      <c r="P47" s="229" t="s">
        <v>235</v>
      </c>
      <c r="Q47" s="229" t="s">
        <v>161</v>
      </c>
      <c r="R47" s="229" t="s">
        <v>162</v>
      </c>
      <c r="S47" s="229" t="s">
        <v>161</v>
      </c>
      <c r="U47" s="250" t="s">
        <v>8</v>
      </c>
      <c r="V47" s="250" t="s">
        <v>9</v>
      </c>
      <c r="W47" s="250" t="s">
        <v>10</v>
      </c>
      <c r="X47" s="250" t="s">
        <v>9</v>
      </c>
      <c r="Y47" s="250"/>
      <c r="Z47" s="16" t="s">
        <v>105</v>
      </c>
    </row>
    <row r="49" spans="1:23" ht="15">
      <c r="A49" s="230" t="s">
        <v>146</v>
      </c>
      <c r="B49" s="1" t="s">
        <v>93</v>
      </c>
      <c r="C49" s="1" t="s">
        <v>205</v>
      </c>
      <c r="F49" s="215">
        <v>73.06832358611827</v>
      </c>
      <c r="G49" s="215">
        <v>418.37451309653005</v>
      </c>
      <c r="H49" s="215">
        <v>882.3816557717354</v>
      </c>
      <c r="I49" s="215">
        <v>1373.8244924543837</v>
      </c>
      <c r="K49" s="220">
        <v>2116.8633333333332</v>
      </c>
      <c r="L49" s="220">
        <v>1966.2857142857142</v>
      </c>
      <c r="M49" s="220">
        <v>3080.25</v>
      </c>
      <c r="N49" s="220">
        <v>2689.772673902247</v>
      </c>
      <c r="P49" s="225">
        <v>154675.65502758892</v>
      </c>
      <c r="Q49" s="225">
        <v>822643.8283229485</v>
      </c>
      <c r="R49" s="225">
        <v>2717956.095190888</v>
      </c>
      <c r="S49" s="225">
        <f>SUM(P49:R49)</f>
        <v>3695275.578541425</v>
      </c>
      <c r="U49" s="239">
        <v>315.83649442829267</v>
      </c>
      <c r="V49" s="239">
        <v>310.2396773121431</v>
      </c>
      <c r="W49" s="239">
        <v>2523.9979975472734</v>
      </c>
    </row>
    <row r="50" spans="1:26" ht="15">
      <c r="A50" s="231" t="s">
        <v>90</v>
      </c>
      <c r="B50" s="1" t="s">
        <v>127</v>
      </c>
      <c r="C50" s="1" t="s">
        <v>128</v>
      </c>
      <c r="F50" s="215">
        <v>667.4157627999821</v>
      </c>
      <c r="G50" s="215">
        <v>3080.2713886087968</v>
      </c>
      <c r="H50" s="215">
        <v>1178.1666052207909</v>
      </c>
      <c r="I50" s="215">
        <v>4925.85375662957</v>
      </c>
      <c r="J50" s="252"/>
      <c r="K50" s="253">
        <f>K51+((K49-K51)*(U50-U51)/(U49-U51))</f>
        <v>229.96091895105462</v>
      </c>
      <c r="L50" s="255">
        <f>L51+((L49-L51)*(V50-V51)/(V49-V51))</f>
        <v>914.5001980954837</v>
      </c>
      <c r="M50" s="254">
        <v>325.24250368319986</v>
      </c>
      <c r="N50" s="220">
        <f>S50/I50</f>
        <v>680.8115626922453</v>
      </c>
      <c r="P50" s="225">
        <f>F50*K50</f>
        <v>153479.54213590297</v>
      </c>
      <c r="Q50" s="225">
        <f>G50*L50</f>
        <v>2816908.795070595</v>
      </c>
      <c r="R50" s="225">
        <f>H50*M50</f>
        <v>383189.85643794615</v>
      </c>
      <c r="S50" s="225">
        <f>SUM(P50:R50)</f>
        <v>3353578.1936444445</v>
      </c>
      <c r="U50" s="244">
        <v>51.415931963589024</v>
      </c>
      <c r="V50" s="244">
        <v>206.52926226447693</v>
      </c>
      <c r="W50" s="246">
        <v>77.52959706271542</v>
      </c>
      <c r="Z50" s="1" t="s">
        <v>108</v>
      </c>
    </row>
    <row r="51" spans="1:23" ht="15">
      <c r="A51" s="232"/>
      <c r="B51" s="1" t="s">
        <v>129</v>
      </c>
      <c r="C51" s="1" t="s">
        <v>81</v>
      </c>
      <c r="F51" s="215">
        <v>775.8023188137779</v>
      </c>
      <c r="G51" s="215">
        <v>2820.9063430519577</v>
      </c>
      <c r="H51" s="215">
        <v>651.7599203163319</v>
      </c>
      <c r="I51" s="215">
        <v>4248.055340350436</v>
      </c>
      <c r="K51" s="220">
        <v>202.73675159235674</v>
      </c>
      <c r="L51" s="220">
        <v>241.84432174927696</v>
      </c>
      <c r="M51" s="220">
        <v>325.24250368319986</v>
      </c>
      <c r="N51" s="220">
        <v>247.52122260372042</v>
      </c>
      <c r="P51" s="215">
        <v>157283.64199412323</v>
      </c>
      <c r="Q51" s="215">
        <v>682220.1812536339</v>
      </c>
      <c r="R51" s="215">
        <v>211980.02828404662</v>
      </c>
      <c r="S51" s="225">
        <f>SUM(P51:R51)</f>
        <v>1051483.8515318038</v>
      </c>
      <c r="U51" s="239">
        <v>47.600880591164575</v>
      </c>
      <c r="V51" s="239">
        <v>140.20260245953304</v>
      </c>
      <c r="W51" s="239">
        <v>233.50642595360472</v>
      </c>
    </row>
    <row r="52" spans="11:22" ht="15">
      <c r="K52" s="239"/>
      <c r="L52" s="239"/>
      <c r="U52" s="239">
        <f>(U50/U51)/(U49/U51)</f>
        <v>0.1627928781841975</v>
      </c>
      <c r="V52" s="239">
        <f>(V50/V51)/(V49/V51)</f>
        <v>0.6657087322092607</v>
      </c>
    </row>
    <row r="53" spans="1:22" ht="15">
      <c r="A53" s="233" t="s">
        <v>557</v>
      </c>
      <c r="B53" s="1" t="s">
        <v>93</v>
      </c>
      <c r="C53" s="1" t="s">
        <v>205</v>
      </c>
      <c r="F53" s="215">
        <v>117.91392216585365</v>
      </c>
      <c r="G53" s="215">
        <v>29.834942367723077</v>
      </c>
      <c r="I53" s="215">
        <v>147.74886453357672</v>
      </c>
      <c r="K53" s="220">
        <v>1091.9150827423168</v>
      </c>
      <c r="L53" s="220">
        <v>1381.1571428571426</v>
      </c>
      <c r="N53" s="220">
        <v>1204.5617328051565</v>
      </c>
      <c r="P53" s="225">
        <v>121177.34024424347</v>
      </c>
      <c r="Q53" s="225">
        <v>56795.28803831604</v>
      </c>
      <c r="S53" s="225">
        <f>SUM(P53:R53)</f>
        <v>177972.6282825595</v>
      </c>
      <c r="U53" s="239">
        <v>178.28690125643075</v>
      </c>
      <c r="V53" s="239">
        <v>110.54445259309325</v>
      </c>
    </row>
    <row r="54" spans="1:26" ht="15">
      <c r="A54" s="234"/>
      <c r="B54" s="1" t="s">
        <v>127</v>
      </c>
      <c r="C54" s="1" t="s">
        <v>128</v>
      </c>
      <c r="F54" s="215">
        <v>1154.5334611142407</v>
      </c>
      <c r="G54" s="215">
        <v>783.6668068421761</v>
      </c>
      <c r="I54" s="215">
        <v>1938.2002679564166</v>
      </c>
      <c r="K54" s="253">
        <f>K55+((K53-K55)*(U54-U55)/(U53-U55))</f>
        <v>352.2950491733021</v>
      </c>
      <c r="L54" s="254">
        <v>182.46282726568552</v>
      </c>
      <c r="N54" s="239">
        <f>S54/I54</f>
        <v>283.62728700155196</v>
      </c>
      <c r="P54" s="225">
        <f>F54*K54</f>
        <v>406736.42245546414</v>
      </c>
      <c r="Q54" s="225">
        <f>G54*L54</f>
        <v>142990.06121069533</v>
      </c>
      <c r="S54" s="225">
        <f>SUM(P54:R54)</f>
        <v>549726.4836661594</v>
      </c>
      <c r="U54" s="244">
        <v>89.69296498269976</v>
      </c>
      <c r="V54" s="247"/>
      <c r="Z54" s="1" t="s">
        <v>107</v>
      </c>
    </row>
    <row r="55" spans="1:26" ht="15">
      <c r="A55" s="235"/>
      <c r="B55" s="1" t="s">
        <v>129</v>
      </c>
      <c r="C55" s="1" t="s">
        <v>81</v>
      </c>
      <c r="F55" s="215">
        <v>2157.7516722846053</v>
      </c>
      <c r="G55" s="215">
        <v>1708.9985489076748</v>
      </c>
      <c r="I55" s="215">
        <v>3867.1457648591004</v>
      </c>
      <c r="K55" s="220">
        <v>191.7652290076336</v>
      </c>
      <c r="L55" s="220">
        <v>182.46282726568552</v>
      </c>
      <c r="N55" s="220">
        <v>187.63462634317008</v>
      </c>
      <c r="P55" s="215">
        <v>413781.7435772617</v>
      </c>
      <c r="Q55" s="215">
        <v>311828.7070266483</v>
      </c>
      <c r="R55" s="215"/>
      <c r="S55" s="225">
        <f>SUM(P55:R55)</f>
        <v>725610.45060391</v>
      </c>
      <c r="U55" s="239">
        <v>70.46421506747228</v>
      </c>
      <c r="V55" s="239">
        <v>45.65557138100699</v>
      </c>
      <c r="Z55" s="1" t="s">
        <v>245</v>
      </c>
    </row>
    <row r="56" ht="15">
      <c r="K56" s="239"/>
    </row>
    <row r="57" spans="1:23" ht="15">
      <c r="A57" s="236" t="s">
        <v>82</v>
      </c>
      <c r="B57" s="1" t="s">
        <v>93</v>
      </c>
      <c r="C57" s="1" t="s">
        <v>205</v>
      </c>
      <c r="F57" s="215">
        <v>418.3118998912392</v>
      </c>
      <c r="G57" s="215">
        <v>1323.11769699443</v>
      </c>
      <c r="H57" s="215">
        <v>6823.212143248941</v>
      </c>
      <c r="I57" s="215">
        <v>8564.64174013461</v>
      </c>
      <c r="K57" s="220">
        <v>119.1</v>
      </c>
      <c r="L57" s="220">
        <v>119.1</v>
      </c>
      <c r="M57" s="220">
        <v>2063.204102564103</v>
      </c>
      <c r="N57" s="220">
        <v>1667.9137300821862</v>
      </c>
      <c r="P57" s="225">
        <v>49820.94727704659</v>
      </c>
      <c r="Q57" s="225">
        <v>157583.3177120366</v>
      </c>
      <c r="R57" s="225">
        <v>14077679.28661642</v>
      </c>
      <c r="S57" s="225">
        <f>SUM(P57:R57)</f>
        <v>14285083.551605504</v>
      </c>
      <c r="U57" s="239">
        <v>11.010172472666678</v>
      </c>
      <c r="V57" s="239">
        <v>214.8765060449251</v>
      </c>
      <c r="W57" s="239">
        <v>823.6612657562525</v>
      </c>
    </row>
    <row r="58" spans="1:26" ht="15">
      <c r="A58" s="237"/>
      <c r="B58" s="1" t="s">
        <v>127</v>
      </c>
      <c r="C58" s="1" t="s">
        <v>128</v>
      </c>
      <c r="F58" s="215">
        <v>3062.3009381742895</v>
      </c>
      <c r="G58" s="215">
        <v>7369.687771188914</v>
      </c>
      <c r="H58" s="215">
        <v>3965.7747181733102</v>
      </c>
      <c r="I58" s="215">
        <v>14397.763427536514</v>
      </c>
      <c r="K58" s="253">
        <v>202.17551728032527</v>
      </c>
      <c r="L58" s="255">
        <v>191.19105792375166</v>
      </c>
      <c r="M58" s="254">
        <f>M59+((M57-M59)*(W58-W59)/(W57-W59))</f>
        <v>325.4029709741124</v>
      </c>
      <c r="N58" s="239">
        <f>S58/I58</f>
        <v>230.49521337080316</v>
      </c>
      <c r="P58" s="225">
        <f>F58*K58</f>
        <v>619122.2762434124</v>
      </c>
      <c r="Q58" s="225">
        <f>G58*L58</f>
        <v>1409018.401541344</v>
      </c>
      <c r="R58" s="225">
        <f>H58*M58</f>
        <v>1290474.8755076185</v>
      </c>
      <c r="S58" s="225">
        <f>SUM(P58:R58)</f>
        <v>3318615.553292375</v>
      </c>
      <c r="U58" s="245">
        <v>149.971408966624</v>
      </c>
      <c r="V58" s="246">
        <v>215.60234494248704</v>
      </c>
      <c r="W58" s="244">
        <v>88.58999442722939</v>
      </c>
      <c r="Z58" s="1" t="s">
        <v>562</v>
      </c>
    </row>
    <row r="59" spans="1:26" ht="15">
      <c r="A59" s="238"/>
      <c r="B59" s="1" t="s">
        <v>129</v>
      </c>
      <c r="C59" s="1" t="s">
        <v>81</v>
      </c>
      <c r="F59" s="215">
        <v>14583.76588275412</v>
      </c>
      <c r="G59" s="215">
        <v>34095.4897267693</v>
      </c>
      <c r="H59" s="215">
        <v>9836.081307793429</v>
      </c>
      <c r="I59" s="215">
        <v>58516.18039496218</v>
      </c>
      <c r="K59" s="220">
        <v>202.17551728032527</v>
      </c>
      <c r="L59" s="220">
        <v>191.19105792375166</v>
      </c>
      <c r="M59" s="220">
        <v>228.75901718823866</v>
      </c>
      <c r="N59" s="220">
        <v>200.24077744646516</v>
      </c>
      <c r="P59" s="215">
        <v>2948480.4112409735</v>
      </c>
      <c r="Q59" s="215">
        <v>6518752.751289429</v>
      </c>
      <c r="R59" s="215">
        <v>2250092.29295443</v>
      </c>
      <c r="S59" s="225">
        <f>SUM(P59:R59)</f>
        <v>11717325.455484834</v>
      </c>
      <c r="U59" s="239">
        <v>41.972328574485715</v>
      </c>
      <c r="V59" s="239">
        <v>68.77824059347903</v>
      </c>
      <c r="W59" s="239">
        <v>47.71063678137045</v>
      </c>
      <c r="Z59" s="1" t="s">
        <v>499</v>
      </c>
    </row>
    <row r="60" ht="15">
      <c r="M60" s="239"/>
    </row>
    <row r="61" spans="1:20" ht="15.75" thickBot="1">
      <c r="A61" s="266" t="s">
        <v>556</v>
      </c>
      <c r="T61" s="12" t="s">
        <v>14</v>
      </c>
    </row>
    <row r="62" spans="1:20" ht="15.75" thickBot="1">
      <c r="A62" s="267" t="s">
        <v>558</v>
      </c>
      <c r="B62" s="1" t="s">
        <v>127</v>
      </c>
      <c r="C62" s="1" t="s">
        <v>128</v>
      </c>
      <c r="F62" s="215">
        <f>F54+F58</f>
        <v>4216.83439928853</v>
      </c>
      <c r="G62" s="225">
        <f>G54+G58</f>
        <v>8153.35457803109</v>
      </c>
      <c r="H62" s="225">
        <f>H54+H58</f>
        <v>3965.7747181733102</v>
      </c>
      <c r="I62" s="225">
        <f>I54+I58</f>
        <v>16335.96369549293</v>
      </c>
      <c r="K62" s="240">
        <f>((F54*K54)+(F58*K58))/F62</f>
        <v>243.2769707228628</v>
      </c>
      <c r="L62" s="241">
        <f>((G54*L54)+(G58*L58))/G62</f>
        <v>190.35213639964442</v>
      </c>
      <c r="M62" s="242">
        <f>((H54*M54)+(H58*M58))/H62</f>
        <v>325.4029709741124</v>
      </c>
      <c r="T62" s="239" t="s">
        <v>56</v>
      </c>
    </row>
    <row r="63" spans="1:23" ht="15">
      <c r="A63" s="268" t="s">
        <v>559</v>
      </c>
      <c r="U63" s="250" t="s">
        <v>403</v>
      </c>
      <c r="V63" s="250" t="s">
        <v>13</v>
      </c>
      <c r="W63" s="250" t="s">
        <v>171</v>
      </c>
    </row>
    <row r="64" spans="2:23" ht="15">
      <c r="B64" s="1" t="s">
        <v>564</v>
      </c>
      <c r="T64" s="20" t="s">
        <v>516</v>
      </c>
      <c r="U64" s="243" t="s">
        <v>502</v>
      </c>
      <c r="V64" s="243" t="s">
        <v>521</v>
      </c>
      <c r="W64" s="249" t="s">
        <v>502</v>
      </c>
    </row>
    <row r="65" spans="20:23" ht="15">
      <c r="T65" s="20" t="s">
        <v>505</v>
      </c>
      <c r="U65" s="249" t="s">
        <v>178</v>
      </c>
      <c r="V65" s="243"/>
      <c r="W65" s="243"/>
    </row>
    <row r="66" spans="20:23" ht="15">
      <c r="T66" s="20" t="s">
        <v>263</v>
      </c>
      <c r="U66" s="243" t="s">
        <v>34</v>
      </c>
      <c r="V66" s="243" t="s">
        <v>521</v>
      </c>
      <c r="W66" s="243" t="s">
        <v>31</v>
      </c>
    </row>
    <row r="67" spans="21:23" ht="15">
      <c r="U67" s="243"/>
      <c r="V67" s="243"/>
      <c r="W67" s="243"/>
    </row>
    <row r="68" spans="20:23" ht="15">
      <c r="T68" s="248" t="s">
        <v>57</v>
      </c>
      <c r="V68" s="243"/>
      <c r="W68" s="243"/>
    </row>
    <row r="69" spans="20:26" ht="15">
      <c r="T69" s="20" t="s">
        <v>516</v>
      </c>
      <c r="U69" s="243" t="s">
        <v>520</v>
      </c>
      <c r="V69" s="243" t="s">
        <v>523</v>
      </c>
      <c r="W69" s="249" t="s">
        <v>502</v>
      </c>
      <c r="Z69" s="239" t="s">
        <v>12</v>
      </c>
    </row>
    <row r="70" spans="20:23" ht="15">
      <c r="T70" s="20" t="s">
        <v>553</v>
      </c>
      <c r="U70" s="243" t="s">
        <v>503</v>
      </c>
      <c r="V70" s="243"/>
      <c r="W70" s="243"/>
    </row>
    <row r="71" spans="20:26" ht="15">
      <c r="T71" s="20" t="s">
        <v>263</v>
      </c>
      <c r="U71" s="249" t="s">
        <v>502</v>
      </c>
      <c r="V71" s="243" t="s">
        <v>515</v>
      </c>
      <c r="W71" s="243" t="s">
        <v>521</v>
      </c>
      <c r="Z71" s="1" t="s">
        <v>114</v>
      </c>
    </row>
    <row r="72" spans="21:23" ht="15">
      <c r="U72" s="243"/>
      <c r="V72" s="243"/>
      <c r="W72" s="243"/>
    </row>
    <row r="73" spans="20:23" ht="15">
      <c r="T73" s="248" t="s">
        <v>29</v>
      </c>
      <c r="V73" s="243"/>
      <c r="W73" s="243"/>
    </row>
    <row r="74" spans="20:23" ht="15">
      <c r="T74" s="20" t="s">
        <v>516</v>
      </c>
      <c r="U74" s="243" t="s">
        <v>252</v>
      </c>
      <c r="V74" s="243" t="s">
        <v>62</v>
      </c>
      <c r="W74" s="249" t="s">
        <v>33</v>
      </c>
    </row>
    <row r="75" spans="20:23" ht="15">
      <c r="T75" s="20" t="s">
        <v>553</v>
      </c>
      <c r="U75" s="243" t="s">
        <v>61</v>
      </c>
      <c r="V75" s="243"/>
      <c r="W75" s="243"/>
    </row>
    <row r="76" spans="20:23" ht="15">
      <c r="T76" s="20" t="s">
        <v>263</v>
      </c>
      <c r="U76" s="243" t="s">
        <v>251</v>
      </c>
      <c r="V76" s="243" t="s">
        <v>63</v>
      </c>
      <c r="W76" s="243" t="s">
        <v>32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132"/>
  <sheetViews>
    <sheetView workbookViewId="0" topLeftCell="A16">
      <selection activeCell="K26" sqref="K26"/>
    </sheetView>
  </sheetViews>
  <sheetFormatPr defaultColWidth="11.421875" defaultRowHeight="12.75"/>
  <cols>
    <col min="1" max="1" width="16.7109375" style="1" customWidth="1"/>
    <col min="2" max="2" width="11.00390625" style="1" customWidth="1"/>
    <col min="3" max="3" width="12.140625" style="1" customWidth="1"/>
    <col min="4" max="4" width="9.8515625" style="1" customWidth="1"/>
    <col min="5" max="5" width="12.140625" style="1" customWidth="1"/>
    <col min="6" max="9" width="10.8515625" style="1" customWidth="1"/>
    <col min="10" max="10" width="12.140625" style="1" customWidth="1"/>
    <col min="11" max="16384" width="10.8515625" style="1" customWidth="1"/>
  </cols>
  <sheetData>
    <row r="1" spans="11:17" ht="16.5">
      <c r="K1" s="139" t="s">
        <v>20</v>
      </c>
      <c r="Q1" s="1" t="s">
        <v>16</v>
      </c>
    </row>
    <row r="2" spans="2:17" ht="16.5">
      <c r="B2" s="214" t="s">
        <v>548</v>
      </c>
      <c r="K2" s="1" t="s">
        <v>228</v>
      </c>
      <c r="Q2" s="1" t="s">
        <v>15</v>
      </c>
    </row>
    <row r="4" spans="1:15" ht="15.75" thickBot="1">
      <c r="A4" s="12" t="s">
        <v>577</v>
      </c>
      <c r="K4" s="21" t="s">
        <v>106</v>
      </c>
      <c r="L4" s="21" t="s">
        <v>223</v>
      </c>
      <c r="M4" s="21" t="s">
        <v>285</v>
      </c>
      <c r="N4" s="16" t="s">
        <v>360</v>
      </c>
      <c r="O4" s="16"/>
    </row>
    <row r="5" spans="1:17" ht="15">
      <c r="A5" s="1" t="s">
        <v>504</v>
      </c>
      <c r="K5" s="209"/>
      <c r="L5" s="209"/>
      <c r="M5" s="209"/>
      <c r="N5" s="209"/>
      <c r="O5" s="203"/>
      <c r="P5" s="154" t="s">
        <v>71</v>
      </c>
      <c r="Q5" s="155"/>
    </row>
    <row r="6" spans="1:18" ht="15">
      <c r="A6" s="1" t="s">
        <v>546</v>
      </c>
      <c r="K6" s="210">
        <f>100*D18/D$43</f>
        <v>59.93679899551236</v>
      </c>
      <c r="L6" s="210">
        <f>100*G18/G$43</f>
        <v>38.11731494640996</v>
      </c>
      <c r="M6" s="210">
        <f>100*H18/H$43</f>
        <v>23.681379109645295</v>
      </c>
      <c r="N6" s="210">
        <f>100*I18/I$43</f>
        <v>33.900568334110375</v>
      </c>
      <c r="P6" s="140" t="s">
        <v>21</v>
      </c>
      <c r="Q6" s="141"/>
      <c r="R6" s="1" t="s">
        <v>72</v>
      </c>
    </row>
    <row r="7" spans="1:18" ht="15">
      <c r="A7" s="1" t="s">
        <v>78</v>
      </c>
      <c r="K7" s="209"/>
      <c r="L7" s="209"/>
      <c r="M7" s="209"/>
      <c r="N7" s="209"/>
      <c r="P7" s="140" t="s">
        <v>22</v>
      </c>
      <c r="Q7" s="141"/>
      <c r="R7" s="1" t="s">
        <v>73</v>
      </c>
    </row>
    <row r="8" spans="1:17" ht="15">
      <c r="A8" s="1" t="s">
        <v>489</v>
      </c>
      <c r="K8" s="209"/>
      <c r="L8" s="209"/>
      <c r="M8" s="209"/>
      <c r="N8" s="209"/>
      <c r="P8" s="164" t="s">
        <v>23</v>
      </c>
      <c r="Q8" s="165"/>
    </row>
    <row r="9" spans="2:18" ht="15">
      <c r="B9" s="1" t="s">
        <v>148</v>
      </c>
      <c r="O9" s="162" t="s">
        <v>76</v>
      </c>
      <c r="P9" s="142" t="s">
        <v>94</v>
      </c>
      <c r="Q9" s="143"/>
      <c r="R9" s="162" t="s">
        <v>76</v>
      </c>
    </row>
    <row r="10" spans="15:18" ht="15">
      <c r="O10" s="48" t="s">
        <v>76</v>
      </c>
      <c r="P10" s="142" t="s">
        <v>182</v>
      </c>
      <c r="Q10" s="143"/>
      <c r="R10" s="48" t="s">
        <v>76</v>
      </c>
    </row>
    <row r="11" spans="4:18" ht="15">
      <c r="D11" s="212" t="s">
        <v>570</v>
      </c>
      <c r="O11" s="48" t="s">
        <v>76</v>
      </c>
      <c r="P11" s="142"/>
      <c r="Q11" s="143"/>
      <c r="R11" s="48" t="s">
        <v>76</v>
      </c>
    </row>
    <row r="12" spans="3:19" ht="15">
      <c r="C12" s="270" t="s">
        <v>46</v>
      </c>
      <c r="D12" s="273">
        <v>56627.58000486085</v>
      </c>
      <c r="E12" s="275" t="s">
        <v>18</v>
      </c>
      <c r="F12" s="212"/>
      <c r="G12" s="273">
        <v>32288.03595478185</v>
      </c>
      <c r="H12" s="273">
        <v>101642.1824922732</v>
      </c>
      <c r="I12" s="273">
        <v>190557.7984519159</v>
      </c>
      <c r="O12" s="48" t="s">
        <v>76</v>
      </c>
      <c r="P12" s="144"/>
      <c r="Q12" s="145"/>
      <c r="R12" s="48" t="s">
        <v>76</v>
      </c>
      <c r="S12" s="1" t="s">
        <v>121</v>
      </c>
    </row>
    <row r="13" spans="3:18" ht="15">
      <c r="C13" s="270" t="s">
        <v>47</v>
      </c>
      <c r="O13" s="48" t="s">
        <v>76</v>
      </c>
      <c r="P13" s="146" t="s">
        <v>183</v>
      </c>
      <c r="Q13" s="147"/>
      <c r="R13" s="48" t="s">
        <v>76</v>
      </c>
    </row>
    <row r="14" spans="1:18" ht="15.75" thickBot="1">
      <c r="A14" s="1" t="s">
        <v>586</v>
      </c>
      <c r="O14" s="48" t="s">
        <v>330</v>
      </c>
      <c r="P14" s="146" t="s">
        <v>277</v>
      </c>
      <c r="Q14" s="147"/>
      <c r="R14" s="48" t="s">
        <v>330</v>
      </c>
    </row>
    <row r="15" spans="4:19" ht="15.75" thickBot="1">
      <c r="D15" s="21" t="s">
        <v>403</v>
      </c>
      <c r="E15" s="21"/>
      <c r="F15" s="21"/>
      <c r="G15" s="21" t="s">
        <v>267</v>
      </c>
      <c r="H15" s="21" t="s">
        <v>171</v>
      </c>
      <c r="I15" s="132" t="s">
        <v>188</v>
      </c>
      <c r="K15" s="203">
        <f>100*D29/D$43</f>
        <v>21.18698236295598</v>
      </c>
      <c r="L15" s="203">
        <f>100*G29/G$43</f>
        <v>40.77295810203964</v>
      </c>
      <c r="M15" s="203">
        <f>100*H29/H$43</f>
        <v>42.29455490465165</v>
      </c>
      <c r="N15" s="203">
        <f>100*I29/I$43</f>
        <v>37.30176632273354</v>
      </c>
      <c r="O15" s="48" t="s">
        <v>229</v>
      </c>
      <c r="P15" s="146" t="s">
        <v>24</v>
      </c>
      <c r="Q15" s="147"/>
      <c r="R15" s="48" t="s">
        <v>77</v>
      </c>
      <c r="S15" s="1" t="s">
        <v>427</v>
      </c>
    </row>
    <row r="16" spans="1:18" ht="15">
      <c r="A16" s="1" t="s">
        <v>25</v>
      </c>
      <c r="D16" s="157">
        <v>93273.47744497616</v>
      </c>
      <c r="E16" s="275" t="s">
        <v>17</v>
      </c>
      <c r="G16" s="157">
        <v>41619.39691112247</v>
      </c>
      <c r="H16" s="157">
        <v>128626.97929714638</v>
      </c>
      <c r="I16" s="157">
        <f>D16+H16+G16</f>
        <v>263519.853653245</v>
      </c>
      <c r="O16" s="48" t="s">
        <v>76</v>
      </c>
      <c r="P16" s="152"/>
      <c r="Q16" s="153"/>
      <c r="R16" s="48" t="s">
        <v>76</v>
      </c>
    </row>
    <row r="17" spans="1:18" ht="15">
      <c r="A17" s="1" t="s">
        <v>186</v>
      </c>
      <c r="D17" s="211">
        <v>137.07</v>
      </c>
      <c r="E17" s="11"/>
      <c r="G17" s="212">
        <v>119.88000000000001</v>
      </c>
      <c r="H17" s="213">
        <v>110</v>
      </c>
      <c r="I17" s="158">
        <f>((D16*D17)+(G16*G17)+(H16*H17))/I16</f>
        <v>121.14190310602137</v>
      </c>
      <c r="O17" s="48" t="s">
        <v>76</v>
      </c>
      <c r="P17" s="152" t="s">
        <v>184</v>
      </c>
      <c r="Q17" s="153"/>
      <c r="R17" s="48" t="s">
        <v>76</v>
      </c>
    </row>
    <row r="18" spans="1:18" ht="15.75" thickBot="1">
      <c r="A18" s="120" t="s">
        <v>545</v>
      </c>
      <c r="D18" s="159">
        <f>D16*D17/1000</f>
        <v>12784.995553382882</v>
      </c>
      <c r="E18" s="159"/>
      <c r="G18" s="225">
        <f>G16*G17/1000</f>
        <v>4989.333301705362</v>
      </c>
      <c r="H18" s="225">
        <f>H16*H17/1000</f>
        <v>14148.9677226861</v>
      </c>
      <c r="I18" s="225">
        <f>I16*I17/1000</f>
        <v>31923.29657777434</v>
      </c>
      <c r="O18" s="163" t="s">
        <v>76</v>
      </c>
      <c r="P18" s="152" t="s">
        <v>75</v>
      </c>
      <c r="Q18" s="156"/>
      <c r="R18" s="163" t="s">
        <v>76</v>
      </c>
    </row>
    <row r="19" spans="4:17" ht="15">
      <c r="D19" s="274"/>
      <c r="G19" s="274"/>
      <c r="H19" s="274"/>
      <c r="I19" s="274"/>
      <c r="J19" s="159"/>
      <c r="K19" s="205"/>
      <c r="L19" s="205"/>
      <c r="M19" s="205"/>
      <c r="N19" s="206"/>
      <c r="O19" s="201"/>
      <c r="P19" s="148"/>
      <c r="Q19" s="149"/>
    </row>
    <row r="20" spans="4:18" ht="15">
      <c r="D20" s="159"/>
      <c r="F20" s="159"/>
      <c r="H20" s="159"/>
      <c r="I20" s="159"/>
      <c r="K20" s="207"/>
      <c r="L20" s="207"/>
      <c r="M20" s="207"/>
      <c r="N20" s="207"/>
      <c r="P20" s="150" t="s">
        <v>89</v>
      </c>
      <c r="Q20" s="151"/>
      <c r="R20" s="1" t="s">
        <v>282</v>
      </c>
    </row>
    <row r="21" spans="11:18" ht="15">
      <c r="K21" s="208">
        <f>100*D38/D$43</f>
        <v>18.87621864153165</v>
      </c>
      <c r="L21" s="208">
        <f>100*G38/G$43</f>
        <v>21.109726951550392</v>
      </c>
      <c r="M21" s="208">
        <f>100*H38/H$43</f>
        <v>34.02406598570306</v>
      </c>
      <c r="N21" s="208">
        <f>100*I38/I$43</f>
        <v>28.797665343156076</v>
      </c>
      <c r="P21" s="150"/>
      <c r="Q21" s="151"/>
      <c r="R21" s="1" t="s">
        <v>74</v>
      </c>
    </row>
    <row r="22" spans="1:18" ht="15.75" thickBot="1">
      <c r="A22" s="1" t="s">
        <v>115</v>
      </c>
      <c r="K22" s="207"/>
      <c r="L22" s="207"/>
      <c r="M22" s="207"/>
      <c r="N22" s="207"/>
      <c r="P22" s="160"/>
      <c r="Q22" s="161"/>
      <c r="R22" s="1" t="s">
        <v>283</v>
      </c>
    </row>
    <row r="23" spans="7:14" ht="15.75" thickBot="1">
      <c r="G23" s="1" t="s">
        <v>123</v>
      </c>
      <c r="K23" s="204">
        <f>K6+K15+K21</f>
        <v>99.99999999999999</v>
      </c>
      <c r="L23" s="204">
        <f>L6+L15+L21</f>
        <v>100</v>
      </c>
      <c r="M23" s="204">
        <f>M6+M15+M21</f>
        <v>100</v>
      </c>
      <c r="N23" s="204">
        <f>N6+N15+N21</f>
        <v>100</v>
      </c>
    </row>
    <row r="24" spans="4:9" ht="15.75" thickBot="1">
      <c r="D24" s="21" t="s">
        <v>403</v>
      </c>
      <c r="E24" s="21" t="s">
        <v>331</v>
      </c>
      <c r="F24" s="21" t="s">
        <v>492</v>
      </c>
      <c r="G24" s="21" t="s">
        <v>223</v>
      </c>
      <c r="H24" s="21" t="s">
        <v>185</v>
      </c>
      <c r="I24" s="132" t="s">
        <v>188</v>
      </c>
    </row>
    <row r="25" spans="3:12" ht="15">
      <c r="C25" s="20" t="s">
        <v>45</v>
      </c>
      <c r="D25" s="273">
        <v>56627.58000486085</v>
      </c>
      <c r="E25" s="275">
        <v>10938.876309916574</v>
      </c>
      <c r="F25" s="275">
        <v>21349.159641896378</v>
      </c>
      <c r="G25" s="273">
        <v>32288.03595478185</v>
      </c>
      <c r="H25" s="273">
        <v>101642.1824922732</v>
      </c>
      <c r="I25" s="276">
        <f>D25+G25+H25</f>
        <v>190557.7984519159</v>
      </c>
      <c r="J25" s="179" t="s">
        <v>414</v>
      </c>
      <c r="K25" s="1" t="s">
        <v>448</v>
      </c>
      <c r="L25" s="178"/>
    </row>
    <row r="26" spans="3:11" ht="15">
      <c r="C26" s="20" t="s">
        <v>329</v>
      </c>
      <c r="D26" s="1">
        <v>177</v>
      </c>
      <c r="E26" s="11">
        <v>70</v>
      </c>
      <c r="F26" s="1">
        <v>96</v>
      </c>
      <c r="G26" s="1">
        <f>E26+F26</f>
        <v>166</v>
      </c>
      <c r="H26" s="166">
        <v>193</v>
      </c>
      <c r="I26" s="1">
        <f>SUM(D26:H26)</f>
        <v>702</v>
      </c>
      <c r="J26" s="179" t="s">
        <v>414</v>
      </c>
      <c r="K26" s="1" t="s">
        <v>86</v>
      </c>
    </row>
    <row r="27" spans="3:11" ht="15">
      <c r="C27" s="168" t="s">
        <v>221</v>
      </c>
      <c r="D27" s="167">
        <v>17.974845608364657</v>
      </c>
      <c r="E27" s="167">
        <v>14</v>
      </c>
      <c r="F27" s="167">
        <v>49.12931407082021</v>
      </c>
      <c r="G27" s="180">
        <f>((E27*E25)+(F27*F25))/G25</f>
        <v>37.22784003390645</v>
      </c>
      <c r="H27" s="167">
        <v>55.994487303213965</v>
      </c>
      <c r="I27" s="169">
        <f>((D27*D25)+(E27*E25)+(F27*F25)+(H27*H25))/I25</f>
        <v>41.51647325169513</v>
      </c>
      <c r="J27" s="179" t="s">
        <v>414</v>
      </c>
      <c r="K27" s="1" t="s">
        <v>85</v>
      </c>
    </row>
    <row r="28" spans="1:11" ht="15">
      <c r="A28" s="212"/>
      <c r="C28" s="243" t="s">
        <v>578</v>
      </c>
      <c r="D28" s="167">
        <f aca="true" t="shared" si="0" ref="D28:I28">D27*4.44</f>
        <v>79.80831450113908</v>
      </c>
      <c r="E28" s="256">
        <f t="shared" si="0"/>
        <v>62.160000000000004</v>
      </c>
      <c r="F28" s="256">
        <f t="shared" si="0"/>
        <v>218.13415447444174</v>
      </c>
      <c r="G28" s="256">
        <f t="shared" si="0"/>
        <v>165.29160975054467</v>
      </c>
      <c r="H28" s="256">
        <f t="shared" si="0"/>
        <v>248.61552362627003</v>
      </c>
      <c r="I28" s="170">
        <f t="shared" si="0"/>
        <v>184.3331412375264</v>
      </c>
      <c r="J28" s="179" t="s">
        <v>414</v>
      </c>
      <c r="K28" s="1" t="s">
        <v>187</v>
      </c>
    </row>
    <row r="29" spans="3:11" ht="15">
      <c r="C29" s="20" t="s">
        <v>333</v>
      </c>
      <c r="D29" s="272">
        <f>D28*D25/1000</f>
        <v>4519.351714466349</v>
      </c>
      <c r="E29" s="272"/>
      <c r="F29" s="272"/>
      <c r="G29" s="272">
        <f>G28*G25/1000</f>
        <v>5336.941438649356</v>
      </c>
      <c r="H29" s="272">
        <f>H28*H25/1000</f>
        <v>25269.824422833397</v>
      </c>
      <c r="I29" s="272">
        <f>D29+G29+H29</f>
        <v>35126.1175759491</v>
      </c>
      <c r="J29" s="179" t="s">
        <v>414</v>
      </c>
      <c r="K29" s="1" t="s">
        <v>413</v>
      </c>
    </row>
    <row r="30" spans="3:10" s="277" customFormat="1" ht="15">
      <c r="C30" s="278"/>
      <c r="D30" s="279"/>
      <c r="E30" s="279"/>
      <c r="F30" s="279"/>
      <c r="G30" s="279"/>
      <c r="H30" s="279"/>
      <c r="I30" s="279"/>
      <c r="J30" s="280"/>
    </row>
    <row r="31" spans="3:10" ht="15">
      <c r="C31" s="270" t="s">
        <v>3</v>
      </c>
      <c r="D31" s="271">
        <v>2789.2884587624244</v>
      </c>
      <c r="E31" s="271"/>
      <c r="F31" s="212"/>
      <c r="G31" s="271">
        <v>8338.318040673797</v>
      </c>
      <c r="H31" s="271">
        <v>25442.42317644621</v>
      </c>
      <c r="I31" s="271">
        <v>36570.02967588243</v>
      </c>
      <c r="J31" s="169"/>
    </row>
    <row r="33" ht="15.75" thickBot="1">
      <c r="A33" s="1" t="s">
        <v>4</v>
      </c>
    </row>
    <row r="34" spans="4:9" ht="15.75" thickBot="1">
      <c r="D34" s="21" t="s">
        <v>403</v>
      </c>
      <c r="E34" s="21" t="s">
        <v>331</v>
      </c>
      <c r="F34" s="21" t="s">
        <v>492</v>
      </c>
      <c r="G34" s="21" t="s">
        <v>267</v>
      </c>
      <c r="H34" s="21" t="s">
        <v>185</v>
      </c>
      <c r="I34" s="132" t="s">
        <v>188</v>
      </c>
    </row>
    <row r="35" spans="3:9" ht="15">
      <c r="C35" s="20" t="s">
        <v>84</v>
      </c>
      <c r="D35" s="273">
        <v>56627.58000486085</v>
      </c>
      <c r="E35" s="275">
        <v>10938.876309916574</v>
      </c>
      <c r="F35" s="275">
        <v>21349.159641896378</v>
      </c>
      <c r="G35" s="273">
        <v>32288.03595478185</v>
      </c>
      <c r="H35" s="273">
        <v>101642.1824922732</v>
      </c>
      <c r="I35" s="276">
        <f>D35+G35+H35</f>
        <v>190557.7984519159</v>
      </c>
    </row>
    <row r="36" spans="3:9" ht="15">
      <c r="C36" s="20" t="s">
        <v>19</v>
      </c>
      <c r="D36" s="176">
        <v>71.104</v>
      </c>
      <c r="E36" s="1">
        <v>44.44</v>
      </c>
      <c r="F36" s="177">
        <v>106.656</v>
      </c>
      <c r="G36" s="182">
        <f>1000*G38/G35</f>
        <v>85.57781705423218</v>
      </c>
      <c r="H36" s="177">
        <v>200</v>
      </c>
      <c r="I36" s="177">
        <f>1000*I38/I35</f>
        <v>142.3086528150767</v>
      </c>
    </row>
    <row r="37" spans="3:10" ht="15">
      <c r="C37" s="20" t="s">
        <v>596</v>
      </c>
      <c r="D37" s="256">
        <f>D17+D36</f>
        <v>208.17399999999998</v>
      </c>
      <c r="E37" s="256"/>
      <c r="F37" s="256"/>
      <c r="G37" s="256">
        <f>G17+G36</f>
        <v>205.45781705423218</v>
      </c>
      <c r="H37" s="256">
        <f>H17+H36</f>
        <v>310</v>
      </c>
      <c r="I37" s="256">
        <f>I17+I36</f>
        <v>263.45055592109804</v>
      </c>
      <c r="J37" s="1" t="s">
        <v>59</v>
      </c>
    </row>
    <row r="38" spans="1:10" ht="15">
      <c r="A38" s="252"/>
      <c r="B38" s="252"/>
      <c r="C38" s="286" t="s">
        <v>440</v>
      </c>
      <c r="D38" s="178">
        <f>D36*D35/1000</f>
        <v>4026.447448665626</v>
      </c>
      <c r="E38" s="178">
        <f>E36*E35/1000</f>
        <v>486.12366321269246</v>
      </c>
      <c r="F38" s="178">
        <f>F36*F35/1000</f>
        <v>2277.0159707661</v>
      </c>
      <c r="G38" s="178">
        <f>E38+F38</f>
        <v>2763.1396339787925</v>
      </c>
      <c r="H38" s="178">
        <f>H36*H35/1000</f>
        <v>20328.43649845464</v>
      </c>
      <c r="I38" s="271">
        <f>D38+G38+H38</f>
        <v>27118.02358109906</v>
      </c>
      <c r="J38" s="1" t="s">
        <v>36</v>
      </c>
    </row>
    <row r="39" spans="3:9" ht="15">
      <c r="C39" s="20"/>
      <c r="D39" s="178"/>
      <c r="E39" s="178"/>
      <c r="F39" s="178"/>
      <c r="H39" s="178"/>
      <c r="I39" s="178"/>
    </row>
    <row r="40" spans="5:6" ht="15.75" thickBot="1">
      <c r="E40" s="178"/>
      <c r="F40" s="178"/>
    </row>
    <row r="41" spans="1:9" ht="15.75" thickBot="1">
      <c r="A41" s="12" t="s">
        <v>27</v>
      </c>
      <c r="D41" s="21" t="s">
        <v>403</v>
      </c>
      <c r="E41" s="178"/>
      <c r="F41" s="178"/>
      <c r="G41" s="21" t="s">
        <v>267</v>
      </c>
      <c r="H41" s="21" t="s">
        <v>185</v>
      </c>
      <c r="I41" s="132" t="s">
        <v>188</v>
      </c>
    </row>
    <row r="42" spans="1:9" ht="15">
      <c r="A42" s="1" t="s">
        <v>26</v>
      </c>
      <c r="C42" s="20"/>
      <c r="D42" s="157">
        <f>D16</f>
        <v>93273.47744497616</v>
      </c>
      <c r="E42" s="178"/>
      <c r="F42" s="178"/>
      <c r="G42" s="157">
        <f>G16</f>
        <v>41619.39691112247</v>
      </c>
      <c r="H42" s="157">
        <f>H16</f>
        <v>128626.97929714638</v>
      </c>
      <c r="I42" s="157">
        <f>I16</f>
        <v>263519.853653245</v>
      </c>
    </row>
    <row r="43" spans="1:9" ht="15">
      <c r="A43" s="12"/>
      <c r="C43" s="20" t="s">
        <v>83</v>
      </c>
      <c r="D43" s="159">
        <f>D18+D29+D38</f>
        <v>21330.794716514858</v>
      </c>
      <c r="E43" s="178"/>
      <c r="F43" s="178"/>
      <c r="G43" s="225">
        <f>G18+G29+G38</f>
        <v>13089.414374333512</v>
      </c>
      <c r="H43" s="159">
        <f>H18+H29+H38</f>
        <v>59747.22864397414</v>
      </c>
      <c r="I43" s="271">
        <f>D43+G43+H43</f>
        <v>94167.43773482251</v>
      </c>
    </row>
    <row r="44" ht="15.75" thickBot="1">
      <c r="A44" s="12"/>
    </row>
    <row r="45" spans="1:9" ht="15.75" thickBot="1">
      <c r="A45" s="12" t="s">
        <v>243</v>
      </c>
      <c r="D45" s="21" t="s">
        <v>403</v>
      </c>
      <c r="E45" s="178"/>
      <c r="F45" s="178"/>
      <c r="G45" s="21" t="s">
        <v>267</v>
      </c>
      <c r="H45" s="21" t="s">
        <v>185</v>
      </c>
      <c r="I45" s="132" t="s">
        <v>188</v>
      </c>
    </row>
    <row r="46" spans="1:11" ht="15">
      <c r="A46" s="1" t="s">
        <v>44</v>
      </c>
      <c r="C46" s="20"/>
      <c r="D46" s="178">
        <f>D42</f>
        <v>93273.47744497616</v>
      </c>
      <c r="E46" s="275" t="s">
        <v>17</v>
      </c>
      <c r="F46" s="178"/>
      <c r="G46" s="178">
        <f>G42</f>
        <v>41619.39691112247</v>
      </c>
      <c r="H46" s="178">
        <f>H42</f>
        <v>128626.97929714638</v>
      </c>
      <c r="I46" s="178">
        <f>I42</f>
        <v>263519.853653245</v>
      </c>
      <c r="K46" s="1" t="s">
        <v>181</v>
      </c>
    </row>
    <row r="47" spans="1:11" ht="15">
      <c r="A47" s="12"/>
      <c r="C47" s="20" t="s">
        <v>97</v>
      </c>
      <c r="D47" s="159">
        <f>D18+D38</f>
        <v>16811.44300204851</v>
      </c>
      <c r="E47" s="178"/>
      <c r="G47" s="159">
        <f>G18+G38</f>
        <v>7752.472935684154</v>
      </c>
      <c r="H47" s="159">
        <f>H18+H38</f>
        <v>34477.40422114074</v>
      </c>
      <c r="I47" s="159">
        <f>I18+I38</f>
        <v>59041.3201588734</v>
      </c>
      <c r="J47" s="1" t="s">
        <v>242</v>
      </c>
      <c r="K47" s="1" t="s">
        <v>117</v>
      </c>
    </row>
    <row r="48" spans="1:11" ht="15">
      <c r="A48" s="12"/>
      <c r="C48" s="270"/>
      <c r="D48" s="270"/>
      <c r="E48" s="270"/>
      <c r="F48" s="270"/>
      <c r="G48" s="270"/>
      <c r="H48" s="270"/>
      <c r="I48" s="270"/>
      <c r="J48" s="225"/>
      <c r="K48" s="1" t="s">
        <v>116</v>
      </c>
    </row>
    <row r="49" spans="1:10" ht="15">
      <c r="A49" s="12" t="s">
        <v>284</v>
      </c>
      <c r="C49" s="20"/>
      <c r="D49" s="181"/>
      <c r="E49" s="181"/>
      <c r="H49" s="181"/>
      <c r="I49" s="181"/>
      <c r="J49" s="181"/>
    </row>
    <row r="50" spans="1:10" ht="15">
      <c r="A50" s="12"/>
      <c r="C50" s="20" t="s">
        <v>533</v>
      </c>
      <c r="D50" s="204">
        <f>100*D38/D43</f>
        <v>18.87621864153165</v>
      </c>
      <c r="E50" s="181"/>
      <c r="G50" s="204">
        <f>100*G38/G43</f>
        <v>21.109726951550392</v>
      </c>
      <c r="H50" s="204">
        <f>100*H38/H43</f>
        <v>34.02406598570306</v>
      </c>
      <c r="I50" s="204">
        <f>100*I38/I43</f>
        <v>28.797665343156076</v>
      </c>
      <c r="J50" s="181"/>
    </row>
    <row r="51" spans="1:10" ht="15">
      <c r="A51" s="12"/>
      <c r="C51" s="20"/>
      <c r="D51" s="181"/>
      <c r="E51" s="181"/>
      <c r="H51" s="181"/>
      <c r="I51" s="181"/>
      <c r="J51" s="181"/>
    </row>
    <row r="52" spans="1:10" ht="15">
      <c r="A52" s="12"/>
      <c r="C52" s="20"/>
      <c r="D52" s="181"/>
      <c r="E52" s="181"/>
      <c r="H52" s="181"/>
      <c r="I52" s="181"/>
      <c r="J52" s="181"/>
    </row>
    <row r="53" spans="1:10" ht="15">
      <c r="A53" s="12"/>
      <c r="C53" s="20"/>
      <c r="D53" s="20"/>
      <c r="E53" s="20"/>
      <c r="F53" s="20"/>
      <c r="G53" s="20"/>
      <c r="H53" s="20"/>
      <c r="I53" s="20"/>
      <c r="J53" s="181"/>
    </row>
    <row r="54" ht="15">
      <c r="A54" s="12"/>
    </row>
    <row r="56" ht="15">
      <c r="A56" s="12" t="s">
        <v>64</v>
      </c>
    </row>
    <row r="57" ht="15">
      <c r="A57" s="1" t="s">
        <v>120</v>
      </c>
    </row>
    <row r="58" ht="15">
      <c r="A58" s="1" t="s">
        <v>328</v>
      </c>
    </row>
    <row r="59" ht="15">
      <c r="A59" s="12"/>
    </row>
    <row r="60" ht="15">
      <c r="A60" s="1" t="s">
        <v>494</v>
      </c>
    </row>
    <row r="61" ht="15">
      <c r="A61" s="1" t="s">
        <v>260</v>
      </c>
    </row>
    <row r="63" spans="1:4" ht="15">
      <c r="A63" s="5" t="s">
        <v>335</v>
      </c>
      <c r="B63" s="15"/>
      <c r="C63" s="15"/>
      <c r="D63" s="15"/>
    </row>
    <row r="64" spans="1:4" ht="15">
      <c r="A64" s="15" t="s">
        <v>314</v>
      </c>
      <c r="B64" s="15"/>
      <c r="C64" s="15"/>
      <c r="D64" s="15"/>
    </row>
    <row r="65" spans="1:4" ht="15">
      <c r="A65" s="15" t="s">
        <v>240</v>
      </c>
      <c r="B65" s="15"/>
      <c r="C65" s="15"/>
      <c r="D65" s="15"/>
    </row>
    <row r="66" spans="1:4" ht="15">
      <c r="A66" s="15" t="s">
        <v>241</v>
      </c>
      <c r="B66" s="15"/>
      <c r="C66" s="15"/>
      <c r="D66" s="15"/>
    </row>
    <row r="67" spans="1:4" ht="15">
      <c r="A67" s="15" t="s">
        <v>322</v>
      </c>
      <c r="B67" s="15"/>
      <c r="C67" s="15"/>
      <c r="D67" s="15"/>
    </row>
    <row r="68" spans="1:4" ht="15">
      <c r="A68" s="15" t="s">
        <v>389</v>
      </c>
      <c r="B68" s="15"/>
      <c r="C68" s="15"/>
      <c r="D68" s="15"/>
    </row>
    <row r="69" spans="1:4" ht="15">
      <c r="A69" s="15" t="s">
        <v>430</v>
      </c>
      <c r="B69" s="15"/>
      <c r="C69" s="15"/>
      <c r="D69" s="15"/>
    </row>
    <row r="70" spans="1:4" ht="15">
      <c r="A70" s="15"/>
      <c r="B70" s="15"/>
      <c r="C70" s="15"/>
      <c r="D70" s="15"/>
    </row>
    <row r="71" spans="1:4" ht="15">
      <c r="A71" s="5" t="s">
        <v>475</v>
      </c>
      <c r="B71" s="15"/>
      <c r="C71" s="15"/>
      <c r="D71" s="15"/>
    </row>
    <row r="72" spans="1:4" ht="15">
      <c r="A72" s="14" t="s">
        <v>453</v>
      </c>
      <c r="B72" s="15"/>
      <c r="C72" s="15"/>
      <c r="D72" s="15"/>
    </row>
    <row r="73" spans="1:4" ht="15">
      <c r="A73" s="15" t="s">
        <v>157</v>
      </c>
      <c r="B73" s="15"/>
      <c r="C73" s="15"/>
      <c r="D73" s="15"/>
    </row>
    <row r="74" spans="1:13" ht="15">
      <c r="A74" s="15" t="s">
        <v>189</v>
      </c>
      <c r="B74" s="15"/>
      <c r="C74" s="75"/>
      <c r="D74" s="75"/>
      <c r="L74" s="20" t="s">
        <v>334</v>
      </c>
      <c r="M74" s="20" t="s">
        <v>253</v>
      </c>
    </row>
    <row r="75" spans="1:13" ht="15">
      <c r="A75" s="15"/>
      <c r="B75" s="15"/>
      <c r="C75" s="75"/>
      <c r="D75" s="75"/>
      <c r="L75" s="1">
        <v>22</v>
      </c>
      <c r="M75" s="171">
        <f>L75*4.444</f>
        <v>97.768</v>
      </c>
    </row>
    <row r="76" spans="1:4" ht="15">
      <c r="A76" s="14" t="s">
        <v>591</v>
      </c>
      <c r="B76" s="15"/>
      <c r="C76" s="75"/>
      <c r="D76" s="75"/>
    </row>
    <row r="77" spans="1:4" ht="15">
      <c r="A77" s="15" t="s">
        <v>431</v>
      </c>
      <c r="B77" s="15"/>
      <c r="C77" s="75"/>
      <c r="D77" s="75"/>
    </row>
    <row r="78" spans="1:13" ht="15">
      <c r="A78" s="75" t="s">
        <v>199</v>
      </c>
      <c r="B78" s="75"/>
      <c r="C78" s="75"/>
      <c r="D78" s="75"/>
      <c r="L78" s="1">
        <v>14</v>
      </c>
      <c r="M78" s="171">
        <f>L78*4.444</f>
        <v>62.216</v>
      </c>
    </row>
    <row r="79" spans="1:4" ht="15">
      <c r="A79" s="75"/>
      <c r="B79" s="75"/>
      <c r="C79" s="75"/>
      <c r="D79" s="75"/>
    </row>
    <row r="80" spans="1:4" ht="15">
      <c r="A80" s="86" t="s">
        <v>469</v>
      </c>
      <c r="B80" s="75"/>
      <c r="C80" s="75"/>
      <c r="D80" s="75"/>
    </row>
    <row r="81" spans="1:13" ht="15">
      <c r="A81" s="75" t="s">
        <v>455</v>
      </c>
      <c r="B81" s="75"/>
      <c r="C81" s="75"/>
      <c r="D81" s="75"/>
      <c r="L81" s="1">
        <v>31.72</v>
      </c>
      <c r="M81" s="171">
        <f>L81*4.444</f>
        <v>140.96367999999998</v>
      </c>
    </row>
    <row r="82" spans="1:4" ht="15">
      <c r="A82" s="75"/>
      <c r="B82" s="75"/>
      <c r="C82" s="75"/>
      <c r="D82" s="75"/>
    </row>
    <row r="83" spans="1:4" ht="15">
      <c r="A83" s="87" t="s">
        <v>471</v>
      </c>
      <c r="B83" s="75"/>
      <c r="C83" s="75"/>
      <c r="D83" s="75"/>
    </row>
    <row r="84" spans="1:4" ht="15">
      <c r="A84" s="75" t="s">
        <v>429</v>
      </c>
      <c r="B84" s="75"/>
      <c r="C84" s="75"/>
      <c r="D84" s="15" t="s">
        <v>393</v>
      </c>
    </row>
    <row r="85" spans="1:6" ht="60">
      <c r="A85" s="76"/>
      <c r="B85" s="77" t="s">
        <v>136</v>
      </c>
      <c r="C85" s="70"/>
      <c r="D85" s="76"/>
      <c r="F85" s="287" t="s">
        <v>58</v>
      </c>
    </row>
    <row r="86" spans="1:7" ht="15">
      <c r="A86" s="78" t="s">
        <v>320</v>
      </c>
      <c r="B86" s="15">
        <v>16</v>
      </c>
      <c r="C86" s="15" t="s">
        <v>137</v>
      </c>
      <c r="D86" s="76"/>
      <c r="E86" s="15">
        <v>16</v>
      </c>
      <c r="F86" s="174">
        <f>E86*4.444</f>
        <v>71.104</v>
      </c>
      <c r="G86" s="1" t="s">
        <v>126</v>
      </c>
    </row>
    <row r="87" spans="1:6" ht="15">
      <c r="A87" s="79" t="s">
        <v>138</v>
      </c>
      <c r="B87" s="80">
        <v>8</v>
      </c>
      <c r="C87" s="75" t="s">
        <v>224</v>
      </c>
      <c r="D87" s="80"/>
      <c r="E87" s="80">
        <v>8</v>
      </c>
      <c r="F87" s="171">
        <f aca="true" t="shared" si="1" ref="F87:F95">E87*4.444</f>
        <v>35.552</v>
      </c>
    </row>
    <row r="88" spans="1:7" ht="15">
      <c r="A88" s="78" t="s">
        <v>394</v>
      </c>
      <c r="B88" s="15">
        <v>24</v>
      </c>
      <c r="C88" s="15" t="s">
        <v>137</v>
      </c>
      <c r="D88" s="80"/>
      <c r="E88" s="15">
        <v>24</v>
      </c>
      <c r="F88" s="174">
        <f t="shared" si="1"/>
        <v>106.656</v>
      </c>
      <c r="G88" s="1" t="s">
        <v>255</v>
      </c>
    </row>
    <row r="89" spans="1:7" ht="15">
      <c r="A89" s="81" t="s">
        <v>225</v>
      </c>
      <c r="B89" s="175" t="s">
        <v>212</v>
      </c>
      <c r="C89" s="15" t="s">
        <v>137</v>
      </c>
      <c r="D89" s="75"/>
      <c r="E89" s="82">
        <v>10</v>
      </c>
      <c r="F89" s="174">
        <f t="shared" si="1"/>
        <v>44.44</v>
      </c>
      <c r="G89" s="1" t="s">
        <v>286</v>
      </c>
    </row>
    <row r="90" spans="1:6" ht="15">
      <c r="A90" s="78" t="s">
        <v>226</v>
      </c>
      <c r="B90" s="75">
        <v>25</v>
      </c>
      <c r="C90" s="15"/>
      <c r="D90" s="75"/>
      <c r="E90" s="75">
        <v>25</v>
      </c>
      <c r="F90" s="171">
        <f t="shared" si="1"/>
        <v>111.1</v>
      </c>
    </row>
    <row r="91" spans="1:6" ht="15">
      <c r="A91" s="78" t="s">
        <v>164</v>
      </c>
      <c r="B91" s="15">
        <v>8</v>
      </c>
      <c r="C91" s="15"/>
      <c r="D91" s="15"/>
      <c r="E91" s="15">
        <v>8</v>
      </c>
      <c r="F91" s="171">
        <f t="shared" si="1"/>
        <v>35.552</v>
      </c>
    </row>
    <row r="92" spans="1:6" ht="15">
      <c r="A92" s="78" t="s">
        <v>377</v>
      </c>
      <c r="B92" s="15">
        <v>5</v>
      </c>
      <c r="C92" s="15" t="s">
        <v>378</v>
      </c>
      <c r="D92" s="15"/>
      <c r="E92" s="15">
        <v>5</v>
      </c>
      <c r="F92" s="171">
        <f t="shared" si="1"/>
        <v>22.22</v>
      </c>
    </row>
    <row r="93" spans="1:6" ht="15">
      <c r="A93" s="78" t="s">
        <v>98</v>
      </c>
      <c r="B93" s="83">
        <v>170</v>
      </c>
      <c r="C93" s="15"/>
      <c r="D93" s="15"/>
      <c r="E93" s="83">
        <v>170</v>
      </c>
      <c r="F93" s="171">
        <f t="shared" si="1"/>
        <v>755.48</v>
      </c>
    </row>
    <row r="94" spans="1:6" ht="15">
      <c r="A94" s="78" t="s">
        <v>99</v>
      </c>
      <c r="B94" s="83">
        <v>20</v>
      </c>
      <c r="C94" s="15" t="s">
        <v>137</v>
      </c>
      <c r="D94" s="15"/>
      <c r="E94" s="83">
        <v>20</v>
      </c>
      <c r="F94" s="171">
        <f t="shared" si="1"/>
        <v>88.88</v>
      </c>
    </row>
    <row r="95" spans="1:6" ht="15">
      <c r="A95" s="78" t="s">
        <v>231</v>
      </c>
      <c r="B95" s="15">
        <v>50</v>
      </c>
      <c r="C95" s="15" t="s">
        <v>137</v>
      </c>
      <c r="D95" s="15"/>
      <c r="E95" s="15">
        <v>50</v>
      </c>
      <c r="F95" s="171">
        <f t="shared" si="1"/>
        <v>222.2</v>
      </c>
    </row>
    <row r="96" spans="1:7" ht="15">
      <c r="A96" s="15"/>
      <c r="B96" s="15"/>
      <c r="C96" s="15"/>
      <c r="D96" s="15"/>
      <c r="E96" s="20" t="s">
        <v>256</v>
      </c>
      <c r="F96" s="13">
        <v>200</v>
      </c>
      <c r="G96" s="1" t="s">
        <v>35</v>
      </c>
    </row>
    <row r="97" spans="1:4" ht="15">
      <c r="A97" s="15"/>
      <c r="B97" s="15"/>
      <c r="C97" s="15"/>
      <c r="D97" s="15"/>
    </row>
    <row r="98" spans="1:4" ht="15">
      <c r="A98" s="5" t="s">
        <v>401</v>
      </c>
      <c r="B98" s="15"/>
      <c r="C98" s="15"/>
      <c r="D98" s="15"/>
    </row>
    <row r="99" spans="1:4" ht="15">
      <c r="A99" s="15" t="s">
        <v>232</v>
      </c>
      <c r="B99" s="5" t="s">
        <v>50</v>
      </c>
      <c r="C99" s="15"/>
      <c r="D99" s="15"/>
    </row>
    <row r="100" spans="1:4" ht="45">
      <c r="A100" s="84" t="s">
        <v>477</v>
      </c>
      <c r="B100" s="77" t="s">
        <v>478</v>
      </c>
      <c r="C100" s="15"/>
      <c r="D100" s="15" t="s">
        <v>485</v>
      </c>
    </row>
    <row r="101" spans="1:7" ht="15">
      <c r="A101" s="84"/>
      <c r="B101" s="15"/>
      <c r="C101" s="15"/>
      <c r="D101" s="83" t="s">
        <v>486</v>
      </c>
      <c r="E101" s="20" t="s">
        <v>487</v>
      </c>
      <c r="F101" s="20" t="s">
        <v>254</v>
      </c>
      <c r="G101" s="20"/>
    </row>
    <row r="102" spans="1:7" ht="15">
      <c r="A102" s="78" t="s">
        <v>361</v>
      </c>
      <c r="B102" s="85">
        <v>28</v>
      </c>
      <c r="C102" s="15"/>
      <c r="D102" s="88">
        <v>13.332</v>
      </c>
      <c r="E102" s="88">
        <v>17.776</v>
      </c>
      <c r="F102" s="172">
        <f>(D102+E102)/2</f>
        <v>15.554</v>
      </c>
      <c r="G102" s="201"/>
    </row>
    <row r="103" spans="1:7" ht="15">
      <c r="A103" s="78" t="s">
        <v>362</v>
      </c>
      <c r="B103" s="85">
        <v>40</v>
      </c>
      <c r="C103" s="15"/>
      <c r="D103" s="88">
        <v>22.22</v>
      </c>
      <c r="E103" s="88">
        <v>39.996</v>
      </c>
      <c r="F103" s="172">
        <f>(D103+E103)/2</f>
        <v>31.108</v>
      </c>
      <c r="G103" s="201"/>
    </row>
    <row r="104" spans="1:7" ht="15">
      <c r="A104" s="78" t="s">
        <v>363</v>
      </c>
      <c r="B104" s="15">
        <v>24.5</v>
      </c>
      <c r="C104" s="15"/>
      <c r="D104" s="88">
        <v>44.44</v>
      </c>
      <c r="E104" s="88">
        <v>84.43599999999999</v>
      </c>
      <c r="F104" s="172">
        <f>(D104+E104)/2</f>
        <v>64.43799999999999</v>
      </c>
      <c r="G104" s="201"/>
    </row>
    <row r="105" spans="1:7" ht="15">
      <c r="A105" s="78" t="s">
        <v>278</v>
      </c>
      <c r="B105" s="15">
        <v>5.5</v>
      </c>
      <c r="C105" s="15"/>
      <c r="D105" s="88">
        <v>88.88</v>
      </c>
      <c r="E105" s="88">
        <v>128.876</v>
      </c>
      <c r="F105" s="172">
        <f>(D105+E105)/2</f>
        <v>108.878</v>
      </c>
      <c r="G105" s="201"/>
    </row>
    <row r="106" spans="1:7" ht="15">
      <c r="A106" s="78" t="s">
        <v>279</v>
      </c>
      <c r="B106" s="15">
        <v>1.5</v>
      </c>
      <c r="C106" s="15"/>
      <c r="D106" s="88">
        <v>133.32</v>
      </c>
      <c r="E106" s="88">
        <v>217.756</v>
      </c>
      <c r="F106" s="172">
        <f>(D106+E106)/2</f>
        <v>175.538</v>
      </c>
      <c r="G106" s="201"/>
    </row>
    <row r="107" spans="1:6" ht="15">
      <c r="A107" s="78" t="s">
        <v>280</v>
      </c>
      <c r="B107" s="15">
        <v>0.5</v>
      </c>
      <c r="C107" s="15"/>
      <c r="D107" s="88">
        <v>222.2</v>
      </c>
      <c r="E107" s="173" t="s">
        <v>179</v>
      </c>
      <c r="F107" s="1">
        <v>300</v>
      </c>
    </row>
    <row r="108" spans="1:8" ht="15">
      <c r="A108" s="15"/>
      <c r="B108" s="85">
        <f>SUM(B102:B107)</f>
        <v>100</v>
      </c>
      <c r="C108" s="15"/>
      <c r="D108" s="15"/>
      <c r="E108" s="20" t="s">
        <v>180</v>
      </c>
      <c r="F108" s="13">
        <v>42.71</v>
      </c>
      <c r="G108" s="202"/>
      <c r="H108" s="171">
        <f>F108*4.444</f>
        <v>189.80324</v>
      </c>
    </row>
    <row r="109" spans="1:4" ht="15">
      <c r="A109" s="15"/>
      <c r="B109" s="85"/>
      <c r="C109" s="15"/>
      <c r="D109" s="15"/>
    </row>
    <row r="110" spans="1:4" ht="15">
      <c r="A110" s="75" t="s">
        <v>210</v>
      </c>
      <c r="B110" s="75"/>
      <c r="C110" s="15"/>
      <c r="D110" s="15"/>
    </row>
    <row r="111" spans="1:4" ht="15">
      <c r="A111" s="75" t="s">
        <v>380</v>
      </c>
      <c r="B111" s="75"/>
      <c r="C111" s="15"/>
      <c r="D111" s="15"/>
    </row>
    <row r="112" spans="1:4" ht="15">
      <c r="A112" s="75"/>
      <c r="B112" s="75"/>
      <c r="C112" s="15"/>
      <c r="D112" s="15"/>
    </row>
    <row r="113" spans="1:4" ht="15">
      <c r="A113" s="75" t="s">
        <v>385</v>
      </c>
      <c r="B113" s="75"/>
      <c r="C113" s="15"/>
      <c r="D113" s="15"/>
    </row>
    <row r="114" spans="1:4" ht="15">
      <c r="A114" s="75" t="s">
        <v>236</v>
      </c>
      <c r="B114" s="75"/>
      <c r="C114" s="15"/>
      <c r="D114" s="15"/>
    </row>
    <row r="117" ht="15">
      <c r="A117" s="16" t="s">
        <v>230</v>
      </c>
    </row>
    <row r="118" ht="15">
      <c r="A118" s="1" t="s">
        <v>368</v>
      </c>
    </row>
    <row r="119" spans="2:7" ht="15">
      <c r="B119" s="1" t="s">
        <v>305</v>
      </c>
      <c r="F119" s="49"/>
      <c r="G119" s="201"/>
    </row>
    <row r="121" ht="15">
      <c r="B121" s="1" t="s">
        <v>481</v>
      </c>
    </row>
    <row r="122" ht="15">
      <c r="C122" s="1" t="s">
        <v>386</v>
      </c>
    </row>
    <row r="123" spans="2:4" ht="15">
      <c r="B123" s="66" t="s">
        <v>308</v>
      </c>
      <c r="C123" s="16" t="s">
        <v>439</v>
      </c>
      <c r="D123" s="16"/>
    </row>
    <row r="124" spans="2:3" ht="15">
      <c r="B124" s="48">
        <v>1250</v>
      </c>
      <c r="C124" s="1">
        <v>315</v>
      </c>
    </row>
    <row r="125" spans="2:3" ht="15">
      <c r="B125" s="48">
        <v>1300</v>
      </c>
      <c r="C125" s="1">
        <v>381</v>
      </c>
    </row>
    <row r="126" spans="2:3" ht="15">
      <c r="B126" s="48">
        <v>1380</v>
      </c>
      <c r="C126" s="1">
        <v>331</v>
      </c>
    </row>
    <row r="127" spans="2:3" ht="15">
      <c r="B127" s="48">
        <v>1450</v>
      </c>
      <c r="C127" s="1">
        <v>266</v>
      </c>
    </row>
    <row r="128" spans="2:3" ht="15">
      <c r="B128" s="48">
        <v>1600</v>
      </c>
      <c r="C128" s="1">
        <v>404</v>
      </c>
    </row>
    <row r="129" spans="2:3" ht="15">
      <c r="B129" s="48">
        <v>1700</v>
      </c>
      <c r="C129" s="1">
        <v>405</v>
      </c>
    </row>
    <row r="130" spans="2:3" ht="15">
      <c r="B130" s="48">
        <v>1800</v>
      </c>
      <c r="C130" s="13">
        <v>473</v>
      </c>
    </row>
    <row r="131" spans="2:3" ht="15">
      <c r="B131" s="48">
        <v>1850</v>
      </c>
      <c r="C131" s="1">
        <v>539</v>
      </c>
    </row>
    <row r="132" ht="15">
      <c r="B132" s="1" t="s">
        <v>495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25"/>
  <sheetViews>
    <sheetView zoomScale="150" zoomScaleNormal="150" zoomScalePageLayoutView="0" workbookViewId="0" topLeftCell="A1">
      <selection activeCell="A2" sqref="A2"/>
    </sheetView>
  </sheetViews>
  <sheetFormatPr defaultColWidth="8.8515625" defaultRowHeight="12.75"/>
  <cols>
    <col min="1" max="1" width="11.140625" style="1" customWidth="1"/>
    <col min="2" max="16" width="9.00390625" style="1" bestFit="1" customWidth="1"/>
    <col min="17" max="16384" width="8.8515625" style="1" customWidth="1"/>
  </cols>
  <sheetData>
    <row r="1" spans="2:4" ht="16.5">
      <c r="B1" s="74" t="s">
        <v>549</v>
      </c>
      <c r="C1" s="14"/>
      <c r="D1" s="6"/>
    </row>
    <row r="3" spans="2:16" ht="15">
      <c r="B3" s="288" t="s">
        <v>450</v>
      </c>
      <c r="C3" s="288"/>
      <c r="D3" s="288"/>
      <c r="E3" s="290"/>
      <c r="F3" s="290"/>
      <c r="G3" s="290"/>
      <c r="H3" s="290"/>
      <c r="I3" s="290"/>
      <c r="J3" s="290"/>
      <c r="K3" s="290"/>
      <c r="L3" s="290"/>
      <c r="M3" s="290"/>
      <c r="N3" s="290"/>
      <c r="O3" s="290"/>
      <c r="P3" s="290"/>
    </row>
    <row r="4" spans="2:16" ht="15" customHeight="1">
      <c r="B4" s="288" t="s">
        <v>312</v>
      </c>
      <c r="C4" s="288"/>
      <c r="D4" s="288"/>
      <c r="E4" s="288" t="s">
        <v>313</v>
      </c>
      <c r="F4" s="288"/>
      <c r="G4" s="288"/>
      <c r="H4" s="288" t="s">
        <v>317</v>
      </c>
      <c r="I4" s="288"/>
      <c r="J4" s="288"/>
      <c r="K4" s="288" t="s">
        <v>354</v>
      </c>
      <c r="L4" s="288"/>
      <c r="M4" s="288"/>
      <c r="N4" s="288" t="s">
        <v>319</v>
      </c>
      <c r="O4" s="288"/>
      <c r="P4" s="288"/>
    </row>
    <row r="5" spans="2:16" ht="15" customHeight="1">
      <c r="B5" s="288" t="s">
        <v>350</v>
      </c>
      <c r="C5" s="288" t="s">
        <v>239</v>
      </c>
      <c r="D5" s="288"/>
      <c r="E5" s="288" t="s">
        <v>350</v>
      </c>
      <c r="F5" s="288" t="s">
        <v>239</v>
      </c>
      <c r="G5" s="288"/>
      <c r="H5" s="288" t="s">
        <v>350</v>
      </c>
      <c r="I5" s="288" t="s">
        <v>239</v>
      </c>
      <c r="J5" s="288"/>
      <c r="K5" s="288" t="s">
        <v>350</v>
      </c>
      <c r="L5" s="288" t="s">
        <v>239</v>
      </c>
      <c r="M5" s="288"/>
      <c r="N5" s="288" t="s">
        <v>350</v>
      </c>
      <c r="O5" s="288" t="s">
        <v>239</v>
      </c>
      <c r="P5" s="288"/>
    </row>
    <row r="6" spans="2:16" ht="30">
      <c r="B6" s="289"/>
      <c r="C6" s="9" t="s">
        <v>233</v>
      </c>
      <c r="D6" s="9" t="s">
        <v>215</v>
      </c>
      <c r="E6" s="289"/>
      <c r="F6" s="9" t="s">
        <v>233</v>
      </c>
      <c r="G6" s="9" t="s">
        <v>215</v>
      </c>
      <c r="H6" s="289"/>
      <c r="I6" s="9" t="s">
        <v>233</v>
      </c>
      <c r="J6" s="9" t="s">
        <v>215</v>
      </c>
      <c r="K6" s="289"/>
      <c r="L6" s="9" t="s">
        <v>233</v>
      </c>
      <c r="M6" s="9" t="s">
        <v>215</v>
      </c>
      <c r="N6" s="289"/>
      <c r="O6" s="9" t="s">
        <v>233</v>
      </c>
      <c r="P6" s="9" t="s">
        <v>215</v>
      </c>
    </row>
    <row r="7" spans="4:16" ht="15">
      <c r="D7" s="2"/>
      <c r="E7" s="2"/>
      <c r="F7" s="3"/>
      <c r="H7" s="2"/>
      <c r="K7" s="2"/>
      <c r="N7" s="2"/>
      <c r="O7" s="2"/>
      <c r="P7" s="2"/>
    </row>
    <row r="8" spans="4:16" ht="15">
      <c r="D8" s="2"/>
      <c r="E8" s="2"/>
      <c r="F8" s="3"/>
      <c r="H8" s="2"/>
      <c r="K8" s="2"/>
      <c r="N8" s="2"/>
      <c r="O8" s="2"/>
      <c r="P8" s="2"/>
    </row>
    <row r="9" spans="1:16" ht="15">
      <c r="A9" s="10" t="s">
        <v>402</v>
      </c>
      <c r="B9" s="1">
        <v>11500</v>
      </c>
      <c r="C9" s="3">
        <f>D9/B9</f>
        <v>153.28962840000003</v>
      </c>
      <c r="D9" s="2">
        <f>G9+J9+M9+P9</f>
        <v>1762830.7266000002</v>
      </c>
      <c r="E9" s="2">
        <f>11500*0.4</f>
        <v>4600</v>
      </c>
      <c r="F9" s="3">
        <f>0.802*189.17</f>
        <v>151.71434</v>
      </c>
      <c r="G9" s="2">
        <f>E9*F9</f>
        <v>697885.9639999999</v>
      </c>
      <c r="H9" s="2">
        <f>11500*0.15</f>
        <v>1725</v>
      </c>
      <c r="I9" s="3">
        <f>0.802*296.09</f>
        <v>237.46418</v>
      </c>
      <c r="J9" s="2">
        <f>H9*I9</f>
        <v>409625.7105</v>
      </c>
      <c r="K9" s="2">
        <f>11500*0.31</f>
        <v>3565</v>
      </c>
      <c r="L9" s="3">
        <f>0.802*138.97</f>
        <v>111.45394</v>
      </c>
      <c r="M9" s="2">
        <f>K9*L9</f>
        <v>397333.29610000004</v>
      </c>
      <c r="N9" s="2">
        <f>11500*0.14</f>
        <v>1610.0000000000002</v>
      </c>
      <c r="O9" s="3">
        <f>0.802*199.8</f>
        <v>160.23960000000002</v>
      </c>
      <c r="P9" s="2">
        <f>N9*O9</f>
        <v>257985.75600000008</v>
      </c>
    </row>
    <row r="10" spans="1:16" ht="15">
      <c r="A10" s="10"/>
      <c r="C10" s="3"/>
      <c r="D10" s="2"/>
      <c r="E10" s="2"/>
      <c r="F10" s="3"/>
      <c r="H10" s="2"/>
      <c r="K10" s="2"/>
      <c r="N10" s="2"/>
      <c r="O10" s="2"/>
      <c r="P10" s="2"/>
    </row>
    <row r="11" spans="1:16" ht="15">
      <c r="A11" s="10" t="s">
        <v>312</v>
      </c>
      <c r="B11" s="1">
        <v>11500</v>
      </c>
      <c r="C11" s="3">
        <v>153.28962840000003</v>
      </c>
      <c r="D11" s="2">
        <v>1762830.7266000002</v>
      </c>
      <c r="E11" s="2">
        <v>4600</v>
      </c>
      <c r="F11" s="3">
        <v>151.71434</v>
      </c>
      <c r="G11" s="1">
        <v>697885.9639999999</v>
      </c>
      <c r="H11" s="2">
        <v>1725</v>
      </c>
      <c r="I11" s="1">
        <v>237.46418</v>
      </c>
      <c r="J11" s="1">
        <v>409625.7105</v>
      </c>
      <c r="K11" s="2">
        <v>3565</v>
      </c>
      <c r="L11" s="1">
        <v>111.45394</v>
      </c>
      <c r="M11" s="1">
        <v>397333.29610000004</v>
      </c>
      <c r="N11" s="2">
        <v>1610.0000000000002</v>
      </c>
      <c r="O11" s="2">
        <v>160.23960000000002</v>
      </c>
      <c r="P11" s="2">
        <v>257985.75600000008</v>
      </c>
    </row>
    <row r="12" spans="3:16" ht="15">
      <c r="C12" s="3"/>
      <c r="D12" s="2"/>
      <c r="E12" s="2"/>
      <c r="F12" s="3"/>
      <c r="H12" s="2"/>
      <c r="K12" s="2"/>
      <c r="N12" s="2"/>
      <c r="O12" s="2"/>
      <c r="P12" s="2"/>
    </row>
    <row r="13" ht="15">
      <c r="A13" s="108" t="s">
        <v>365</v>
      </c>
    </row>
    <row r="14" ht="15">
      <c r="A14" s="1" t="s">
        <v>421</v>
      </c>
    </row>
    <row r="15" ht="15">
      <c r="A15" s="1" t="s">
        <v>390</v>
      </c>
    </row>
    <row r="16" ht="15">
      <c r="A16" s="1" t="s">
        <v>323</v>
      </c>
    </row>
    <row r="17" ht="15">
      <c r="A17" s="1" t="s">
        <v>130</v>
      </c>
    </row>
    <row r="19" ht="15">
      <c r="A19" s="16" t="s">
        <v>420</v>
      </c>
    </row>
    <row r="20" ht="15">
      <c r="A20" s="1" t="s">
        <v>48</v>
      </c>
    </row>
    <row r="21" ht="15">
      <c r="A21" s="1" t="s">
        <v>445</v>
      </c>
    </row>
    <row r="22" ht="15">
      <c r="A22" s="1" t="s">
        <v>388</v>
      </c>
    </row>
    <row r="23" ht="15">
      <c r="A23" s="1" t="s">
        <v>367</v>
      </c>
    </row>
    <row r="24" ht="15">
      <c r="A24" s="1" t="s">
        <v>442</v>
      </c>
    </row>
    <row r="25" ht="15">
      <c r="A25" s="1" t="s">
        <v>534</v>
      </c>
    </row>
  </sheetData>
  <sheetProtection/>
  <mergeCells count="16">
    <mergeCell ref="B3:P3"/>
    <mergeCell ref="B4:D4"/>
    <mergeCell ref="E4:G4"/>
    <mergeCell ref="H4:J4"/>
    <mergeCell ref="K4:M4"/>
    <mergeCell ref="N4:P4"/>
    <mergeCell ref="N5:N6"/>
    <mergeCell ref="O5:P5"/>
    <mergeCell ref="K5:K6"/>
    <mergeCell ref="L5:M5"/>
    <mergeCell ref="B5:B6"/>
    <mergeCell ref="C5:D5"/>
    <mergeCell ref="E5:E6"/>
    <mergeCell ref="F5:G5"/>
    <mergeCell ref="H5:H6"/>
    <mergeCell ref="I5:J5"/>
  </mergeCells>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CD136"/>
  <sheetViews>
    <sheetView zoomScalePageLayoutView="0" workbookViewId="0" topLeftCell="A1">
      <pane xSplit="17340" topLeftCell="AM1" activePane="topLeft" state="split"/>
      <selection pane="topLeft" activeCell="B12" sqref="B12"/>
      <selection pane="topRight" activeCell="Z14" sqref="Z14"/>
    </sheetView>
  </sheetViews>
  <sheetFormatPr defaultColWidth="8.8515625" defaultRowHeight="12.75"/>
  <cols>
    <col min="1" max="1" width="22.00390625" style="46" customWidth="1"/>
    <col min="2" max="2" width="13.00390625" style="46" customWidth="1"/>
    <col min="3" max="3" width="12.421875" style="46" customWidth="1"/>
    <col min="4" max="4" width="11.140625" style="46" customWidth="1"/>
    <col min="5" max="5" width="10.28125" style="46" customWidth="1"/>
    <col min="6" max="6" width="12.8515625" style="46" customWidth="1"/>
    <col min="7" max="8" width="13.00390625" style="46" customWidth="1"/>
    <col min="9" max="9" width="13.28125" style="46" customWidth="1"/>
    <col min="10" max="13" width="12.28125" style="46" customWidth="1"/>
    <col min="14" max="14" width="13.00390625" style="46" customWidth="1"/>
    <col min="15" max="15" width="13.8515625" style="46" customWidth="1"/>
    <col min="16" max="16" width="12.28125" style="46" customWidth="1"/>
    <col min="17" max="17" width="10.140625" style="46" customWidth="1"/>
    <col min="18" max="19" width="12.28125" style="46" customWidth="1"/>
    <col min="20" max="20" width="10.140625" style="46" customWidth="1"/>
    <col min="21" max="25" width="12.28125" style="46" customWidth="1"/>
    <col min="26" max="26" width="13.140625" style="46" customWidth="1"/>
    <col min="27" max="27" width="12.421875" style="46" customWidth="1"/>
    <col min="28" max="28" width="13.140625" style="46" customWidth="1"/>
    <col min="29" max="29" width="11.421875" style="46" customWidth="1"/>
    <col min="30" max="30" width="13.8515625" style="46" customWidth="1"/>
    <col min="31" max="31" width="14.00390625" style="46" customWidth="1"/>
    <col min="32" max="32" width="14.28125" style="46" customWidth="1"/>
    <col min="33" max="33" width="12.421875" style="46" customWidth="1"/>
    <col min="34" max="34" width="11.421875" style="46" customWidth="1"/>
    <col min="35" max="35" width="13.421875" style="46" customWidth="1"/>
    <col min="36" max="36" width="11.7109375" style="46" customWidth="1"/>
    <col min="37" max="37" width="11.421875" style="46" customWidth="1"/>
    <col min="38" max="16384" width="8.8515625" style="46" customWidth="1"/>
  </cols>
  <sheetData>
    <row r="1" s="71" customFormat="1" ht="18">
      <c r="B1" s="258" t="s">
        <v>151</v>
      </c>
    </row>
    <row r="2" spans="1:82" s="71" customFormat="1" ht="15">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row>
    <row r="3" spans="1:2" ht="15">
      <c r="A3" s="10" t="s">
        <v>343</v>
      </c>
      <c r="B3" s="117" t="s">
        <v>152</v>
      </c>
    </row>
    <row r="4" spans="1:82" s="71" customFormat="1" ht="15">
      <c r="A4" s="91"/>
      <c r="B4" s="116" t="s">
        <v>303</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row>
    <row r="5" spans="1:82" s="71" customFormat="1" ht="15">
      <c r="A5" s="91"/>
      <c r="B5" s="73"/>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row>
    <row r="6" spans="1:82" ht="15">
      <c r="A6" s="47"/>
      <c r="B6" s="67" t="s">
        <v>214</v>
      </c>
      <c r="C6" s="67"/>
      <c r="D6" s="67"/>
      <c r="E6" s="67"/>
      <c r="I6" s="67" t="s">
        <v>349</v>
      </c>
      <c r="J6" s="67"/>
      <c r="K6" s="67"/>
      <c r="L6" s="67"/>
      <c r="M6" s="67"/>
      <c r="N6" s="67"/>
      <c r="O6" s="67"/>
      <c r="P6" s="67"/>
      <c r="Q6" s="67"/>
      <c r="R6" s="67"/>
      <c r="S6" s="67"/>
      <c r="T6" s="67"/>
      <c r="U6" s="67"/>
      <c r="V6" s="67"/>
      <c r="W6" s="67"/>
      <c r="X6" s="67"/>
      <c r="Y6" s="67"/>
      <c r="Z6" s="67"/>
      <c r="AA6" s="67"/>
      <c r="AB6" s="67"/>
      <c r="AC6" s="67"/>
      <c r="AD6" s="67"/>
      <c r="AE6" s="67"/>
      <c r="AF6" s="67"/>
      <c r="AG6" s="67"/>
      <c r="AH6" s="67"/>
      <c r="AI6" s="67"/>
      <c r="AJ6" s="4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row>
    <row r="7" spans="1:82" ht="15" customHeight="1">
      <c r="A7" s="8"/>
      <c r="B7" s="67"/>
      <c r="C7" s="67"/>
      <c r="D7" s="67"/>
      <c r="E7" s="67"/>
      <c r="F7" s="193" t="s">
        <v>6</v>
      </c>
      <c r="G7" s="194"/>
      <c r="H7" s="195"/>
      <c r="I7" s="98"/>
      <c r="J7" s="97" t="s">
        <v>480</v>
      </c>
      <c r="K7" s="99"/>
      <c r="L7" s="100"/>
      <c r="N7" s="189" t="s">
        <v>398</v>
      </c>
      <c r="O7" s="190"/>
      <c r="P7" s="190"/>
      <c r="Q7" s="191"/>
      <c r="R7" s="191"/>
      <c r="S7" s="191"/>
      <c r="T7" s="191"/>
      <c r="U7" s="191"/>
      <c r="V7" s="191"/>
      <c r="W7" s="191"/>
      <c r="X7" s="191"/>
      <c r="Y7" s="192"/>
      <c r="Z7" s="185" t="s">
        <v>355</v>
      </c>
      <c r="AA7" s="186"/>
      <c r="AB7" s="186"/>
      <c r="AC7" s="186"/>
      <c r="AD7" s="186"/>
      <c r="AE7" s="186"/>
      <c r="AF7" s="186"/>
      <c r="AG7" s="186"/>
      <c r="AH7" s="186"/>
      <c r="AI7" s="186"/>
      <c r="AJ7" s="187"/>
      <c r="AK7" s="18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row>
    <row r="8" spans="1:82" s="71" customFormat="1" ht="15" customHeight="1">
      <c r="A8" s="69"/>
      <c r="B8" s="101"/>
      <c r="C8" s="83" t="s">
        <v>124</v>
      </c>
      <c r="D8" s="101"/>
      <c r="E8" s="101"/>
      <c r="F8" s="91"/>
      <c r="G8" s="20" t="s">
        <v>172</v>
      </c>
      <c r="H8" s="91"/>
      <c r="I8" s="91"/>
      <c r="J8" s="91"/>
      <c r="K8" s="20" t="s">
        <v>172</v>
      </c>
      <c r="L8" s="122"/>
      <c r="M8" s="91"/>
      <c r="N8" s="196" t="s">
        <v>312</v>
      </c>
      <c r="O8" s="197"/>
      <c r="P8" s="198"/>
      <c r="Q8" s="101" t="s">
        <v>391</v>
      </c>
      <c r="R8" s="101"/>
      <c r="S8" s="101"/>
      <c r="T8" s="101" t="s">
        <v>317</v>
      </c>
      <c r="U8" s="101"/>
      <c r="V8" s="101"/>
      <c r="W8" s="101" t="s">
        <v>318</v>
      </c>
      <c r="X8" s="101"/>
      <c r="Y8" s="101"/>
      <c r="Z8" s="196" t="s">
        <v>312</v>
      </c>
      <c r="AA8" s="197"/>
      <c r="AB8" s="198"/>
      <c r="AC8" s="101" t="s">
        <v>313</v>
      </c>
      <c r="AD8" s="101"/>
      <c r="AE8" s="101"/>
      <c r="AF8" s="101" t="s">
        <v>317</v>
      </c>
      <c r="AG8" s="101"/>
      <c r="AH8" s="101"/>
      <c r="AI8" s="101" t="s">
        <v>318</v>
      </c>
      <c r="AJ8" s="101"/>
      <c r="AK8" s="101"/>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row>
    <row r="9" spans="1:82" s="20" customFormat="1" ht="15" customHeight="1">
      <c r="A9" s="83"/>
      <c r="B9" s="83" t="s">
        <v>392</v>
      </c>
      <c r="C9" s="83" t="s">
        <v>125</v>
      </c>
      <c r="D9" s="83"/>
      <c r="E9" s="83"/>
      <c r="F9" s="83" t="s">
        <v>392</v>
      </c>
      <c r="G9" s="83" t="s">
        <v>249</v>
      </c>
      <c r="H9" s="83" t="s">
        <v>172</v>
      </c>
      <c r="J9" s="83" t="s">
        <v>392</v>
      </c>
      <c r="K9" s="83" t="s">
        <v>249</v>
      </c>
      <c r="L9" s="83" t="s">
        <v>172</v>
      </c>
      <c r="M9" s="83"/>
      <c r="N9" s="83" t="s">
        <v>392</v>
      </c>
      <c r="O9" s="83" t="s">
        <v>580</v>
      </c>
      <c r="P9" s="83" t="s">
        <v>172</v>
      </c>
      <c r="Q9" s="83" t="s">
        <v>392</v>
      </c>
      <c r="R9" s="83" t="s">
        <v>289</v>
      </c>
      <c r="S9" s="83" t="s">
        <v>172</v>
      </c>
      <c r="T9" s="83" t="s">
        <v>392</v>
      </c>
      <c r="U9" s="83" t="s">
        <v>289</v>
      </c>
      <c r="V9" s="83" t="s">
        <v>172</v>
      </c>
      <c r="W9" s="83" t="s">
        <v>392</v>
      </c>
      <c r="X9" s="83" t="s">
        <v>289</v>
      </c>
      <c r="Y9" s="83" t="s">
        <v>172</v>
      </c>
      <c r="Z9" s="83" t="s">
        <v>392</v>
      </c>
      <c r="AA9" s="83" t="s">
        <v>289</v>
      </c>
      <c r="AB9" s="83" t="s">
        <v>172</v>
      </c>
      <c r="AC9" s="83" t="s">
        <v>392</v>
      </c>
      <c r="AD9" s="83" t="s">
        <v>289</v>
      </c>
      <c r="AE9" s="83" t="s">
        <v>172</v>
      </c>
      <c r="AF9" s="83" t="s">
        <v>392</v>
      </c>
      <c r="AG9" s="83" t="s">
        <v>289</v>
      </c>
      <c r="AH9" s="83" t="s">
        <v>172</v>
      </c>
      <c r="AI9" s="83" t="s">
        <v>392</v>
      </c>
      <c r="AJ9" s="83" t="s">
        <v>289</v>
      </c>
      <c r="AK9" s="83" t="s">
        <v>172</v>
      </c>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row>
    <row r="10" spans="1:82" s="21" customFormat="1" ht="15">
      <c r="A10" s="103" t="s">
        <v>290</v>
      </c>
      <c r="B10" s="21" t="s">
        <v>248</v>
      </c>
      <c r="C10" s="102" t="s">
        <v>233</v>
      </c>
      <c r="D10" s="102" t="s">
        <v>215</v>
      </c>
      <c r="E10" s="102"/>
      <c r="F10" s="21" t="s">
        <v>248</v>
      </c>
      <c r="G10" s="102" t="s">
        <v>233</v>
      </c>
      <c r="H10" s="102" t="s">
        <v>215</v>
      </c>
      <c r="J10" s="21" t="s">
        <v>248</v>
      </c>
      <c r="K10" s="102" t="s">
        <v>233</v>
      </c>
      <c r="L10" s="102" t="s">
        <v>215</v>
      </c>
      <c r="M10" s="102"/>
      <c r="N10" s="21" t="s">
        <v>248</v>
      </c>
      <c r="O10" s="102" t="s">
        <v>581</v>
      </c>
      <c r="P10" s="102" t="s">
        <v>215</v>
      </c>
      <c r="Q10" s="21" t="s">
        <v>248</v>
      </c>
      <c r="R10" s="102" t="s">
        <v>233</v>
      </c>
      <c r="S10" s="102" t="s">
        <v>215</v>
      </c>
      <c r="T10" s="21" t="s">
        <v>248</v>
      </c>
      <c r="U10" s="102" t="s">
        <v>233</v>
      </c>
      <c r="V10" s="102" t="s">
        <v>215</v>
      </c>
      <c r="W10" s="21" t="s">
        <v>248</v>
      </c>
      <c r="X10" s="102" t="s">
        <v>233</v>
      </c>
      <c r="Y10" s="102" t="s">
        <v>215</v>
      </c>
      <c r="Z10" s="21" t="s">
        <v>248</v>
      </c>
      <c r="AA10" s="102" t="s">
        <v>233</v>
      </c>
      <c r="AB10" s="102" t="s">
        <v>215</v>
      </c>
      <c r="AC10" s="21" t="s">
        <v>248</v>
      </c>
      <c r="AD10" s="102" t="s">
        <v>233</v>
      </c>
      <c r="AE10" s="102" t="s">
        <v>215</v>
      </c>
      <c r="AF10" s="21" t="s">
        <v>248</v>
      </c>
      <c r="AG10" s="102" t="s">
        <v>233</v>
      </c>
      <c r="AH10" s="102" t="s">
        <v>215</v>
      </c>
      <c r="AI10" s="21" t="s">
        <v>248</v>
      </c>
      <c r="AJ10" s="102" t="s">
        <v>233</v>
      </c>
      <c r="AK10" s="102" t="s">
        <v>215</v>
      </c>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row>
    <row r="11" spans="1:37" ht="15">
      <c r="A11" s="8" t="s">
        <v>320</v>
      </c>
      <c r="B11" s="60">
        <v>2231</v>
      </c>
      <c r="C11" s="61">
        <f>D11/B11</f>
        <v>53.45159234448073</v>
      </c>
      <c r="D11" s="4">
        <f>H11+L11</f>
        <v>119250.50252053651</v>
      </c>
      <c r="E11" s="7"/>
      <c r="F11" s="4">
        <v>1896.300227676995</v>
      </c>
      <c r="G11" s="257">
        <f>0.401*137.07</f>
        <v>54.96507</v>
      </c>
      <c r="H11" s="4">
        <f>F11*G11</f>
        <v>104230.27475528196</v>
      </c>
      <c r="J11" s="4">
        <f>B11-F11</f>
        <v>334.69977232300494</v>
      </c>
      <c r="K11" s="62">
        <f>L11/J11</f>
        <v>44.87671939842</v>
      </c>
      <c r="L11" s="4">
        <f>P11+AB11</f>
        <v>15020.227765254553</v>
      </c>
      <c r="M11" s="4"/>
      <c r="N11" s="7">
        <v>0</v>
      </c>
      <c r="O11" s="62"/>
      <c r="P11" s="4">
        <f>S11+V11+Y11</f>
        <v>0</v>
      </c>
      <c r="Q11" s="4">
        <f>N11*0.423</f>
        <v>0</v>
      </c>
      <c r="R11" s="62">
        <f>178.92*0.523</f>
        <v>93.57516</v>
      </c>
      <c r="S11" s="4">
        <f>Q11*R11</f>
        <v>0</v>
      </c>
      <c r="T11" s="4">
        <f>N11*0.239</f>
        <v>0</v>
      </c>
      <c r="U11" s="62">
        <f>240.38*0.523</f>
        <v>125.71874</v>
      </c>
      <c r="V11" s="4">
        <f>T11*U11</f>
        <v>0</v>
      </c>
      <c r="W11" s="4">
        <f>N11*0.338</f>
        <v>0</v>
      </c>
      <c r="X11" s="62">
        <f>108.57*0.523</f>
        <v>56.782109999999996</v>
      </c>
      <c r="Y11" s="4">
        <f>W11*X11</f>
        <v>0</v>
      </c>
      <c r="Z11" s="4">
        <f>J11*0.546</f>
        <v>182.74607568836072</v>
      </c>
      <c r="AA11" s="62">
        <f>AB11/Z11</f>
        <v>82.19179376999999</v>
      </c>
      <c r="AB11" s="4">
        <f>AE11+AH11+AK11</f>
        <v>15020.227765254553</v>
      </c>
      <c r="AC11" s="4">
        <f>Z11*0.423</f>
        <v>77.30159001617658</v>
      </c>
      <c r="AD11" s="62">
        <f>178.92*0.471</f>
        <v>84.27131999999999</v>
      </c>
      <c r="AE11" s="4">
        <f>AC11*AD11</f>
        <v>6514.30702876202</v>
      </c>
      <c r="AF11" s="4">
        <f>Z11*0.239</f>
        <v>43.67631208951821</v>
      </c>
      <c r="AG11" s="62">
        <f>240.11*0.471</f>
        <v>113.09181</v>
      </c>
      <c r="AH11" s="4">
        <f>AF11*AG11</f>
        <v>4939.433188328497</v>
      </c>
      <c r="AI11" s="4">
        <f>Z11*0.338</f>
        <v>61.76817358266593</v>
      </c>
      <c r="AJ11" s="62">
        <f>122.59*0.471</f>
        <v>57.739889999999995</v>
      </c>
      <c r="AK11" s="4">
        <f>AI11*AJ11</f>
        <v>3566.4875481640365</v>
      </c>
    </row>
    <row r="12" spans="1:37" ht="15">
      <c r="A12" s="8" t="s">
        <v>510</v>
      </c>
      <c r="B12" s="60">
        <v>18779.63660903846</v>
      </c>
      <c r="C12" s="61">
        <f>D12/B12</f>
        <v>56.3112660102634</v>
      </c>
      <c r="D12" s="4">
        <f>H12+L12</f>
        <v>1057505.1126676458</v>
      </c>
      <c r="E12" s="7"/>
      <c r="F12" s="4">
        <v>16256.348901912796</v>
      </c>
      <c r="G12" s="257">
        <f>0.401*119.88</f>
        <v>48.07188</v>
      </c>
      <c r="H12" s="4">
        <f>F12*G12</f>
        <v>781473.2536508837</v>
      </c>
      <c r="J12" s="4">
        <f>B12-F12</f>
        <v>2523.287707125666</v>
      </c>
      <c r="K12" s="62">
        <f>L12/J12</f>
        <v>109.39373193047261</v>
      </c>
      <c r="L12" s="4">
        <f>P12+AB12</f>
        <v>276031.859016762</v>
      </c>
      <c r="M12" s="4"/>
      <c r="N12" s="7">
        <v>2537.0550000000003</v>
      </c>
      <c r="O12" s="62">
        <f>P12/N12</f>
        <v>108.80010839999998</v>
      </c>
      <c r="P12" s="4">
        <f>S12+V12+Y12</f>
        <v>276031.859016762</v>
      </c>
      <c r="Q12" s="4">
        <f>N12*0.415</f>
        <v>1052.877825</v>
      </c>
      <c r="R12" s="62">
        <f>217.6*0.523</f>
        <v>113.8048</v>
      </c>
      <c r="S12" s="4">
        <f>Q12*R12</f>
        <v>119822.55029856</v>
      </c>
      <c r="T12" s="4">
        <f>N12*0.242</f>
        <v>613.96731</v>
      </c>
      <c r="U12" s="62">
        <f>292.24*0.523</f>
        <v>152.84152</v>
      </c>
      <c r="V12" s="4">
        <f>T12*U12</f>
        <v>93839.6968907112</v>
      </c>
      <c r="W12" s="4">
        <f>N12*0.343</f>
        <v>870.2098650000001</v>
      </c>
      <c r="X12" s="62">
        <f>137.04*0.523</f>
        <v>71.67192</v>
      </c>
      <c r="Y12" s="4">
        <f>W12*X12</f>
        <v>62369.61182749081</v>
      </c>
      <c r="Z12" s="4"/>
      <c r="AA12" s="114"/>
      <c r="AB12" s="114"/>
      <c r="AC12" s="4">
        <f>Z12*0.415</f>
        <v>0</v>
      </c>
      <c r="AD12" s="62">
        <f>171.69*0.471</f>
        <v>80.86599</v>
      </c>
      <c r="AE12" s="4"/>
      <c r="AF12" s="4"/>
      <c r="AG12" s="62">
        <f>223.01*0.471</f>
        <v>105.03770999999999</v>
      </c>
      <c r="AH12" s="4"/>
      <c r="AI12" s="4"/>
      <c r="AJ12" s="62">
        <f>111.49*0.471</f>
        <v>52.51179</v>
      </c>
      <c r="AK12" s="4"/>
    </row>
    <row r="13" spans="1:37" ht="15">
      <c r="A13" s="83" t="s">
        <v>288</v>
      </c>
      <c r="B13" s="4">
        <f>B11+B12</f>
        <v>21010.63660903846</v>
      </c>
      <c r="C13" s="96">
        <f>D13/B13</f>
        <v>56.00761352856675</v>
      </c>
      <c r="D13" s="4">
        <f>D11+D12</f>
        <v>1176755.6151881823</v>
      </c>
      <c r="E13" s="4"/>
      <c r="F13" s="4">
        <f>F11+F12</f>
        <v>18152.64912958979</v>
      </c>
      <c r="G13" s="96">
        <f>H13/F13</f>
        <v>48.79197091748011</v>
      </c>
      <c r="H13" s="4">
        <f>H11+H12</f>
        <v>885703.5284061657</v>
      </c>
      <c r="J13" s="4">
        <f>J11+J12</f>
        <v>2857.9874794486714</v>
      </c>
      <c r="K13" s="96">
        <f>L13/J13</f>
        <v>101.83812521045853</v>
      </c>
      <c r="L13" s="4">
        <f>L11+L12</f>
        <v>291052.08678201656</v>
      </c>
      <c r="N13" s="4">
        <f>N11+N12</f>
        <v>2537.0550000000003</v>
      </c>
      <c r="O13" s="96">
        <f>P13/N13</f>
        <v>108.80010839999998</v>
      </c>
      <c r="P13" s="4">
        <f>P11+P12</f>
        <v>276031.859016762</v>
      </c>
      <c r="Q13" s="4">
        <f>Q11+Q12</f>
        <v>1052.877825</v>
      </c>
      <c r="R13" s="96">
        <f>S13/Q13</f>
        <v>113.8048</v>
      </c>
      <c r="S13" s="4">
        <f>S11+S12</f>
        <v>119822.55029856</v>
      </c>
      <c r="T13" s="4">
        <f>T11+T12</f>
        <v>613.96731</v>
      </c>
      <c r="U13" s="96">
        <f>V13/T13</f>
        <v>152.84152</v>
      </c>
      <c r="V13" s="4">
        <f>V11+V12</f>
        <v>93839.6968907112</v>
      </c>
      <c r="W13" s="4">
        <f>W11+W12</f>
        <v>870.2098650000001</v>
      </c>
      <c r="X13" s="96">
        <f>Y13/W13</f>
        <v>71.67192</v>
      </c>
      <c r="Y13" s="4">
        <f>Y11+Y12</f>
        <v>62369.61182749081</v>
      </c>
      <c r="Z13" s="4">
        <f>Z11+Z12</f>
        <v>182.74607568836072</v>
      </c>
      <c r="AA13" s="96">
        <f>AB13/Z13</f>
        <v>82.19179376999999</v>
      </c>
      <c r="AB13" s="4">
        <f>AB11+AB12</f>
        <v>15020.227765254553</v>
      </c>
      <c r="AC13" s="4">
        <f>AC11+AC12</f>
        <v>77.30159001617658</v>
      </c>
      <c r="AD13" s="96">
        <f>AE13/AC13</f>
        <v>84.27131999999999</v>
      </c>
      <c r="AE13" s="4">
        <f>AE11+AE12</f>
        <v>6514.30702876202</v>
      </c>
      <c r="AF13" s="4">
        <f>AF11+AF12</f>
        <v>43.67631208951821</v>
      </c>
      <c r="AG13" s="96">
        <f>AH13/AF13</f>
        <v>113.09181</v>
      </c>
      <c r="AH13" s="4">
        <f>AH11+AH12</f>
        <v>4939.433188328497</v>
      </c>
      <c r="AI13" s="4">
        <f>AI11+AI12</f>
        <v>61.76817358266593</v>
      </c>
      <c r="AJ13" s="96">
        <f>AK13/AI13</f>
        <v>57.739889999999995</v>
      </c>
      <c r="AK13" s="4">
        <f>AK11+AK12</f>
        <v>3566.4875481640365</v>
      </c>
    </row>
    <row r="14" spans="1:37" ht="15">
      <c r="A14" s="8" t="s">
        <v>418</v>
      </c>
      <c r="B14" s="60">
        <v>228698.23062868664</v>
      </c>
      <c r="C14" s="61">
        <f>D14/B14</f>
        <v>45.54</v>
      </c>
      <c r="D14" s="4">
        <f>H14+L14</f>
        <v>10414917.42283039</v>
      </c>
      <c r="E14" s="60"/>
      <c r="F14" s="4">
        <v>228698.23062868664</v>
      </c>
      <c r="G14" s="257">
        <f>0.414*110</f>
        <v>45.54</v>
      </c>
      <c r="H14" s="4">
        <f>F14*G14</f>
        <v>10414917.42283039</v>
      </c>
      <c r="J14" s="114" t="s">
        <v>582</v>
      </c>
      <c r="K14" s="114"/>
      <c r="L14" s="114"/>
      <c r="M14" s="114"/>
      <c r="N14" s="114"/>
      <c r="O14" s="114"/>
      <c r="P14" s="114"/>
      <c r="Q14" s="114"/>
      <c r="R14" s="62">
        <f>196.49*0.527</f>
        <v>103.55023000000001</v>
      </c>
      <c r="S14" s="4"/>
      <c r="T14" s="4"/>
      <c r="U14" s="62">
        <f>329.56*0.527</f>
        <v>173.67812</v>
      </c>
      <c r="V14" s="4"/>
      <c r="W14" s="4"/>
      <c r="X14" s="62">
        <f>133.2*0.527</f>
        <v>70.1964</v>
      </c>
      <c r="Y14" s="4"/>
      <c r="Z14" s="4"/>
      <c r="AA14" s="63"/>
      <c r="AB14" s="4"/>
      <c r="AC14" s="4"/>
      <c r="AD14" s="62"/>
      <c r="AE14" s="7"/>
      <c r="AF14" s="4"/>
      <c r="AG14" s="62"/>
      <c r="AH14" s="7"/>
      <c r="AI14" s="4"/>
      <c r="AJ14" s="62"/>
      <c r="AK14" s="7"/>
    </row>
    <row r="15" spans="2:35" ht="15">
      <c r="B15" s="60"/>
      <c r="C15" s="63"/>
      <c r="D15" s="4"/>
      <c r="G15" s="62"/>
      <c r="H15" s="4"/>
      <c r="J15" s="4"/>
      <c r="K15" s="62"/>
      <c r="L15" s="4"/>
      <c r="N15" s="7"/>
      <c r="O15" s="62"/>
      <c r="P15" s="4"/>
      <c r="Q15" s="4"/>
      <c r="R15" s="62"/>
      <c r="W15" s="4"/>
      <c r="Y15" s="4"/>
      <c r="Z15" s="4"/>
      <c r="AA15" s="63"/>
      <c r="AB15" s="4"/>
      <c r="AC15" s="4"/>
      <c r="AE15" s="4"/>
      <c r="AF15" s="4"/>
      <c r="AI15" s="4"/>
    </row>
    <row r="16" spans="1:82" ht="15">
      <c r="A16" s="8" t="s">
        <v>441</v>
      </c>
      <c r="B16" s="60">
        <f>B11+B12+B14</f>
        <v>249708.8672377251</v>
      </c>
      <c r="C16" s="61">
        <f>D16/B16</f>
        <v>46.42075055742092</v>
      </c>
      <c r="D16" s="4">
        <f>D11+D12+D14</f>
        <v>11591673.038018573</v>
      </c>
      <c r="E16" s="60"/>
      <c r="F16" s="4">
        <f>F11+F12+F14</f>
        <v>246850.87975827642</v>
      </c>
      <c r="G16" s="61">
        <f>H16/F16</f>
        <v>45.779139868986704</v>
      </c>
      <c r="H16" s="4">
        <f>H11+H12+H14</f>
        <v>11300620.951236555</v>
      </c>
      <c r="J16" s="4">
        <f>B16-F16</f>
        <v>2857.9874794486677</v>
      </c>
      <c r="K16" s="62">
        <f>L16/J16</f>
        <v>101.83812521045866</v>
      </c>
      <c r="L16" s="60">
        <f>L11+L12+L14</f>
        <v>291052.08678201656</v>
      </c>
      <c r="M16" s="4"/>
      <c r="N16" s="60">
        <f>N11+N12+N14</f>
        <v>2537.0550000000003</v>
      </c>
      <c r="O16" s="62">
        <f>P16/N16</f>
        <v>108.80010839999998</v>
      </c>
      <c r="P16" s="60">
        <f>P11+P12+P14</f>
        <v>276031.859016762</v>
      </c>
      <c r="Q16" s="60">
        <f>Q11+Q12+Q14</f>
        <v>1052.877825</v>
      </c>
      <c r="R16" s="62">
        <f>S16/Q16</f>
        <v>113.8048</v>
      </c>
      <c r="S16" s="60">
        <f>S11+S12+S14</f>
        <v>119822.55029856</v>
      </c>
      <c r="T16" s="60">
        <f>T11+T12+T14</f>
        <v>613.96731</v>
      </c>
      <c r="U16" s="62">
        <f>V16/T16</f>
        <v>152.84152</v>
      </c>
      <c r="V16" s="60">
        <f>V11+V12+V14</f>
        <v>93839.6968907112</v>
      </c>
      <c r="W16" s="60">
        <f>W11+W12+W14</f>
        <v>870.2098650000001</v>
      </c>
      <c r="X16" s="62">
        <f>Y16/W16</f>
        <v>71.67192</v>
      </c>
      <c r="Y16" s="60">
        <f>Y11+Y12+Y14</f>
        <v>62369.61182749081</v>
      </c>
      <c r="Z16" s="7">
        <f>Z11+Z12+Z14</f>
        <v>182.74607568836072</v>
      </c>
      <c r="AA16" s="62">
        <f>AB16/Z16</f>
        <v>82.19179376999999</v>
      </c>
      <c r="AB16" s="60">
        <f>AB11+AB12+AB14</f>
        <v>15020.227765254553</v>
      </c>
      <c r="AC16" s="7">
        <f>AC11+AC12+AC14</f>
        <v>77.30159001617658</v>
      </c>
      <c r="AD16" s="62">
        <f>AE16/AC16</f>
        <v>84.27131999999999</v>
      </c>
      <c r="AE16" s="60">
        <f>AE11+AE12+AE14</f>
        <v>6514.30702876202</v>
      </c>
      <c r="AF16" s="7">
        <f>AF11+AF12+AF14</f>
        <v>43.67631208951821</v>
      </c>
      <c r="AG16" s="62">
        <f>AH16/AF16</f>
        <v>113.09181</v>
      </c>
      <c r="AH16" s="60">
        <f>AH11+AH12+AH14</f>
        <v>4939.433188328497</v>
      </c>
      <c r="AI16" s="7">
        <f>AI11+AI12+AI14</f>
        <v>61.76817358266593</v>
      </c>
      <c r="AJ16" s="62">
        <f>AK16/AI16</f>
        <v>57.739889999999995</v>
      </c>
      <c r="AK16" s="60">
        <f>AK11+AK12+AK14</f>
        <v>3566.4875481640365</v>
      </c>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row>
    <row r="17" spans="2:25" ht="15">
      <c r="B17" s="60"/>
      <c r="Y17" s="60"/>
    </row>
    <row r="18" spans="1:2" ht="15">
      <c r="A18" s="47" t="s">
        <v>422</v>
      </c>
      <c r="B18" s="4"/>
    </row>
    <row r="19" spans="1:2" ht="15">
      <c r="A19" s="122" t="s">
        <v>583</v>
      </c>
      <c r="B19" s="4"/>
    </row>
    <row r="20" spans="1:2" ht="15">
      <c r="A20" s="122" t="s">
        <v>584</v>
      </c>
      <c r="B20" s="4"/>
    </row>
    <row r="21" spans="1:2" s="122" customFormat="1" ht="15">
      <c r="A21" s="122" t="s">
        <v>568</v>
      </c>
      <c r="B21" s="114"/>
    </row>
    <row r="22" spans="1:2" s="122" customFormat="1" ht="15">
      <c r="A22" s="122" t="s">
        <v>507</v>
      </c>
      <c r="B22" s="114"/>
    </row>
    <row r="23" spans="1:2" s="122" customFormat="1" ht="15">
      <c r="A23" s="122" t="s">
        <v>585</v>
      </c>
      <c r="B23" s="114"/>
    </row>
    <row r="24" spans="1:2" s="122" customFormat="1" ht="15">
      <c r="A24" s="122" t="s">
        <v>569</v>
      </c>
      <c r="B24" s="114"/>
    </row>
    <row r="25" spans="1:2" s="122" customFormat="1" ht="15">
      <c r="A25" s="122" t="s">
        <v>571</v>
      </c>
      <c r="B25" s="114"/>
    </row>
    <row r="26" s="122" customFormat="1" ht="15">
      <c r="B26" s="114"/>
    </row>
    <row r="27" spans="1:27" s="116" customFormat="1" ht="15">
      <c r="A27" s="122"/>
      <c r="B27" s="7" t="s">
        <v>590</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row>
    <row r="28" spans="2:15" ht="15">
      <c r="B28" s="123" t="s">
        <v>396</v>
      </c>
      <c r="C28" s="124"/>
      <c r="D28" s="125"/>
      <c r="E28" s="124"/>
      <c r="F28" s="126" t="s">
        <v>397</v>
      </c>
      <c r="G28" s="127"/>
      <c r="H28" s="128"/>
      <c r="I28" s="127"/>
      <c r="J28" s="129" t="s">
        <v>176</v>
      </c>
      <c r="K28" s="130"/>
      <c r="L28" s="130"/>
      <c r="M28" s="131"/>
      <c r="N28" s="122"/>
      <c r="O28" s="122"/>
    </row>
    <row r="29" spans="2:14" ht="15">
      <c r="B29" s="20" t="s">
        <v>395</v>
      </c>
      <c r="C29" s="20" t="s">
        <v>317</v>
      </c>
      <c r="D29" s="20" t="s">
        <v>318</v>
      </c>
      <c r="E29" s="20" t="s">
        <v>589</v>
      </c>
      <c r="F29" s="20" t="s">
        <v>395</v>
      </c>
      <c r="G29" s="20" t="s">
        <v>317</v>
      </c>
      <c r="H29" s="20" t="s">
        <v>318</v>
      </c>
      <c r="I29" s="20" t="s">
        <v>589</v>
      </c>
      <c r="J29" s="20" t="s">
        <v>395</v>
      </c>
      <c r="K29" s="20" t="s">
        <v>317</v>
      </c>
      <c r="L29" s="20" t="s">
        <v>318</v>
      </c>
      <c r="M29" s="20" t="s">
        <v>589</v>
      </c>
      <c r="N29" s="122"/>
    </row>
    <row r="30" spans="1:14" ht="15">
      <c r="A30" s="20" t="s">
        <v>320</v>
      </c>
      <c r="B30" s="46">
        <v>0.423</v>
      </c>
      <c r="C30" s="46">
        <v>0.239</v>
      </c>
      <c r="D30" s="46">
        <v>0.338</v>
      </c>
      <c r="E30" s="285">
        <f>B30+C30+D30</f>
        <v>1</v>
      </c>
      <c r="F30" s="46">
        <v>0.423</v>
      </c>
      <c r="G30" s="46">
        <v>0.239</v>
      </c>
      <c r="H30" s="46">
        <v>0.338</v>
      </c>
      <c r="I30" s="285">
        <f>F30+G30+H30</f>
        <v>1</v>
      </c>
      <c r="J30" s="46">
        <v>0.423</v>
      </c>
      <c r="K30" s="46">
        <v>0.239</v>
      </c>
      <c r="L30" s="46">
        <v>0.338</v>
      </c>
      <c r="M30" s="285">
        <f>J30+K30+L30</f>
        <v>1</v>
      </c>
      <c r="N30" s="122"/>
    </row>
    <row r="31" spans="1:14" ht="15">
      <c r="A31" s="20" t="s">
        <v>394</v>
      </c>
      <c r="B31" s="46">
        <v>0.415</v>
      </c>
      <c r="C31" s="46">
        <v>0.242</v>
      </c>
      <c r="D31" s="46">
        <v>0.343</v>
      </c>
      <c r="E31" s="285">
        <f>B31+C31+D31</f>
        <v>1</v>
      </c>
      <c r="F31" s="46">
        <v>0.415</v>
      </c>
      <c r="G31" s="46">
        <v>0.242</v>
      </c>
      <c r="H31" s="46">
        <v>0.343</v>
      </c>
      <c r="I31" s="285">
        <f>F31+G31+H31</f>
        <v>1</v>
      </c>
      <c r="J31" s="46">
        <v>0.415</v>
      </c>
      <c r="K31" s="46">
        <v>0.242</v>
      </c>
      <c r="L31" s="46">
        <v>0.343</v>
      </c>
      <c r="M31" s="285">
        <f>J31+K31+L31</f>
        <v>1</v>
      </c>
      <c r="N31" s="122"/>
    </row>
    <row r="32" spans="1:14" ht="15">
      <c r="A32" s="20" t="s">
        <v>307</v>
      </c>
      <c r="B32" s="46">
        <v>0.166</v>
      </c>
      <c r="C32" s="46">
        <v>0.103</v>
      </c>
      <c r="D32" s="46">
        <v>0.731</v>
      </c>
      <c r="E32" s="285">
        <f>B32+C32+D32</f>
        <v>1</v>
      </c>
      <c r="F32" s="46">
        <v>0</v>
      </c>
      <c r="G32" s="46">
        <v>0</v>
      </c>
      <c r="H32" s="46">
        <v>0</v>
      </c>
      <c r="I32" s="285"/>
      <c r="J32" s="46">
        <v>0</v>
      </c>
      <c r="K32" s="46">
        <v>0</v>
      </c>
      <c r="L32" s="46">
        <v>0</v>
      </c>
      <c r="M32" s="285"/>
      <c r="N32" s="122"/>
    </row>
    <row r="33" spans="1:27" s="71" customFormat="1" ht="15">
      <c r="A33" s="20"/>
      <c r="B33" s="91"/>
      <c r="C33" s="91"/>
      <c r="D33" s="91"/>
      <c r="E33" s="91"/>
      <c r="F33" s="91"/>
      <c r="G33" s="91"/>
      <c r="H33" s="91"/>
      <c r="I33" s="91"/>
      <c r="J33" s="91"/>
      <c r="K33" s="91"/>
      <c r="L33" s="91"/>
      <c r="M33" s="122"/>
      <c r="N33" s="91"/>
      <c r="O33" s="91"/>
      <c r="P33" s="91"/>
      <c r="Q33" s="91"/>
      <c r="R33" s="91"/>
      <c r="S33" s="91"/>
      <c r="T33" s="91"/>
      <c r="U33" s="91"/>
      <c r="V33" s="91"/>
      <c r="W33" s="91"/>
      <c r="X33" s="91"/>
      <c r="Y33" s="91"/>
      <c r="Z33" s="122"/>
      <c r="AA33" s="122"/>
    </row>
    <row r="34" spans="1:13" ht="15">
      <c r="A34" s="72" t="s">
        <v>497</v>
      </c>
      <c r="B34" s="4"/>
      <c r="M34" s="122"/>
    </row>
    <row r="35" spans="1:27" s="71" customFormat="1" ht="15">
      <c r="A35" s="118" t="s">
        <v>482</v>
      </c>
      <c r="B35" s="4"/>
      <c r="C35" s="91"/>
      <c r="D35" s="91"/>
      <c r="E35" s="91"/>
      <c r="F35" s="91"/>
      <c r="G35" s="91"/>
      <c r="H35" s="91"/>
      <c r="I35" s="91"/>
      <c r="J35" s="91"/>
      <c r="K35" s="91"/>
      <c r="L35" s="91"/>
      <c r="M35" s="122"/>
      <c r="N35" s="91"/>
      <c r="O35" s="91"/>
      <c r="P35" s="91"/>
      <c r="Q35" s="91"/>
      <c r="R35" s="91"/>
      <c r="S35" s="91"/>
      <c r="T35" s="91"/>
      <c r="U35" s="91"/>
      <c r="V35" s="91"/>
      <c r="W35" s="91"/>
      <c r="X35" s="91"/>
      <c r="Y35" s="91"/>
      <c r="Z35" s="122"/>
      <c r="AA35" s="122"/>
    </row>
    <row r="36" spans="1:2" s="122" customFormat="1" ht="15">
      <c r="A36" s="118"/>
      <c r="B36" s="114"/>
    </row>
    <row r="37" spans="1:27" s="71" customFormat="1" ht="15">
      <c r="A37" s="122"/>
      <c r="B37" s="93" t="s">
        <v>566</v>
      </c>
      <c r="C37" s="91"/>
      <c r="D37" s="91"/>
      <c r="E37" s="91"/>
      <c r="F37" s="91"/>
      <c r="G37" s="91"/>
      <c r="H37" s="91"/>
      <c r="I37" s="91"/>
      <c r="J37" s="91"/>
      <c r="K37" s="91"/>
      <c r="L37" s="91"/>
      <c r="M37" s="122"/>
      <c r="N37" s="91"/>
      <c r="O37" s="91"/>
      <c r="P37" s="91"/>
      <c r="Q37" s="91"/>
      <c r="R37" s="91"/>
      <c r="S37" s="91"/>
      <c r="T37" s="91"/>
      <c r="U37" s="91"/>
      <c r="V37" s="91"/>
      <c r="W37" s="91"/>
      <c r="X37" s="91"/>
      <c r="Y37" s="91"/>
      <c r="Z37" s="122"/>
      <c r="AA37" s="122"/>
    </row>
    <row r="38" spans="1:27" s="71" customFormat="1" ht="15">
      <c r="A38" s="93"/>
      <c r="B38" s="94" t="s">
        <v>424</v>
      </c>
      <c r="C38" s="66" t="s">
        <v>425</v>
      </c>
      <c r="D38" s="122"/>
      <c r="E38" s="122"/>
      <c r="F38" s="122"/>
      <c r="G38" s="122"/>
      <c r="H38" s="122"/>
      <c r="I38" s="122"/>
      <c r="J38" s="122"/>
      <c r="K38" s="122"/>
      <c r="L38" s="122"/>
      <c r="M38" s="91"/>
      <c r="N38" s="122"/>
      <c r="O38" s="122"/>
      <c r="P38" s="122"/>
      <c r="Q38" s="122"/>
      <c r="R38" s="122"/>
      <c r="S38" s="122"/>
      <c r="T38" s="122"/>
      <c r="U38" s="122"/>
      <c r="V38" s="122"/>
      <c r="W38" s="122"/>
      <c r="X38" s="122"/>
      <c r="Y38" s="122"/>
      <c r="Z38" s="122"/>
      <c r="AA38" s="122"/>
    </row>
    <row r="39" spans="1:5" ht="15">
      <c r="A39" s="44" t="s">
        <v>511</v>
      </c>
      <c r="B39" s="281">
        <v>41.4</v>
      </c>
      <c r="C39" s="282">
        <v>40.1</v>
      </c>
      <c r="E39" s="122" t="s">
        <v>588</v>
      </c>
    </row>
    <row r="40" spans="1:13" ht="15">
      <c r="A40" s="44" t="s">
        <v>405</v>
      </c>
      <c r="B40" s="283">
        <v>47.5</v>
      </c>
      <c r="C40" s="283">
        <v>47.1</v>
      </c>
      <c r="M40" s="91"/>
    </row>
    <row r="41" spans="1:13" ht="15">
      <c r="A41" s="44" t="s">
        <v>353</v>
      </c>
      <c r="B41" s="284">
        <v>52.7</v>
      </c>
      <c r="C41" s="284">
        <v>52.3</v>
      </c>
      <c r="M41" s="122"/>
    </row>
    <row r="42" spans="1:27" s="71" customFormat="1" ht="15">
      <c r="A42" s="44"/>
      <c r="B42" s="45"/>
      <c r="C42" s="45"/>
      <c r="D42" s="91"/>
      <c r="E42" s="91"/>
      <c r="F42" s="91"/>
      <c r="G42" s="91"/>
      <c r="H42" s="91"/>
      <c r="I42" s="91"/>
      <c r="J42" s="91"/>
      <c r="K42" s="122"/>
      <c r="L42" s="122"/>
      <c r="M42" s="91"/>
      <c r="N42" s="122"/>
      <c r="O42" s="122"/>
      <c r="P42" s="122"/>
      <c r="Q42" s="122"/>
      <c r="R42" s="122"/>
      <c r="S42" s="122"/>
      <c r="T42" s="122"/>
      <c r="U42" s="122"/>
      <c r="V42" s="122"/>
      <c r="W42" s="122"/>
      <c r="X42" s="122"/>
      <c r="Y42" s="122"/>
      <c r="Z42" s="122"/>
      <c r="AA42" s="122"/>
    </row>
    <row r="43" spans="1:13" ht="15">
      <c r="A43" s="68"/>
      <c r="B43" s="68"/>
      <c r="C43" s="68"/>
      <c r="D43" s="68"/>
      <c r="E43" s="68"/>
      <c r="F43" s="68"/>
      <c r="M43" s="122"/>
    </row>
    <row r="44" spans="1:2" ht="15">
      <c r="A44" s="95" t="s">
        <v>287</v>
      </c>
      <c r="B44" s="73" t="s">
        <v>268</v>
      </c>
    </row>
    <row r="45" spans="1:27" s="71" customFormat="1" ht="15">
      <c r="A45" s="95"/>
      <c r="B45" s="73"/>
      <c r="C45" s="91"/>
      <c r="D45" s="91"/>
      <c r="E45" s="91"/>
      <c r="F45" s="91"/>
      <c r="G45" s="91"/>
      <c r="H45" s="91"/>
      <c r="I45" s="91"/>
      <c r="J45" s="91"/>
      <c r="K45" s="122"/>
      <c r="L45" s="122"/>
      <c r="M45" s="46"/>
      <c r="N45" s="122"/>
      <c r="O45" s="122"/>
      <c r="P45" s="122"/>
      <c r="Q45" s="122"/>
      <c r="R45" s="122"/>
      <c r="S45" s="122"/>
      <c r="T45" s="122"/>
      <c r="U45" s="122"/>
      <c r="V45" s="122"/>
      <c r="W45" s="122"/>
      <c r="X45" s="122"/>
      <c r="Y45" s="122"/>
      <c r="Z45" s="122"/>
      <c r="AA45" s="122"/>
    </row>
    <row r="46" spans="1:9" ht="15">
      <c r="A46" s="69"/>
      <c r="E46" s="71" t="s">
        <v>341</v>
      </c>
      <c r="I46" s="71" t="s">
        <v>122</v>
      </c>
    </row>
    <row r="47" spans="1:13" ht="15">
      <c r="A47" s="69"/>
      <c r="B47" s="71" t="s">
        <v>291</v>
      </c>
      <c r="E47" s="117" t="s">
        <v>547</v>
      </c>
      <c r="I47" s="71" t="s">
        <v>415</v>
      </c>
      <c r="M47" s="122"/>
    </row>
    <row r="48" spans="1:10" ht="15">
      <c r="A48" s="93"/>
      <c r="B48" s="94" t="s">
        <v>424</v>
      </c>
      <c r="C48" s="66" t="s">
        <v>425</v>
      </c>
      <c r="E48" s="94" t="s">
        <v>424</v>
      </c>
      <c r="F48" s="66" t="s">
        <v>425</v>
      </c>
      <c r="I48" s="94" t="s">
        <v>424</v>
      </c>
      <c r="J48" s="66" t="s">
        <v>425</v>
      </c>
    </row>
    <row r="49" spans="1:10" ht="15">
      <c r="A49" s="44" t="s">
        <v>511</v>
      </c>
      <c r="B49" s="48">
        <f aca="true" t="shared" si="0" ref="B49:C51">100-B39</f>
        <v>58.6</v>
      </c>
      <c r="C49" s="48">
        <f t="shared" si="0"/>
        <v>59.9</v>
      </c>
      <c r="E49" s="104">
        <f>59.1785*B49/B39</f>
        <v>83.76473671497584</v>
      </c>
      <c r="F49" s="104">
        <f>58.4143*C49/C39</f>
        <v>87.2572710723192</v>
      </c>
      <c r="I49" s="105">
        <f>E49*$B$14</f>
        <v>19156847.07579276</v>
      </c>
      <c r="J49" s="105">
        <f>F49*$B$13</f>
        <v>1833330.8139968626</v>
      </c>
    </row>
    <row r="50" spans="1:13" ht="15">
      <c r="A50" s="44" t="s">
        <v>405</v>
      </c>
      <c r="B50" s="48">
        <f t="shared" si="0"/>
        <v>52.5</v>
      </c>
      <c r="C50" s="48">
        <f t="shared" si="0"/>
        <v>52.9</v>
      </c>
      <c r="E50" s="104">
        <f>59.1785*B50/B40</f>
        <v>65.40781578947369</v>
      </c>
      <c r="F50" s="104">
        <f>58.4143*C50/C40</f>
        <v>65.60756836518047</v>
      </c>
      <c r="I50" s="105">
        <f>E50*$B$14</f>
        <v>14958651.740339704</v>
      </c>
      <c r="J50" s="105">
        <f>F50*$B$13</f>
        <v>1378456.7777234544</v>
      </c>
      <c r="M50" s="122"/>
    </row>
    <row r="51" spans="1:10" ht="15">
      <c r="A51" s="44" t="s">
        <v>353</v>
      </c>
      <c r="B51" s="48">
        <f t="shared" si="0"/>
        <v>47.3</v>
      </c>
      <c r="C51" s="48">
        <f t="shared" si="0"/>
        <v>47.7</v>
      </c>
      <c r="E51" s="104">
        <f>59.1785*B51/B41</f>
        <v>53.1146688804554</v>
      </c>
      <c r="F51" s="104">
        <f>58.4143*C51/C41</f>
        <v>53.27652217973232</v>
      </c>
      <c r="I51" s="105">
        <f>E51*$B$14</f>
        <v>12147230.793388713</v>
      </c>
      <c r="J51" s="105">
        <f>F51*$B$13</f>
        <v>1119373.6473117333</v>
      </c>
    </row>
    <row r="52" spans="1:10" ht="15">
      <c r="A52" s="8"/>
      <c r="C52" s="71"/>
      <c r="D52" s="64"/>
      <c r="H52" s="20" t="s">
        <v>270</v>
      </c>
      <c r="I52" s="105">
        <f>SUM(I49:I51)</f>
        <v>46262729.60952118</v>
      </c>
      <c r="J52" s="105">
        <f>SUM(J49:J51)</f>
        <v>4331161.239032051</v>
      </c>
    </row>
    <row r="53" spans="1:6" ht="15">
      <c r="A53" s="69"/>
      <c r="C53" s="71"/>
      <c r="E53" s="71"/>
      <c r="F53" s="71"/>
    </row>
    <row r="54" spans="1:25" s="71" customFormat="1" ht="15">
      <c r="A54" s="69"/>
      <c r="B54" s="122"/>
      <c r="C54" s="122"/>
      <c r="D54" s="122"/>
      <c r="E54" s="122"/>
      <c r="F54" s="122"/>
      <c r="G54" s="122"/>
      <c r="H54" s="122"/>
      <c r="I54" s="122"/>
      <c r="J54" s="122"/>
      <c r="K54" s="122"/>
      <c r="L54" s="122"/>
      <c r="M54" s="46"/>
      <c r="N54" s="122"/>
      <c r="O54" s="122"/>
      <c r="P54" s="122"/>
      <c r="Q54" s="122"/>
      <c r="R54" s="122"/>
      <c r="S54" s="122"/>
      <c r="T54" s="122"/>
      <c r="U54" s="122"/>
      <c r="V54" s="122"/>
      <c r="W54" s="122"/>
      <c r="X54" s="122"/>
      <c r="Y54" s="122"/>
    </row>
    <row r="55" spans="1:25" s="71" customFormat="1" ht="15">
      <c r="A55" s="95" t="s">
        <v>133</v>
      </c>
      <c r="B55" s="92" t="s">
        <v>593</v>
      </c>
      <c r="C55" s="91"/>
      <c r="D55" s="106"/>
      <c r="E55" s="106"/>
      <c r="F55" s="106"/>
      <c r="G55" s="106"/>
      <c r="H55" s="106"/>
      <c r="I55" s="122"/>
      <c r="J55" s="122"/>
      <c r="K55" s="122"/>
      <c r="L55" s="122"/>
      <c r="M55" s="46"/>
      <c r="N55" s="122"/>
      <c r="O55" s="122"/>
      <c r="P55" s="122"/>
      <c r="Q55" s="122"/>
      <c r="R55" s="122"/>
      <c r="S55" s="122"/>
      <c r="T55" s="122"/>
      <c r="U55" s="122"/>
      <c r="V55" s="122"/>
      <c r="W55" s="122"/>
      <c r="X55" s="122"/>
      <c r="Y55" s="122"/>
    </row>
    <row r="56" spans="1:25" s="91" customFormat="1" ht="15">
      <c r="A56" s="68" t="s">
        <v>438</v>
      </c>
      <c r="B56" s="106"/>
      <c r="C56" s="106"/>
      <c r="D56" s="106"/>
      <c r="E56" s="106"/>
      <c r="F56" s="106"/>
      <c r="G56" s="106"/>
      <c r="H56" s="106"/>
      <c r="I56" s="122"/>
      <c r="J56" s="122"/>
      <c r="K56" s="122"/>
      <c r="L56" s="122"/>
      <c r="M56" s="46"/>
      <c r="N56" s="122"/>
      <c r="O56" s="122"/>
      <c r="P56" s="122"/>
      <c r="Q56" s="122"/>
      <c r="R56" s="122"/>
      <c r="S56" s="122"/>
      <c r="T56" s="122"/>
      <c r="U56" s="122"/>
      <c r="V56" s="122"/>
      <c r="W56" s="122"/>
      <c r="X56" s="122"/>
      <c r="Y56" s="122"/>
    </row>
    <row r="57" spans="1:25" s="91" customFormat="1" ht="15">
      <c r="A57" s="68"/>
      <c r="B57" s="106"/>
      <c r="C57" s="106"/>
      <c r="D57" s="106"/>
      <c r="E57" s="106"/>
      <c r="F57" s="106"/>
      <c r="G57" s="106"/>
      <c r="H57" s="106"/>
      <c r="I57" s="122"/>
      <c r="J57" s="122"/>
      <c r="K57" s="122"/>
      <c r="L57" s="122"/>
      <c r="M57" s="46"/>
      <c r="N57" s="122"/>
      <c r="O57" s="122"/>
      <c r="P57" s="122"/>
      <c r="Q57" s="122"/>
      <c r="R57" s="122"/>
      <c r="S57" s="122"/>
      <c r="T57" s="122"/>
      <c r="U57" s="122"/>
      <c r="V57" s="122"/>
      <c r="W57" s="122"/>
      <c r="X57" s="122"/>
      <c r="Y57" s="122"/>
    </row>
    <row r="58" spans="1:25" s="91" customFormat="1" ht="15">
      <c r="A58" s="83"/>
      <c r="B58" s="106"/>
      <c r="C58" s="91" t="s">
        <v>461</v>
      </c>
      <c r="D58" s="122" t="s">
        <v>509</v>
      </c>
      <c r="E58" s="106"/>
      <c r="F58" s="106"/>
      <c r="G58" s="106"/>
      <c r="H58" s="106"/>
      <c r="I58" s="122"/>
      <c r="J58" s="122"/>
      <c r="K58" s="122"/>
      <c r="L58" s="122"/>
      <c r="M58" s="46"/>
      <c r="N58" s="122"/>
      <c r="O58" s="122"/>
      <c r="P58" s="122"/>
      <c r="Q58" s="122"/>
      <c r="R58" s="122"/>
      <c r="S58" s="122"/>
      <c r="T58" s="122"/>
      <c r="U58" s="122"/>
      <c r="V58" s="122"/>
      <c r="W58" s="122"/>
      <c r="X58" s="122"/>
      <c r="Y58" s="122"/>
    </row>
    <row r="59" spans="1:13" s="107" customFormat="1" ht="15">
      <c r="A59" s="103" t="s">
        <v>382</v>
      </c>
      <c r="C59" s="107" t="s">
        <v>460</v>
      </c>
      <c r="D59" s="107" t="s">
        <v>444</v>
      </c>
      <c r="E59" s="107" t="s">
        <v>383</v>
      </c>
      <c r="H59" s="107" t="s">
        <v>384</v>
      </c>
      <c r="M59" s="122"/>
    </row>
    <row r="60" spans="1:25" s="91" customFormat="1" ht="15">
      <c r="A60" s="106" t="s">
        <v>219</v>
      </c>
      <c r="B60" s="106"/>
      <c r="C60" s="91" t="s">
        <v>462</v>
      </c>
      <c r="D60" s="111">
        <v>34</v>
      </c>
      <c r="E60" s="112">
        <f>D60*4.44</f>
        <v>150.96</v>
      </c>
      <c r="F60" s="106"/>
      <c r="G60" s="106"/>
      <c r="H60" s="91" t="s">
        <v>464</v>
      </c>
      <c r="I60" s="122"/>
      <c r="J60" s="122"/>
      <c r="K60" s="122"/>
      <c r="L60" s="122"/>
      <c r="M60" s="122"/>
      <c r="N60" s="122"/>
      <c r="O60" s="122"/>
      <c r="P60" s="122"/>
      <c r="Q60" s="122"/>
      <c r="R60" s="122"/>
      <c r="S60" s="122"/>
      <c r="T60" s="122"/>
      <c r="U60" s="122"/>
      <c r="V60" s="122"/>
      <c r="W60" s="122"/>
      <c r="X60" s="122"/>
      <c r="Y60" s="122"/>
    </row>
    <row r="61" spans="1:25" s="91" customFormat="1" ht="15">
      <c r="A61" s="106"/>
      <c r="B61" s="106"/>
      <c r="C61" s="106"/>
      <c r="D61" s="111"/>
      <c r="E61" s="112"/>
      <c r="F61" s="106"/>
      <c r="G61" s="106"/>
      <c r="H61" s="106"/>
      <c r="I61" s="122"/>
      <c r="J61" s="122"/>
      <c r="K61" s="122"/>
      <c r="L61" s="122"/>
      <c r="M61" s="122"/>
      <c r="N61" s="122"/>
      <c r="O61" s="122"/>
      <c r="P61" s="122"/>
      <c r="Q61" s="122"/>
      <c r="R61" s="122"/>
      <c r="S61" s="122"/>
      <c r="T61" s="122"/>
      <c r="U61" s="122"/>
      <c r="V61" s="122"/>
      <c r="W61" s="122"/>
      <c r="X61" s="122"/>
      <c r="Y61" s="122"/>
    </row>
    <row r="62" spans="1:25" s="91" customFormat="1" ht="15">
      <c r="A62" s="106" t="s">
        <v>155</v>
      </c>
      <c r="B62" s="106"/>
      <c r="C62" s="91" t="s">
        <v>462</v>
      </c>
      <c r="D62" s="111">
        <v>18.9</v>
      </c>
      <c r="E62" s="115">
        <f>D62*4.44</f>
        <v>83.916</v>
      </c>
      <c r="F62" s="106"/>
      <c r="G62" s="106"/>
      <c r="H62" s="91" t="s">
        <v>407</v>
      </c>
      <c r="I62" s="122"/>
      <c r="J62" s="122"/>
      <c r="K62" s="122"/>
      <c r="L62" s="122"/>
      <c r="M62" s="122"/>
      <c r="N62" s="122"/>
      <c r="O62" s="122"/>
      <c r="P62" s="122"/>
      <c r="Q62" s="122"/>
      <c r="R62" s="122"/>
      <c r="S62" s="122"/>
      <c r="T62" s="122"/>
      <c r="U62" s="122"/>
      <c r="V62" s="122"/>
      <c r="W62" s="122"/>
      <c r="X62" s="122"/>
      <c r="Y62" s="122"/>
    </row>
    <row r="63" spans="1:25" s="91" customFormat="1" ht="15">
      <c r="A63" s="106" t="s">
        <v>216</v>
      </c>
      <c r="B63" s="106"/>
      <c r="C63" s="91" t="s">
        <v>512</v>
      </c>
      <c r="D63" s="111">
        <v>19.8</v>
      </c>
      <c r="E63" s="115">
        <f aca="true" t="shared" si="1" ref="E63:E76">D63*4.44</f>
        <v>87.912</v>
      </c>
      <c r="F63" s="106"/>
      <c r="G63" s="106"/>
      <c r="H63" s="91" t="s">
        <v>407</v>
      </c>
      <c r="I63" s="122"/>
      <c r="J63" s="122"/>
      <c r="K63" s="122"/>
      <c r="L63" s="122"/>
      <c r="M63" s="122"/>
      <c r="N63" s="122"/>
      <c r="O63" s="122"/>
      <c r="P63" s="122"/>
      <c r="Q63" s="122"/>
      <c r="R63" s="122"/>
      <c r="S63" s="122"/>
      <c r="T63" s="122"/>
      <c r="U63" s="122"/>
      <c r="V63" s="122"/>
      <c r="W63" s="122"/>
      <c r="X63" s="122"/>
      <c r="Y63" s="122"/>
    </row>
    <row r="64" spans="1:25" s="91" customFormat="1" ht="15">
      <c r="A64" s="68" t="s">
        <v>217</v>
      </c>
      <c r="B64" s="106"/>
      <c r="C64" s="91" t="s">
        <v>406</v>
      </c>
      <c r="D64" s="111">
        <v>18</v>
      </c>
      <c r="E64" s="115">
        <f t="shared" si="1"/>
        <v>79.92</v>
      </c>
      <c r="F64" s="106"/>
      <c r="G64" s="106"/>
      <c r="H64" s="91" t="s">
        <v>464</v>
      </c>
      <c r="I64" s="122"/>
      <c r="J64" s="122"/>
      <c r="K64" s="122"/>
      <c r="L64" s="122"/>
      <c r="M64" s="107"/>
      <c r="N64" s="122"/>
      <c r="O64" s="122"/>
      <c r="P64" s="122"/>
      <c r="Q64" s="122"/>
      <c r="R64" s="122"/>
      <c r="S64" s="122"/>
      <c r="T64" s="122"/>
      <c r="U64" s="122"/>
      <c r="V64" s="122"/>
      <c r="W64" s="122"/>
      <c r="X64" s="122"/>
      <c r="Y64" s="122"/>
    </row>
    <row r="65" spans="1:25" s="91" customFormat="1" ht="15">
      <c r="A65" s="68" t="s">
        <v>301</v>
      </c>
      <c r="B65" s="106"/>
      <c r="C65" s="91" t="s">
        <v>462</v>
      </c>
      <c r="D65" s="109">
        <v>21.8</v>
      </c>
      <c r="E65" s="115">
        <f t="shared" si="1"/>
        <v>96.79200000000002</v>
      </c>
      <c r="F65" s="106"/>
      <c r="G65" s="106"/>
      <c r="H65" s="91" t="s">
        <v>464</v>
      </c>
      <c r="I65" s="122"/>
      <c r="J65" s="122"/>
      <c r="K65" s="122"/>
      <c r="L65" s="122"/>
      <c r="M65" s="122"/>
      <c r="N65" s="122"/>
      <c r="O65" s="122"/>
      <c r="P65" s="122"/>
      <c r="Q65" s="122"/>
      <c r="R65" s="122"/>
      <c r="S65" s="122"/>
      <c r="T65" s="122"/>
      <c r="U65" s="122"/>
      <c r="V65" s="122"/>
      <c r="W65" s="122"/>
      <c r="X65" s="122"/>
      <c r="Y65" s="122"/>
    </row>
    <row r="66" spans="1:25" s="91" customFormat="1" ht="15">
      <c r="A66" s="68" t="s">
        <v>302</v>
      </c>
      <c r="B66" s="106"/>
      <c r="C66" s="91" t="s">
        <v>462</v>
      </c>
      <c r="D66" s="109">
        <v>23.1</v>
      </c>
      <c r="E66" s="115">
        <f t="shared" si="1"/>
        <v>102.56400000000002</v>
      </c>
      <c r="F66" s="106"/>
      <c r="G66" s="106"/>
      <c r="H66" s="91" t="s">
        <v>464</v>
      </c>
      <c r="I66" s="122"/>
      <c r="J66" s="122"/>
      <c r="K66" s="122"/>
      <c r="L66" s="122"/>
      <c r="M66" s="122"/>
      <c r="N66" s="122"/>
      <c r="O66" s="122"/>
      <c r="P66" s="122"/>
      <c r="Q66" s="122"/>
      <c r="R66" s="122"/>
      <c r="S66" s="122"/>
      <c r="T66" s="122"/>
      <c r="U66" s="122"/>
      <c r="V66" s="122"/>
      <c r="W66" s="122"/>
      <c r="X66" s="122"/>
      <c r="Y66" s="122"/>
    </row>
    <row r="67" spans="1:25" s="91" customFormat="1" ht="15">
      <c r="A67" s="68" t="s">
        <v>300</v>
      </c>
      <c r="B67" s="106"/>
      <c r="C67" s="91" t="s">
        <v>462</v>
      </c>
      <c r="D67" s="109">
        <v>19.3</v>
      </c>
      <c r="E67" s="115">
        <f t="shared" si="1"/>
        <v>85.69200000000001</v>
      </c>
      <c r="F67" s="106"/>
      <c r="G67" s="106"/>
      <c r="H67" s="91" t="s">
        <v>464</v>
      </c>
      <c r="I67" s="122"/>
      <c r="J67" s="122"/>
      <c r="K67" s="122"/>
      <c r="L67" s="122"/>
      <c r="M67" s="122"/>
      <c r="N67" s="122"/>
      <c r="O67" s="122"/>
      <c r="P67" s="122"/>
      <c r="Q67" s="122"/>
      <c r="R67" s="122"/>
      <c r="S67" s="122"/>
      <c r="T67" s="122"/>
      <c r="U67" s="122"/>
      <c r="V67" s="122"/>
      <c r="W67" s="122"/>
      <c r="X67" s="122"/>
      <c r="Y67" s="122"/>
    </row>
    <row r="68" spans="1:25" s="91" customFormat="1" ht="15">
      <c r="A68" s="68" t="s">
        <v>373</v>
      </c>
      <c r="B68" s="106"/>
      <c r="C68" s="91" t="s">
        <v>512</v>
      </c>
      <c r="D68" s="109">
        <v>22.5</v>
      </c>
      <c r="E68" s="115">
        <f t="shared" si="1"/>
        <v>99.9</v>
      </c>
      <c r="F68" s="106"/>
      <c r="G68" s="106"/>
      <c r="H68" s="91" t="s">
        <v>464</v>
      </c>
      <c r="I68" s="122"/>
      <c r="J68" s="122"/>
      <c r="K68" s="122"/>
      <c r="L68" s="122"/>
      <c r="M68" s="122"/>
      <c r="N68" s="122"/>
      <c r="O68" s="122"/>
      <c r="P68" s="122"/>
      <c r="Q68" s="122"/>
      <c r="R68" s="122"/>
      <c r="S68" s="122"/>
      <c r="T68" s="122"/>
      <c r="U68" s="122"/>
      <c r="V68" s="122"/>
      <c r="W68" s="122"/>
      <c r="X68" s="122"/>
      <c r="Y68" s="122"/>
    </row>
    <row r="69" spans="1:25" s="91" customFormat="1" ht="15">
      <c r="A69" s="68" t="s">
        <v>374</v>
      </c>
      <c r="B69" s="106"/>
      <c r="C69" s="91" t="s">
        <v>408</v>
      </c>
      <c r="D69" s="109">
        <v>20.9</v>
      </c>
      <c r="E69" s="115">
        <f t="shared" si="1"/>
        <v>92.796</v>
      </c>
      <c r="F69" s="106"/>
      <c r="G69" s="106"/>
      <c r="H69" s="91" t="s">
        <v>464</v>
      </c>
      <c r="I69" s="122"/>
      <c r="J69" s="122"/>
      <c r="K69" s="122"/>
      <c r="L69" s="122"/>
      <c r="M69" s="122"/>
      <c r="N69" s="122"/>
      <c r="O69" s="122"/>
      <c r="P69" s="122"/>
      <c r="Q69" s="122"/>
      <c r="R69" s="122"/>
      <c r="S69" s="122"/>
      <c r="T69" s="122"/>
      <c r="U69" s="122"/>
      <c r="V69" s="122"/>
      <c r="W69" s="122"/>
      <c r="X69" s="122"/>
      <c r="Y69" s="122"/>
    </row>
    <row r="70" spans="1:25" s="91" customFormat="1" ht="15">
      <c r="A70" s="68" t="s">
        <v>375</v>
      </c>
      <c r="B70" s="122"/>
      <c r="C70" s="91" t="s">
        <v>457</v>
      </c>
      <c r="D70" s="109">
        <v>32.99</v>
      </c>
      <c r="E70" s="115">
        <f t="shared" si="1"/>
        <v>146.47560000000001</v>
      </c>
      <c r="F70" s="122"/>
      <c r="G70" s="122"/>
      <c r="H70" s="122" t="s">
        <v>79</v>
      </c>
      <c r="I70" s="122"/>
      <c r="J70" s="122"/>
      <c r="K70" s="122"/>
      <c r="L70" s="122"/>
      <c r="M70" s="122"/>
      <c r="N70" s="122"/>
      <c r="O70" s="122"/>
      <c r="P70" s="122"/>
      <c r="Q70" s="122"/>
      <c r="R70" s="122"/>
      <c r="S70" s="122"/>
      <c r="T70" s="122"/>
      <c r="U70" s="122"/>
      <c r="V70" s="122"/>
      <c r="W70" s="122"/>
      <c r="X70" s="122"/>
      <c r="Y70" s="122"/>
    </row>
    <row r="71" spans="1:25" s="91" customFormat="1" ht="15">
      <c r="A71" s="68" t="s">
        <v>376</v>
      </c>
      <c r="B71" s="106"/>
      <c r="C71" s="91" t="s">
        <v>457</v>
      </c>
      <c r="D71" s="109">
        <v>25.9</v>
      </c>
      <c r="E71" s="115">
        <f t="shared" si="1"/>
        <v>114.99600000000001</v>
      </c>
      <c r="F71" s="106"/>
      <c r="G71" s="106"/>
      <c r="H71" s="91" t="s">
        <v>464</v>
      </c>
      <c r="I71" s="122"/>
      <c r="J71" s="122"/>
      <c r="K71" s="122"/>
      <c r="L71" s="122"/>
      <c r="M71" s="122"/>
      <c r="N71" s="122"/>
      <c r="O71" s="122"/>
      <c r="P71" s="122"/>
      <c r="Q71" s="122"/>
      <c r="R71" s="122"/>
      <c r="S71" s="122"/>
      <c r="T71" s="122"/>
      <c r="U71" s="122"/>
      <c r="V71" s="122"/>
      <c r="W71" s="122"/>
      <c r="X71" s="122"/>
      <c r="Y71" s="122"/>
    </row>
    <row r="72" spans="1:25" s="91" customFormat="1" ht="15">
      <c r="A72" s="68" t="s">
        <v>315</v>
      </c>
      <c r="B72" s="106"/>
      <c r="C72" s="91" t="s">
        <v>263</v>
      </c>
      <c r="D72" s="109">
        <v>32.7</v>
      </c>
      <c r="E72" s="115">
        <f t="shared" si="1"/>
        <v>145.18800000000002</v>
      </c>
      <c r="F72" s="106"/>
      <c r="G72" s="106"/>
      <c r="H72" s="91" t="s">
        <v>464</v>
      </c>
      <c r="I72" s="122"/>
      <c r="J72" s="122"/>
      <c r="K72" s="122"/>
      <c r="L72" s="122"/>
      <c r="M72" s="122"/>
      <c r="N72" s="122"/>
      <c r="O72" s="122"/>
      <c r="P72" s="122"/>
      <c r="Q72" s="122"/>
      <c r="R72" s="122"/>
      <c r="S72" s="122"/>
      <c r="T72" s="122"/>
      <c r="U72" s="122"/>
      <c r="V72" s="122"/>
      <c r="W72" s="122"/>
      <c r="X72" s="122"/>
      <c r="Y72" s="122"/>
    </row>
    <row r="73" spans="1:25" s="91" customFormat="1" ht="15">
      <c r="A73" s="68" t="s">
        <v>316</v>
      </c>
      <c r="B73" s="106"/>
      <c r="C73" s="91" t="s">
        <v>263</v>
      </c>
      <c r="D73" s="109">
        <v>37.9</v>
      </c>
      <c r="E73" s="115">
        <f t="shared" si="1"/>
        <v>168.276</v>
      </c>
      <c r="F73" s="106"/>
      <c r="G73" s="106"/>
      <c r="H73" s="91" t="s">
        <v>464</v>
      </c>
      <c r="I73" s="122"/>
      <c r="J73" s="122"/>
      <c r="K73" s="122"/>
      <c r="L73" s="122"/>
      <c r="M73" s="122"/>
      <c r="N73" s="122"/>
      <c r="O73" s="122"/>
      <c r="P73" s="122"/>
      <c r="Q73" s="122"/>
      <c r="R73" s="122"/>
      <c r="S73" s="122"/>
      <c r="T73" s="122"/>
      <c r="U73" s="122"/>
      <c r="V73" s="122"/>
      <c r="W73" s="122"/>
      <c r="X73" s="122"/>
      <c r="Y73" s="122"/>
    </row>
    <row r="74" spans="1:25" s="91" customFormat="1" ht="15">
      <c r="A74" s="68" t="s">
        <v>218</v>
      </c>
      <c r="B74" s="106"/>
      <c r="C74" s="91" t="s">
        <v>512</v>
      </c>
      <c r="D74" s="109">
        <v>45.8</v>
      </c>
      <c r="E74" s="115">
        <f t="shared" si="1"/>
        <v>203.352</v>
      </c>
      <c r="F74" s="106"/>
      <c r="G74" s="106"/>
      <c r="H74" s="91" t="s">
        <v>464</v>
      </c>
      <c r="I74" s="122"/>
      <c r="J74" s="122"/>
      <c r="K74" s="122"/>
      <c r="L74" s="122"/>
      <c r="M74" s="122"/>
      <c r="N74" s="122"/>
      <c r="O74" s="122"/>
      <c r="P74" s="122"/>
      <c r="Q74" s="122"/>
      <c r="R74" s="122"/>
      <c r="S74" s="122"/>
      <c r="T74" s="122"/>
      <c r="U74" s="122"/>
      <c r="V74" s="122"/>
      <c r="W74" s="122"/>
      <c r="X74" s="122"/>
      <c r="Y74" s="122"/>
    </row>
    <row r="75" spans="1:25" s="91" customFormat="1" ht="15">
      <c r="A75" s="68" t="s">
        <v>49</v>
      </c>
      <c r="B75" s="106"/>
      <c r="C75" s="91" t="s">
        <v>512</v>
      </c>
      <c r="D75" s="109">
        <v>54.191398214847055</v>
      </c>
      <c r="E75" s="115">
        <f t="shared" si="1"/>
        <v>240.60980807392096</v>
      </c>
      <c r="F75" s="106"/>
      <c r="G75" s="106"/>
      <c r="H75" s="122" t="s">
        <v>156</v>
      </c>
      <c r="I75" s="122"/>
      <c r="J75" s="122"/>
      <c r="K75" s="122"/>
      <c r="L75" s="122"/>
      <c r="M75" s="122"/>
      <c r="N75" s="122"/>
      <c r="O75" s="122"/>
      <c r="P75" s="122"/>
      <c r="Q75" s="122"/>
      <c r="R75" s="122"/>
      <c r="S75" s="122"/>
      <c r="T75" s="122"/>
      <c r="U75" s="122"/>
      <c r="V75" s="122"/>
      <c r="W75" s="122"/>
      <c r="X75" s="122"/>
      <c r="Y75" s="122"/>
    </row>
    <row r="76" spans="1:25" s="91" customFormat="1" ht="15">
      <c r="A76" s="68" t="s">
        <v>459</v>
      </c>
      <c r="B76" s="106"/>
      <c r="C76" s="91" t="s">
        <v>513</v>
      </c>
      <c r="D76" s="109">
        <v>39.99999999999999</v>
      </c>
      <c r="E76" s="115">
        <f t="shared" si="1"/>
        <v>177.6</v>
      </c>
      <c r="F76" s="106"/>
      <c r="G76" s="106"/>
      <c r="H76" s="91" t="s">
        <v>410</v>
      </c>
      <c r="I76" s="122"/>
      <c r="J76" s="122"/>
      <c r="K76" s="122"/>
      <c r="L76" s="122"/>
      <c r="M76" s="122"/>
      <c r="N76" s="122"/>
      <c r="O76" s="122"/>
      <c r="P76" s="122"/>
      <c r="Q76" s="122"/>
      <c r="R76" s="122"/>
      <c r="S76" s="122"/>
      <c r="T76" s="122"/>
      <c r="U76" s="122"/>
      <c r="V76" s="122"/>
      <c r="W76" s="122"/>
      <c r="X76" s="122"/>
      <c r="Y76" s="122"/>
    </row>
    <row r="77" spans="1:25" s="106" customFormat="1" ht="15">
      <c r="A77" s="68"/>
      <c r="B77" s="116"/>
      <c r="C77" s="116"/>
      <c r="D77" s="111"/>
      <c r="E77" s="115"/>
      <c r="F77" s="116"/>
      <c r="G77" s="116"/>
      <c r="H77" s="116"/>
      <c r="I77" s="122"/>
      <c r="J77" s="122"/>
      <c r="K77" s="122"/>
      <c r="L77" s="122"/>
      <c r="M77" s="122"/>
      <c r="N77" s="122"/>
      <c r="O77" s="122"/>
      <c r="P77" s="122"/>
      <c r="Q77" s="122"/>
      <c r="R77" s="122"/>
      <c r="S77" s="122"/>
      <c r="T77" s="122"/>
      <c r="U77" s="122"/>
      <c r="V77" s="122"/>
      <c r="W77" s="122"/>
      <c r="X77" s="122"/>
      <c r="Y77" s="122"/>
    </row>
    <row r="78" spans="1:25" s="106" customFormat="1" ht="15">
      <c r="A78" s="68" t="s">
        <v>203</v>
      </c>
      <c r="B78" s="116"/>
      <c r="C78" s="116"/>
      <c r="D78" s="111"/>
      <c r="E78" s="115"/>
      <c r="F78" s="116"/>
      <c r="G78" s="116"/>
      <c r="H78" s="116"/>
      <c r="I78" s="122"/>
      <c r="J78" s="122"/>
      <c r="K78" s="122"/>
      <c r="L78" s="122"/>
      <c r="M78" s="122"/>
      <c r="N78" s="122"/>
      <c r="O78" s="122"/>
      <c r="P78" s="122"/>
      <c r="Q78" s="122"/>
      <c r="R78" s="122"/>
      <c r="S78" s="122"/>
      <c r="T78" s="122"/>
      <c r="U78" s="122"/>
      <c r="V78" s="122"/>
      <c r="W78" s="122"/>
      <c r="X78" s="122"/>
      <c r="Y78" s="122"/>
    </row>
    <row r="79" spans="1:25" s="91" customFormat="1" ht="15">
      <c r="A79" s="68" t="s">
        <v>213</v>
      </c>
      <c r="B79" s="106"/>
      <c r="C79" s="106"/>
      <c r="D79" s="109"/>
      <c r="E79" s="110"/>
      <c r="F79" s="106"/>
      <c r="G79" s="106"/>
      <c r="H79" s="106"/>
      <c r="I79" s="122"/>
      <c r="J79" s="122"/>
      <c r="K79" s="122"/>
      <c r="L79" s="122"/>
      <c r="M79" s="122"/>
      <c r="N79" s="122"/>
      <c r="O79" s="122"/>
      <c r="P79" s="122"/>
      <c r="Q79" s="122"/>
      <c r="R79" s="122"/>
      <c r="S79" s="122"/>
      <c r="T79" s="122"/>
      <c r="U79" s="122"/>
      <c r="V79" s="122"/>
      <c r="W79" s="122"/>
      <c r="X79" s="122"/>
      <c r="Y79" s="122"/>
    </row>
    <row r="80" spans="1:25" s="106" customFormat="1" ht="15">
      <c r="A80" s="68" t="s">
        <v>366</v>
      </c>
      <c r="B80" s="116"/>
      <c r="C80" s="116"/>
      <c r="D80" s="111"/>
      <c r="E80" s="115"/>
      <c r="F80" s="116"/>
      <c r="G80" s="116"/>
      <c r="H80" s="116"/>
      <c r="I80" s="122"/>
      <c r="J80" s="122"/>
      <c r="K80" s="122"/>
      <c r="L80" s="122"/>
      <c r="M80" s="122"/>
      <c r="N80" s="122"/>
      <c r="O80" s="122"/>
      <c r="P80" s="122"/>
      <c r="Q80" s="122"/>
      <c r="R80" s="122"/>
      <c r="S80" s="122"/>
      <c r="T80" s="122"/>
      <c r="U80" s="122"/>
      <c r="V80" s="122"/>
      <c r="W80" s="122"/>
      <c r="X80" s="122"/>
      <c r="Y80" s="122"/>
    </row>
    <row r="81" spans="1:25" s="106" customFormat="1" ht="15">
      <c r="A81" s="68" t="s">
        <v>202</v>
      </c>
      <c r="B81" s="116"/>
      <c r="C81" s="116"/>
      <c r="D81" s="111"/>
      <c r="E81" s="115"/>
      <c r="F81" s="116"/>
      <c r="G81" s="116"/>
      <c r="H81" s="116"/>
      <c r="I81" s="122"/>
      <c r="J81" s="122"/>
      <c r="K81" s="122"/>
      <c r="L81" s="122"/>
      <c r="M81" s="122"/>
      <c r="N81" s="122"/>
      <c r="O81" s="122"/>
      <c r="P81" s="122"/>
      <c r="Q81" s="122"/>
      <c r="R81" s="122"/>
      <c r="S81" s="122"/>
      <c r="T81" s="122"/>
      <c r="U81" s="122"/>
      <c r="V81" s="122"/>
      <c r="W81" s="122"/>
      <c r="X81" s="122"/>
      <c r="Y81" s="122"/>
    </row>
    <row r="82" spans="1:25" s="106" customFormat="1" ht="15">
      <c r="A82" s="68" t="s">
        <v>269</v>
      </c>
      <c r="B82" s="116"/>
      <c r="C82" s="116"/>
      <c r="D82" s="111"/>
      <c r="E82" s="115"/>
      <c r="F82" s="116"/>
      <c r="G82" s="116"/>
      <c r="H82" s="116"/>
      <c r="I82" s="122"/>
      <c r="J82" s="122"/>
      <c r="K82" s="122"/>
      <c r="L82" s="122"/>
      <c r="M82" s="122"/>
      <c r="N82" s="122"/>
      <c r="O82" s="122"/>
      <c r="P82" s="122"/>
      <c r="Q82" s="122"/>
      <c r="R82" s="122"/>
      <c r="S82" s="122"/>
      <c r="T82" s="122"/>
      <c r="U82" s="122"/>
      <c r="V82" s="122"/>
      <c r="W82" s="122"/>
      <c r="X82" s="122"/>
      <c r="Y82" s="122"/>
    </row>
    <row r="83" spans="1:25" s="106" customFormat="1" ht="15">
      <c r="A83" s="1" t="s">
        <v>153</v>
      </c>
      <c r="B83" s="116"/>
      <c r="C83" s="116"/>
      <c r="D83" s="111"/>
      <c r="E83" s="115"/>
      <c r="F83" s="116"/>
      <c r="G83" s="116"/>
      <c r="H83" s="116"/>
      <c r="I83" s="122"/>
      <c r="J83" s="122"/>
      <c r="K83" s="122"/>
      <c r="L83" s="122"/>
      <c r="M83" s="122"/>
      <c r="N83" s="122"/>
      <c r="O83" s="122"/>
      <c r="P83" s="122"/>
      <c r="Q83" s="122"/>
      <c r="R83" s="122"/>
      <c r="S83" s="122"/>
      <c r="T83" s="122"/>
      <c r="U83" s="122"/>
      <c r="V83" s="122"/>
      <c r="W83" s="122"/>
      <c r="X83" s="122"/>
      <c r="Y83" s="122"/>
    </row>
    <row r="84" spans="1:25" s="106" customFormat="1" ht="15">
      <c r="A84" s="1"/>
      <c r="B84" s="116"/>
      <c r="C84" s="116"/>
      <c r="D84" s="111"/>
      <c r="E84" s="115"/>
      <c r="F84" s="116"/>
      <c r="G84" s="116"/>
      <c r="H84" s="116"/>
      <c r="I84" s="122"/>
      <c r="J84" s="122"/>
      <c r="K84" s="122"/>
      <c r="L84" s="122"/>
      <c r="M84" s="122"/>
      <c r="N84" s="122"/>
      <c r="O84" s="122"/>
      <c r="P84" s="122"/>
      <c r="Q84" s="122"/>
      <c r="R84" s="122"/>
      <c r="S84" s="122"/>
      <c r="T84" s="122"/>
      <c r="U84" s="122"/>
      <c r="V84" s="122"/>
      <c r="W84" s="122"/>
      <c r="X84" s="122"/>
      <c r="Y84" s="122"/>
    </row>
    <row r="85" spans="1:25" s="91" customFormat="1" ht="15">
      <c r="A85" s="83"/>
      <c r="B85" s="108" t="s">
        <v>198</v>
      </c>
      <c r="C85" s="109"/>
      <c r="D85" s="110"/>
      <c r="E85" s="106"/>
      <c r="F85" s="106"/>
      <c r="G85" s="106"/>
      <c r="H85" s="106"/>
      <c r="I85" s="122"/>
      <c r="J85" s="122"/>
      <c r="K85" s="106"/>
      <c r="L85" s="106"/>
      <c r="M85" s="122"/>
      <c r="N85" s="122"/>
      <c r="O85" s="122"/>
      <c r="P85" s="122"/>
      <c r="Q85" s="122"/>
      <c r="R85" s="122"/>
      <c r="S85" s="122"/>
      <c r="T85" s="122"/>
      <c r="U85" s="122"/>
      <c r="V85" s="122"/>
      <c r="W85" s="122"/>
      <c r="X85" s="122"/>
      <c r="Y85" s="122"/>
    </row>
    <row r="86" spans="1:25" s="106" customFormat="1" ht="15">
      <c r="A86" s="83"/>
      <c r="B86" s="108"/>
      <c r="C86" s="111"/>
      <c r="D86" s="20" t="s">
        <v>524</v>
      </c>
      <c r="E86" s="20" t="s">
        <v>468</v>
      </c>
      <c r="F86" s="20"/>
      <c r="G86" s="122"/>
      <c r="H86" s="122"/>
      <c r="I86" s="122"/>
      <c r="J86" s="122"/>
      <c r="K86" s="122"/>
      <c r="L86" s="122"/>
      <c r="M86" s="122"/>
      <c r="N86" s="122"/>
      <c r="O86" s="122"/>
      <c r="P86" s="122"/>
      <c r="Q86" s="122"/>
      <c r="R86" s="122"/>
      <c r="S86" s="122"/>
      <c r="T86" s="122"/>
      <c r="U86" s="122"/>
      <c r="V86" s="122"/>
      <c r="W86" s="122"/>
      <c r="X86" s="122"/>
      <c r="Y86" s="122"/>
    </row>
    <row r="87" spans="1:25" s="106" customFormat="1" ht="15">
      <c r="A87" s="83"/>
      <c r="B87" s="108"/>
      <c r="C87" s="111"/>
      <c r="D87" s="106" t="s">
        <v>165</v>
      </c>
      <c r="E87" s="119" t="s">
        <v>519</v>
      </c>
      <c r="F87" s="20" t="s">
        <v>399</v>
      </c>
      <c r="G87" s="135" t="s">
        <v>369</v>
      </c>
      <c r="H87" s="100"/>
      <c r="I87" s="116"/>
      <c r="J87" s="122"/>
      <c r="K87" s="91"/>
      <c r="L87" s="91"/>
      <c r="M87" s="122"/>
      <c r="N87" s="122"/>
      <c r="O87" s="122"/>
      <c r="P87" s="122"/>
      <c r="Q87" s="122"/>
      <c r="R87" s="122"/>
      <c r="S87" s="122"/>
      <c r="T87" s="122"/>
      <c r="U87" s="122"/>
      <c r="V87" s="122"/>
      <c r="W87" s="122"/>
      <c r="X87" s="122"/>
      <c r="Y87" s="122"/>
    </row>
    <row r="88" spans="1:25" s="106" customFormat="1" ht="15">
      <c r="A88" s="83"/>
      <c r="B88" s="108"/>
      <c r="C88" s="111"/>
      <c r="D88" s="106" t="s">
        <v>167</v>
      </c>
      <c r="E88" s="20" t="s">
        <v>518</v>
      </c>
      <c r="F88" s="20" t="s">
        <v>537</v>
      </c>
      <c r="G88" s="20" t="s">
        <v>370</v>
      </c>
      <c r="H88" s="20" t="s">
        <v>484</v>
      </c>
      <c r="I88" s="116"/>
      <c r="J88" s="122"/>
      <c r="K88" s="122"/>
      <c r="L88" s="122"/>
      <c r="M88" s="122"/>
      <c r="N88" s="122"/>
      <c r="O88" s="122"/>
      <c r="P88" s="122"/>
      <c r="Q88" s="122"/>
      <c r="R88" s="122"/>
      <c r="S88" s="122"/>
      <c r="T88" s="122"/>
      <c r="U88" s="122"/>
      <c r="V88" s="122"/>
      <c r="W88" s="122"/>
      <c r="X88" s="122"/>
      <c r="Y88" s="122"/>
    </row>
    <row r="89" spans="1:25" s="91" customFormat="1" ht="15">
      <c r="A89" s="83"/>
      <c r="B89" s="106"/>
      <c r="C89" s="109"/>
      <c r="D89" s="21" t="s">
        <v>166</v>
      </c>
      <c r="E89" s="21" t="s">
        <v>204</v>
      </c>
      <c r="F89" s="21" t="s">
        <v>326</v>
      </c>
      <c r="G89" s="21" t="s">
        <v>371</v>
      </c>
      <c r="H89" s="21" t="s">
        <v>483</v>
      </c>
      <c r="I89" s="116"/>
      <c r="J89" s="107" t="s">
        <v>552</v>
      </c>
      <c r="K89" s="122"/>
      <c r="L89" s="122"/>
      <c r="M89" s="122"/>
      <c r="N89" s="122"/>
      <c r="O89" s="122"/>
      <c r="P89" s="122"/>
      <c r="Q89" s="122"/>
      <c r="R89" s="122"/>
      <c r="S89" s="122"/>
      <c r="T89" s="122"/>
      <c r="U89" s="122"/>
      <c r="V89" s="122"/>
      <c r="W89" s="122"/>
      <c r="X89" s="122"/>
      <c r="Y89" s="122"/>
    </row>
    <row r="90" spans="1:25" s="91" customFormat="1" ht="15">
      <c r="A90" s="113" t="s">
        <v>449</v>
      </c>
      <c r="B90" s="106"/>
      <c r="C90" s="109" t="s">
        <v>513</v>
      </c>
      <c r="D90" s="114">
        <v>88</v>
      </c>
      <c r="E90" s="136">
        <f>D90/0.523</f>
        <v>168.26003824091777</v>
      </c>
      <c r="F90" s="137">
        <v>53.27652217973232</v>
      </c>
      <c r="G90" s="138">
        <f>100*F90/E90</f>
        <v>31.66320579545455</v>
      </c>
      <c r="H90" s="133">
        <f>G90*0.523</f>
        <v>16.559856631022733</v>
      </c>
      <c r="I90" s="116"/>
      <c r="J90" s="116" t="s">
        <v>436</v>
      </c>
      <c r="K90" s="106"/>
      <c r="L90" s="106"/>
      <c r="M90" s="106"/>
      <c r="N90" s="122"/>
      <c r="O90" s="122"/>
      <c r="P90" s="122"/>
      <c r="Q90" s="122"/>
      <c r="R90" s="122"/>
      <c r="S90" s="122"/>
      <c r="T90" s="122"/>
      <c r="U90" s="122"/>
      <c r="V90" s="122"/>
      <c r="W90" s="122"/>
      <c r="X90" s="122"/>
      <c r="Y90" s="122"/>
    </row>
    <row r="91" spans="1:25" s="91" customFormat="1" ht="15">
      <c r="A91" s="68" t="s">
        <v>536</v>
      </c>
      <c r="B91" s="106"/>
      <c r="C91" s="91" t="s">
        <v>263</v>
      </c>
      <c r="D91" s="114">
        <v>93</v>
      </c>
      <c r="E91" s="136">
        <f>D91/0.523</f>
        <v>177.82026768642447</v>
      </c>
      <c r="F91" s="137">
        <v>87.2572710723192</v>
      </c>
      <c r="G91" s="138">
        <f>100*F91/E91</f>
        <v>49.07048685034725</v>
      </c>
      <c r="H91" s="133">
        <f>G91*0.523</f>
        <v>25.663864622731612</v>
      </c>
      <c r="I91" s="116"/>
      <c r="J91" s="91" t="s">
        <v>298</v>
      </c>
      <c r="K91" s="106"/>
      <c r="L91" s="106"/>
      <c r="M91" s="122"/>
      <c r="N91" s="122"/>
      <c r="O91" s="122"/>
      <c r="P91" s="122"/>
      <c r="Q91" s="122"/>
      <c r="R91" s="122"/>
      <c r="S91" s="122"/>
      <c r="T91" s="122"/>
      <c r="U91" s="122"/>
      <c r="V91" s="122"/>
      <c r="W91" s="122"/>
      <c r="X91" s="122"/>
      <c r="Y91" s="122"/>
    </row>
    <row r="92" spans="1:25" s="91" customFormat="1" ht="15">
      <c r="A92" s="68" t="s">
        <v>409</v>
      </c>
      <c r="B92" s="106"/>
      <c r="C92" s="91" t="s">
        <v>512</v>
      </c>
      <c r="D92" s="114">
        <v>240.60980807392093</v>
      </c>
      <c r="E92" s="136">
        <f>D92/0.523</f>
        <v>460.05699440520254</v>
      </c>
      <c r="F92" s="137">
        <v>53.1146688804554</v>
      </c>
      <c r="G92" s="138">
        <f>100*F92/E92</f>
        <v>11.545236682930161</v>
      </c>
      <c r="H92" s="133">
        <f>G92*0.523</f>
        <v>6.038158785172475</v>
      </c>
      <c r="I92" s="116"/>
      <c r="J92" s="106" t="s">
        <v>299</v>
      </c>
      <c r="K92" s="122"/>
      <c r="L92" s="122"/>
      <c r="M92" s="122"/>
      <c r="N92" s="122"/>
      <c r="O92" s="122"/>
      <c r="P92" s="122"/>
      <c r="Q92" s="122"/>
      <c r="R92" s="122"/>
      <c r="S92" s="122"/>
      <c r="T92" s="122"/>
      <c r="U92" s="122"/>
      <c r="V92" s="122"/>
      <c r="W92" s="122"/>
      <c r="X92" s="122"/>
      <c r="Y92" s="122"/>
    </row>
    <row r="93" spans="1:25" s="116" customFormat="1" ht="15">
      <c r="A93" s="68" t="s">
        <v>447</v>
      </c>
      <c r="B93" s="122"/>
      <c r="C93" s="116" t="s">
        <v>263</v>
      </c>
      <c r="D93" s="114">
        <v>145</v>
      </c>
      <c r="E93" s="136">
        <f>D93/0.523</f>
        <v>277.24665391969404</v>
      </c>
      <c r="F93" s="137">
        <v>83.76473671497584</v>
      </c>
      <c r="G93" s="138">
        <f>100*F93/E93</f>
        <v>30.213074001332668</v>
      </c>
      <c r="H93" s="133">
        <f>G93*0.523</f>
        <v>15.801437702696987</v>
      </c>
      <c r="I93" s="122"/>
      <c r="J93" s="122"/>
      <c r="K93" s="122"/>
      <c r="L93" s="122"/>
      <c r="M93" s="122"/>
      <c r="N93" s="122"/>
      <c r="O93" s="122"/>
      <c r="P93" s="122"/>
      <c r="Q93" s="122"/>
      <c r="R93" s="122"/>
      <c r="S93" s="122"/>
      <c r="T93" s="122"/>
      <c r="U93" s="122"/>
      <c r="V93" s="122"/>
      <c r="W93" s="122"/>
      <c r="X93" s="122"/>
      <c r="Y93" s="122"/>
    </row>
    <row r="94" spans="1:25" s="71" customFormat="1" ht="15">
      <c r="A94" s="83"/>
      <c r="B94" s="91"/>
      <c r="C94" s="91"/>
      <c r="D94" s="106"/>
      <c r="E94" s="106"/>
      <c r="F94" s="106"/>
      <c r="G94" s="106"/>
      <c r="H94" s="106"/>
      <c r="I94" s="106"/>
      <c r="J94" s="106"/>
      <c r="K94" s="91"/>
      <c r="L94" s="91"/>
      <c r="M94" s="122"/>
      <c r="N94" s="116"/>
      <c r="O94" s="116"/>
      <c r="P94" s="122"/>
      <c r="Q94" s="122"/>
      <c r="R94" s="122"/>
      <c r="S94" s="122"/>
      <c r="T94" s="122"/>
      <c r="U94" s="122"/>
      <c r="V94" s="122"/>
      <c r="W94" s="122"/>
      <c r="X94" s="122"/>
      <c r="Y94" s="122"/>
    </row>
    <row r="95" spans="1:25" s="71" customFormat="1" ht="15">
      <c r="A95" s="68" t="s">
        <v>222</v>
      </c>
      <c r="B95" s="120"/>
      <c r="C95" s="91"/>
      <c r="D95" s="106"/>
      <c r="E95" s="106"/>
      <c r="F95" s="106"/>
      <c r="G95" s="106"/>
      <c r="H95" s="106"/>
      <c r="I95" s="116"/>
      <c r="J95" s="106" t="s">
        <v>423</v>
      </c>
      <c r="K95" s="91"/>
      <c r="L95" s="91"/>
      <c r="M95" s="122"/>
      <c r="N95" s="122"/>
      <c r="O95" s="122"/>
      <c r="P95" s="122"/>
      <c r="Q95" s="122"/>
      <c r="R95" s="122"/>
      <c r="S95" s="122"/>
      <c r="T95" s="122"/>
      <c r="U95" s="122"/>
      <c r="V95" s="122"/>
      <c r="W95" s="122"/>
      <c r="X95" s="122"/>
      <c r="Y95" s="122"/>
    </row>
    <row r="96" spans="1:25" s="71" customFormat="1" ht="15">
      <c r="A96" s="68" t="s">
        <v>227</v>
      </c>
      <c r="B96" s="120"/>
      <c r="C96" s="91"/>
      <c r="D96" s="116"/>
      <c r="E96" s="116"/>
      <c r="F96" s="116"/>
      <c r="G96" s="116"/>
      <c r="H96" s="116"/>
      <c r="I96" s="116"/>
      <c r="J96" s="91" t="s">
        <v>529</v>
      </c>
      <c r="K96" s="91"/>
      <c r="L96" s="91"/>
      <c r="M96" s="122"/>
      <c r="N96" s="122"/>
      <c r="O96" s="122"/>
      <c r="P96" s="122"/>
      <c r="Q96" s="122"/>
      <c r="R96" s="122"/>
      <c r="S96" s="122"/>
      <c r="T96" s="122"/>
      <c r="U96" s="122"/>
      <c r="V96" s="122"/>
      <c r="W96" s="122"/>
      <c r="X96" s="122"/>
      <c r="Y96" s="122"/>
    </row>
    <row r="97" spans="1:15" s="71" customFormat="1" ht="15">
      <c r="A97" s="68" t="s">
        <v>467</v>
      </c>
      <c r="B97" s="120"/>
      <c r="C97" s="91"/>
      <c r="D97" s="116"/>
      <c r="E97" s="116"/>
      <c r="F97" s="116"/>
      <c r="G97" s="116"/>
      <c r="H97" s="116"/>
      <c r="I97" s="116"/>
      <c r="J97" s="91" t="s">
        <v>530</v>
      </c>
      <c r="K97" s="122"/>
      <c r="L97" s="122"/>
      <c r="M97" s="116"/>
      <c r="N97" s="122"/>
      <c r="O97" s="122"/>
    </row>
    <row r="98" spans="1:15" s="71" customFormat="1" ht="15">
      <c r="A98" s="68" t="s">
        <v>43</v>
      </c>
      <c r="B98" s="120"/>
      <c r="C98" s="91"/>
      <c r="D98" s="116"/>
      <c r="E98" s="116"/>
      <c r="F98" s="116"/>
      <c r="G98" s="116"/>
      <c r="H98" s="116"/>
      <c r="I98" s="116"/>
      <c r="J98" s="91" t="s">
        <v>470</v>
      </c>
      <c r="K98" s="122"/>
      <c r="L98" s="122"/>
      <c r="M98" s="122"/>
      <c r="N98" s="122"/>
      <c r="O98" s="122"/>
    </row>
    <row r="99" spans="1:15" s="71" customFormat="1" ht="15">
      <c r="A99" s="68" t="s">
        <v>597</v>
      </c>
      <c r="B99" s="120"/>
      <c r="C99" s="91"/>
      <c r="D99" s="116"/>
      <c r="E99" s="116"/>
      <c r="F99" s="116"/>
      <c r="G99" s="116"/>
      <c r="H99" s="116"/>
      <c r="I99" s="116"/>
      <c r="J99" s="91" t="s">
        <v>295</v>
      </c>
      <c r="K99" s="122"/>
      <c r="L99" s="122"/>
      <c r="M99" s="106" t="s">
        <v>435</v>
      </c>
      <c r="N99" s="122"/>
      <c r="O99" s="122"/>
    </row>
    <row r="100" spans="1:15" s="71" customFormat="1" ht="15">
      <c r="A100" s="68" t="s">
        <v>257</v>
      </c>
      <c r="B100" s="120"/>
      <c r="C100" s="91"/>
      <c r="D100" s="116"/>
      <c r="E100" s="116"/>
      <c r="F100" s="116"/>
      <c r="G100" s="116"/>
      <c r="H100" s="116"/>
      <c r="I100" s="116"/>
      <c r="J100" s="116" t="s">
        <v>364</v>
      </c>
      <c r="K100" s="122"/>
      <c r="L100" s="122"/>
      <c r="M100" s="134">
        <v>25.386398763523957</v>
      </c>
      <c r="N100" s="122"/>
      <c r="O100" s="122"/>
    </row>
    <row r="101" spans="1:15" s="71" customFormat="1" ht="15">
      <c r="A101" s="68" t="s">
        <v>404</v>
      </c>
      <c r="B101" s="120"/>
      <c r="C101" s="91"/>
      <c r="D101" s="116"/>
      <c r="E101" s="116"/>
      <c r="F101" s="116"/>
      <c r="G101" s="116"/>
      <c r="H101" s="116"/>
      <c r="I101" s="116"/>
      <c r="J101" s="122"/>
      <c r="K101" s="122"/>
      <c r="L101" s="122"/>
      <c r="M101" s="134">
        <v>25.07952665733554</v>
      </c>
      <c r="N101" s="122"/>
      <c r="O101" s="122"/>
    </row>
    <row r="102" spans="1:15" s="106" customFormat="1" ht="15">
      <c r="A102" s="68"/>
      <c r="B102" s="120"/>
      <c r="C102" s="122"/>
      <c r="D102" s="122"/>
      <c r="E102" s="122"/>
      <c r="F102" s="122"/>
      <c r="G102" s="122"/>
      <c r="H102" s="122"/>
      <c r="I102" s="122"/>
      <c r="J102" s="71" t="s">
        <v>538</v>
      </c>
      <c r="K102" s="71"/>
      <c r="L102" s="71"/>
      <c r="M102" s="134">
        <v>16.79398148148148</v>
      </c>
      <c r="N102" s="71"/>
      <c r="O102" s="71"/>
    </row>
    <row r="103" spans="1:15" s="71" customFormat="1" ht="15">
      <c r="A103" s="116" t="s">
        <v>575</v>
      </c>
      <c r="B103" s="46"/>
      <c r="C103" s="46"/>
      <c r="D103" s="46"/>
      <c r="E103" s="46"/>
      <c r="F103" s="46"/>
      <c r="G103" s="116"/>
      <c r="H103" s="116"/>
      <c r="I103" s="122"/>
      <c r="J103" s="122"/>
      <c r="K103" s="122"/>
      <c r="L103" s="122"/>
      <c r="M103" s="134">
        <v>15.977615349474645</v>
      </c>
      <c r="N103" s="122"/>
      <c r="O103" s="122"/>
    </row>
    <row r="104" spans="1:15" ht="15">
      <c r="A104" s="116" t="s">
        <v>528</v>
      </c>
      <c r="J104" s="106"/>
      <c r="K104" s="106"/>
      <c r="L104" s="106"/>
      <c r="M104" s="122"/>
      <c r="N104" s="106"/>
      <c r="O104" s="106"/>
    </row>
    <row r="105" spans="1:15" ht="15">
      <c r="A105" s="116" t="s">
        <v>531</v>
      </c>
      <c r="J105" s="71"/>
      <c r="K105" s="71"/>
      <c r="L105" s="71"/>
      <c r="M105" s="122"/>
      <c r="N105" s="71"/>
      <c r="O105" s="71"/>
    </row>
    <row r="106" spans="1:13" ht="15">
      <c r="A106" s="116" t="s">
        <v>416</v>
      </c>
      <c r="M106" s="122"/>
    </row>
    <row r="107" spans="1:13" ht="15">
      <c r="A107" s="122" t="s">
        <v>52</v>
      </c>
      <c r="M107" s="71"/>
    </row>
    <row r="108" spans="1:13" ht="15">
      <c r="A108" s="122" t="s">
        <v>5</v>
      </c>
      <c r="B108" s="8"/>
      <c r="C108" s="8"/>
      <c r="D108" s="8"/>
      <c r="E108" s="8"/>
      <c r="F108" s="8"/>
      <c r="M108" s="122"/>
    </row>
    <row r="109" spans="1:13" ht="15">
      <c r="A109" s="69" t="s">
        <v>491</v>
      </c>
      <c r="B109" s="8"/>
      <c r="C109" s="8"/>
      <c r="D109" s="8"/>
      <c r="E109" s="8"/>
      <c r="F109" s="8"/>
      <c r="G109" s="8"/>
      <c r="H109" s="8"/>
      <c r="M109" s="106"/>
    </row>
    <row r="110" spans="1:13" ht="15">
      <c r="A110" s="69" t="s">
        <v>598</v>
      </c>
      <c r="B110" s="8"/>
      <c r="C110" s="8"/>
      <c r="D110" s="8"/>
      <c r="E110" s="8"/>
      <c r="F110" s="8"/>
      <c r="M110" s="71"/>
    </row>
    <row r="111" spans="1:6" ht="15">
      <c r="A111" s="8"/>
      <c r="B111" s="8"/>
      <c r="C111" s="8"/>
      <c r="D111" s="8"/>
      <c r="E111" s="8"/>
      <c r="F111" s="8"/>
    </row>
    <row r="112" ht="15">
      <c r="A112" s="121" t="s">
        <v>160</v>
      </c>
    </row>
    <row r="113" spans="1:15" s="116" customFormat="1" ht="15">
      <c r="A113" s="121"/>
      <c r="B113" s="122"/>
      <c r="C113" s="122"/>
      <c r="D113" s="122"/>
      <c r="E113" s="122"/>
      <c r="F113" s="122"/>
      <c r="G113" s="122"/>
      <c r="H113" s="122"/>
      <c r="I113" s="122"/>
      <c r="J113" s="122"/>
      <c r="K113" s="122"/>
      <c r="L113" s="122"/>
      <c r="M113" s="46"/>
      <c r="N113" s="122"/>
      <c r="O113" s="122"/>
    </row>
    <row r="114" ht="15">
      <c r="A114" s="116" t="s">
        <v>576</v>
      </c>
    </row>
    <row r="115" spans="1:15" s="116" customFormat="1" ht="15">
      <c r="A115" s="116" t="s">
        <v>501</v>
      </c>
      <c r="B115" s="122"/>
      <c r="C115" s="122"/>
      <c r="D115" s="122"/>
      <c r="E115" s="122"/>
      <c r="F115" s="122"/>
      <c r="G115" s="122"/>
      <c r="H115" s="122"/>
      <c r="I115" s="122"/>
      <c r="J115" s="122"/>
      <c r="K115" s="122"/>
      <c r="L115" s="122"/>
      <c r="M115" s="46"/>
      <c r="N115" s="122"/>
      <c r="O115" s="122"/>
    </row>
    <row r="116" spans="1:15" s="116" customFormat="1" ht="15">
      <c r="A116" s="122"/>
      <c r="B116" s="122"/>
      <c r="C116" s="122"/>
      <c r="D116" s="122"/>
      <c r="E116" s="122"/>
      <c r="F116" s="122"/>
      <c r="G116" s="122"/>
      <c r="H116" s="122"/>
      <c r="I116" s="122"/>
      <c r="J116" s="122"/>
      <c r="K116" s="122"/>
      <c r="L116" s="122"/>
      <c r="M116" s="46"/>
      <c r="N116" s="122"/>
      <c r="O116" s="122"/>
    </row>
    <row r="117" ht="15">
      <c r="A117" s="116" t="s">
        <v>561</v>
      </c>
    </row>
    <row r="118" spans="1:13" ht="15">
      <c r="A118" s="116" t="s">
        <v>336</v>
      </c>
      <c r="G118" s="8"/>
      <c r="H118" s="8"/>
      <c r="M118" s="122"/>
    </row>
    <row r="119" spans="1:8" ht="15">
      <c r="A119" s="116" t="s">
        <v>456</v>
      </c>
      <c r="G119" s="8"/>
      <c r="H119" s="8"/>
    </row>
    <row r="120" spans="7:13" ht="15">
      <c r="G120" s="8"/>
      <c r="H120" s="8"/>
      <c r="M120" s="122"/>
    </row>
    <row r="121" spans="7:13" ht="15">
      <c r="G121" s="8"/>
      <c r="H121" s="8"/>
      <c r="M121" s="122"/>
    </row>
    <row r="130" spans="1:8" ht="15">
      <c r="A130" s="8"/>
      <c r="B130" s="8"/>
      <c r="C130" s="8"/>
      <c r="D130" s="8"/>
      <c r="E130" s="8"/>
      <c r="F130" s="8"/>
      <c r="G130" s="8"/>
      <c r="H130" s="8"/>
    </row>
    <row r="131" spans="1:8" ht="15">
      <c r="A131" s="8"/>
      <c r="B131" s="8"/>
      <c r="C131" s="8"/>
      <c r="D131" s="8"/>
      <c r="E131" s="8"/>
      <c r="F131" s="8"/>
      <c r="G131" s="8"/>
      <c r="H131" s="8"/>
    </row>
    <row r="134" spans="1:8" ht="15">
      <c r="A134" s="8"/>
      <c r="B134" s="8"/>
      <c r="C134" s="8"/>
      <c r="D134" s="8"/>
      <c r="E134" s="8"/>
      <c r="F134" s="8"/>
      <c r="G134" s="8"/>
      <c r="H134" s="8"/>
    </row>
    <row r="136" spans="1:8" ht="15">
      <c r="A136" s="8"/>
      <c r="B136" s="8"/>
      <c r="C136" s="8"/>
      <c r="D136" s="8"/>
      <c r="E136" s="8"/>
      <c r="F136" s="8"/>
      <c r="G136" s="8"/>
      <c r="H136" s="8"/>
    </row>
  </sheetData>
  <sheetProtection/>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X90"/>
  <sheetViews>
    <sheetView tabSelected="1" workbookViewId="0" topLeftCell="A1">
      <pane ySplit="3380" topLeftCell="BM30" activePane="topLeft" state="split"/>
      <selection pane="topLeft" activeCell="C3" sqref="C3"/>
      <selection pane="bottomLeft" activeCell="E35" sqref="E35"/>
    </sheetView>
  </sheetViews>
  <sheetFormatPr defaultColWidth="11.421875" defaultRowHeight="12.75"/>
  <cols>
    <col min="1" max="1" width="6.7109375" style="0" customWidth="1"/>
    <col min="2" max="2" width="12.8515625" style="0" customWidth="1"/>
    <col min="6" max="6" width="13.00390625" style="0" customWidth="1"/>
    <col min="7" max="10" width="12.28125" style="39" customWidth="1"/>
    <col min="11" max="11" width="3.8515625" style="0" customWidth="1"/>
    <col min="12" max="12" width="12.421875" style="53" customWidth="1"/>
    <col min="13" max="13" width="13.00390625" style="53" customWidth="1"/>
    <col min="14" max="14" width="11.8515625" style="53" customWidth="1"/>
    <col min="15" max="15" width="13.00390625" style="53" customWidth="1"/>
    <col min="16" max="16" width="3.8515625" style="0" customWidth="1"/>
    <col min="17" max="19" width="12.8515625" style="59" customWidth="1"/>
    <col min="20" max="20" width="14.140625" style="59" customWidth="1"/>
    <col min="21" max="21" width="11.8515625" style="0" customWidth="1"/>
    <col min="22" max="22" width="13.421875" style="1" customWidth="1"/>
    <col min="23" max="23" width="10.8515625" style="1" customWidth="1"/>
  </cols>
  <sheetData>
    <row r="1" spans="1:21" ht="18">
      <c r="A1" t="s">
        <v>372</v>
      </c>
      <c r="C1" s="1"/>
      <c r="D1" s="259" t="s">
        <v>144</v>
      </c>
      <c r="E1" s="1"/>
      <c r="F1" s="1"/>
      <c r="G1" s="35"/>
      <c r="H1" s="35"/>
      <c r="I1" s="35"/>
      <c r="J1" s="35"/>
      <c r="K1" s="1"/>
      <c r="L1" s="49"/>
      <c r="M1" s="49"/>
      <c r="N1" s="49"/>
      <c r="O1" s="49"/>
      <c r="P1" s="1"/>
      <c r="Q1" s="54"/>
      <c r="R1" s="54"/>
      <c r="S1" s="54"/>
      <c r="T1" s="54"/>
      <c r="U1" s="1"/>
    </row>
    <row r="2" spans="1:21" ht="16.5">
      <c r="A2" s="90" t="s">
        <v>0</v>
      </c>
      <c r="C2" s="1"/>
      <c r="D2" s="89" t="s">
        <v>555</v>
      </c>
      <c r="E2" s="1"/>
      <c r="F2" s="1"/>
      <c r="G2" s="35"/>
      <c r="H2" s="35"/>
      <c r="I2" s="35"/>
      <c r="J2" s="35"/>
      <c r="K2" s="1"/>
      <c r="L2" s="49"/>
      <c r="M2" s="49"/>
      <c r="N2" s="49"/>
      <c r="O2" s="49"/>
      <c r="P2" s="1"/>
      <c r="Q2" s="54"/>
      <c r="R2" s="54"/>
      <c r="S2" s="54"/>
      <c r="T2" s="54"/>
      <c r="U2" s="1"/>
    </row>
    <row r="3" spans="1:21" ht="18" thickBot="1">
      <c r="A3" s="1"/>
      <c r="B3" s="1"/>
      <c r="C3" s="1"/>
      <c r="D3" s="260" t="s">
        <v>542</v>
      </c>
      <c r="E3" s="1"/>
      <c r="F3" s="1"/>
      <c r="G3" s="35"/>
      <c r="H3" s="35"/>
      <c r="I3" s="35"/>
      <c r="J3" s="35"/>
      <c r="K3" s="1"/>
      <c r="L3" s="49" t="s">
        <v>426</v>
      </c>
      <c r="N3" s="49"/>
      <c r="O3" s="49"/>
      <c r="P3" s="1"/>
      <c r="Q3" s="54"/>
      <c r="R3" s="54"/>
      <c r="S3" s="54"/>
      <c r="T3" s="54"/>
      <c r="U3" s="1"/>
    </row>
    <row r="4" spans="1:21" ht="15.75" thickBot="1">
      <c r="A4" s="1"/>
      <c r="B4" s="1"/>
      <c r="C4" s="1"/>
      <c r="D4" s="1"/>
      <c r="E4" s="1"/>
      <c r="F4" s="1"/>
      <c r="G4" s="226" t="s">
        <v>135</v>
      </c>
      <c r="H4" s="36"/>
      <c r="I4" s="36"/>
      <c r="J4" s="37"/>
      <c r="K4" s="1"/>
      <c r="L4" s="221" t="s">
        <v>55</v>
      </c>
      <c r="M4" s="50"/>
      <c r="N4" s="50"/>
      <c r="O4" s="51"/>
      <c r="P4" s="1"/>
      <c r="Q4" s="55" t="s">
        <v>191</v>
      </c>
      <c r="R4" s="56"/>
      <c r="S4" s="56"/>
      <c r="T4" s="57"/>
      <c r="U4" s="1"/>
    </row>
    <row r="5" spans="1:21" ht="15">
      <c r="A5" s="20" t="s">
        <v>192</v>
      </c>
      <c r="B5" s="25" t="s">
        <v>193</v>
      </c>
      <c r="C5" s="1" t="s">
        <v>194</v>
      </c>
      <c r="D5" s="1"/>
      <c r="E5" s="1"/>
      <c r="F5" s="1"/>
      <c r="G5" s="38" t="s">
        <v>195</v>
      </c>
      <c r="H5" s="38" t="s">
        <v>196</v>
      </c>
      <c r="I5" s="38"/>
      <c r="J5" s="38" t="s">
        <v>296</v>
      </c>
      <c r="K5" s="1"/>
      <c r="L5" s="52" t="s">
        <v>195</v>
      </c>
      <c r="M5" s="52" t="s">
        <v>196</v>
      </c>
      <c r="N5" s="52"/>
      <c r="O5" s="52" t="s">
        <v>296</v>
      </c>
      <c r="P5" s="1"/>
      <c r="Q5" s="58" t="s">
        <v>195</v>
      </c>
      <c r="R5" s="58" t="s">
        <v>196</v>
      </c>
      <c r="S5" s="58"/>
      <c r="T5" s="58" t="s">
        <v>296</v>
      </c>
      <c r="U5" s="1"/>
    </row>
    <row r="6" spans="1:21" ht="15">
      <c r="A6" s="20" t="s">
        <v>264</v>
      </c>
      <c r="B6" s="25" t="s">
        <v>297</v>
      </c>
      <c r="C6" s="1" t="s">
        <v>234</v>
      </c>
      <c r="D6" s="1" t="s">
        <v>80</v>
      </c>
      <c r="E6" s="1"/>
      <c r="F6" s="1"/>
      <c r="G6" s="38" t="s">
        <v>235</v>
      </c>
      <c r="H6" s="38" t="s">
        <v>161</v>
      </c>
      <c r="I6" s="38" t="s">
        <v>162</v>
      </c>
      <c r="J6" s="38" t="s">
        <v>161</v>
      </c>
      <c r="K6" s="1"/>
      <c r="L6" s="52" t="s">
        <v>235</v>
      </c>
      <c r="M6" s="52" t="s">
        <v>161</v>
      </c>
      <c r="N6" s="52" t="s">
        <v>162</v>
      </c>
      <c r="O6" s="52" t="s">
        <v>161</v>
      </c>
      <c r="P6" s="1"/>
      <c r="Q6" s="58" t="s">
        <v>235</v>
      </c>
      <c r="R6" s="58" t="s">
        <v>161</v>
      </c>
      <c r="S6" s="58" t="s">
        <v>162</v>
      </c>
      <c r="T6" s="58" t="s">
        <v>161</v>
      </c>
      <c r="U6" s="1"/>
    </row>
    <row r="7" spans="1:22" ht="15">
      <c r="A7" s="1"/>
      <c r="B7" s="25"/>
      <c r="C7" s="1"/>
      <c r="D7" s="1"/>
      <c r="E7" s="1"/>
      <c r="F7" s="1"/>
      <c r="G7" s="40"/>
      <c r="H7" s="40"/>
      <c r="I7" s="35"/>
      <c r="J7" s="35"/>
      <c r="K7" s="35"/>
      <c r="L7" s="49"/>
      <c r="M7" s="49"/>
      <c r="N7" s="49"/>
      <c r="O7" s="49"/>
      <c r="P7" s="1"/>
      <c r="Q7" s="54"/>
      <c r="R7" s="54"/>
      <c r="S7" s="54"/>
      <c r="T7" s="54"/>
      <c r="U7" s="1"/>
      <c r="V7" s="1" t="s">
        <v>535</v>
      </c>
    </row>
    <row r="8" spans="1:22" ht="15">
      <c r="A8" s="1">
        <v>1</v>
      </c>
      <c r="B8" s="26" t="s">
        <v>163</v>
      </c>
      <c r="C8" s="17" t="s">
        <v>381</v>
      </c>
      <c r="D8" s="17" t="s">
        <v>206</v>
      </c>
      <c r="E8" s="1"/>
      <c r="F8" s="1"/>
      <c r="G8" s="40">
        <f>SUM(G9:G19)</f>
        <v>3437.1615697741563</v>
      </c>
      <c r="H8" s="40">
        <f>SUM(H9:H19)</f>
        <v>13795.452725362811</v>
      </c>
      <c r="I8" s="35">
        <f>SUM(I9:I19)</f>
        <v>6445.658743307865</v>
      </c>
      <c r="J8" s="35">
        <f>G8+H8+I8</f>
        <v>23678.273038444833</v>
      </c>
      <c r="K8" s="41"/>
      <c r="L8" s="183">
        <f>Q8/G8</f>
        <v>186.29131407296842</v>
      </c>
      <c r="M8" s="183">
        <f>R8/H8</f>
        <v>382.21609583417865</v>
      </c>
      <c r="N8" s="183">
        <f>S8/I8</f>
        <v>632.6320087278468</v>
      </c>
      <c r="O8" s="183">
        <f>T8/J8</f>
        <v>421.94324934926686</v>
      </c>
      <c r="P8" s="41"/>
      <c r="Q8" s="181">
        <f>SUM(Q9:Q19)</f>
        <v>640313.3455143345</v>
      </c>
      <c r="R8" s="181">
        <f>SUM(R9:R19)</f>
        <v>5272844.080953153</v>
      </c>
      <c r="S8" s="181">
        <f>SUM(S9:S19)</f>
        <v>4077730.0383530636</v>
      </c>
      <c r="T8" s="181">
        <f>SUM(T9:T19)</f>
        <v>9990887.46482055</v>
      </c>
      <c r="U8" s="26" t="s">
        <v>163</v>
      </c>
      <c r="V8" s="181">
        <f>Q8+R8+S8</f>
        <v>9990887.46482055</v>
      </c>
    </row>
    <row r="9" spans="1:22" ht="15">
      <c r="A9" s="1">
        <v>3</v>
      </c>
      <c r="B9" s="27" t="s">
        <v>465</v>
      </c>
      <c r="C9" s="18" t="s">
        <v>356</v>
      </c>
      <c r="D9" s="4" t="s">
        <v>205</v>
      </c>
      <c r="E9" s="1"/>
      <c r="F9" s="1"/>
      <c r="G9" s="40">
        <v>73.06832358611827</v>
      </c>
      <c r="H9" s="40">
        <v>418.37451309653005</v>
      </c>
      <c r="I9" s="35">
        <v>882.3816557717354</v>
      </c>
      <c r="J9" s="225">
        <f aca="true" t="shared" si="0" ref="J9:J18">G9+H9+I9</f>
        <v>1373.8244924543837</v>
      </c>
      <c r="K9" s="41"/>
      <c r="L9" s="183">
        <v>2116.8633333333332</v>
      </c>
      <c r="M9" s="183">
        <v>1966.2857142857142</v>
      </c>
      <c r="N9" s="183">
        <v>3080.25</v>
      </c>
      <c r="O9" s="183">
        <f aca="true" t="shared" si="1" ref="O9:O18">T9/J9</f>
        <v>2689.772673902247</v>
      </c>
      <c r="P9" s="41"/>
      <c r="Q9" s="54">
        <f aca="true" t="shared" si="2" ref="Q9:Q18">G9*L9</f>
        <v>154675.65502758892</v>
      </c>
      <c r="R9" s="54">
        <f aca="true" t="shared" si="3" ref="R9:R18">H9*M9</f>
        <v>822643.8283229485</v>
      </c>
      <c r="S9" s="54">
        <f aca="true" t="shared" si="4" ref="S9:S18">I9*N9</f>
        <v>2717956.095190888</v>
      </c>
      <c r="T9" s="54">
        <f>SUM(Q9:S9)</f>
        <v>3695275.578541425</v>
      </c>
      <c r="U9" s="27"/>
      <c r="V9" s="181">
        <f aca="true" t="shared" si="5" ref="V9:V19">Q9+R9+S9</f>
        <v>3695275.578541425</v>
      </c>
    </row>
    <row r="10" spans="1:22" ht="15">
      <c r="A10" s="1">
        <v>4</v>
      </c>
      <c r="B10" s="27"/>
      <c r="C10" s="18" t="s">
        <v>532</v>
      </c>
      <c r="D10" s="4" t="s">
        <v>525</v>
      </c>
      <c r="E10" s="1"/>
      <c r="F10" s="1"/>
      <c r="G10" s="40">
        <v>667.4157627999821</v>
      </c>
      <c r="H10" s="40">
        <v>3080.2713886087968</v>
      </c>
      <c r="I10" s="35">
        <v>1178.1666052207909</v>
      </c>
      <c r="J10" s="225">
        <f t="shared" si="0"/>
        <v>4925.85375662957</v>
      </c>
      <c r="K10" s="41"/>
      <c r="L10" s="183">
        <v>229.96091895105462</v>
      </c>
      <c r="M10" s="183">
        <v>914.5001980954837</v>
      </c>
      <c r="N10" s="183">
        <v>325.24250368319986</v>
      </c>
      <c r="O10" s="183">
        <f t="shared" si="1"/>
        <v>680.8115626922453</v>
      </c>
      <c r="P10" s="41"/>
      <c r="Q10" s="54">
        <f t="shared" si="2"/>
        <v>153479.54213590297</v>
      </c>
      <c r="R10" s="54">
        <f t="shared" si="3"/>
        <v>2816908.795070595</v>
      </c>
      <c r="S10" s="54">
        <f t="shared" si="4"/>
        <v>383189.85643794615</v>
      </c>
      <c r="T10" s="54">
        <f aca="true" t="shared" si="6" ref="T10:T17">SUM(Q10:S10)</f>
        <v>3353578.1936444445</v>
      </c>
      <c r="U10" s="27"/>
      <c r="V10" s="181">
        <f t="shared" si="5"/>
        <v>3353578.1936444445</v>
      </c>
    </row>
    <row r="11" spans="1:22" ht="15">
      <c r="A11" s="1">
        <v>5</v>
      </c>
      <c r="B11" s="27" t="s">
        <v>526</v>
      </c>
      <c r="C11" s="18" t="s">
        <v>154</v>
      </c>
      <c r="D11" s="122" t="s">
        <v>247</v>
      </c>
      <c r="E11" s="1"/>
      <c r="F11" s="1"/>
      <c r="G11" s="40">
        <v>449.6688599493872</v>
      </c>
      <c r="H11" s="40">
        <v>1938.4069781944418</v>
      </c>
      <c r="I11" s="35">
        <v>378.3809621833964</v>
      </c>
      <c r="J11" s="225">
        <f t="shared" si="0"/>
        <v>2766.456800327225</v>
      </c>
      <c r="K11" s="41"/>
      <c r="L11" s="183">
        <v>175.4366666666667</v>
      </c>
      <c r="M11" s="183">
        <v>213.27200000000002</v>
      </c>
      <c r="N11" s="183">
        <v>196.49</v>
      </c>
      <c r="O11" s="183">
        <f t="shared" si="1"/>
        <v>204.8267712473214</v>
      </c>
      <c r="P11" s="41"/>
      <c r="Q11" s="54">
        <f t="shared" si="2"/>
        <v>78888.40589332067</v>
      </c>
      <c r="R11" s="54">
        <f t="shared" si="3"/>
        <v>413407.933053485</v>
      </c>
      <c r="S11" s="54">
        <f t="shared" si="4"/>
        <v>74348.07525941556</v>
      </c>
      <c r="T11" s="54">
        <f t="shared" si="6"/>
        <v>566644.4142062212</v>
      </c>
      <c r="U11" s="27" t="s">
        <v>526</v>
      </c>
      <c r="V11" s="181">
        <f t="shared" si="5"/>
        <v>566644.4142062212</v>
      </c>
    </row>
    <row r="12" spans="1:22" ht="15">
      <c r="A12" s="1">
        <v>6</v>
      </c>
      <c r="B12" s="27" t="s">
        <v>517</v>
      </c>
      <c r="C12" s="18" t="s">
        <v>432</v>
      </c>
      <c r="D12" s="17" t="s">
        <v>317</v>
      </c>
      <c r="E12" s="1"/>
      <c r="F12" s="1"/>
      <c r="G12" s="40">
        <v>326.1334588643907</v>
      </c>
      <c r="H12" s="40">
        <v>882.4993648575161</v>
      </c>
      <c r="I12" s="35">
        <v>273.3789581329355</v>
      </c>
      <c r="J12" s="225">
        <f t="shared" si="0"/>
        <v>1482.0117818548424</v>
      </c>
      <c r="K12" s="41"/>
      <c r="L12" s="183">
        <v>240.3777777777778</v>
      </c>
      <c r="M12" s="183">
        <v>304.6033333333333</v>
      </c>
      <c r="N12" s="183">
        <v>310</v>
      </c>
      <c r="O12" s="183">
        <f t="shared" si="1"/>
        <v>291.4652680976256</v>
      </c>
      <c r="P12" s="41"/>
      <c r="Q12" s="54">
        <f t="shared" si="2"/>
        <v>78395.23610080255</v>
      </c>
      <c r="R12" s="54">
        <f t="shared" si="3"/>
        <v>268812.24820014887</v>
      </c>
      <c r="S12" s="54">
        <f t="shared" si="4"/>
        <v>84747.47702121001</v>
      </c>
      <c r="T12" s="54">
        <f t="shared" si="6"/>
        <v>431954.9613221614</v>
      </c>
      <c r="U12" s="27" t="s">
        <v>517</v>
      </c>
      <c r="V12" s="181">
        <f t="shared" si="5"/>
        <v>431954.9613221614</v>
      </c>
    </row>
    <row r="13" spans="1:22" ht="15">
      <c r="A13" s="1">
        <v>7</v>
      </c>
      <c r="B13" s="27" t="s">
        <v>592</v>
      </c>
      <c r="C13" s="18" t="s">
        <v>433</v>
      </c>
      <c r="D13" s="122" t="s">
        <v>563</v>
      </c>
      <c r="E13" s="1"/>
      <c r="F13" s="1"/>
      <c r="G13" s="40">
        <v>13.200892023397401</v>
      </c>
      <c r="H13" s="40">
        <v>334.9456555916083</v>
      </c>
      <c r="I13" s="35">
        <v>486.80121482033985</v>
      </c>
      <c r="J13" s="225">
        <f t="shared" si="0"/>
        <v>834.9477624353456</v>
      </c>
      <c r="K13" s="41"/>
      <c r="L13" s="183">
        <v>170.36926315789475</v>
      </c>
      <c r="M13" s="183">
        <v>204.8891620234321</v>
      </c>
      <c r="N13" s="183">
        <v>640</v>
      </c>
      <c r="O13" s="183">
        <f t="shared" si="1"/>
        <v>458.0269037600275</v>
      </c>
      <c r="P13" s="41"/>
      <c r="Q13" s="178">
        <f t="shared" si="2"/>
        <v>2249.0262470531457</v>
      </c>
      <c r="R13" s="178">
        <f t="shared" si="3"/>
        <v>68626.73469755372</v>
      </c>
      <c r="S13" s="178">
        <f t="shared" si="4"/>
        <v>311552.7774850175</v>
      </c>
      <c r="T13" s="178">
        <f>SUM(Q13:S13)</f>
        <v>382428.53842962434</v>
      </c>
      <c r="U13" s="27" t="s">
        <v>592</v>
      </c>
      <c r="V13" s="181">
        <f t="shared" si="5"/>
        <v>382428.53842962434</v>
      </c>
    </row>
    <row r="14" spans="1:22" ht="15">
      <c r="A14" s="1">
        <v>8</v>
      </c>
      <c r="B14" s="27" t="s">
        <v>200</v>
      </c>
      <c r="C14" s="18" t="s">
        <v>201</v>
      </c>
      <c r="D14" s="17" t="s">
        <v>304</v>
      </c>
      <c r="E14" s="1"/>
      <c r="F14" s="1"/>
      <c r="G14" s="40">
        <v>711.7280137606122</v>
      </c>
      <c r="H14" s="40">
        <v>1899.572744487726</v>
      </c>
      <c r="I14" s="35">
        <v>1843.2220611182631</v>
      </c>
      <c r="J14" s="225">
        <f t="shared" si="0"/>
        <v>4454.522819366601</v>
      </c>
      <c r="K14" s="41"/>
      <c r="L14" s="183">
        <v>125.36571428571428</v>
      </c>
      <c r="M14" s="183">
        <v>157.162</v>
      </c>
      <c r="N14" s="183">
        <v>179.68</v>
      </c>
      <c r="O14" s="183">
        <f t="shared" si="1"/>
        <v>161.39934883875878</v>
      </c>
      <c r="P14" s="41"/>
      <c r="Q14" s="54">
        <f t="shared" si="2"/>
        <v>89226.29082225182</v>
      </c>
      <c r="R14" s="54">
        <f t="shared" si="3"/>
        <v>298540.65166918</v>
      </c>
      <c r="S14" s="54">
        <f t="shared" si="4"/>
        <v>331190.13994172955</v>
      </c>
      <c r="T14" s="54">
        <f t="shared" si="6"/>
        <v>718957.0824331613</v>
      </c>
      <c r="U14" s="27" t="s">
        <v>200</v>
      </c>
      <c r="V14" s="181">
        <f t="shared" si="5"/>
        <v>718957.0824331613</v>
      </c>
    </row>
    <row r="15" spans="1:22" ht="15">
      <c r="A15" s="1">
        <v>9</v>
      </c>
      <c r="B15" s="27"/>
      <c r="C15" s="18" t="s">
        <v>238</v>
      </c>
      <c r="D15" s="17" t="s">
        <v>428</v>
      </c>
      <c r="E15" s="1"/>
      <c r="F15" s="1"/>
      <c r="G15" s="40">
        <v>320.9159895379312</v>
      </c>
      <c r="H15" s="40">
        <v>661.2915892030976</v>
      </c>
      <c r="I15" s="35">
        <v>646.4358588815497</v>
      </c>
      <c r="J15" s="225">
        <f t="shared" si="0"/>
        <v>1628.6434376225784</v>
      </c>
      <c r="K15" s="41"/>
      <c r="L15" s="183">
        <v>54.97</v>
      </c>
      <c r="M15" s="183">
        <v>59.94</v>
      </c>
      <c r="N15" s="183">
        <v>59.94</v>
      </c>
      <c r="O15" s="183">
        <f t="shared" si="1"/>
        <v>58.96068652280835</v>
      </c>
      <c r="P15" s="41"/>
      <c r="Q15" s="54">
        <f t="shared" si="2"/>
        <v>17640.751944900076</v>
      </c>
      <c r="R15" s="54">
        <f t="shared" si="3"/>
        <v>39637.817856833666</v>
      </c>
      <c r="S15" s="54">
        <f t="shared" si="4"/>
        <v>38747.36538136009</v>
      </c>
      <c r="T15" s="54">
        <f t="shared" si="6"/>
        <v>96025.93518309382</v>
      </c>
      <c r="U15" s="27"/>
      <c r="V15" s="181">
        <f t="shared" si="5"/>
        <v>96025.93518309382</v>
      </c>
    </row>
    <row r="16" spans="1:22" ht="15">
      <c r="A16" s="1">
        <v>10</v>
      </c>
      <c r="B16" s="27"/>
      <c r="C16" s="17" t="s">
        <v>197</v>
      </c>
      <c r="D16" s="114" t="s">
        <v>292</v>
      </c>
      <c r="E16" s="1"/>
      <c r="F16" s="1"/>
      <c r="G16" s="40">
        <v>104.9526829691517</v>
      </c>
      <c r="H16" s="40">
        <v>1139.8754213249404</v>
      </c>
      <c r="I16" s="35">
        <v>563.642552154466</v>
      </c>
      <c r="J16" s="225">
        <f t="shared" si="0"/>
        <v>1808.4706564485582</v>
      </c>
      <c r="K16" s="41"/>
      <c r="L16" s="183">
        <v>125.36571428571428</v>
      </c>
      <c r="M16" s="183">
        <v>157.162</v>
      </c>
      <c r="N16" s="183">
        <v>179.68</v>
      </c>
      <c r="O16" s="183">
        <f t="shared" si="1"/>
        <v>162.33487768086732</v>
      </c>
      <c r="P16" s="41"/>
      <c r="Q16" s="181">
        <f t="shared" si="2"/>
        <v>13157.468066629823</v>
      </c>
      <c r="R16" s="181">
        <f t="shared" si="3"/>
        <v>179145.10096627029</v>
      </c>
      <c r="S16" s="181">
        <f t="shared" si="4"/>
        <v>101275.29377111445</v>
      </c>
      <c r="T16" s="181">
        <f t="shared" si="6"/>
        <v>293577.8628040145</v>
      </c>
      <c r="U16" s="27"/>
      <c r="V16" s="181">
        <f t="shared" si="5"/>
        <v>293577.8628040145</v>
      </c>
    </row>
    <row r="17" spans="1:22" ht="15">
      <c r="A17" s="1">
        <v>11</v>
      </c>
      <c r="B17" s="27"/>
      <c r="C17" s="17" t="s">
        <v>488</v>
      </c>
      <c r="D17" s="114" t="s">
        <v>220</v>
      </c>
      <c r="E17" s="1"/>
      <c r="F17" s="1"/>
      <c r="G17" s="40">
        <v>69.08277866323907</v>
      </c>
      <c r="H17" s="40">
        <v>230.56324860782343</v>
      </c>
      <c r="I17" s="35">
        <v>193.24887502438833</v>
      </c>
      <c r="J17" s="225">
        <f t="shared" si="0"/>
        <v>492.89490229545083</v>
      </c>
      <c r="K17" s="41"/>
      <c r="L17" s="183">
        <v>125.36571428571428</v>
      </c>
      <c r="M17" s="183">
        <v>157.162</v>
      </c>
      <c r="N17" s="183">
        <v>179.68</v>
      </c>
      <c r="O17" s="183">
        <f t="shared" si="1"/>
        <v>161.53413367281757</v>
      </c>
      <c r="P17" s="41"/>
      <c r="Q17" s="181">
        <f t="shared" si="2"/>
        <v>8660.611891958868</v>
      </c>
      <c r="R17" s="181">
        <f t="shared" si="3"/>
        <v>36235.78127770274</v>
      </c>
      <c r="S17" s="181">
        <f t="shared" si="4"/>
        <v>34722.95786438209</v>
      </c>
      <c r="T17" s="181">
        <f t="shared" si="6"/>
        <v>79619.3510340437</v>
      </c>
      <c r="U17" s="27"/>
      <c r="V17" s="181">
        <f t="shared" si="5"/>
        <v>79619.3510340437</v>
      </c>
    </row>
    <row r="18" spans="1:22" ht="15">
      <c r="A18" s="1">
        <v>12</v>
      </c>
      <c r="B18" s="27" t="s">
        <v>163</v>
      </c>
      <c r="C18" s="18" t="s">
        <v>324</v>
      </c>
      <c r="D18" s="17" t="s">
        <v>306</v>
      </c>
      <c r="E18" s="1"/>
      <c r="F18" s="1"/>
      <c r="G18" s="40">
        <v>700.9948076199466</v>
      </c>
      <c r="H18" s="40">
        <v>672.5968213903303</v>
      </c>
      <c r="I18" s="35">
        <v>0</v>
      </c>
      <c r="J18" s="225">
        <f t="shared" si="0"/>
        <v>1373.5916290102768</v>
      </c>
      <c r="K18" s="41"/>
      <c r="L18" s="183">
        <f>0.5*125.365714285714</f>
        <v>62.682857142857</v>
      </c>
      <c r="M18" s="183">
        <f>0.5*157.162</f>
        <v>78.581</v>
      </c>
      <c r="N18" s="183">
        <f>0.5*179.68</f>
        <v>89.84</v>
      </c>
      <c r="O18" s="183">
        <f t="shared" si="1"/>
        <v>70.46758742650651</v>
      </c>
      <c r="P18" s="41"/>
      <c r="Q18" s="181">
        <f t="shared" si="2"/>
        <v>43940.35738392564</v>
      </c>
      <c r="R18" s="181">
        <f t="shared" si="3"/>
        <v>52853.330821673546</v>
      </c>
      <c r="S18" s="181">
        <f t="shared" si="4"/>
        <v>0</v>
      </c>
      <c r="T18" s="181">
        <f>SUM(Q18:S18)</f>
        <v>96793.68820559919</v>
      </c>
      <c r="U18" s="27" t="s">
        <v>551</v>
      </c>
      <c r="V18" s="181">
        <f t="shared" si="5"/>
        <v>96793.68820559919</v>
      </c>
    </row>
    <row r="19" spans="1:22" ht="15">
      <c r="A19" s="1">
        <v>15</v>
      </c>
      <c r="B19" s="28" t="s">
        <v>465</v>
      </c>
      <c r="C19" s="18" t="s">
        <v>345</v>
      </c>
      <c r="D19" s="122" t="s">
        <v>100</v>
      </c>
      <c r="E19" s="1"/>
      <c r="F19" s="1"/>
      <c r="G19" s="40">
        <v>0</v>
      </c>
      <c r="H19" s="40">
        <v>2537.0550000000003</v>
      </c>
      <c r="I19" s="183" t="s">
        <v>508</v>
      </c>
      <c r="J19" s="225">
        <f>G19+H19</f>
        <v>2537.0550000000003</v>
      </c>
      <c r="K19" s="41"/>
      <c r="L19" s="183"/>
      <c r="M19" s="183">
        <v>108.8001084</v>
      </c>
      <c r="N19" s="183" t="s">
        <v>508</v>
      </c>
      <c r="O19" s="183"/>
      <c r="P19" s="41"/>
      <c r="Q19" s="54">
        <f>G19*L19</f>
        <v>0</v>
      </c>
      <c r="R19" s="178">
        <f>H19*M19</f>
        <v>276031.85901676206</v>
      </c>
      <c r="S19" s="178"/>
      <c r="T19" s="178">
        <f>SUM(Q19:R19)</f>
        <v>276031.85901676206</v>
      </c>
      <c r="U19" s="28" t="s">
        <v>465</v>
      </c>
      <c r="V19" s="181">
        <f t="shared" si="5"/>
        <v>276031.85901676206</v>
      </c>
    </row>
    <row r="20" spans="1:22" ht="15">
      <c r="A20" s="1">
        <v>16</v>
      </c>
      <c r="B20" s="25"/>
      <c r="C20" s="18"/>
      <c r="D20" s="17"/>
      <c r="E20" s="1"/>
      <c r="F20" s="1"/>
      <c r="G20" s="40"/>
      <c r="H20" s="40"/>
      <c r="I20" s="35"/>
      <c r="J20" s="35"/>
      <c r="K20" s="35"/>
      <c r="L20" s="183"/>
      <c r="M20" s="183"/>
      <c r="N20" s="183"/>
      <c r="O20" s="183"/>
      <c r="P20" s="35"/>
      <c r="Q20" s="54"/>
      <c r="R20" s="54"/>
      <c r="S20" s="54"/>
      <c r="T20" s="54"/>
      <c r="U20" s="25"/>
      <c r="V20" s="48"/>
    </row>
    <row r="21" spans="1:21" ht="15">
      <c r="A21" s="1"/>
      <c r="B21" s="29" t="s">
        <v>387</v>
      </c>
      <c r="C21" s="122" t="s">
        <v>381</v>
      </c>
      <c r="D21" s="122" t="s">
        <v>206</v>
      </c>
      <c r="E21" s="1"/>
      <c r="F21" s="1"/>
      <c r="G21" s="225">
        <f>SUM(G22:G34)</f>
        <v>184792.73827464585</v>
      </c>
      <c r="H21" s="225">
        <f>SUM(H22:H34)</f>
        <v>161859.5090936016</v>
      </c>
      <c r="I21" s="225">
        <f>SUM(I22:I34)</f>
        <v>429690.74483502645</v>
      </c>
      <c r="J21" s="225">
        <f>G21+H21+I21</f>
        <v>776342.9922032739</v>
      </c>
      <c r="K21" s="225"/>
      <c r="L21" s="183">
        <f>Q21/G21</f>
        <v>165.50179019537185</v>
      </c>
      <c r="M21" s="183">
        <f>R21/H21</f>
        <v>152.21187680203005</v>
      </c>
      <c r="N21" s="183">
        <f>S21/I21</f>
        <v>165.0151481499495</v>
      </c>
      <c r="O21" s="183">
        <f>T21/J21</f>
        <v>162.46163337755854</v>
      </c>
      <c r="P21" s="269"/>
      <c r="Q21" s="225">
        <f>SUM(Q22:Q34)</f>
        <v>30583528.9995587</v>
      </c>
      <c r="R21" s="225">
        <f>SUM(R22:R34)</f>
        <v>24636939.65739235</v>
      </c>
      <c r="S21" s="225">
        <f>SUM(S22:S34)</f>
        <v>70905481.91761404</v>
      </c>
      <c r="T21" s="225">
        <f>Q21+R21+S21</f>
        <v>126125950.57456508</v>
      </c>
      <c r="U21" s="29" t="s">
        <v>387</v>
      </c>
    </row>
    <row r="22" spans="1:21" ht="15">
      <c r="A22" s="1"/>
      <c r="B22" s="30" t="s">
        <v>541</v>
      </c>
      <c r="C22" s="18" t="s">
        <v>356</v>
      </c>
      <c r="D22" s="114" t="s">
        <v>96</v>
      </c>
      <c r="E22" s="1"/>
      <c r="F22" s="1"/>
      <c r="G22" s="225">
        <v>536.2258220570928</v>
      </c>
      <c r="H22" s="225">
        <v>1352.952639362153</v>
      </c>
      <c r="I22" s="225">
        <v>6823.212143248941</v>
      </c>
      <c r="J22" s="225">
        <f aca="true" t="shared" si="7" ref="J22:J34">G22+H22+I22</f>
        <v>8712.390604668188</v>
      </c>
      <c r="K22" s="225"/>
      <c r="L22" s="183">
        <v>1051.3858333333335</v>
      </c>
      <c r="M22" s="183">
        <v>1381.1571428571426</v>
      </c>
      <c r="N22" s="265">
        <v>1677.0662499999999</v>
      </c>
      <c r="O22" s="183">
        <f>T22/J22</f>
        <v>1592.6052752018709</v>
      </c>
      <c r="P22" s="269"/>
      <c r="Q22" s="225">
        <f>G22*L22</f>
        <v>563780.2327783484</v>
      </c>
      <c r="R22" s="225">
        <f>H22*M22</f>
        <v>1868640.2018024612</v>
      </c>
      <c r="S22" s="225">
        <f>I22*N22</f>
        <v>11442978.802032964</v>
      </c>
      <c r="T22" s="225">
        <f aca="true" t="shared" si="8" ref="T22:T34">Q22+R22+S22</f>
        <v>13875399.236613773</v>
      </c>
      <c r="U22" s="30" t="s">
        <v>541</v>
      </c>
    </row>
    <row r="23" spans="1:21" ht="15">
      <c r="A23" s="1"/>
      <c r="B23" s="30"/>
      <c r="C23" s="18" t="s">
        <v>532</v>
      </c>
      <c r="D23" s="114" t="s">
        <v>525</v>
      </c>
      <c r="E23" s="1"/>
      <c r="F23" s="1"/>
      <c r="G23" s="225">
        <v>4216.83439928853</v>
      </c>
      <c r="H23" s="225">
        <v>8153.35457803109</v>
      </c>
      <c r="I23" s="225">
        <v>3965.7747181733102</v>
      </c>
      <c r="J23" s="225">
        <f t="shared" si="7"/>
        <v>16335.96369549293</v>
      </c>
      <c r="K23" s="225"/>
      <c r="L23" s="183">
        <v>243.2769707228628</v>
      </c>
      <c r="M23" s="183">
        <v>190.35213639964442</v>
      </c>
      <c r="N23" s="265">
        <v>325.4029709741124</v>
      </c>
      <c r="O23" s="183">
        <f aca="true" t="shared" si="9" ref="O23:O34">T23/J23</f>
        <v>236.7991328253138</v>
      </c>
      <c r="P23" s="269"/>
      <c r="Q23" s="225">
        <f aca="true" t="shared" si="10" ref="Q23:Q31">G23*L23</f>
        <v>1025858.6986988765</v>
      </c>
      <c r="R23" s="225">
        <f aca="true" t="shared" si="11" ref="R23:R31">H23*M23</f>
        <v>1552008.4627520393</v>
      </c>
      <c r="S23" s="225">
        <f aca="true" t="shared" si="12" ref="S23:S31">I23*N23</f>
        <v>1290474.8755076185</v>
      </c>
      <c r="T23" s="225">
        <f t="shared" si="8"/>
        <v>3868342.0369585343</v>
      </c>
      <c r="U23" s="30"/>
    </row>
    <row r="24" spans="1:21" ht="15">
      <c r="A24" s="1"/>
      <c r="B24" s="30"/>
      <c r="C24" s="18" t="s">
        <v>154</v>
      </c>
      <c r="D24" s="122" t="s">
        <v>247</v>
      </c>
      <c r="E24" s="1"/>
      <c r="F24" s="1"/>
      <c r="G24" s="225">
        <v>10745.932755713562</v>
      </c>
      <c r="H24" s="225">
        <v>22489.81823933448</v>
      </c>
      <c r="I24" s="225">
        <v>6098.387480808653</v>
      </c>
      <c r="J24" s="225">
        <f t="shared" si="7"/>
        <v>39334.1384758567</v>
      </c>
      <c r="K24" s="225"/>
      <c r="L24" s="183">
        <v>188.7</v>
      </c>
      <c r="M24" s="183">
        <v>144.51</v>
      </c>
      <c r="N24" s="265">
        <v>188.73</v>
      </c>
      <c r="O24" s="183">
        <f t="shared" si="9"/>
        <v>163.4384293930407</v>
      </c>
      <c r="P24" s="269"/>
      <c r="Q24" s="225">
        <f t="shared" si="10"/>
        <v>2027757.511003149</v>
      </c>
      <c r="R24" s="225">
        <f t="shared" si="11"/>
        <v>3250003.6337662255</v>
      </c>
      <c r="S24" s="225">
        <f t="shared" si="12"/>
        <v>1150948.669253017</v>
      </c>
      <c r="T24" s="225">
        <f t="shared" si="8"/>
        <v>6428709.814022391</v>
      </c>
      <c r="U24" s="30"/>
    </row>
    <row r="25" spans="1:21" ht="15">
      <c r="A25" s="1"/>
      <c r="B25" s="30"/>
      <c r="C25" s="18" t="s">
        <v>432</v>
      </c>
      <c r="D25" s="122" t="s">
        <v>317</v>
      </c>
      <c r="E25" s="1"/>
      <c r="F25" s="1"/>
      <c r="G25" s="225">
        <v>5995.584799325163</v>
      </c>
      <c r="H25" s="225">
        <v>13314.670036342497</v>
      </c>
      <c r="I25" s="225">
        <v>3737.693826984775</v>
      </c>
      <c r="J25" s="225">
        <f t="shared" si="7"/>
        <v>23047.948662652434</v>
      </c>
      <c r="K25" s="225"/>
      <c r="L25" s="183">
        <v>240.11000000000004</v>
      </c>
      <c r="M25" s="183">
        <v>210.65</v>
      </c>
      <c r="N25" s="265">
        <v>250.81000000000003</v>
      </c>
      <c r="O25" s="183">
        <f t="shared" si="9"/>
        <v>224.82634675702315</v>
      </c>
      <c r="P25" s="269"/>
      <c r="Q25" s="225">
        <f t="shared" si="10"/>
        <v>1439599.866165965</v>
      </c>
      <c r="R25" s="225">
        <f t="shared" si="11"/>
        <v>2804735.243155547</v>
      </c>
      <c r="S25" s="225">
        <f t="shared" si="12"/>
        <v>937450.9887460516</v>
      </c>
      <c r="T25" s="225">
        <f t="shared" si="8"/>
        <v>5181786.098067564</v>
      </c>
      <c r="U25" s="30"/>
    </row>
    <row r="26" spans="1:21" ht="15">
      <c r="A26" s="1"/>
      <c r="B26" s="30"/>
      <c r="C26" s="18" t="s">
        <v>433</v>
      </c>
      <c r="D26" s="122" t="s">
        <v>563</v>
      </c>
      <c r="E26" s="1"/>
      <c r="F26" s="1"/>
      <c r="G26" s="225">
        <v>93260.27655295277</v>
      </c>
      <c r="H26" s="225">
        <v>41284.45125553087</v>
      </c>
      <c r="I26" s="225">
        <v>128140.17808232605</v>
      </c>
      <c r="J26" s="225">
        <f t="shared" si="7"/>
        <v>262684.9058908097</v>
      </c>
      <c r="K26" s="225"/>
      <c r="L26" s="183">
        <v>208.17399999999998</v>
      </c>
      <c r="M26" s="183">
        <v>204.88916202343208</v>
      </c>
      <c r="N26" s="265">
        <v>310</v>
      </c>
      <c r="O26" s="183">
        <f t="shared" si="9"/>
        <v>257.329428235577</v>
      </c>
      <c r="P26" s="269"/>
      <c r="Q26" s="225">
        <f t="shared" si="10"/>
        <v>19414364.811134387</v>
      </c>
      <c r="R26" s="225">
        <f t="shared" si="11"/>
        <v>8458736.622342948</v>
      </c>
      <c r="S26" s="225">
        <f t="shared" si="12"/>
        <v>39723455.20552108</v>
      </c>
      <c r="T26" s="225">
        <f t="shared" si="8"/>
        <v>67596556.63899842</v>
      </c>
      <c r="U26" s="30"/>
    </row>
    <row r="27" spans="1:21" ht="15">
      <c r="A27" s="1"/>
      <c r="B27" s="30"/>
      <c r="C27" s="18" t="s">
        <v>201</v>
      </c>
      <c r="D27" s="122" t="s">
        <v>304</v>
      </c>
      <c r="E27" s="1"/>
      <c r="F27" s="1"/>
      <c r="G27" s="225">
        <v>9989.614937642005</v>
      </c>
      <c r="H27" s="225">
        <v>14644.79583276974</v>
      </c>
      <c r="I27" s="225">
        <v>20388.139406585877</v>
      </c>
      <c r="J27" s="225">
        <f t="shared" si="7"/>
        <v>45022.550176997625</v>
      </c>
      <c r="K27" s="225"/>
      <c r="L27" s="183">
        <v>159.732</v>
      </c>
      <c r="M27" s="183">
        <v>124.252</v>
      </c>
      <c r="N27" s="265">
        <v>114.84</v>
      </c>
      <c r="O27" s="183">
        <f t="shared" si="9"/>
        <v>127.86215467257549</v>
      </c>
      <c r="P27" s="269"/>
      <c r="Q27" s="225">
        <f t="shared" si="10"/>
        <v>1595661.1732194328</v>
      </c>
      <c r="R27" s="225">
        <f t="shared" si="11"/>
        <v>1819645.1718133057</v>
      </c>
      <c r="S27" s="225">
        <f t="shared" si="12"/>
        <v>2341373.929452322</v>
      </c>
      <c r="T27" s="225">
        <f t="shared" si="8"/>
        <v>5756680.274485061</v>
      </c>
      <c r="U27" s="30"/>
    </row>
    <row r="28" spans="1:21" ht="15">
      <c r="A28" s="1"/>
      <c r="B28" s="30"/>
      <c r="C28" s="18" t="s">
        <v>238</v>
      </c>
      <c r="D28" s="122" t="s">
        <v>428</v>
      </c>
      <c r="E28" s="1"/>
      <c r="F28" s="1"/>
      <c r="G28" s="225">
        <v>3506.105148152772</v>
      </c>
      <c r="H28" s="225">
        <v>2991.962805001695</v>
      </c>
      <c r="I28" s="225">
        <v>5695.337046155482</v>
      </c>
      <c r="J28" s="225">
        <f t="shared" si="7"/>
        <v>12193.404999309949</v>
      </c>
      <c r="K28" s="225"/>
      <c r="L28" s="183">
        <v>48.55</v>
      </c>
      <c r="M28" s="183">
        <v>48.550000000000004</v>
      </c>
      <c r="N28" s="265">
        <v>48.55</v>
      </c>
      <c r="O28" s="183">
        <f t="shared" si="9"/>
        <v>48.550000000000004</v>
      </c>
      <c r="P28" s="269"/>
      <c r="Q28" s="225">
        <f t="shared" si="10"/>
        <v>170221.40494281708</v>
      </c>
      <c r="R28" s="225">
        <f t="shared" si="11"/>
        <v>145259.7941828323</v>
      </c>
      <c r="S28" s="225">
        <f t="shared" si="12"/>
        <v>276508.61359084863</v>
      </c>
      <c r="T28" s="225">
        <f t="shared" si="8"/>
        <v>591989.812716498</v>
      </c>
      <c r="U28" s="30"/>
    </row>
    <row r="29" spans="1:21" ht="15">
      <c r="A29" s="1"/>
      <c r="B29" s="30"/>
      <c r="C29" s="122" t="s">
        <v>197</v>
      </c>
      <c r="D29" s="114" t="s">
        <v>292</v>
      </c>
      <c r="E29" s="1"/>
      <c r="F29" s="1"/>
      <c r="G29" s="225">
        <v>20644.363654471883</v>
      </c>
      <c r="H29" s="225">
        <v>32433.40982316939</v>
      </c>
      <c r="I29" s="225">
        <v>6921.919549377193</v>
      </c>
      <c r="J29" s="225">
        <f t="shared" si="7"/>
        <v>59999.69302701846</v>
      </c>
      <c r="K29" s="225"/>
      <c r="L29" s="183">
        <v>111.34355725743856</v>
      </c>
      <c r="M29" s="183">
        <v>104.4330788124533</v>
      </c>
      <c r="N29" s="265">
        <v>106.84</v>
      </c>
      <c r="O29" s="183">
        <f t="shared" si="9"/>
        <v>107.08847481247635</v>
      </c>
      <c r="P29" s="269"/>
      <c r="Q29" s="225">
        <f t="shared" si="10"/>
        <v>2298616.8866050737</v>
      </c>
      <c r="R29" s="225">
        <f t="shared" si="11"/>
        <v>3387120.844219646</v>
      </c>
      <c r="S29" s="225">
        <f t="shared" si="12"/>
        <v>739537.8846554593</v>
      </c>
      <c r="T29" s="225">
        <f t="shared" si="8"/>
        <v>6425275.615480179</v>
      </c>
      <c r="U29" s="30"/>
    </row>
    <row r="30" spans="1:21" ht="15">
      <c r="A30" s="1"/>
      <c r="B30" s="30"/>
      <c r="C30" s="122" t="s">
        <v>488</v>
      </c>
      <c r="D30" s="114" t="s">
        <v>220</v>
      </c>
      <c r="E30" s="1"/>
      <c r="F30" s="1"/>
      <c r="G30" s="225">
        <v>755.5197750893531</v>
      </c>
      <c r="H30" s="225">
        <v>2003.124635825283</v>
      </c>
      <c r="I30" s="225">
        <v>7721.871952679559</v>
      </c>
      <c r="J30" s="225">
        <f t="shared" si="7"/>
        <v>10480.516363594195</v>
      </c>
      <c r="K30" s="225"/>
      <c r="L30" s="183">
        <v>112.82318494448573</v>
      </c>
      <c r="M30" s="183">
        <v>104.1336143104833</v>
      </c>
      <c r="N30" s="265">
        <v>106.84</v>
      </c>
      <c r="O30" s="183">
        <f t="shared" si="9"/>
        <v>106.75404876688432</v>
      </c>
      <c r="P30" s="269"/>
      <c r="Q30" s="225">
        <f t="shared" si="10"/>
        <v>85240.14731412234</v>
      </c>
      <c r="R30" s="225">
        <f t="shared" si="11"/>
        <v>208592.60824285733</v>
      </c>
      <c r="S30" s="225">
        <f t="shared" si="12"/>
        <v>825004.7994242841</v>
      </c>
      <c r="T30" s="225">
        <f t="shared" si="8"/>
        <v>1118837.5549812638</v>
      </c>
      <c r="U30" s="30"/>
    </row>
    <row r="31" spans="1:21" ht="15">
      <c r="A31" s="1"/>
      <c r="B31" s="30"/>
      <c r="C31" s="18" t="s">
        <v>324</v>
      </c>
      <c r="D31" s="122" t="s">
        <v>306</v>
      </c>
      <c r="E31" s="1"/>
      <c r="F31" s="1"/>
      <c r="G31" s="225">
        <v>32911.338985626855</v>
      </c>
      <c r="H31" s="225">
        <v>6948.38763919594</v>
      </c>
      <c r="I31" s="225">
        <v>0</v>
      </c>
      <c r="J31" s="225">
        <f t="shared" si="7"/>
        <v>39859.7266248228</v>
      </c>
      <c r="K31" s="225"/>
      <c r="L31" s="183">
        <v>55.625</v>
      </c>
      <c r="M31" s="183">
        <v>52.01</v>
      </c>
      <c r="N31" s="183"/>
      <c r="O31" s="183">
        <f t="shared" si="9"/>
        <v>54.994829563756944</v>
      </c>
      <c r="P31" s="269"/>
      <c r="Q31" s="225">
        <f t="shared" si="10"/>
        <v>1830693.2310754939</v>
      </c>
      <c r="R31" s="225">
        <f t="shared" si="11"/>
        <v>361385.64111458085</v>
      </c>
      <c r="S31" s="225">
        <f t="shared" si="12"/>
        <v>0</v>
      </c>
      <c r="T31" s="225">
        <f t="shared" si="8"/>
        <v>2192078.8721900745</v>
      </c>
      <c r="U31" s="30"/>
    </row>
    <row r="32" spans="1:21" ht="15">
      <c r="A32" s="1"/>
      <c r="B32" s="30"/>
      <c r="C32" s="114" t="s">
        <v>347</v>
      </c>
      <c r="D32" s="114" t="s">
        <v>271</v>
      </c>
      <c r="E32" s="1"/>
      <c r="F32" s="1"/>
      <c r="H32" s="225"/>
      <c r="I32" s="225">
        <v>10810</v>
      </c>
      <c r="J32" s="225">
        <f t="shared" si="7"/>
        <v>10810</v>
      </c>
      <c r="K32" s="225"/>
      <c r="L32" s="183"/>
      <c r="M32" s="183"/>
      <c r="N32" s="183">
        <v>153.28962840000003</v>
      </c>
      <c r="O32" s="183">
        <f t="shared" si="9"/>
        <v>153.28962840000003</v>
      </c>
      <c r="P32" s="269"/>
      <c r="R32" s="225"/>
      <c r="S32" s="225">
        <f>I32*N32</f>
        <v>1657060.8830040002</v>
      </c>
      <c r="T32" s="225">
        <f t="shared" si="8"/>
        <v>1657060.8830040002</v>
      </c>
      <c r="U32" s="30"/>
    </row>
    <row r="33" spans="1:21" ht="15">
      <c r="A33" s="1"/>
      <c r="B33" s="30" t="s">
        <v>387</v>
      </c>
      <c r="C33" s="114" t="s">
        <v>272</v>
      </c>
      <c r="D33" s="114" t="s">
        <v>344</v>
      </c>
      <c r="E33" s="1"/>
      <c r="F33" s="1"/>
      <c r="G33" s="1"/>
      <c r="H33" s="1"/>
      <c r="I33" s="225">
        <v>690</v>
      </c>
      <c r="J33" s="225">
        <f t="shared" si="7"/>
        <v>690</v>
      </c>
      <c r="K33" s="225"/>
      <c r="L33" s="183"/>
      <c r="M33" s="183"/>
      <c r="N33" s="183">
        <v>153.28962840000003</v>
      </c>
      <c r="O33" s="183">
        <f t="shared" si="9"/>
        <v>153.28962840000003</v>
      </c>
      <c r="P33" s="269"/>
      <c r="Q33" s="1"/>
      <c r="R33" s="1"/>
      <c r="S33" s="225">
        <f>I33*N33</f>
        <v>105769.84359600002</v>
      </c>
      <c r="T33" s="225">
        <f t="shared" si="8"/>
        <v>105769.84359600002</v>
      </c>
      <c r="U33" s="30" t="s">
        <v>387</v>
      </c>
    </row>
    <row r="34" spans="1:21" ht="15">
      <c r="A34" s="1"/>
      <c r="B34" s="31" t="s">
        <v>541</v>
      </c>
      <c r="C34" s="18" t="s">
        <v>345</v>
      </c>
      <c r="D34" s="122" t="s">
        <v>100</v>
      </c>
      <c r="E34" s="1"/>
      <c r="F34" s="1"/>
      <c r="G34" s="225">
        <v>2230.9414443258765</v>
      </c>
      <c r="H34" s="275">
        <v>16242.581609038461</v>
      </c>
      <c r="I34" s="275">
        <v>228698.23062868664</v>
      </c>
      <c r="J34" s="225">
        <f t="shared" si="7"/>
        <v>247171.75368205097</v>
      </c>
      <c r="K34" s="225"/>
      <c r="L34" s="183">
        <v>59.049078565500004</v>
      </c>
      <c r="M34" s="183">
        <v>48.07188</v>
      </c>
      <c r="N34" s="183">
        <v>45.54</v>
      </c>
      <c r="O34" s="183">
        <f t="shared" si="9"/>
        <v>45.82831057638725</v>
      </c>
      <c r="P34" s="269"/>
      <c r="Q34" s="225">
        <f>L34*G34</f>
        <v>131735.03662102873</v>
      </c>
      <c r="R34" s="225">
        <f>M34*H34</f>
        <v>780811.4339999038</v>
      </c>
      <c r="S34" s="225">
        <f>N34*I34</f>
        <v>10414917.42283039</v>
      </c>
      <c r="T34" s="225">
        <f t="shared" si="8"/>
        <v>11327463.893451322</v>
      </c>
      <c r="U34" s="31" t="s">
        <v>541</v>
      </c>
    </row>
    <row r="35" spans="1:21" ht="15.75" thickBot="1">
      <c r="A35" s="1"/>
      <c r="B35" s="48"/>
      <c r="C35" s="18"/>
      <c r="D35" s="122"/>
      <c r="E35" s="1"/>
      <c r="F35" s="1"/>
      <c r="G35" s="225"/>
      <c r="H35" s="225"/>
      <c r="I35" s="225"/>
      <c r="J35" s="225"/>
      <c r="K35" s="225"/>
      <c r="L35" s="263"/>
      <c r="M35" s="263"/>
      <c r="N35" s="263"/>
      <c r="O35" s="183"/>
      <c r="P35" s="225"/>
      <c r="Q35" s="225"/>
      <c r="R35" s="225"/>
      <c r="S35" s="225"/>
      <c r="T35" s="225"/>
      <c r="U35" s="48"/>
    </row>
    <row r="36" spans="1:24" ht="15">
      <c r="A36" s="1">
        <v>49</v>
      </c>
      <c r="B36" s="32" t="s">
        <v>381</v>
      </c>
      <c r="C36" s="17" t="s">
        <v>381</v>
      </c>
      <c r="D36" s="17" t="s">
        <v>206</v>
      </c>
      <c r="E36" s="1"/>
      <c r="F36" s="1"/>
      <c r="G36" s="35">
        <f>SUM(G37:G49)</f>
        <v>188229.89984442003</v>
      </c>
      <c r="H36" s="35">
        <f>SUM(H37:H49)</f>
        <v>175654.96181896442</v>
      </c>
      <c r="I36" s="35">
        <f>SUM(I37:I49)</f>
        <v>436136.4035783344</v>
      </c>
      <c r="J36" s="200">
        <f>G36+H36+I36</f>
        <v>800021.2652417189</v>
      </c>
      <c r="K36" s="264"/>
      <c r="L36" s="263">
        <f aca="true" t="shared" si="13" ref="L36:L45">Q36/G36</f>
        <v>165.88141613463569</v>
      </c>
      <c r="M36" s="263">
        <f aca="true" t="shared" si="14" ref="M36:M45">R36/H36</f>
        <v>170.275769204695</v>
      </c>
      <c r="N36" s="263">
        <f aca="true" t="shared" si="15" ref="N36:N45">S36/I36</f>
        <v>171.9260564831511</v>
      </c>
      <c r="O36" s="263">
        <f aca="true" t="shared" si="16" ref="O36:O45">T36/J36</f>
        <v>170.14152492341464</v>
      </c>
      <c r="P36" s="264"/>
      <c r="Q36" s="225">
        <f>SUM(Q37:Q49)</f>
        <v>31223842.345073033</v>
      </c>
      <c r="R36" s="225">
        <f>SUM(R37:R49)</f>
        <v>29909783.738345496</v>
      </c>
      <c r="S36" s="225">
        <f>SUM(S37:S49)</f>
        <v>74983211.9559671</v>
      </c>
      <c r="T36" s="261">
        <f>SUM(T37:T49)</f>
        <v>136116838.03938562</v>
      </c>
      <c r="U36" s="32" t="s">
        <v>381</v>
      </c>
      <c r="X36" s="1"/>
    </row>
    <row r="37" spans="1:24" ht="15">
      <c r="A37" s="1">
        <v>50</v>
      </c>
      <c r="B37" s="33" t="s">
        <v>261</v>
      </c>
      <c r="C37" s="18" t="s">
        <v>356</v>
      </c>
      <c r="D37" s="4" t="s">
        <v>205</v>
      </c>
      <c r="E37" s="1"/>
      <c r="F37" s="1"/>
      <c r="G37" s="35">
        <f aca="true" t="shared" si="17" ref="G37:I46">G9+G22</f>
        <v>609.2941456432111</v>
      </c>
      <c r="H37" s="225">
        <f t="shared" si="17"/>
        <v>1771.327152458683</v>
      </c>
      <c r="I37" s="225">
        <f t="shared" si="17"/>
        <v>7705.593799020677</v>
      </c>
      <c r="J37" s="225">
        <f>G37+H37+I37</f>
        <v>10086.215097122571</v>
      </c>
      <c r="K37" s="42"/>
      <c r="L37" s="263">
        <f t="shared" si="13"/>
        <v>1179.1609897178446</v>
      </c>
      <c r="M37" s="263">
        <f t="shared" si="14"/>
        <v>1519.3602302035424</v>
      </c>
      <c r="N37" s="263">
        <f t="shared" si="15"/>
        <v>1837.747390606497</v>
      </c>
      <c r="O37" s="263">
        <f t="shared" si="16"/>
        <v>1742.0483943642864</v>
      </c>
      <c r="P37" s="42"/>
      <c r="Q37" s="225">
        <f aca="true" t="shared" si="18" ref="Q37:S46">Q9+Q22</f>
        <v>718455.8878059373</v>
      </c>
      <c r="R37" s="225">
        <f t="shared" si="18"/>
        <v>2691284.03012541</v>
      </c>
      <c r="S37" s="225">
        <f t="shared" si="18"/>
        <v>14160934.897223853</v>
      </c>
      <c r="T37" s="262">
        <f>Q37+R37+S37</f>
        <v>17570674.8151552</v>
      </c>
      <c r="U37" s="33" t="s">
        <v>261</v>
      </c>
      <c r="X37" s="1"/>
    </row>
    <row r="38" spans="1:24" ht="15">
      <c r="A38" s="1">
        <v>51</v>
      </c>
      <c r="B38" s="33" t="s">
        <v>262</v>
      </c>
      <c r="C38" s="18" t="s">
        <v>532</v>
      </c>
      <c r="D38" s="4" t="s">
        <v>525</v>
      </c>
      <c r="E38" s="1"/>
      <c r="F38" s="1"/>
      <c r="G38" s="225">
        <f t="shared" si="17"/>
        <v>4884.250162088512</v>
      </c>
      <c r="H38" s="225">
        <f t="shared" si="17"/>
        <v>11233.625966639887</v>
      </c>
      <c r="I38" s="225">
        <f t="shared" si="17"/>
        <v>5143.941323394101</v>
      </c>
      <c r="J38" s="225">
        <f aca="true" t="shared" si="19" ref="J38:J49">G38+H38+I38</f>
        <v>21261.8174521225</v>
      </c>
      <c r="K38" s="42"/>
      <c r="L38" s="263">
        <f t="shared" si="13"/>
        <v>241.45737865533343</v>
      </c>
      <c r="M38" s="263">
        <f t="shared" si="14"/>
        <v>388.9142535808881</v>
      </c>
      <c r="N38" s="263">
        <f t="shared" si="15"/>
        <v>325.36621759931717</v>
      </c>
      <c r="O38" s="263">
        <f t="shared" si="16"/>
        <v>339.66617608609175</v>
      </c>
      <c r="P38" s="42"/>
      <c r="Q38" s="225">
        <f t="shared" si="18"/>
        <v>1179338.2408347796</v>
      </c>
      <c r="R38" s="225">
        <f t="shared" si="18"/>
        <v>4368917.257822635</v>
      </c>
      <c r="S38" s="225">
        <f t="shared" si="18"/>
        <v>1673664.7319455647</v>
      </c>
      <c r="T38" s="262">
        <f aca="true" t="shared" si="20" ref="T38:T49">Q38+R38+S38</f>
        <v>7221920.23060298</v>
      </c>
      <c r="U38" s="33" t="s">
        <v>262</v>
      </c>
      <c r="X38" s="1"/>
    </row>
    <row r="39" spans="1:24" ht="15">
      <c r="A39" s="1">
        <v>52</v>
      </c>
      <c r="B39" s="33" t="s">
        <v>263</v>
      </c>
      <c r="C39" s="18" t="s">
        <v>154</v>
      </c>
      <c r="D39" s="122" t="s">
        <v>247</v>
      </c>
      <c r="E39" s="1"/>
      <c r="F39" s="1"/>
      <c r="G39" s="225">
        <f t="shared" si="17"/>
        <v>11195.601615662948</v>
      </c>
      <c r="H39" s="225">
        <f t="shared" si="17"/>
        <v>24428.22521752892</v>
      </c>
      <c r="I39" s="225">
        <f t="shared" si="17"/>
        <v>6476.768442992049</v>
      </c>
      <c r="J39" s="225">
        <f t="shared" si="19"/>
        <v>42100.595276183914</v>
      </c>
      <c r="K39" s="42"/>
      <c r="L39" s="263">
        <f t="shared" si="13"/>
        <v>188.16728115345003</v>
      </c>
      <c r="M39" s="263">
        <f t="shared" si="14"/>
        <v>149.96634156586057</v>
      </c>
      <c r="N39" s="263">
        <f t="shared" si="15"/>
        <v>189.18334896443926</v>
      </c>
      <c r="O39" s="263">
        <f t="shared" si="16"/>
        <v>166.15808356956532</v>
      </c>
      <c r="P39" s="42"/>
      <c r="Q39" s="225">
        <f t="shared" si="18"/>
        <v>2106645.9168964694</v>
      </c>
      <c r="R39" s="225">
        <f t="shared" si="18"/>
        <v>3663411.5668197107</v>
      </c>
      <c r="S39" s="225">
        <f t="shared" si="18"/>
        <v>1225296.7445124327</v>
      </c>
      <c r="T39" s="262">
        <f t="shared" si="20"/>
        <v>6995354.228228614</v>
      </c>
      <c r="U39" s="33" t="s">
        <v>263</v>
      </c>
      <c r="X39" s="1"/>
    </row>
    <row r="40" spans="1:24" ht="15">
      <c r="A40" s="1">
        <v>53</v>
      </c>
      <c r="B40" s="33"/>
      <c r="C40" s="18" t="s">
        <v>432</v>
      </c>
      <c r="D40" s="17" t="s">
        <v>317</v>
      </c>
      <c r="E40" s="1"/>
      <c r="F40" s="1"/>
      <c r="G40" s="225">
        <f t="shared" si="17"/>
        <v>6321.718258189553</v>
      </c>
      <c r="H40" s="225">
        <f t="shared" si="17"/>
        <v>14197.169401200013</v>
      </c>
      <c r="I40" s="225">
        <f t="shared" si="17"/>
        <v>4011.0727851177107</v>
      </c>
      <c r="J40" s="225">
        <f t="shared" si="19"/>
        <v>24529.960444507276</v>
      </c>
      <c r="K40" s="42"/>
      <c r="L40" s="263">
        <f t="shared" si="13"/>
        <v>240.12381448671186</v>
      </c>
      <c r="M40" s="263">
        <f t="shared" si="14"/>
        <v>216.4901611370436</v>
      </c>
      <c r="N40" s="263">
        <f t="shared" si="15"/>
        <v>254.84415779238066</v>
      </c>
      <c r="O40" s="263">
        <f t="shared" si="16"/>
        <v>228.85243015737302</v>
      </c>
      <c r="P40" s="42"/>
      <c r="Q40" s="225">
        <f t="shared" si="18"/>
        <v>1517995.1022667675</v>
      </c>
      <c r="R40" s="225">
        <f t="shared" si="18"/>
        <v>3073547.4913556958</v>
      </c>
      <c r="S40" s="225">
        <f t="shared" si="18"/>
        <v>1022198.4657672616</v>
      </c>
      <c r="T40" s="262">
        <f t="shared" si="20"/>
        <v>5613741.059389724</v>
      </c>
      <c r="U40" s="33"/>
      <c r="X40" s="1"/>
    </row>
    <row r="41" spans="1:24" ht="15">
      <c r="A41" s="1">
        <v>54</v>
      </c>
      <c r="B41" s="33"/>
      <c r="C41" s="18" t="s">
        <v>433</v>
      </c>
      <c r="D41" s="122" t="s">
        <v>563</v>
      </c>
      <c r="E41" s="1"/>
      <c r="F41" s="1"/>
      <c r="G41" s="225">
        <f t="shared" si="17"/>
        <v>93273.47744497616</v>
      </c>
      <c r="H41" s="225">
        <f t="shared" si="17"/>
        <v>41619.39691112248</v>
      </c>
      <c r="I41" s="225">
        <f t="shared" si="17"/>
        <v>128626.97929714639</v>
      </c>
      <c r="J41" s="225">
        <f t="shared" si="19"/>
        <v>263519.853653245</v>
      </c>
      <c r="K41" s="42"/>
      <c r="L41" s="263">
        <f t="shared" si="13"/>
        <v>208.16864953743877</v>
      </c>
      <c r="M41" s="263">
        <f t="shared" si="14"/>
        <v>204.88916202343208</v>
      </c>
      <c r="N41" s="263">
        <f t="shared" si="15"/>
        <v>311.2489168428624</v>
      </c>
      <c r="O41" s="263">
        <f t="shared" si="16"/>
        <v>257.965326843566</v>
      </c>
      <c r="P41" s="42"/>
      <c r="Q41" s="225">
        <f t="shared" si="18"/>
        <v>19416613.83738144</v>
      </c>
      <c r="R41" s="225">
        <f t="shared" si="18"/>
        <v>8527363.357040502</v>
      </c>
      <c r="S41" s="225">
        <f t="shared" si="18"/>
        <v>40035007.9830061</v>
      </c>
      <c r="T41" s="262">
        <f t="shared" si="20"/>
        <v>67978985.17742804</v>
      </c>
      <c r="U41" s="33"/>
      <c r="V41" s="1" t="s">
        <v>476</v>
      </c>
      <c r="X41" s="1"/>
    </row>
    <row r="42" spans="1:24" ht="15">
      <c r="A42" s="1">
        <v>55</v>
      </c>
      <c r="B42" s="33"/>
      <c r="C42" s="18" t="s">
        <v>201</v>
      </c>
      <c r="D42" s="17" t="s">
        <v>304</v>
      </c>
      <c r="E42" s="1"/>
      <c r="F42" s="1"/>
      <c r="G42" s="225">
        <f t="shared" si="17"/>
        <v>10701.342951402617</v>
      </c>
      <c r="H42" s="225">
        <f t="shared" si="17"/>
        <v>16544.368577257464</v>
      </c>
      <c r="I42" s="225">
        <f t="shared" si="17"/>
        <v>22231.36146770414</v>
      </c>
      <c r="J42" s="225">
        <f t="shared" si="19"/>
        <v>49477.07299636422</v>
      </c>
      <c r="K42" s="42"/>
      <c r="L42" s="263">
        <f t="shared" si="13"/>
        <v>157.44635712481747</v>
      </c>
      <c r="M42" s="263">
        <f t="shared" si="14"/>
        <v>128.03062344695502</v>
      </c>
      <c r="N42" s="263">
        <f t="shared" si="15"/>
        <v>120.215942387358</v>
      </c>
      <c r="O42" s="263">
        <f t="shared" si="16"/>
        <v>130.88157735996384</v>
      </c>
      <c r="P42" s="42"/>
      <c r="Q42" s="225">
        <f t="shared" si="18"/>
        <v>1684887.4640416848</v>
      </c>
      <c r="R42" s="225">
        <f t="shared" si="18"/>
        <v>2118185.8234824855</v>
      </c>
      <c r="S42" s="225">
        <f t="shared" si="18"/>
        <v>2672564.0693940516</v>
      </c>
      <c r="T42" s="262">
        <f t="shared" si="20"/>
        <v>6475637.356918221</v>
      </c>
      <c r="U42" s="33"/>
      <c r="X42" s="1"/>
    </row>
    <row r="43" spans="1:24" ht="15">
      <c r="A43" s="1">
        <v>56</v>
      </c>
      <c r="B43" s="33"/>
      <c r="C43" s="18" t="s">
        <v>238</v>
      </c>
      <c r="D43" s="17" t="s">
        <v>428</v>
      </c>
      <c r="E43" s="1"/>
      <c r="F43" s="1"/>
      <c r="G43" s="225">
        <f t="shared" si="17"/>
        <v>3827.021137690703</v>
      </c>
      <c r="H43" s="225">
        <f t="shared" si="17"/>
        <v>3653.2543942047923</v>
      </c>
      <c r="I43" s="225">
        <f t="shared" si="17"/>
        <v>6341.772905037032</v>
      </c>
      <c r="J43" s="225">
        <f t="shared" si="19"/>
        <v>13822.048436932528</v>
      </c>
      <c r="K43" s="42"/>
      <c r="L43" s="263">
        <f t="shared" si="13"/>
        <v>49.08835099904275</v>
      </c>
      <c r="M43" s="263">
        <f t="shared" si="14"/>
        <v>50.61175381954555</v>
      </c>
      <c r="N43" s="263">
        <f t="shared" si="15"/>
        <v>49.71101672874675</v>
      </c>
      <c r="O43" s="263">
        <f t="shared" si="16"/>
        <v>49.77668476846117</v>
      </c>
      <c r="P43" s="42"/>
      <c r="Q43" s="225">
        <f t="shared" si="18"/>
        <v>187862.15688771717</v>
      </c>
      <c r="R43" s="225">
        <f t="shared" si="18"/>
        <v>184897.61203966595</v>
      </c>
      <c r="S43" s="225">
        <f t="shared" si="18"/>
        <v>315255.97897220874</v>
      </c>
      <c r="T43" s="262">
        <f t="shared" si="20"/>
        <v>688015.7478995919</v>
      </c>
      <c r="U43" s="33"/>
      <c r="X43" s="1"/>
    </row>
    <row r="44" spans="1:24" ht="15">
      <c r="A44" s="1">
        <v>57</v>
      </c>
      <c r="B44" s="33"/>
      <c r="C44" s="17" t="s">
        <v>197</v>
      </c>
      <c r="D44" s="114" t="s">
        <v>292</v>
      </c>
      <c r="E44" s="1"/>
      <c r="F44" s="1"/>
      <c r="G44" s="225">
        <f t="shared" si="17"/>
        <v>20749.316337441036</v>
      </c>
      <c r="H44" s="225">
        <f t="shared" si="17"/>
        <v>33573.28524449433</v>
      </c>
      <c r="I44" s="225">
        <f t="shared" si="17"/>
        <v>7485.562101531659</v>
      </c>
      <c r="J44" s="225">
        <f t="shared" si="19"/>
        <v>61808.16368346702</v>
      </c>
      <c r="K44" s="42"/>
      <c r="L44" s="263">
        <f t="shared" si="13"/>
        <v>111.41448311240164</v>
      </c>
      <c r="M44" s="263">
        <f t="shared" si="14"/>
        <v>106.22332366984392</v>
      </c>
      <c r="N44" s="263">
        <f t="shared" si="15"/>
        <v>112.32465471825164</v>
      </c>
      <c r="O44" s="263">
        <f t="shared" si="16"/>
        <v>108.70495219196118</v>
      </c>
      <c r="P44" s="42"/>
      <c r="Q44" s="225">
        <f t="shared" si="18"/>
        <v>2311774.3546717037</v>
      </c>
      <c r="R44" s="225">
        <f t="shared" si="18"/>
        <v>3566265.945185916</v>
      </c>
      <c r="S44" s="225">
        <f t="shared" si="18"/>
        <v>840813.1784265738</v>
      </c>
      <c r="T44" s="262">
        <f t="shared" si="20"/>
        <v>6718853.478284194</v>
      </c>
      <c r="U44" s="33"/>
      <c r="X44" s="1"/>
    </row>
    <row r="45" spans="1:24" ht="15">
      <c r="A45" s="1">
        <v>58</v>
      </c>
      <c r="B45" s="33"/>
      <c r="C45" s="17" t="s">
        <v>488</v>
      </c>
      <c r="D45" s="114" t="s">
        <v>220</v>
      </c>
      <c r="E45" s="1"/>
      <c r="F45" s="1"/>
      <c r="G45" s="225">
        <f t="shared" si="17"/>
        <v>824.6025537525921</v>
      </c>
      <c r="H45" s="225">
        <f t="shared" si="17"/>
        <v>2233.6878844331063</v>
      </c>
      <c r="I45" s="225">
        <f t="shared" si="17"/>
        <v>7915.120827703948</v>
      </c>
      <c r="J45" s="225">
        <f t="shared" si="19"/>
        <v>10973.411265889647</v>
      </c>
      <c r="K45" s="42"/>
      <c r="L45" s="263">
        <f t="shared" si="13"/>
        <v>113.873961193497</v>
      </c>
      <c r="M45" s="263">
        <f t="shared" si="14"/>
        <v>109.60725141001323</v>
      </c>
      <c r="N45" s="263">
        <f t="shared" si="15"/>
        <v>108.61839964331406</v>
      </c>
      <c r="O45" s="263">
        <f t="shared" si="16"/>
        <v>109.21461676558653</v>
      </c>
      <c r="P45" s="42"/>
      <c r="Q45" s="225">
        <f t="shared" si="18"/>
        <v>93900.7592060812</v>
      </c>
      <c r="R45" s="225">
        <f t="shared" si="18"/>
        <v>244828.38952056007</v>
      </c>
      <c r="S45" s="225">
        <f t="shared" si="18"/>
        <v>859727.7572886662</v>
      </c>
      <c r="T45" s="262">
        <f t="shared" si="20"/>
        <v>1198456.9060153074</v>
      </c>
      <c r="U45" s="33"/>
      <c r="X45" s="1"/>
    </row>
    <row r="46" spans="1:24" ht="15">
      <c r="A46" s="1">
        <v>59</v>
      </c>
      <c r="B46" s="33" t="s">
        <v>381</v>
      </c>
      <c r="C46" s="18" t="s">
        <v>324</v>
      </c>
      <c r="D46" s="17" t="s">
        <v>306</v>
      </c>
      <c r="E46" s="1"/>
      <c r="F46" s="1"/>
      <c r="G46" s="225">
        <f t="shared" si="17"/>
        <v>33612.3337932468</v>
      </c>
      <c r="H46" s="225">
        <f t="shared" si="17"/>
        <v>7620.984460586271</v>
      </c>
      <c r="I46" s="225">
        <f t="shared" si="17"/>
        <v>0</v>
      </c>
      <c r="J46" s="225">
        <f t="shared" si="19"/>
        <v>41233.31825383307</v>
      </c>
      <c r="K46" s="42"/>
      <c r="L46" s="263">
        <f>Q46/G46</f>
        <v>55.77219362364122</v>
      </c>
      <c r="M46" s="263">
        <f>R46/H46</f>
        <v>54.35504744545663</v>
      </c>
      <c r="N46" s="263"/>
      <c r="O46" s="263">
        <f>T46/J46</f>
        <v>55.510268329735965</v>
      </c>
      <c r="P46" s="42"/>
      <c r="Q46" s="225">
        <f t="shared" si="18"/>
        <v>1874633.5884594196</v>
      </c>
      <c r="R46" s="225">
        <f t="shared" si="18"/>
        <v>414238.9719362544</v>
      </c>
      <c r="S46" s="225">
        <f t="shared" si="18"/>
        <v>0</v>
      </c>
      <c r="T46" s="262">
        <f t="shared" si="20"/>
        <v>2288872.560395674</v>
      </c>
      <c r="U46" s="33" t="s">
        <v>118</v>
      </c>
      <c r="X46" s="1"/>
    </row>
    <row r="47" spans="1:24" ht="15">
      <c r="A47" s="1">
        <v>60</v>
      </c>
      <c r="B47" s="33" t="s">
        <v>261</v>
      </c>
      <c r="C47" s="4" t="s">
        <v>347</v>
      </c>
      <c r="D47" s="4" t="s">
        <v>271</v>
      </c>
      <c r="E47" s="1"/>
      <c r="F47" s="1"/>
      <c r="G47" s="225"/>
      <c r="H47" s="225"/>
      <c r="I47" s="225">
        <f>I32</f>
        <v>10810</v>
      </c>
      <c r="J47" s="225">
        <f t="shared" si="19"/>
        <v>10810</v>
      </c>
      <c r="K47" s="42"/>
      <c r="L47" s="263"/>
      <c r="M47" s="263"/>
      <c r="N47" s="263">
        <v>153.28962840000003</v>
      </c>
      <c r="O47" s="263">
        <f>T47/J47</f>
        <v>153.28962840000003</v>
      </c>
      <c r="P47" s="42"/>
      <c r="Q47" s="178"/>
      <c r="R47" s="178"/>
      <c r="S47" s="178">
        <f>I47*N47</f>
        <v>1657060.8830040002</v>
      </c>
      <c r="T47" s="225">
        <f>S47</f>
        <v>1657060.8830040002</v>
      </c>
      <c r="U47" s="33" t="s">
        <v>173</v>
      </c>
      <c r="X47" s="1"/>
    </row>
    <row r="48" spans="1:24" ht="15">
      <c r="A48" s="1">
        <v>61</v>
      </c>
      <c r="B48" s="33" t="s">
        <v>262</v>
      </c>
      <c r="C48" s="4" t="s">
        <v>272</v>
      </c>
      <c r="D48" s="4" t="s">
        <v>344</v>
      </c>
      <c r="E48" s="1"/>
      <c r="F48" s="1"/>
      <c r="G48" s="225"/>
      <c r="H48" s="225"/>
      <c r="I48" s="225">
        <f>I33</f>
        <v>690</v>
      </c>
      <c r="J48" s="225">
        <f t="shared" si="19"/>
        <v>690</v>
      </c>
      <c r="K48" s="42"/>
      <c r="L48" s="263"/>
      <c r="M48" s="263"/>
      <c r="N48" s="263">
        <v>153.28962840000003</v>
      </c>
      <c r="O48" s="263">
        <f>T48/J48</f>
        <v>153.28962840000003</v>
      </c>
      <c r="P48" s="42"/>
      <c r="Q48" s="178"/>
      <c r="R48" s="178"/>
      <c r="S48" s="225">
        <f>I48*N48</f>
        <v>105769.84359600002</v>
      </c>
      <c r="T48" s="225">
        <f>S48</f>
        <v>105769.84359600002</v>
      </c>
      <c r="U48" s="33" t="s">
        <v>174</v>
      </c>
      <c r="X48" s="1"/>
    </row>
    <row r="49" spans="1:24" ht="15.75" thickBot="1">
      <c r="A49" s="1">
        <v>62</v>
      </c>
      <c r="B49" s="34" t="s">
        <v>263</v>
      </c>
      <c r="C49" s="18" t="s">
        <v>345</v>
      </c>
      <c r="D49" s="122" t="s">
        <v>100</v>
      </c>
      <c r="G49" s="225">
        <f>G19+G34</f>
        <v>2230.9414443258765</v>
      </c>
      <c r="H49" s="275">
        <f>H19+H34</f>
        <v>18779.63660903846</v>
      </c>
      <c r="I49" s="275">
        <f>I34</f>
        <v>228698.23062868664</v>
      </c>
      <c r="J49" s="225">
        <f t="shared" si="19"/>
        <v>249708.80868205096</v>
      </c>
      <c r="K49" s="43"/>
      <c r="L49" s="263">
        <f>Q49/G49</f>
        <v>59.049078565500004</v>
      </c>
      <c r="M49" s="263">
        <f>R49/H49</f>
        <v>56.27602466535573</v>
      </c>
      <c r="N49" s="263">
        <f>S49/I49</f>
        <v>45.54</v>
      </c>
      <c r="O49" s="263">
        <f>T49/J49</f>
        <v>46.46810744767348</v>
      </c>
      <c r="P49" s="43"/>
      <c r="Q49" s="178">
        <f>Q19+Q34</f>
        <v>131735.03662102873</v>
      </c>
      <c r="R49" s="225">
        <f>R19+R34</f>
        <v>1056843.2930166658</v>
      </c>
      <c r="S49" s="225">
        <f>S19+S34</f>
        <v>10414917.42283039</v>
      </c>
      <c r="T49" s="262">
        <f t="shared" si="20"/>
        <v>11603495.752468085</v>
      </c>
      <c r="U49" s="34" t="s">
        <v>175</v>
      </c>
      <c r="X49" s="1"/>
    </row>
    <row r="50" spans="1:21" ht="15">
      <c r="A50" s="1"/>
      <c r="B50" s="1"/>
      <c r="C50" s="1"/>
      <c r="D50" s="1"/>
      <c r="E50" s="1"/>
      <c r="F50" s="20" t="s">
        <v>595</v>
      </c>
      <c r="G50" s="225">
        <f>G36-SUM(G47:G49)</f>
        <v>185998.95840009415</v>
      </c>
      <c r="H50" s="225">
        <f>H36-SUM(H47:H49)</f>
        <v>156875.32520992597</v>
      </c>
      <c r="I50" s="225">
        <f>I36-SUM(I47:I49)</f>
        <v>195938.17294964773</v>
      </c>
      <c r="J50" s="225">
        <f>J36-SUM(J47:J49)</f>
        <v>538812.4565596678</v>
      </c>
      <c r="K50" s="35"/>
      <c r="L50" s="49"/>
      <c r="M50" s="49"/>
      <c r="N50" s="49"/>
      <c r="O50" s="180"/>
      <c r="P50" s="1"/>
      <c r="Q50" s="178"/>
      <c r="R50" s="178"/>
      <c r="S50" s="178"/>
      <c r="T50" s="178"/>
      <c r="U50" s="1"/>
    </row>
    <row r="51" spans="1:21" ht="15">
      <c r="A51" s="1"/>
      <c r="G51" s="35"/>
      <c r="H51" s="275" t="s">
        <v>572</v>
      </c>
      <c r="I51" s="178"/>
      <c r="J51" s="178"/>
      <c r="K51" s="178"/>
      <c r="L51" s="178"/>
      <c r="M51" s="178"/>
      <c r="N51" s="178"/>
      <c r="O51" s="256"/>
      <c r="P51" s="1"/>
      <c r="Q51" s="225">
        <f>Q36-Q49</f>
        <v>31092107.308452003</v>
      </c>
      <c r="R51" s="225">
        <f>R36-R49</f>
        <v>28852940.44532883</v>
      </c>
      <c r="S51" s="225">
        <f>S36-S49</f>
        <v>64568294.53313671</v>
      </c>
      <c r="T51" s="225">
        <f>T36-T49</f>
        <v>124513342.28691754</v>
      </c>
      <c r="U51" s="1" t="s">
        <v>574</v>
      </c>
    </row>
    <row r="52" spans="8:21" ht="15">
      <c r="H52" s="275" t="s">
        <v>573</v>
      </c>
      <c r="I52" s="59"/>
      <c r="J52" s="59"/>
      <c r="K52" s="59"/>
      <c r="L52" s="59"/>
      <c r="M52" s="59"/>
      <c r="N52" s="59"/>
      <c r="O52" s="256"/>
      <c r="P52" s="1"/>
      <c r="Q52" s="225"/>
      <c r="R52" s="225"/>
      <c r="S52" s="225"/>
      <c r="T52" s="225"/>
      <c r="U52" s="1"/>
    </row>
    <row r="53" spans="1:21" ht="15">
      <c r="A53" s="16" t="s">
        <v>451</v>
      </c>
      <c r="H53" s="59"/>
      <c r="I53" s="59"/>
      <c r="J53" s="59"/>
      <c r="K53" s="59"/>
      <c r="L53" s="59"/>
      <c r="M53" s="59"/>
      <c r="N53" s="59"/>
      <c r="O53" s="256"/>
      <c r="P53" s="1"/>
      <c r="Q53" s="225"/>
      <c r="R53" s="225"/>
      <c r="S53" s="225"/>
      <c r="T53" s="225"/>
      <c r="U53" s="1"/>
    </row>
    <row r="54" spans="1:21" ht="15">
      <c r="A54" s="1" t="s">
        <v>111</v>
      </c>
      <c r="H54" s="59"/>
      <c r="I54" s="59"/>
      <c r="J54" s="59"/>
      <c r="K54" s="59"/>
      <c r="L54" s="59"/>
      <c r="M54" s="59"/>
      <c r="N54" s="59"/>
      <c r="O54" s="256"/>
      <c r="P54" s="1"/>
      <c r="Q54" s="225"/>
      <c r="R54" s="225"/>
      <c r="S54" s="225"/>
      <c r="T54" s="225"/>
      <c r="U54" s="1"/>
    </row>
    <row r="55" spans="1:21" ht="15">
      <c r="A55" s="1" t="s">
        <v>60</v>
      </c>
      <c r="O55" s="256"/>
      <c r="P55" s="1"/>
      <c r="Q55" s="225"/>
      <c r="R55" s="225"/>
      <c r="S55" s="225"/>
      <c r="T55" s="225"/>
      <c r="U55" s="1"/>
    </row>
    <row r="56" spans="1:21" ht="15">
      <c r="A56" s="16"/>
      <c r="B56" s="1"/>
      <c r="O56" s="256"/>
      <c r="P56" s="1"/>
      <c r="Q56" s="225"/>
      <c r="R56" s="225"/>
      <c r="S56" s="225"/>
      <c r="T56" s="225"/>
      <c r="U56" s="1"/>
    </row>
    <row r="57" spans="1:21" ht="15">
      <c r="A57" s="1"/>
      <c r="B57" s="1"/>
      <c r="O57" s="256"/>
      <c r="P57" s="1"/>
      <c r="Q57" s="225"/>
      <c r="R57" s="225"/>
      <c r="S57" s="225"/>
      <c r="T57" s="225"/>
      <c r="U57" s="1"/>
    </row>
    <row r="58" spans="1:21" ht="15">
      <c r="A58" s="1"/>
      <c r="B58" s="1"/>
      <c r="O58" s="256"/>
      <c r="P58" s="1"/>
      <c r="Q58" s="225"/>
      <c r="R58" s="225"/>
      <c r="S58" s="225"/>
      <c r="T58" s="225"/>
      <c r="U58" s="1"/>
    </row>
    <row r="59" spans="15:21" ht="15">
      <c r="O59" s="256"/>
      <c r="P59" s="1"/>
      <c r="Q59" s="225"/>
      <c r="R59" s="225"/>
      <c r="S59" s="225"/>
      <c r="T59" s="225"/>
      <c r="U59" s="1"/>
    </row>
    <row r="60" spans="15:21" ht="15">
      <c r="O60" s="256"/>
      <c r="P60" s="1"/>
      <c r="Q60" s="225"/>
      <c r="R60" s="225"/>
      <c r="S60" s="225"/>
      <c r="T60" s="225"/>
      <c r="U60" s="1"/>
    </row>
    <row r="61" spans="15:21" ht="15">
      <c r="O61" s="256"/>
      <c r="P61" s="1"/>
      <c r="Q61" s="225"/>
      <c r="R61" s="225"/>
      <c r="S61" s="225"/>
      <c r="T61" s="225"/>
      <c r="U61" s="1"/>
    </row>
    <row r="62" spans="15:21" ht="15">
      <c r="O62" s="256"/>
      <c r="P62" s="1"/>
      <c r="Q62" s="225"/>
      <c r="R62" s="225"/>
      <c r="S62" s="225"/>
      <c r="T62" s="225"/>
      <c r="U62" s="1"/>
    </row>
    <row r="63" spans="15:21" ht="15">
      <c r="O63" s="256"/>
      <c r="P63" s="1"/>
      <c r="Q63" s="225"/>
      <c r="R63" s="225"/>
      <c r="S63" s="225"/>
      <c r="T63" s="225"/>
      <c r="U63" s="1"/>
    </row>
    <row r="64" spans="15:21" ht="15">
      <c r="O64" s="256"/>
      <c r="P64" s="1"/>
      <c r="Q64" s="225"/>
      <c r="R64" s="225"/>
      <c r="S64" s="225"/>
      <c r="T64" s="225"/>
      <c r="U64" s="1"/>
    </row>
    <row r="65" spans="15:21" ht="15">
      <c r="O65" s="256"/>
      <c r="P65" s="1"/>
      <c r="Q65" s="225"/>
      <c r="R65" s="225"/>
      <c r="S65" s="225"/>
      <c r="T65" s="225"/>
      <c r="U65" s="1"/>
    </row>
    <row r="66" spans="15:21" ht="15">
      <c r="O66" s="256"/>
      <c r="P66" s="1"/>
      <c r="Q66" s="225"/>
      <c r="R66" s="225"/>
      <c r="S66" s="225"/>
      <c r="T66" s="225"/>
      <c r="U66" s="1"/>
    </row>
    <row r="67" spans="15:21" ht="15">
      <c r="O67" s="256"/>
      <c r="P67" s="1"/>
      <c r="Q67" s="225"/>
      <c r="R67" s="225"/>
      <c r="S67" s="225"/>
      <c r="T67" s="225"/>
      <c r="U67" s="1"/>
    </row>
    <row r="68" spans="14:21" ht="15">
      <c r="N68" s="184"/>
      <c r="O68" s="256"/>
      <c r="P68" s="1"/>
      <c r="Q68" s="225"/>
      <c r="R68" s="225"/>
      <c r="S68" s="225"/>
      <c r="T68" s="225"/>
      <c r="U68" s="1"/>
    </row>
    <row r="69" spans="15:21" ht="15">
      <c r="O69" s="256"/>
      <c r="P69" s="1"/>
      <c r="Q69" s="225"/>
      <c r="R69" s="225"/>
      <c r="S69" s="225"/>
      <c r="T69" s="225"/>
      <c r="U69" s="1"/>
    </row>
    <row r="70" spans="14:21" ht="15">
      <c r="N70" s="184"/>
      <c r="O70" s="256"/>
      <c r="P70" s="1"/>
      <c r="Q70" s="225"/>
      <c r="R70" s="225"/>
      <c r="S70" s="225"/>
      <c r="T70" s="225"/>
      <c r="U70" s="1"/>
    </row>
    <row r="71" spans="15:21" ht="15">
      <c r="O71" s="256"/>
      <c r="P71" s="1"/>
      <c r="Q71" s="225"/>
      <c r="R71" s="225"/>
      <c r="S71" s="225"/>
      <c r="T71" s="225"/>
      <c r="U71" s="1"/>
    </row>
    <row r="72" spans="13:21" ht="15">
      <c r="M72" s="184"/>
      <c r="O72" s="256"/>
      <c r="P72" s="1"/>
      <c r="Q72" s="225"/>
      <c r="R72" s="225"/>
      <c r="S72" s="225"/>
      <c r="T72" s="225"/>
      <c r="U72" s="1"/>
    </row>
    <row r="73" spans="15:21" ht="15">
      <c r="O73" s="256"/>
      <c r="P73" s="1"/>
      <c r="Q73" s="225"/>
      <c r="R73" s="225"/>
      <c r="S73" s="225"/>
      <c r="T73" s="225"/>
      <c r="U73" s="1"/>
    </row>
    <row r="74" spans="14:21" ht="15">
      <c r="N74" s="184"/>
      <c r="O74" s="256"/>
      <c r="P74" s="1"/>
      <c r="Q74" s="225"/>
      <c r="R74" s="225"/>
      <c r="S74" s="225"/>
      <c r="T74" s="225"/>
      <c r="U74" s="1"/>
    </row>
    <row r="75" spans="14:21" ht="15">
      <c r="N75" s="184"/>
      <c r="O75" s="256"/>
      <c r="P75" s="1"/>
      <c r="Q75" s="225"/>
      <c r="R75" s="225"/>
      <c r="S75" s="225"/>
      <c r="T75" s="225"/>
      <c r="U75" s="1"/>
    </row>
    <row r="76" spans="13:21" ht="15">
      <c r="M76" s="184"/>
      <c r="O76" s="256"/>
      <c r="P76" s="1"/>
      <c r="Q76" s="225"/>
      <c r="R76" s="225"/>
      <c r="S76" s="225"/>
      <c r="T76" s="225"/>
      <c r="U76" s="1"/>
    </row>
    <row r="77" spans="15:21" ht="15">
      <c r="O77" s="256"/>
      <c r="P77" s="1"/>
      <c r="Q77" s="225"/>
      <c r="R77" s="225"/>
      <c r="S77" s="225"/>
      <c r="T77" s="225"/>
      <c r="U77" s="1"/>
    </row>
    <row r="78" spans="15:21" ht="15">
      <c r="O78" s="256"/>
      <c r="P78" s="1"/>
      <c r="Q78" s="225"/>
      <c r="R78" s="225"/>
      <c r="S78" s="225"/>
      <c r="T78" s="225"/>
      <c r="U78" s="1"/>
    </row>
    <row r="79" spans="14:21" ht="15">
      <c r="N79" s="184"/>
      <c r="O79" s="256"/>
      <c r="P79" s="1"/>
      <c r="Q79" s="225"/>
      <c r="R79" s="225"/>
      <c r="S79" s="225"/>
      <c r="T79" s="225"/>
      <c r="U79" s="1"/>
    </row>
    <row r="80" spans="14:21" ht="15">
      <c r="N80" s="184"/>
      <c r="O80" s="256"/>
      <c r="P80" s="1"/>
      <c r="Q80" s="225"/>
      <c r="R80" s="225"/>
      <c r="S80" s="225"/>
      <c r="T80" s="225"/>
      <c r="U80" s="1"/>
    </row>
    <row r="81" spans="15:21" ht="15">
      <c r="O81" s="256"/>
      <c r="P81" s="1"/>
      <c r="Q81" s="225"/>
      <c r="R81" s="225"/>
      <c r="S81" s="225"/>
      <c r="T81" s="225"/>
      <c r="U81" s="1"/>
    </row>
    <row r="82" spans="15:21" ht="15">
      <c r="O82" s="256"/>
      <c r="P82" s="1"/>
      <c r="Q82" s="225"/>
      <c r="R82" s="225"/>
      <c r="S82" s="225"/>
      <c r="T82" s="225"/>
      <c r="U82" s="1"/>
    </row>
    <row r="83" spans="15:21" ht="15">
      <c r="O83" s="256"/>
      <c r="P83" s="1"/>
      <c r="Q83" s="225"/>
      <c r="R83" s="225"/>
      <c r="S83" s="225"/>
      <c r="T83" s="225"/>
      <c r="U83" s="1"/>
    </row>
    <row r="84" spans="15:21" ht="15">
      <c r="O84" s="256"/>
      <c r="P84" s="1"/>
      <c r="Q84" s="225"/>
      <c r="R84" s="225"/>
      <c r="S84" s="225"/>
      <c r="T84" s="225"/>
      <c r="U84" s="1"/>
    </row>
    <row r="85" spans="15:21" ht="15">
      <c r="O85" s="256"/>
      <c r="P85" s="1"/>
      <c r="Q85" s="225"/>
      <c r="R85" s="225"/>
      <c r="S85" s="225"/>
      <c r="T85" s="225"/>
      <c r="U85" s="1"/>
    </row>
    <row r="86" spans="15:21" ht="15">
      <c r="O86" s="256"/>
      <c r="P86" s="1"/>
      <c r="Q86" s="225"/>
      <c r="R86" s="225"/>
      <c r="S86" s="225"/>
      <c r="T86" s="225"/>
      <c r="U86" s="1"/>
    </row>
    <row r="87" spans="15:21" ht="15">
      <c r="O87" s="256"/>
      <c r="P87" s="1"/>
      <c r="Q87" s="225"/>
      <c r="R87" s="225"/>
      <c r="S87" s="225"/>
      <c r="T87" s="225"/>
      <c r="U87" s="1"/>
    </row>
    <row r="88" spans="15:21" ht="15">
      <c r="O88" s="256"/>
      <c r="P88" s="1"/>
      <c r="Q88" s="225"/>
      <c r="R88" s="225"/>
      <c r="S88" s="225"/>
      <c r="T88" s="225"/>
      <c r="U88" s="1"/>
    </row>
    <row r="89" spans="15:21" ht="15">
      <c r="O89" s="256"/>
      <c r="P89" s="1"/>
      <c r="Q89" s="225"/>
      <c r="R89" s="225"/>
      <c r="S89" s="225"/>
      <c r="T89" s="225"/>
      <c r="U89" s="1"/>
    </row>
    <row r="90" spans="15:21" ht="15">
      <c r="O90" s="256"/>
      <c r="P90" s="1"/>
      <c r="Q90" s="225"/>
      <c r="R90" s="225"/>
      <c r="S90" s="225"/>
      <c r="T90" s="225"/>
      <c r="U90" s="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Harvard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Williamson</dc:creator>
  <cp:keywords/>
  <dc:description/>
  <cp:lastModifiedBy>Peter Lindert</cp:lastModifiedBy>
  <cp:lastPrinted>2010-08-11T11:52:29Z</cp:lastPrinted>
  <dcterms:created xsi:type="dcterms:W3CDTF">2010-07-19T11:17:19Z</dcterms:created>
  <dcterms:modified xsi:type="dcterms:W3CDTF">2013-01-10T05:41:13Z</dcterms:modified>
  <cp:category/>
  <cp:version/>
  <cp:contentType/>
  <cp:contentStatus/>
</cp:coreProperties>
</file>