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3515"/>
  <workbookPr autoCompressPictures="0"/>
  <bookViews>
    <workbookView xWindow="6740" yWindow="40" windowWidth="19160" windowHeight="13740" activeTab="2"/>
  </bookViews>
  <sheets>
    <sheet name="Sources" sheetId="8" r:id="rId1"/>
    <sheet name="US" sheetId="7" r:id="rId2"/>
    <sheet name="1860 Urban" sheetId="1" r:id="rId3"/>
    <sheet name="1860 Rural Non-Farm" sheetId="3" r:id="rId4"/>
    <sheet name="Comparing regional non-farm w's" sheetId="22" r:id="rId5"/>
    <sheet name="Farm hired &amp; slave labor" sheetId="6" r:id="rId6"/>
    <sheet name="Craig marg prod coeff's" sheetId="23" r:id="rId7"/>
    <sheet name="1860 teachers A" sheetId="11" r:id="rId8"/>
    <sheet name="1860 teachers B" sheetId="14" r:id="rId9"/>
    <sheet name="1860 teachers notes" sheetId="12" r:id="rId10"/>
    <sheet name="1860 Inkind" sheetId="4" r:id="rId11"/>
    <sheet name="1860 FTE" sheetId="5" r:id="rId12"/>
    <sheet name="1860 Slaves" sheetId="9" r:id="rId13"/>
    <sheet name="1860 miners" sheetId="15" r:id="rId14"/>
    <sheet name="Miscellaneous" sheetId="13" r:id="rId15"/>
    <sheet name="1860 MFG Repairs" sheetId="20" r:id="rId16"/>
  </sheets>
  <calcPr calcId="130404" calcMode="manual" calcCompleted="0" calcOnSave="0" concurrentCalc="0"/>
  <extLst>
    <ext xmlns:mx="http://schemas.microsoft.com/office/mac/excel/2008/main" uri="{7523E5D3-25F3-A5E0-1632-64F254C22452}">
      <mx:ArchID Flags="2"/>
    </ext>
  </extLst>
</workbook>
</file>

<file path=xl/calcChain.xml><?xml version="1.0" encoding="utf-8"?>
<calcChain xmlns="http://schemas.openxmlformats.org/spreadsheetml/2006/main">
  <c r="I400" i="1" l="1"/>
  <c r="I394" i="1"/>
  <c r="I387" i="1"/>
  <c r="I379" i="1"/>
  <c r="I372" i="1"/>
  <c r="I361" i="1"/>
  <c r="I110" i="1"/>
  <c r="I105" i="1"/>
  <c r="I100" i="1"/>
  <c r="I95" i="1"/>
  <c r="I89" i="1"/>
  <c r="B30" i="15"/>
  <c r="B27" i="15"/>
  <c r="B26" i="15"/>
  <c r="B25" i="15"/>
  <c r="B24" i="15"/>
  <c r="B23" i="15"/>
  <c r="B22" i="15"/>
  <c r="B21" i="15"/>
  <c r="B20" i="15"/>
  <c r="B19" i="15"/>
  <c r="B18" i="15"/>
  <c r="B17" i="15"/>
  <c r="B16" i="15"/>
  <c r="B15" i="15"/>
  <c r="B14" i="15"/>
  <c r="B13" i="15"/>
  <c r="B12" i="15"/>
  <c r="B11" i="15"/>
  <c r="B10" i="15"/>
  <c r="B9" i="15"/>
  <c r="B8" i="15"/>
  <c r="B7" i="15"/>
  <c r="B6" i="15"/>
  <c r="B5" i="15"/>
  <c r="B4" i="15"/>
  <c r="I2" i="15"/>
  <c r="H2" i="15"/>
  <c r="G2" i="15"/>
  <c r="F2" i="15"/>
  <c r="E2" i="15"/>
  <c r="D2" i="15"/>
  <c r="C2" i="15"/>
  <c r="B2" i="15"/>
  <c r="H178" i="3"/>
  <c r="G177" i="3"/>
  <c r="F177" i="3"/>
  <c r="G176" i="3"/>
  <c r="F176" i="3"/>
  <c r="G174" i="3"/>
  <c r="G168" i="3"/>
  <c r="H162" i="3"/>
  <c r="G162" i="3"/>
  <c r="D162" i="3"/>
  <c r="H160" i="3"/>
  <c r="G160" i="3"/>
  <c r="D160" i="3"/>
  <c r="H158" i="3"/>
  <c r="H155" i="3"/>
  <c r="H152" i="3"/>
  <c r="G151" i="3"/>
  <c r="F151" i="3"/>
  <c r="H149" i="3"/>
  <c r="H140" i="3"/>
  <c r="G140" i="3"/>
  <c r="D140" i="3"/>
  <c r="H138" i="3"/>
  <c r="G138" i="3"/>
  <c r="D138" i="3"/>
  <c r="H136" i="3"/>
  <c r="H133" i="3"/>
  <c r="H130" i="3"/>
  <c r="G129" i="3"/>
  <c r="F129" i="3"/>
  <c r="H127" i="3"/>
  <c r="H122" i="3"/>
  <c r="G122" i="3"/>
  <c r="D122" i="3"/>
  <c r="H120" i="3"/>
  <c r="G120" i="3"/>
  <c r="D120" i="3"/>
  <c r="H113" i="3"/>
  <c r="H110" i="3"/>
  <c r="H107" i="3"/>
  <c r="G106" i="3"/>
  <c r="F106" i="3"/>
  <c r="H104" i="3"/>
  <c r="H99" i="3"/>
  <c r="G99" i="3"/>
  <c r="D99" i="3"/>
  <c r="H97" i="3"/>
  <c r="G97" i="3"/>
  <c r="D97" i="3"/>
  <c r="G86" i="3"/>
  <c r="F86" i="3"/>
  <c r="H77" i="3"/>
  <c r="G77" i="3"/>
  <c r="D77" i="3"/>
  <c r="H75" i="3"/>
  <c r="G75" i="3"/>
  <c r="D75" i="3"/>
  <c r="H70" i="3"/>
  <c r="G61" i="3"/>
  <c r="F61" i="3"/>
  <c r="H59" i="3"/>
  <c r="H44" i="3"/>
  <c r="G44" i="3"/>
  <c r="D44" i="3"/>
  <c r="H42" i="3"/>
  <c r="G42" i="3"/>
  <c r="H40" i="3"/>
  <c r="H37" i="3"/>
  <c r="H34" i="3"/>
  <c r="G33" i="3"/>
  <c r="F33" i="3"/>
  <c r="H31" i="3"/>
  <c r="H29" i="3"/>
  <c r="G29" i="3"/>
  <c r="H21" i="3"/>
  <c r="G21" i="3"/>
  <c r="D21" i="3"/>
  <c r="H19" i="3"/>
  <c r="G19" i="3"/>
  <c r="H13" i="3"/>
  <c r="G12" i="3"/>
  <c r="F12" i="3"/>
  <c r="G11" i="3"/>
  <c r="F11" i="3"/>
  <c r="G10" i="3"/>
  <c r="F10" i="3"/>
  <c r="H8" i="3"/>
  <c r="N75" i="11"/>
  <c r="M75" i="11"/>
  <c r="N74" i="11"/>
  <c r="M74" i="11"/>
  <c r="K73" i="11"/>
  <c r="J73" i="11"/>
  <c r="K72" i="11"/>
  <c r="J72" i="11"/>
  <c r="K71" i="11"/>
  <c r="J71" i="11"/>
  <c r="N64" i="11"/>
  <c r="M64" i="11"/>
  <c r="N63" i="11"/>
  <c r="M63" i="11"/>
  <c r="N60" i="11"/>
  <c r="M60" i="11"/>
  <c r="N59" i="11"/>
  <c r="M59" i="11"/>
  <c r="N57" i="11"/>
  <c r="M57" i="11"/>
  <c r="N56" i="11"/>
  <c r="M56" i="11"/>
  <c r="K55" i="11"/>
  <c r="J55" i="11"/>
  <c r="K54" i="11"/>
  <c r="J54" i="11"/>
  <c r="K53" i="11"/>
  <c r="J53" i="11"/>
  <c r="N51" i="11"/>
  <c r="M51" i="11"/>
  <c r="N50" i="11"/>
  <c r="M50" i="11"/>
  <c r="K49" i="11"/>
  <c r="J49" i="11"/>
  <c r="K48" i="11"/>
  <c r="J48" i="11"/>
  <c r="K47" i="11"/>
  <c r="J47" i="11"/>
  <c r="N45" i="11"/>
  <c r="M45" i="11"/>
  <c r="N44" i="11"/>
  <c r="M44" i="11"/>
  <c r="K43" i="11"/>
  <c r="J43" i="11"/>
  <c r="K42" i="11"/>
  <c r="J42" i="11"/>
  <c r="K41" i="11"/>
  <c r="J41" i="11"/>
  <c r="K40" i="11"/>
  <c r="J40" i="11"/>
  <c r="K39" i="11"/>
  <c r="J39" i="11"/>
  <c r="K38" i="11"/>
  <c r="J38" i="11"/>
  <c r="K37" i="11"/>
  <c r="J37" i="11"/>
  <c r="K36" i="11"/>
  <c r="J36" i="11"/>
  <c r="K35" i="11"/>
  <c r="J35" i="11"/>
  <c r="K34" i="11"/>
  <c r="J34" i="11"/>
  <c r="K33" i="11"/>
  <c r="J33" i="11"/>
  <c r="N31" i="11"/>
  <c r="M31" i="11"/>
  <c r="N30" i="11"/>
  <c r="M30" i="11"/>
  <c r="K29" i="11"/>
  <c r="J29" i="11"/>
  <c r="K28" i="11"/>
  <c r="J28" i="11"/>
  <c r="N25" i="11"/>
  <c r="M25" i="11"/>
  <c r="N24" i="11"/>
  <c r="M24" i="11"/>
  <c r="K23" i="11"/>
  <c r="K22" i="11"/>
  <c r="K21" i="11"/>
  <c r="K20" i="11"/>
  <c r="K19" i="11"/>
  <c r="K18" i="11"/>
  <c r="K17" i="11"/>
  <c r="J17" i="11"/>
  <c r="K16" i="11"/>
  <c r="J16" i="11"/>
  <c r="K15" i="11"/>
  <c r="J15" i="11"/>
  <c r="K14" i="11"/>
  <c r="J14" i="11"/>
  <c r="K13" i="11"/>
  <c r="J13" i="11"/>
  <c r="K12" i="11"/>
  <c r="J12" i="11"/>
  <c r="K11" i="11"/>
  <c r="J11" i="11"/>
  <c r="K10" i="11"/>
  <c r="J10" i="11"/>
  <c r="D10" i="11"/>
  <c r="E33" i="14"/>
  <c r="D33" i="14"/>
  <c r="E32" i="14"/>
  <c r="D32" i="14"/>
  <c r="E27" i="14"/>
  <c r="D27" i="14"/>
  <c r="E26" i="14"/>
  <c r="D26" i="14"/>
  <c r="E24" i="14"/>
  <c r="D24" i="14"/>
  <c r="E23" i="14"/>
  <c r="D23" i="14"/>
  <c r="E21" i="14"/>
  <c r="D21" i="14"/>
  <c r="E20" i="14"/>
  <c r="D20" i="14"/>
  <c r="E18" i="14"/>
  <c r="D18" i="14"/>
  <c r="E17" i="14"/>
  <c r="D17" i="14"/>
  <c r="E15" i="14"/>
  <c r="D15" i="14"/>
  <c r="E14" i="14"/>
  <c r="D14" i="14"/>
  <c r="E12" i="14"/>
  <c r="D12" i="14"/>
  <c r="E11" i="14"/>
  <c r="D11" i="14"/>
  <c r="E9" i="14"/>
  <c r="D9" i="14"/>
  <c r="E8" i="14"/>
  <c r="D8" i="14"/>
  <c r="E53" i="12"/>
  <c r="C53" i="12"/>
  <c r="E52" i="12"/>
  <c r="C52" i="12"/>
  <c r="E51" i="12"/>
  <c r="C51" i="12"/>
  <c r="D42" i="12"/>
  <c r="D41" i="12"/>
  <c r="H40" i="12"/>
  <c r="D40" i="12"/>
  <c r="H39" i="12"/>
  <c r="D39" i="12"/>
  <c r="H38" i="12"/>
  <c r="D38" i="12"/>
  <c r="H37" i="12"/>
  <c r="D37" i="12"/>
  <c r="H36" i="12"/>
  <c r="D36" i="12"/>
  <c r="H35" i="12"/>
  <c r="D35" i="12"/>
  <c r="H34" i="12"/>
  <c r="D34" i="12"/>
  <c r="H30" i="12"/>
  <c r="D30" i="12"/>
  <c r="H29" i="12"/>
  <c r="D29" i="12"/>
  <c r="H28" i="12"/>
  <c r="D28" i="12"/>
  <c r="H27" i="12"/>
  <c r="D27" i="12"/>
  <c r="H26" i="12"/>
  <c r="D26" i="12"/>
  <c r="H25" i="12"/>
  <c r="D25" i="12"/>
  <c r="H24" i="12"/>
  <c r="D24" i="12"/>
  <c r="H23" i="12"/>
  <c r="D23" i="12"/>
  <c r="H22" i="12"/>
  <c r="D22" i="12"/>
  <c r="F13" i="12"/>
  <c r="F12" i="12"/>
  <c r="F11" i="12"/>
  <c r="F9" i="12"/>
  <c r="F8" i="12"/>
  <c r="F7" i="12"/>
  <c r="F6" i="12"/>
  <c r="I426" i="1"/>
  <c r="H413" i="1"/>
  <c r="G413" i="1"/>
  <c r="I409" i="1"/>
  <c r="H407" i="1"/>
  <c r="I350" i="1"/>
  <c r="H350" i="1"/>
  <c r="E350" i="1"/>
  <c r="I348" i="1"/>
  <c r="H348" i="1"/>
  <c r="E348" i="1"/>
  <c r="I346" i="1"/>
  <c r="I343" i="1"/>
  <c r="I342" i="1"/>
  <c r="I340" i="1"/>
  <c r="H339" i="1"/>
  <c r="G339" i="1"/>
  <c r="I337" i="1"/>
  <c r="I336" i="1"/>
  <c r="I335" i="1"/>
  <c r="I334" i="1"/>
  <c r="I327" i="1"/>
  <c r="I322" i="1"/>
  <c r="I318" i="1"/>
  <c r="I314" i="1"/>
  <c r="I310" i="1"/>
  <c r="I305" i="1"/>
  <c r="I300" i="1"/>
  <c r="H300" i="1"/>
  <c r="E300" i="1"/>
  <c r="I298" i="1"/>
  <c r="H298" i="1"/>
  <c r="E298" i="1"/>
  <c r="I296" i="1"/>
  <c r="I293" i="1"/>
  <c r="I290" i="1"/>
  <c r="H289" i="1"/>
  <c r="G289" i="1"/>
  <c r="I287" i="1"/>
  <c r="I279" i="1"/>
  <c r="I272" i="1"/>
  <c r="I267" i="1"/>
  <c r="I263" i="1"/>
  <c r="I259" i="1"/>
  <c r="I254" i="1"/>
  <c r="I248" i="1"/>
  <c r="H248" i="1"/>
  <c r="E248" i="1"/>
  <c r="I246" i="1"/>
  <c r="H246" i="1"/>
  <c r="E246" i="1"/>
  <c r="I244" i="1"/>
  <c r="I241" i="1"/>
  <c r="I238" i="1"/>
  <c r="H237" i="1"/>
  <c r="G237" i="1"/>
  <c r="I235" i="1"/>
  <c r="I234" i="1"/>
  <c r="I225" i="1"/>
  <c r="I219" i="1"/>
  <c r="I213" i="1"/>
  <c r="I207" i="1"/>
  <c r="I197" i="1"/>
  <c r="I190" i="1"/>
  <c r="H190" i="1"/>
  <c r="E190" i="1"/>
  <c r="I188" i="1"/>
  <c r="H188" i="1"/>
  <c r="E188" i="1"/>
  <c r="H182" i="1"/>
  <c r="G182" i="1"/>
  <c r="I180" i="1"/>
  <c r="I171" i="1"/>
  <c r="I165" i="1"/>
  <c r="I159" i="1"/>
  <c r="I153" i="1"/>
  <c r="I147" i="1"/>
  <c r="I141" i="1"/>
  <c r="I136" i="1"/>
  <c r="I129" i="1"/>
  <c r="H129" i="1"/>
  <c r="E129" i="1"/>
  <c r="I127" i="1"/>
  <c r="H127" i="1"/>
  <c r="E127" i="1"/>
  <c r="H121" i="1"/>
  <c r="G121" i="1"/>
  <c r="I119" i="1"/>
  <c r="I84" i="1"/>
  <c r="I80" i="1"/>
  <c r="H80" i="1"/>
  <c r="E80" i="1"/>
  <c r="I79" i="1"/>
  <c r="H79" i="1"/>
  <c r="E79" i="1"/>
  <c r="I74" i="1"/>
  <c r="I71" i="1"/>
  <c r="I68" i="1"/>
  <c r="H67" i="1"/>
  <c r="G67" i="1"/>
  <c r="I65" i="1"/>
  <c r="I63" i="1"/>
  <c r="H63" i="1"/>
  <c r="H60" i="1"/>
  <c r="E60" i="1"/>
  <c r="H59" i="1"/>
  <c r="E59" i="1"/>
  <c r="I50" i="1"/>
  <c r="I44" i="1"/>
  <c r="I37" i="1"/>
  <c r="I30" i="1"/>
  <c r="I22" i="1"/>
  <c r="H10" i="1"/>
  <c r="G10" i="1"/>
  <c r="I8" i="1"/>
  <c r="I22" i="22"/>
  <c r="H22" i="22"/>
  <c r="G22" i="22"/>
  <c r="F22" i="22"/>
  <c r="E22" i="22"/>
  <c r="D22" i="22"/>
  <c r="C22" i="22"/>
  <c r="I21" i="22"/>
  <c r="H21" i="22"/>
  <c r="G21" i="22"/>
  <c r="F21" i="22"/>
  <c r="E21" i="22"/>
  <c r="B22" i="23"/>
  <c r="C22" i="23"/>
  <c r="D22" i="23"/>
  <c r="E22" i="23"/>
  <c r="B23" i="23"/>
  <c r="C23" i="23"/>
  <c r="D23" i="23"/>
  <c r="E23" i="23"/>
  <c r="B24" i="23"/>
  <c r="C24" i="23"/>
  <c r="D24" i="23"/>
  <c r="E24" i="23"/>
  <c r="B25" i="23"/>
  <c r="C25" i="23"/>
  <c r="D25" i="23"/>
  <c r="E25" i="23"/>
  <c r="B26" i="23"/>
  <c r="C26" i="23"/>
  <c r="D26" i="23"/>
  <c r="E26" i="23"/>
  <c r="B27" i="23"/>
  <c r="C27" i="23"/>
  <c r="D27" i="23"/>
  <c r="E27" i="23"/>
  <c r="C21" i="23"/>
  <c r="D21" i="23"/>
  <c r="E21" i="23"/>
  <c r="B21" i="23"/>
  <c r="H75" i="6"/>
  <c r="H74" i="6"/>
  <c r="G74" i="6"/>
  <c r="F74" i="6"/>
  <c r="H73" i="6"/>
  <c r="G73" i="6"/>
  <c r="F73" i="6"/>
  <c r="H72" i="6"/>
  <c r="G72" i="6"/>
  <c r="F72" i="6"/>
  <c r="H70" i="6"/>
  <c r="H69" i="6"/>
  <c r="G69" i="6"/>
  <c r="F69" i="6"/>
  <c r="H68" i="6"/>
  <c r="G68" i="6"/>
  <c r="F68" i="6"/>
  <c r="H67" i="6"/>
  <c r="G67" i="6"/>
  <c r="F67" i="6"/>
  <c r="H65" i="6"/>
  <c r="H64" i="6"/>
  <c r="H63" i="6"/>
  <c r="G63" i="6"/>
  <c r="F63" i="6"/>
  <c r="H62" i="6"/>
  <c r="G62" i="6"/>
  <c r="F62" i="6"/>
  <c r="H61" i="6"/>
  <c r="G61" i="6"/>
  <c r="F61" i="6"/>
  <c r="H60" i="6"/>
  <c r="G60" i="6"/>
  <c r="F60" i="6"/>
  <c r="H58" i="6"/>
  <c r="H57" i="6"/>
  <c r="H56" i="6"/>
  <c r="G56" i="6"/>
  <c r="F56" i="6"/>
  <c r="H55" i="6"/>
  <c r="G55" i="6"/>
  <c r="F55" i="6"/>
  <c r="H54" i="6"/>
  <c r="G54" i="6"/>
  <c r="F54" i="6"/>
  <c r="H53" i="6"/>
  <c r="G53" i="6"/>
  <c r="F53" i="6"/>
  <c r="H52" i="6"/>
  <c r="G52" i="6"/>
  <c r="F52" i="6"/>
  <c r="H51" i="6"/>
  <c r="G51" i="6"/>
  <c r="F51" i="6"/>
  <c r="D51" i="6"/>
  <c r="H50" i="6"/>
  <c r="G50" i="6"/>
  <c r="F50" i="6"/>
  <c r="D50" i="6"/>
  <c r="H49" i="6"/>
  <c r="G49" i="6"/>
  <c r="F49" i="6"/>
  <c r="H48" i="6"/>
  <c r="G48" i="6"/>
  <c r="F48" i="6"/>
  <c r="H47" i="6"/>
  <c r="G47" i="6"/>
  <c r="F47" i="6"/>
  <c r="H45" i="6"/>
  <c r="H44" i="6"/>
  <c r="H43" i="6"/>
  <c r="G43" i="6"/>
  <c r="F43" i="6"/>
  <c r="H42" i="6"/>
  <c r="G42" i="6"/>
  <c r="F42" i="6"/>
  <c r="H41" i="6"/>
  <c r="G41" i="6"/>
  <c r="F41" i="6"/>
  <c r="H40" i="6"/>
  <c r="G40" i="6"/>
  <c r="F40" i="6"/>
  <c r="H39" i="6"/>
  <c r="G39" i="6"/>
  <c r="F39" i="6"/>
  <c r="H37" i="6"/>
  <c r="H36" i="6"/>
  <c r="G36" i="6"/>
  <c r="F36" i="6"/>
  <c r="H35" i="6"/>
  <c r="G35" i="6"/>
  <c r="F35" i="6"/>
  <c r="H34" i="6"/>
  <c r="G34" i="6"/>
  <c r="F34" i="6"/>
  <c r="H33" i="6"/>
  <c r="G33" i="6"/>
  <c r="F33" i="6"/>
  <c r="H32" i="6"/>
  <c r="G32" i="6"/>
  <c r="F32" i="6"/>
  <c r="H31" i="6"/>
  <c r="G31" i="6"/>
  <c r="F31" i="6"/>
  <c r="H29" i="6"/>
  <c r="H28" i="6"/>
  <c r="G28" i="6"/>
  <c r="F28" i="6"/>
  <c r="H27" i="6"/>
  <c r="G27" i="6"/>
  <c r="F27" i="6"/>
  <c r="H26" i="6"/>
  <c r="G26" i="6"/>
  <c r="F26" i="6"/>
  <c r="H25" i="6"/>
  <c r="G25" i="6"/>
  <c r="F25" i="6"/>
  <c r="H24" i="6"/>
  <c r="G24" i="6"/>
  <c r="F24" i="6"/>
  <c r="H23" i="6"/>
  <c r="G23" i="6"/>
  <c r="F23" i="6"/>
  <c r="H21" i="6"/>
  <c r="H20" i="6"/>
  <c r="H19" i="6"/>
  <c r="G19" i="6"/>
  <c r="F19" i="6"/>
  <c r="H18" i="6"/>
  <c r="G18" i="6"/>
  <c r="F18" i="6"/>
  <c r="H17" i="6"/>
  <c r="G17" i="6"/>
  <c r="F17" i="6"/>
  <c r="H16" i="6"/>
  <c r="H15" i="6"/>
  <c r="H13" i="6"/>
  <c r="H12" i="6"/>
  <c r="G12" i="6"/>
  <c r="F12" i="6"/>
  <c r="H11" i="6"/>
  <c r="G11" i="6"/>
  <c r="F11" i="6"/>
  <c r="H10" i="6"/>
  <c r="H9" i="6"/>
  <c r="G9" i="6"/>
  <c r="F9" i="6"/>
  <c r="H8" i="6"/>
  <c r="G8" i="6"/>
  <c r="F8" i="6"/>
  <c r="H7" i="6"/>
  <c r="G7" i="6"/>
  <c r="F7" i="6"/>
  <c r="H6" i="6"/>
  <c r="G6" i="6"/>
  <c r="F6" i="6"/>
  <c r="H5" i="6"/>
  <c r="H3" i="6"/>
  <c r="G3" i="6"/>
  <c r="F3" i="6"/>
  <c r="B12" i="13"/>
  <c r="B10" i="13"/>
  <c r="B9" i="13"/>
  <c r="B8" i="13"/>
  <c r="B7" i="13"/>
  <c r="G259" i="7"/>
  <c r="G258" i="7"/>
  <c r="G257" i="7"/>
  <c r="F257" i="7"/>
  <c r="G256" i="7"/>
  <c r="F256" i="7"/>
  <c r="G255" i="7"/>
  <c r="G254" i="7"/>
  <c r="G253" i="7"/>
  <c r="G251" i="7"/>
  <c r="G250" i="7"/>
  <c r="G249" i="7"/>
  <c r="G248" i="7"/>
  <c r="G246" i="7"/>
  <c r="G245" i="7"/>
  <c r="G244" i="7"/>
  <c r="G243" i="7"/>
  <c r="G242" i="7"/>
  <c r="G241" i="7"/>
  <c r="F241" i="7"/>
  <c r="G240" i="7"/>
  <c r="F240" i="7"/>
  <c r="G239" i="7"/>
  <c r="F239" i="7"/>
  <c r="G238" i="7"/>
  <c r="F238" i="7"/>
  <c r="G231" i="7"/>
  <c r="G230" i="7"/>
  <c r="G229" i="7"/>
  <c r="G228" i="7"/>
  <c r="G227" i="7"/>
  <c r="G226" i="7"/>
  <c r="G225" i="7"/>
  <c r="G224" i="7"/>
  <c r="G223" i="7"/>
  <c r="G222" i="7"/>
  <c r="G221" i="7"/>
  <c r="G220" i="7"/>
  <c r="G219" i="7"/>
  <c r="G218" i="7"/>
  <c r="G217" i="7"/>
  <c r="G216" i="7"/>
  <c r="F216" i="7"/>
  <c r="G215" i="7"/>
  <c r="F215" i="7"/>
  <c r="G214" i="7"/>
  <c r="F214" i="7"/>
  <c r="G213" i="7"/>
  <c r="F213" i="7"/>
  <c r="G212" i="7"/>
  <c r="F212" i="7"/>
  <c r="G203" i="7"/>
  <c r="G202" i="7"/>
  <c r="G201" i="7"/>
  <c r="G200" i="7"/>
  <c r="G199" i="7"/>
  <c r="G198" i="7"/>
  <c r="G197" i="7"/>
  <c r="G196" i="7"/>
  <c r="G195" i="7"/>
  <c r="G194" i="7"/>
  <c r="G193" i="7"/>
  <c r="G192" i="7"/>
  <c r="G191" i="7"/>
  <c r="G190" i="7"/>
  <c r="G189" i="7"/>
  <c r="G188" i="7"/>
  <c r="G187" i="7"/>
  <c r="G186" i="7"/>
  <c r="G185" i="7"/>
  <c r="G184" i="7"/>
  <c r="G183" i="7"/>
  <c r="G182" i="7"/>
  <c r="G181" i="7"/>
  <c r="G180" i="7"/>
  <c r="F180" i="7"/>
  <c r="G179" i="7"/>
  <c r="F179" i="7"/>
  <c r="G178" i="7"/>
  <c r="F178" i="7"/>
  <c r="G177" i="7"/>
  <c r="F177" i="7"/>
  <c r="G175" i="7"/>
  <c r="F175" i="7"/>
  <c r="G174" i="7"/>
  <c r="F174" i="7"/>
  <c r="G173" i="7"/>
  <c r="F173" i="7"/>
  <c r="G172" i="7"/>
  <c r="F172" i="7"/>
  <c r="G160" i="7"/>
  <c r="G159" i="7"/>
  <c r="G158" i="7"/>
  <c r="G157" i="7"/>
  <c r="G156" i="7"/>
  <c r="G155" i="7"/>
  <c r="G154" i="7"/>
  <c r="G153" i="7"/>
  <c r="G152" i="7"/>
  <c r="G150" i="7"/>
  <c r="F150" i="7"/>
  <c r="G149" i="7"/>
  <c r="F149" i="7"/>
  <c r="G148" i="7"/>
  <c r="F148" i="7"/>
  <c r="G147" i="7"/>
  <c r="F147" i="7"/>
  <c r="G146" i="7"/>
  <c r="F146" i="7"/>
  <c r="G145" i="7"/>
  <c r="F145" i="7"/>
  <c r="G135" i="7"/>
  <c r="G134" i="7"/>
  <c r="G133" i="7"/>
  <c r="G132" i="7"/>
  <c r="G131" i="7"/>
  <c r="G130" i="7"/>
  <c r="G129" i="7"/>
  <c r="G128" i="7"/>
  <c r="G127" i="7"/>
  <c r="G126" i="7"/>
  <c r="G125" i="7"/>
  <c r="G124" i="7"/>
  <c r="G123" i="7"/>
  <c r="G122" i="7"/>
  <c r="G121" i="7"/>
  <c r="F121" i="7"/>
  <c r="G120" i="7"/>
  <c r="F120" i="7"/>
  <c r="G119" i="7"/>
  <c r="F119" i="7"/>
  <c r="G118" i="7"/>
  <c r="F118" i="7"/>
  <c r="G117" i="7"/>
  <c r="F117" i="7"/>
  <c r="G108" i="7"/>
  <c r="G107" i="7"/>
  <c r="G106" i="7"/>
  <c r="G105" i="7"/>
  <c r="G104" i="7"/>
  <c r="G103" i="7"/>
  <c r="G102" i="7"/>
  <c r="G101" i="7"/>
  <c r="G100" i="7"/>
  <c r="G99" i="7"/>
  <c r="G98" i="7"/>
  <c r="G97" i="7"/>
  <c r="G95" i="7"/>
  <c r="F95" i="7"/>
  <c r="G94" i="7"/>
  <c r="F94" i="7"/>
  <c r="G93" i="7"/>
  <c r="F93" i="7"/>
  <c r="G92" i="7"/>
  <c r="F92" i="7"/>
  <c r="G91" i="7"/>
  <c r="F91" i="7"/>
  <c r="G85" i="7"/>
  <c r="G84" i="7"/>
  <c r="G83" i="7"/>
  <c r="G82" i="7"/>
  <c r="G81" i="7"/>
  <c r="G80" i="7"/>
  <c r="G79" i="7"/>
  <c r="G78" i="7"/>
  <c r="G77" i="7"/>
  <c r="G76" i="7"/>
  <c r="G75" i="7"/>
  <c r="G74" i="7"/>
  <c r="G73" i="7"/>
  <c r="G72" i="7"/>
  <c r="G71" i="7"/>
  <c r="G70" i="7"/>
  <c r="G69" i="7"/>
  <c r="G68" i="7"/>
  <c r="G67" i="7"/>
  <c r="G66" i="7"/>
  <c r="G65" i="7"/>
  <c r="G63" i="7"/>
  <c r="F63" i="7"/>
  <c r="G62" i="7"/>
  <c r="F62" i="7"/>
  <c r="G61" i="7"/>
  <c r="F61" i="7"/>
  <c r="G60" i="7"/>
  <c r="F60" i="7"/>
  <c r="G59" i="7"/>
  <c r="F59" i="7"/>
  <c r="G58" i="7"/>
  <c r="F58" i="7"/>
  <c r="G51" i="7"/>
  <c r="G42" i="7"/>
  <c r="G41" i="7"/>
  <c r="G40" i="7"/>
  <c r="H38" i="7"/>
  <c r="D38" i="7"/>
  <c r="H37" i="7"/>
  <c r="D37" i="7"/>
  <c r="H35" i="7"/>
  <c r="G35" i="7"/>
  <c r="D35" i="7"/>
  <c r="H34" i="7"/>
  <c r="G34" i="7"/>
  <c r="D34" i="7"/>
  <c r="H26" i="7"/>
  <c r="H22" i="7"/>
  <c r="G15" i="7"/>
  <c r="F15" i="7"/>
  <c r="H14" i="7"/>
  <c r="H13" i="7"/>
</calcChain>
</file>

<file path=xl/sharedStrings.xml><?xml version="1.0" encoding="utf-8"?>
<sst xmlns="http://schemas.openxmlformats.org/spreadsheetml/2006/main" count="3567" uniqueCount="970">
  <si>
    <t xml:space="preserve">The dependent variable is the value of labor's output in Northern agriculture. </t>
    <phoneticPr fontId="14" type="noConversion"/>
  </si>
  <si>
    <t>Relative to an adult male between 19 and 54 years old = 1.000</t>
    <phoneticPr fontId="14" type="noConversion"/>
  </si>
  <si>
    <t xml:space="preserve">Child Ages 0-6 </t>
    <phoneticPr fontId="14" type="noConversion"/>
  </si>
  <si>
    <t xml:space="preserve">Child Ages 7-12 </t>
    <phoneticPr fontId="14" type="noConversion"/>
  </si>
  <si>
    <t>Teenage Female 13-18</t>
    <phoneticPr fontId="14" type="noConversion"/>
  </si>
  <si>
    <t>Teenage Male 13-18</t>
    <phoneticPr fontId="14" type="noConversion"/>
  </si>
  <si>
    <t xml:space="preserve">Adult Male Ages 19-54 </t>
    <phoneticPr fontId="14" type="noConversion"/>
  </si>
  <si>
    <t xml:space="preserve">Adult Male, 55 and older </t>
    <phoneticPr fontId="14" type="noConversion"/>
  </si>
  <si>
    <t>Adult Female 19-older</t>
    <phoneticPr fontId="14" type="noConversion"/>
  </si>
  <si>
    <t>HSUS (2006) Ba4275</t>
  </si>
  <si>
    <t>Notes</t>
  </si>
  <si>
    <t>HSUS (2006) reports for all US, non-farm workers 1860</t>
  </si>
  <si>
    <t>Ba4221-4223: Donald R. Adams, "The Standard of Living during American Industrialization: Evidence from the Brandywine Region," Journal of Economic History 42 (December 1982), pp. 903-17.</t>
  </si>
  <si>
    <t>Ba4234-4243: Stanley Lebergott, Manpower in Economic Growth: The America Record since 1800 (McGraw-Hill 1964), Tables A-33 and A-24, pp. 257ff.</t>
  </si>
  <si>
    <t>Ba4244-4249: Kenneth L. Sokoloff and Georgia C. Villaflor, "The Market for Manufacturing Workers during Early Industrialization: The American Northeast, 1820 to 1860," in C. Goldin and H. Rockoff (eds.), Strategic Factors in Nineteenth Century American Economic History: A Volume to Honor Robert W. Fogel (Chicago 1992), p. 36.</t>
  </si>
  <si>
    <t>Northern</t>
  </si>
  <si>
    <t xml:space="preserve">States </t>
  </si>
  <si>
    <t xml:space="preserve">Northeast </t>
  </si>
  <si>
    <t xml:space="preserve">Midwest </t>
  </si>
  <si>
    <t>Frontier</t>
  </si>
  <si>
    <t xml:space="preserve">Profit </t>
  </si>
  <si>
    <t xml:space="preserve">Farm Size Dummy </t>
  </si>
  <si>
    <t>N =</t>
  </si>
  <si>
    <r>
      <t xml:space="preserve">From Lee Craig, </t>
    </r>
    <r>
      <rPr>
        <i/>
        <sz val="12"/>
        <color indexed="8"/>
        <rFont val="Calibri"/>
      </rPr>
      <t>JEH</t>
    </r>
    <r>
      <rPr>
        <sz val="12"/>
        <color indexed="8"/>
        <rFont val="Calibri"/>
      </rPr>
      <t xml:space="preserve"> 1991, Table 3.</t>
    </r>
    <phoneticPr fontId="14" type="noConversion"/>
  </si>
  <si>
    <t>HSUS (2006) Ba4242</t>
  </si>
  <si>
    <t>HSUS (2006) Ba4221</t>
  </si>
  <si>
    <t>lower unemployment risk for monthly workers.</t>
  </si>
  <si>
    <t>US = urb = rur</t>
    <phoneticPr fontId="14" type="noConversion"/>
  </si>
  <si>
    <t>US &gt; urb</t>
    <phoneticPr fontId="14" type="noConversion"/>
  </si>
  <si>
    <t>Board was $0.26 per day in the middle of the 19th century (p. 634), and his Table 4</t>
  </si>
  <si>
    <t>DE 1840 = 7.60/mo, 1850 = 7.75/mo; MD, 1840 = 6.975/mo</t>
  </si>
  <si>
    <t>DE farm wages/mo were 9.55/mo 1841-1850 (p. 633), so ave. 7.68/9.55 = board ratio 80.4%.</t>
  </si>
  <si>
    <t>New England, and "major urban".</t>
  </si>
  <si>
    <t>United States</t>
  </si>
  <si>
    <t>New England</t>
  </si>
  <si>
    <t>yes</t>
  </si>
  <si>
    <t xml:space="preserve">New England </t>
  </si>
  <si>
    <t>Edward L. Thorndike and Ella Woodyard. 1927. "The Effect of Violent Price-Fluctuations Upon the Salaries of Clerymen." Journal of the American Statistical Association 22, 157 (March): 66-74.</t>
  </si>
  <si>
    <t>Cash (633) times 1.25 to include in kind rent for parish house and furnishings; mainly MA.</t>
  </si>
  <si>
    <t xml:space="preserve">Thorndike and Woodward (1927: p. 68). </t>
  </si>
  <si>
    <t>For free adult males in building trades (construction)</t>
    <phoneticPr fontId="14" type="noConversion"/>
  </si>
  <si>
    <t>For free adult males in manufacturing</t>
    <phoneticPr fontId="14" type="noConversion"/>
  </si>
  <si>
    <t>MD farm wages/mo were 11.4/mo 1841-1850 (p. 633), so 6.975/11.4 = board ratio 61.2%.</t>
  </si>
  <si>
    <t>MD room ratio to annual earnings = 20 to 24/12*11.4 (p. 633) = 14.6 to 17.5%.</t>
  </si>
  <si>
    <t>DE room ratio to annual earnings = 20 to 24/12*10.525 (p. 633) = 15.8 to 19%.</t>
  </si>
  <si>
    <t>"Hiring out" privilege. During peak harvest, farm laborer could hire out to others, and his loss time was subtracted.</t>
  </si>
  <si>
    <t>This could raise his regular wages by about 19% (p. 635)</t>
  </si>
  <si>
    <t>However, daily rates times 26 &lt; monthly rate. First, because the monthly hires got in kind, and second</t>
  </si>
  <si>
    <t>Adams (1986: pp. 635) reports for MD  farm labor work 8 months = 211 days, which implies 12 months = 313 days. On the same page, he says 208 and 312 days.</t>
  </si>
  <si>
    <t xml:space="preserve">Wage rate summary, </t>
    <phoneticPr fontId="14" type="noConversion"/>
  </si>
  <si>
    <r>
      <t xml:space="preserve">with </t>
    </r>
    <r>
      <rPr>
        <b/>
        <sz val="16"/>
        <color rgb="FFFF0000"/>
        <rFont val="Calibri"/>
        <family val="2"/>
        <scheme val="minor"/>
      </rPr>
      <t>Manufacturing wages revised 3-13-2012 by JGW.</t>
    </r>
    <phoneticPr fontId="14" type="noConversion"/>
  </si>
  <si>
    <t>preferred full-</t>
    <phoneticPr fontId="14" type="noConversion"/>
  </si>
  <si>
    <t>time estimates</t>
    <phoneticPr fontId="14" type="noConversion"/>
  </si>
  <si>
    <t>Multiplier for part-</t>
    <phoneticPr fontId="14" type="noConversion"/>
  </si>
  <si>
    <t>time estimates</t>
    <phoneticPr fontId="14" type="noConversion"/>
  </si>
  <si>
    <t>Orig</t>
    <phoneticPr fontId="14" type="noConversion"/>
  </si>
  <si>
    <t>row</t>
    <phoneticPr fontId="14" type="noConversion"/>
  </si>
  <si>
    <t>Annual free-labor earnings</t>
    <phoneticPr fontId="14" type="noConversion"/>
  </si>
  <si>
    <t>HSUS (2006) Ba4274</t>
  </si>
  <si>
    <t>HSUS (2006) Ba4276</t>
  </si>
  <si>
    <t>HSUS and Burgess.</t>
    <phoneticPr fontId="14" type="noConversion"/>
  </si>
  <si>
    <t>Occupation</t>
  </si>
  <si>
    <t>time unit</t>
  </si>
  <si>
    <t>wage ($)</t>
  </si>
  <si>
    <t>Source</t>
  </si>
  <si>
    <t>In kind ($)</t>
  </si>
  <si>
    <t>Middle Atlantic</t>
  </si>
  <si>
    <t>East North Central</t>
  </si>
  <si>
    <t>West North Central</t>
  </si>
  <si>
    <t>East South Central</t>
  </si>
  <si>
    <t>South Atlantic</t>
  </si>
  <si>
    <t>West South Central</t>
  </si>
  <si>
    <t>Mountain</t>
  </si>
  <si>
    <t>Pacific</t>
  </si>
  <si>
    <t>Common labor</t>
  </si>
  <si>
    <t>daily</t>
  </si>
  <si>
    <t>no</t>
  </si>
  <si>
    <t>In kind payments?</t>
  </si>
  <si>
    <t>na</t>
  </si>
  <si>
    <t>HSUS (2006) Ba4273</t>
  </si>
  <si>
    <t>Ba4217: Donald R. Adams, "Prices and Wages in Antebellum America: The West Virginia Experience," Journal of Economic History 52 (March 1992), pp. 215-16.</t>
  </si>
  <si>
    <t>Ba4219-4220: Donald R. Adams, "Wage Rates in the Early National Period: Philadelphia, 1785-1830," Journal of Economic History 28 (September 1968), pp. 404-26.</t>
  </si>
  <si>
    <t>Winnifred B. Rothenberg. 1992. From Market-Places to a Market Economy: The Transformation of Rural Massachusetts, 1750-1850. Chicago: University of Chicago Press.</t>
  </si>
  <si>
    <t>For artisans, the US-worksheet ratio of artisans (548.22) to laborers (321.88) = 1.703 is multiplied by this region's laborer wage.  Then multiply by the same 0.928 for (bldg trades / artisans).</t>
    <phoneticPr fontId="14" type="noConversion"/>
  </si>
  <si>
    <t>urb = rur</t>
    <phoneticPr fontId="14" type="noConversion"/>
  </si>
  <si>
    <t>The US worksheet gives only US-wide averages for these and Margo's artisans.</t>
    <phoneticPr fontId="14" type="noConversion"/>
  </si>
  <si>
    <t>Margo's artisans for the region (from HSUS) times 0.928 = (bldg trades / artisans for whole US). In Margo's data, the regions are Northeast, Midwest, South Atlantic, and South Central.</t>
    <phoneticPr fontId="14" type="noConversion"/>
  </si>
  <si>
    <t>Ba 4282 (Annual earnings/Ba 4281 (daily wage) = 333 days per year, which is higher than 313 = 6 day weeks.</t>
  </si>
  <si>
    <t>HSUS reports common labor all, which we take to be US average.</t>
  </si>
  <si>
    <t>Skilled blacksmiths</t>
  </si>
  <si>
    <t>HSUS (2006) Ba4284</t>
  </si>
  <si>
    <t>Skiled carpenters</t>
  </si>
  <si>
    <t>Skilled engineers</t>
  </si>
  <si>
    <t>Skilled machinists</t>
  </si>
  <si>
    <t xml:space="preserve">daily </t>
  </si>
  <si>
    <t>Skilled painters</t>
  </si>
  <si>
    <t>HSUS (2006) Ba4285</t>
  </si>
  <si>
    <t>HSUS (2006) Ba4286</t>
  </si>
  <si>
    <t>HSUS (2006) Ba4287</t>
  </si>
  <si>
    <t>HSUS (2006) Ba4288</t>
  </si>
  <si>
    <t>Laborers</t>
  </si>
  <si>
    <t>HSUS (2006) Ba4279, 4253</t>
  </si>
  <si>
    <t>HSUS (2006) Ba4255</t>
  </si>
  <si>
    <t>HSUS (2006) Ba4256</t>
  </si>
  <si>
    <t>Artisans</t>
  </si>
  <si>
    <t>HSUS (2006) Ba4263</t>
  </si>
  <si>
    <t>HSUS (2006) Ba4259</t>
  </si>
  <si>
    <t xml:space="preserve"> </t>
    <phoneticPr fontId="14" type="noConversion"/>
  </si>
  <si>
    <t>yes:board</t>
  </si>
  <si>
    <t>HSUS (2006) Ba4235</t>
  </si>
  <si>
    <t>Ba4283-4289: Clarence D. Long, Wages and Earnings in the United States, 1860-1890 (NBER 1960), p. 144.</t>
  </si>
  <si>
    <t>Ba4290-4297: Christopher Hanes, "Comparable Indices of Wholesale Prices and Manufacturing Wage Rates in the United States, 1865-1914," Research in Economic History 14 (1992), pp. 269-92.</t>
  </si>
  <si>
    <t>The original sources of the HSUS (2006) data cited in these worksheets are:</t>
  </si>
  <si>
    <t>Room was valued at $20-24 per year "with little change over time" (p. 632)</t>
  </si>
  <si>
    <t>For MD and DE farm labor, Adams (1986) reports the following:</t>
  </si>
  <si>
    <t>Ba4545: U.S. Congress, Senate Committee on Finance, Wholesale Prices, Wages, and Transportation, Part 1, Senate Report number 1394 (U.S.Governemnt Printing Office, 1893), p. 179.</t>
  </si>
  <si>
    <t>New England, and "urban".</t>
  </si>
  <si>
    <t>"Urban". Oddly, these are the lowest mfg wages, and rural is the highest.</t>
  </si>
  <si>
    <t>Average MD farm laborer on annual contract  who had just board (board/[board, rent and hiring out] = 61.2/[61.2+16.05+19])  = 0.636)</t>
  </si>
  <si>
    <t xml:space="preserve">Average MD farm laborer on annual contract  who had board, rent and hiring out would have ratio all inkind to wage = 63.47/92.66 = 0.68.5 (p. 635). </t>
  </si>
  <si>
    <t>For all these remaining regions, US = rural nonfarm.  That should not be a great error.</t>
    <phoneticPr fontId="14" type="noConversion"/>
  </si>
  <si>
    <t>Northeast = Sokoloff &amp; Villaflor (SV), urban. For other regions, used this SV for Middle Atlantic times Lebergott's (this region/ MidAtl) for cotton textiles.</t>
    <phoneticPr fontId="14" type="noConversion"/>
  </si>
  <si>
    <t>Northeast = SV, rural. For other regions, used this SV for Middle Atlantic times Lebergott's (this region/ MidAtl) for cotton textiles.</t>
    <phoneticPr fontId="14" type="noConversion"/>
  </si>
  <si>
    <t>[Reminder: These are also used in constructing teachers' year-round incomes.]</t>
    <phoneticPr fontId="14" type="noConversion"/>
  </si>
  <si>
    <t>"Own lab inc 1860 ..." file</t>
    <phoneticPr fontId="14" type="noConversion"/>
  </si>
  <si>
    <t>Comparing some regional averages across worksheets:  US vs. urban vs. rural nonfarm</t>
    <phoneticPr fontId="14" type="noConversion"/>
  </si>
  <si>
    <t>Lebergott FTE annual earnings.</t>
    <phoneticPr fontId="14" type="noConversion"/>
  </si>
  <si>
    <t>The US worksheet gives separate state-level wages for cotton mfg, woolen mfg, and iron and steel mfg</t>
    <phoneticPr fontId="14" type="noConversion"/>
  </si>
  <si>
    <t>urb &lt; rur</t>
    <phoneticPr fontId="14" type="noConversion"/>
  </si>
  <si>
    <t>Ba4216: Donald R. Adams, "Prices and Wages in Maryland 1750-1850," Journal of Economic History 46 (September 1986), pp. 630-1.</t>
  </si>
  <si>
    <t xml:space="preserve">compensation consisted of the board received. In many of the state reports salarty figures were reported including the value of </t>
  </si>
  <si>
    <t xml:space="preserve">board ... in others the value of board was given separately ... It is believed that the index numbers as they stand make proper </t>
  </si>
  <si>
    <r>
      <t xml:space="preserve">allowance for compensation received in this form ... pp. 34-35)." Thus </t>
    </r>
    <r>
      <rPr>
        <b/>
        <i/>
        <sz val="11"/>
        <color theme="1"/>
        <rFont val="Calibri"/>
        <family val="2"/>
        <scheme val="minor"/>
      </rPr>
      <t xml:space="preserve">Burgess implies that his figures include board (and room, </t>
    </r>
  </si>
  <si>
    <r>
      <rPr>
        <b/>
        <i/>
        <sz val="11"/>
        <color theme="1"/>
        <rFont val="Calibri"/>
        <family val="2"/>
        <scheme val="minor"/>
      </rPr>
      <t>one supposes).</t>
    </r>
    <r>
      <rPr>
        <sz val="11"/>
        <color theme="1"/>
        <rFont val="Calibri"/>
        <family val="2"/>
        <scheme val="minor"/>
      </rPr>
      <t xml:space="preserve"> </t>
    </r>
  </si>
  <si>
    <t xml:space="preserve">Public school teachers (Burgess 1920, pp. 34-35): "it was customary to board the teacher around. Part of his or her </t>
  </si>
  <si>
    <t xml:space="preserve">Cash wages augmented by 71.1% in Vermont (following Go and Lindert 2010, Table 2)  </t>
  </si>
  <si>
    <t>Burgess (1920: Table 8, based on Weeks.</t>
  </si>
  <si>
    <t>Burgess (1920, Table 8), based on Weeks.</t>
  </si>
  <si>
    <t>"Females appear in Massachusetts farm account books only when hired as domestic servants, spinners, or weavers … but never as farm laborers." (p. 151)</t>
  </si>
  <si>
    <t>Ba4250-4257: Mark Aldrich, "Earnings of American Civil Engineers," Journal of Economic History 31 (June 1971), pp. 409-10.</t>
  </si>
  <si>
    <t>Ba4253-4267: Robert A. Margo, Wages and Labor Markets before the Civil War (Chicago 2000), Tables 3A.5, 3A.6, 3A.7, and 5B.4.</t>
  </si>
  <si>
    <t>Ba4268-4270: ibid., Table 6C.2.</t>
  </si>
  <si>
    <t>HSUS (2006) Ba4260</t>
  </si>
  <si>
    <t>HSUS (2006) Ba4261</t>
  </si>
  <si>
    <t>HSUS (2006) Ba4262</t>
  </si>
  <si>
    <t>Clerks</t>
  </si>
  <si>
    <t>monthly</t>
  </si>
  <si>
    <t>HSUS (2006) Ba4258</t>
  </si>
  <si>
    <t>HSUS (2006) Ba4264</t>
  </si>
  <si>
    <t>HSUS reports these occupations here and following by region, which we take to be town or city.</t>
  </si>
  <si>
    <t>HSUS (2006) Ba4265</t>
  </si>
  <si>
    <t>HSUS (2006) Ba4266</t>
  </si>
  <si>
    <t>HSUS (2006) Ba4267</t>
  </si>
  <si>
    <t>HSUS (2006) Ba4270</t>
  </si>
  <si>
    <t>HSUS (2006) Ba4269</t>
  </si>
  <si>
    <t>HSUS (2006) Ba4268</t>
  </si>
  <si>
    <t>Male manufacturing</t>
  </si>
  <si>
    <t>annual</t>
  </si>
  <si>
    <t>male manufacturing</t>
  </si>
  <si>
    <t>Civil Engineers, 1st rank</t>
  </si>
  <si>
    <t>3rd rank</t>
  </si>
  <si>
    <t>HSUS (2006) Ba4250</t>
  </si>
  <si>
    <t>HSUS (2006) Ba4252</t>
  </si>
  <si>
    <t>common labor</t>
  </si>
  <si>
    <t>HSUS (2006) Ba4217</t>
  </si>
  <si>
    <t>Farm labor</t>
  </si>
  <si>
    <t>yes; board</t>
  </si>
  <si>
    <t>?</t>
  </si>
  <si>
    <t>HSUS (2006) Ba 4234</t>
  </si>
  <si>
    <t>farm labor</t>
  </si>
  <si>
    <t>Ba4280-4282: Lebergott (1964), pp. 523, 524, and 528.</t>
  </si>
  <si>
    <t>1850. Chicago: University of Chicago Press.</t>
  </si>
  <si>
    <t>Table 21, p. 202, Massachusetts farm 1850-59 means:</t>
  </si>
  <si>
    <t>monthly per diem</t>
  </si>
  <si>
    <t>day wage</t>
  </si>
  <si>
    <t>harvest day wage</t>
  </si>
  <si>
    <t>26 days per month assumed</t>
  </si>
  <si>
    <t>yes: room and board</t>
  </si>
  <si>
    <t>Total ($)</t>
  </si>
  <si>
    <t>Rothenberg (1992: below).</t>
  </si>
  <si>
    <t>We assume "board" means room and board = 50% of the cash wage, as Rothenberg (1992) makes clear.</t>
  </si>
  <si>
    <t>PA coal miner</t>
  </si>
  <si>
    <t>OH common labor</t>
  </si>
  <si>
    <t>IN common labor</t>
  </si>
  <si>
    <t>IL common labor</t>
  </si>
  <si>
    <t>MI common labor</t>
  </si>
  <si>
    <t>WI common labor</t>
  </si>
  <si>
    <t>OH female domestics</t>
  </si>
  <si>
    <t>IN female domestics</t>
  </si>
  <si>
    <t>IL female domestics</t>
  </si>
  <si>
    <t>MI female domestics</t>
  </si>
  <si>
    <t>OH Cotton manufacturing</t>
  </si>
  <si>
    <t>IN Cotton manufacturing</t>
  </si>
  <si>
    <t>IN Woolen manufacturing</t>
  </si>
  <si>
    <t>OH Woolen manufacturing</t>
  </si>
  <si>
    <t>IL Woolen manufacturing</t>
  </si>
  <si>
    <t>MI Woolen manufacturing</t>
  </si>
  <si>
    <t>Jack Larkin, "Labor Is the Great Thing in Farming: The Farm Laborers of the Eward Family of Shrewsbury, Massachusetts, 1787-1860," Proceedings of the American Antiquarian Society 99 (1) 1989: 189-226.</t>
  </si>
  <si>
    <t>Cash (604.09) times 1.25 to include in kind rent for parish house and furnishings; mainly Long Island, NY. 1860 missing, so NY/NE in 1862 times NHE in 1860 = NY in 1860.</t>
  </si>
  <si>
    <t>child farm labor</t>
  </si>
  <si>
    <t>female farm labor</t>
  </si>
  <si>
    <t>weekly</t>
  </si>
  <si>
    <t>cash wage ($)</t>
  </si>
  <si>
    <t>Total wage ($)</t>
  </si>
  <si>
    <t>Total Wage ($)</t>
  </si>
  <si>
    <t>Sun Go and Peter Lindert. "The Uneven Rise of American Publuic Schools to 1850," Journal of Economic History 70, 1 (March 2010),: 1-26.</t>
  </si>
  <si>
    <t>Data underlying Go and Lindert (2010: Table 2).</t>
  </si>
  <si>
    <t>would have had a board ratio of  0.636*0.685 = 0.436 (p. 635).</t>
  </si>
  <si>
    <t>Donald R. Adams, "Prices and Wages in Maryland, 1750-1850," Journal of Economic History 46,3 (September): 625-645.</t>
  </si>
  <si>
    <t>Ba4214-4215: Winnifred B. Rothenbegr, From Market-Places to a Market-Economy: The Transformation of Rural Massachusetts, 1750-1850 (Chicago 1992), pp. 176-9.</t>
  </si>
  <si>
    <t>30-35</t>
  </si>
  <si>
    <t>woodcutter</t>
  </si>
  <si>
    <t>Lebergott (1964: p. 326).</t>
  </si>
  <si>
    <t>Lebergott (1964: p. 331)</t>
  </si>
  <si>
    <t>clergymen</t>
  </si>
  <si>
    <t>Lebergott (1964: p. 333). Albany.</t>
  </si>
  <si>
    <t>Lebergott (1964: p. 333), and says they include pay and prerequisites.</t>
  </si>
  <si>
    <t>coal miner</t>
  </si>
  <si>
    <t>AL female domestics</t>
  </si>
  <si>
    <t>MS female domestics</t>
  </si>
  <si>
    <t>KY Cotton manufacturing</t>
  </si>
  <si>
    <t>TN Cotton manufacturing</t>
  </si>
  <si>
    <t>AL Cotton manufacturing</t>
  </si>
  <si>
    <t>MS Cotton manufacturing</t>
  </si>
  <si>
    <t>KY Woolen manufacturing</t>
  </si>
  <si>
    <t>TN Woolen manufacturing</t>
  </si>
  <si>
    <t>AL Woolen manufacturing</t>
  </si>
  <si>
    <t>MS Woolen manufacturing</t>
  </si>
  <si>
    <t>KY Iron &amp; steel</t>
  </si>
  <si>
    <t>TN Iron &amp; steel</t>
  </si>
  <si>
    <t>AL Iron &amp; steel</t>
  </si>
  <si>
    <t>MS Iron &amp; steel</t>
  </si>
  <si>
    <t>AK common labor</t>
  </si>
  <si>
    <t>LA common labor</t>
  </si>
  <si>
    <t>TX common labor</t>
  </si>
  <si>
    <t>AK female domestics</t>
  </si>
  <si>
    <t>LA female domestics</t>
  </si>
  <si>
    <t>TX female domestics</t>
  </si>
  <si>
    <t>TX Woolen manufacturing</t>
  </si>
  <si>
    <t>AK Iron &amp; steel</t>
  </si>
  <si>
    <t>LA Iron &amp; steel</t>
  </si>
  <si>
    <t>CO common labor</t>
  </si>
  <si>
    <t>Mid-19th century, female and child farm labor wages were similar, and about 60% of male. We assume "board" means room and board = 50% of the cash wage, as Rothenberg (1992) makes clear.</t>
  </si>
  <si>
    <t>Lebergott (1964: Table A-25, p. 541).</t>
  </si>
  <si>
    <t>female domestics</t>
  </si>
  <si>
    <t>yes: room &amp; board</t>
  </si>
  <si>
    <t>Lebergott (1964: Table A-26, p. 542). He also suggests (p. 284) that they got in-kind payments about = to cash wage.</t>
  </si>
  <si>
    <t>Cotton manufacturing</t>
  </si>
  <si>
    <t>"… live-in laborers on monthly contracts" are increasingly common across the 19th century. (p. 181)</t>
  </si>
  <si>
    <t>Farm labor "free to move, may well be a New England innovation." (p. 181)</t>
  </si>
  <si>
    <t xml:space="preserve">"… the contract workers accept a wage below their marginal revenue product and considerably below the spot wage of the day </t>
  </si>
  <si>
    <t>worker in return for employment security for the duration of the contract." (p. 183)</t>
  </si>
  <si>
    <t>The average length of the contracts were (in months): 1855-59 5.6, 1860-65 4.6, for an average of 5.1. (Table 17, p. 187)</t>
  </si>
  <si>
    <t>Ba4271-4279: Philip R. P. Coelho and James F. Shepherd, "Regional Differences in Real Wages: The United States, 1851-1880," Explorations in Economic History 13 (April 1976), pp. 229-30.</t>
  </si>
  <si>
    <t>Philadelphia &amp; Brandywine region. We assume "board" means room and board = 50% of the cash wage, as Rothenberg (1992) makes clear.</t>
  </si>
  <si>
    <t>The literature Rothenberg (p. cites for the 50% rule is:</t>
  </si>
  <si>
    <t>DC treasurers</t>
  </si>
  <si>
    <t>AL clerks</t>
  </si>
  <si>
    <t>AL lawyers</t>
  </si>
  <si>
    <t>AL judges</t>
  </si>
  <si>
    <t>FL judges</t>
  </si>
  <si>
    <t>FL clerks</t>
  </si>
  <si>
    <t>FL lawyers</t>
  </si>
  <si>
    <t>CA judges</t>
  </si>
  <si>
    <t>AK judges</t>
  </si>
  <si>
    <t>AK lawyers</t>
  </si>
  <si>
    <t>AK clerk</t>
  </si>
  <si>
    <t>CT judges</t>
  </si>
  <si>
    <t>DE judges</t>
  </si>
  <si>
    <t>DE clerks</t>
  </si>
  <si>
    <t>GA judges</t>
  </si>
  <si>
    <t>GA lawyers</t>
  </si>
  <si>
    <t>GA treasurers</t>
  </si>
  <si>
    <t>GA commissioners</t>
  </si>
  <si>
    <t>GA clerks</t>
  </si>
  <si>
    <t>GA technical</t>
  </si>
  <si>
    <t>IL judges</t>
  </si>
  <si>
    <t>IL lawyers</t>
  </si>
  <si>
    <t>IL treasurers</t>
  </si>
  <si>
    <t>IL commissioners</t>
  </si>
  <si>
    <t>IL technical</t>
  </si>
  <si>
    <t>IL clerks</t>
  </si>
  <si>
    <t>IN judges</t>
  </si>
  <si>
    <t>IN lawyers</t>
  </si>
  <si>
    <t>IN treasurers</t>
  </si>
  <si>
    <t>IN commissioners</t>
  </si>
  <si>
    <t>IN technical</t>
  </si>
  <si>
    <t>IN clerks</t>
  </si>
  <si>
    <t>IA judges</t>
  </si>
  <si>
    <t>IA lawyers</t>
  </si>
  <si>
    <t>IA treasurers</t>
  </si>
  <si>
    <t>IA commissioners</t>
  </si>
  <si>
    <t>IA clerks</t>
  </si>
  <si>
    <t>WI Woolen manufacturing</t>
  </si>
  <si>
    <t>WI Iron &amp; steel</t>
  </si>
  <si>
    <t>OH Iron &amp; steel</t>
  </si>
  <si>
    <t>IL Iron &amp; steel</t>
  </si>
  <si>
    <t>MI Iron &amp; steel</t>
  </si>
  <si>
    <t>MI copper miner</t>
  </si>
  <si>
    <t>MN common labor</t>
  </si>
  <si>
    <t>IA common labor</t>
  </si>
  <si>
    <t>MO common labor</t>
  </si>
  <si>
    <t>NB common labor</t>
  </si>
  <si>
    <t>KN common labor</t>
  </si>
  <si>
    <t>KN female domestics</t>
  </si>
  <si>
    <t>MN female domestics</t>
  </si>
  <si>
    <t>Carville V. Earle and Ronald Hoffman, "The Foundation of the Modern Economy: Agriculture and the Costs of Labor in the United States and England, 1800-1860," American Historical Review 85 (5) 1980: 1055-94.</t>
  </si>
  <si>
    <t>Bureau of Labor Statistics, History of Wages in the United States From Colonial Times to 1928 (Washington, DC: GPO, 1929), Table D-2, p. 227;</t>
  </si>
  <si>
    <t>building trades</t>
  </si>
  <si>
    <t>Clarence D. Long. 1960. Wages and Earnings in the United States 1860-1890. Princeton, NJ: Princeton University Press.</t>
  </si>
  <si>
    <t>Long (1960), Table A-10, p. 152, based on Aldrich.</t>
  </si>
  <si>
    <t>See 1860 Farm sheet for "board".</t>
  </si>
  <si>
    <t>Public school teachers month = 4.1 weeks Burgess 1920, pp. 33-4.</t>
  </si>
  <si>
    <t>W. Randolph Burgess. 1920. Trends in school costs. New York: Russell Sage Foundation.</t>
  </si>
  <si>
    <t>"Boatmen were not readily distinguishable … from common labor." (p. 322)</t>
  </si>
  <si>
    <t>steamer deck hands</t>
  </si>
  <si>
    <t>OR treasurers</t>
  </si>
  <si>
    <t>PA judges</t>
  </si>
  <si>
    <t>PA commissioners</t>
  </si>
  <si>
    <t>PA technical</t>
  </si>
  <si>
    <t>PA clerks</t>
  </si>
  <si>
    <t>RI clerks</t>
  </si>
  <si>
    <t>RI judges</t>
  </si>
  <si>
    <t>RI lawyers</t>
  </si>
  <si>
    <t>RI commissioners</t>
  </si>
  <si>
    <t>RI treasurers</t>
  </si>
  <si>
    <t>SC judges</t>
  </si>
  <si>
    <t>SC treasurers</t>
  </si>
  <si>
    <t>SC clerks</t>
  </si>
  <si>
    <t>TN judges</t>
  </si>
  <si>
    <t>TN commissioners</t>
  </si>
  <si>
    <t>TN clerks</t>
  </si>
  <si>
    <t>TX judges</t>
  </si>
  <si>
    <t>TX lawyers</t>
  </si>
  <si>
    <t>TX commissioners</t>
  </si>
  <si>
    <t>TX treasurers</t>
  </si>
  <si>
    <t>TX technical</t>
  </si>
  <si>
    <t>VT judges</t>
  </si>
  <si>
    <t>VT lawyers</t>
  </si>
  <si>
    <t>VT commissioners</t>
  </si>
  <si>
    <t>VT treasurers</t>
  </si>
  <si>
    <t>VT clerks</t>
  </si>
  <si>
    <t>VA judges</t>
  </si>
  <si>
    <t>VA lawyers</t>
  </si>
  <si>
    <t>VA commissioners</t>
  </si>
  <si>
    <t>VA treasurers</t>
  </si>
  <si>
    <t>VA clerks</t>
  </si>
  <si>
    <t>WI judges</t>
  </si>
  <si>
    <t>WI lawyers</t>
  </si>
  <si>
    <t>WI commissioners</t>
  </si>
  <si>
    <t>WI treasurers</t>
  </si>
  <si>
    <t>WI clerks</t>
  </si>
  <si>
    <t>KN judges</t>
  </si>
  <si>
    <t>NB judges</t>
  </si>
  <si>
    <t>CA Iron &amp; steel</t>
  </si>
  <si>
    <t>White collar female</t>
  </si>
  <si>
    <t xml:space="preserve">Manufacturing </t>
  </si>
  <si>
    <t>PA clergymen</t>
  </si>
  <si>
    <t>NM common labor</t>
  </si>
  <si>
    <t>UT common labor</t>
  </si>
  <si>
    <t>WA common labor</t>
  </si>
  <si>
    <t>CA common labor</t>
  </si>
  <si>
    <t>CA female domestics</t>
  </si>
  <si>
    <t>OR female domestics</t>
  </si>
  <si>
    <t>1859: Lebergott (1964: Table A-27, p. 543), FTE equivalent.</t>
  </si>
  <si>
    <t>Woolen manufacturing</t>
  </si>
  <si>
    <t>1859: Lebergott (1964: Table A-28, p. 544), FTE equivalent.</t>
  </si>
  <si>
    <t>Iron &amp; steel</t>
  </si>
  <si>
    <t>1859: Lebergott (1964: Table A-29, p. 545). FTE annual earnings.</t>
  </si>
  <si>
    <t>Farm</t>
  </si>
  <si>
    <t>Unskilled Male</t>
  </si>
  <si>
    <t>White collar male</t>
  </si>
  <si>
    <t>Construction</t>
  </si>
  <si>
    <t>Manufacturing</t>
  </si>
  <si>
    <t>Mining</t>
  </si>
  <si>
    <t>Transport</t>
  </si>
  <si>
    <t>Unskilled Female</t>
  </si>
  <si>
    <t>MA Clergymen</t>
  </si>
  <si>
    <t xml:space="preserve">"To make day wages and live-in wages comparable, researchers have valued the income in kind thst contract workers receive at </t>
  </si>
  <si>
    <t xml:space="preserve">approximately 50 percent of their money wages." Since the actual gap "between day wages and monthly per diems was on the </t>
  </si>
  <si>
    <t xml:space="preserve">average 1.8," there was "more than the imputed cost of room and board" at work. (p. 199) </t>
  </si>
  <si>
    <t>Winnifred B. Rothenberg. 1992. From Market-Places to a Market Economy: The Transformation of Rural Massachusetts, 1750-</t>
  </si>
  <si>
    <t>ME Iron &amp; steel</t>
  </si>
  <si>
    <t>NH Iron &amp; steel</t>
  </si>
  <si>
    <t>VT Iron &amp; steel</t>
  </si>
  <si>
    <t>MA Iron &amp; steel</t>
  </si>
  <si>
    <t>RI Iron &amp; steel</t>
  </si>
  <si>
    <t>Unskilled male</t>
  </si>
  <si>
    <t>25.30/mo</t>
  </si>
  <si>
    <t>14.15/mo</t>
  </si>
  <si>
    <t>21wks</t>
  </si>
  <si>
    <t>398/yr</t>
  </si>
  <si>
    <t>234/yr</t>
  </si>
  <si>
    <t>9.25mos</t>
  </si>
  <si>
    <t xml:space="preserve">NC </t>
  </si>
  <si>
    <t>23.00/mo</t>
  </si>
  <si>
    <t>4mos</t>
  </si>
  <si>
    <t>27.82/mo</t>
  </si>
  <si>
    <t>16.29/mo</t>
  </si>
  <si>
    <t>6.2mos</t>
  </si>
  <si>
    <t>PS male</t>
  </si>
  <si>
    <t>PS female</t>
  </si>
  <si>
    <t>HS male</t>
  </si>
  <si>
    <t>HS female</t>
  </si>
  <si>
    <t>66.52/mo</t>
  </si>
  <si>
    <t>33.85/mo</t>
  </si>
  <si>
    <t>8.7mos</t>
  </si>
  <si>
    <t>Assumes MA school days</t>
  </si>
  <si>
    <t>ave 70% female</t>
  </si>
  <si>
    <t>Ratio</t>
  </si>
  <si>
    <t>m/f</t>
  </si>
  <si>
    <t>3.4mos</t>
  </si>
  <si>
    <t>311.12/mo</t>
  </si>
  <si>
    <t>170.95/mo</t>
  </si>
  <si>
    <t>Wall=(%f)Wf+(%m)(US ratio)Wf</t>
  </si>
  <si>
    <t>US=1.8</t>
  </si>
  <si>
    <t>See CA; %f = 84.4 from Go &amp; Lindert (2010, T 2)</t>
  </si>
  <si>
    <t>52.31/yr</t>
  </si>
  <si>
    <t>94.16/yr</t>
  </si>
  <si>
    <t>See CA; %f = 58.9 from Go &amp; Lindert (2010, T 2)</t>
  </si>
  <si>
    <t>49.77/yr</t>
  </si>
  <si>
    <t>89.59/yr</t>
  </si>
  <si>
    <t>See CA; %f = 39 from Go &amp; Lindert (2010, T 2)</t>
  </si>
  <si>
    <t>15.46/mo</t>
  </si>
  <si>
    <t>(@50%)</t>
  </si>
  <si>
    <t>LA treasurers</t>
  </si>
  <si>
    <t>LA technical</t>
  </si>
  <si>
    <t>LA commissioners</t>
  </si>
  <si>
    <t>LA clerk</t>
  </si>
  <si>
    <t>ME judges</t>
  </si>
  <si>
    <t>KY judges</t>
  </si>
  <si>
    <t>KY lawyers</t>
  </si>
  <si>
    <t>KY treasurers</t>
  </si>
  <si>
    <t>KY technical</t>
  </si>
  <si>
    <t>KY commissioners</t>
  </si>
  <si>
    <t>KY clerks</t>
  </si>
  <si>
    <t>LA judges</t>
  </si>
  <si>
    <t>LA lawyers</t>
  </si>
  <si>
    <t>IA female domestics</t>
  </si>
  <si>
    <t>MO female domestics</t>
  </si>
  <si>
    <t>NB female domestics</t>
  </si>
  <si>
    <t>MO Cotton manufacturing</t>
  </si>
  <si>
    <t>MO Woolen manufacturing</t>
  </si>
  <si>
    <t>IA Woolen manufacturing</t>
  </si>
  <si>
    <t>MO Iron &amp; steel</t>
  </si>
  <si>
    <t>MN Iron &amp; steel</t>
  </si>
  <si>
    <t>IA Iron &amp; steel</t>
  </si>
  <si>
    <t>Transportation</t>
  </si>
  <si>
    <t>DE common labor</t>
  </si>
  <si>
    <t>Long (1960), Table A-10, p. 152, based on Weeks.</t>
  </si>
  <si>
    <t>Stanley Lebergott 1964. Manpower in Economic Growth: The American Record since 1800. New York: McGraw-Hill.</t>
  </si>
  <si>
    <t>Lebergott (1960: p. 318) reports for coalmining that in 1860 "91/2 months' months work in not an unreasonable figure." Were they laborers for the other 21/2 months?</t>
  </si>
  <si>
    <t>For copper mining in 1864, he reports a 26-day month (p. 321).</t>
  </si>
  <si>
    <t>Lebergott (1964: Table A-20, p. 329).</t>
  </si>
  <si>
    <t>able-bodied seaman: China</t>
  </si>
  <si>
    <t>able-bodied seaman: US Navy</t>
  </si>
  <si>
    <t>able-bodied seaman: SF</t>
  </si>
  <si>
    <t>yes: board</t>
  </si>
  <si>
    <t>Lebergott (1964: Table A-23, p. 539).</t>
  </si>
  <si>
    <t xml:space="preserve">Adams (1986: p. 629) </t>
  </si>
  <si>
    <t>AL common labor</t>
  </si>
  <si>
    <t>MS common labor</t>
  </si>
  <si>
    <t>KY female domestics</t>
  </si>
  <si>
    <t>TN female domestics</t>
  </si>
  <si>
    <t>OH commissioners</t>
  </si>
  <si>
    <t>OH treasurers</t>
  </si>
  <si>
    <t>OH technical</t>
  </si>
  <si>
    <t>OH clerks</t>
  </si>
  <si>
    <t>OR judges</t>
  </si>
  <si>
    <t>OH judges</t>
  </si>
  <si>
    <t>OH lawyers</t>
  </si>
  <si>
    <t xml:space="preserve">Burgess (1920: Table 2). Cash wages augmented by 71.1% in Vermont (following Go and Lindert 2010, Table 2)  </t>
  </si>
  <si>
    <t>4.47/wk</t>
  </si>
  <si>
    <t>2.93/wk</t>
  </si>
  <si>
    <t>Assumes school year = 21 wks as NH.</t>
  </si>
  <si>
    <t>5.08/wk</t>
  </si>
  <si>
    <t>9.09/wk</t>
  </si>
  <si>
    <t>6.46/wk</t>
  </si>
  <si>
    <t>3.61/wk</t>
  </si>
  <si>
    <t>3.33/wk</t>
  </si>
  <si>
    <t>5.96/wk</t>
  </si>
  <si>
    <t>4.24/wk</t>
  </si>
  <si>
    <t>2.37/wk</t>
  </si>
  <si>
    <t>Assumes NH m/f (1.79) and %f (.7)</t>
  </si>
  <si>
    <t>School employment</t>
  </si>
  <si>
    <t>Days</t>
  </si>
  <si>
    <t>% year</t>
  </si>
  <si>
    <t>and % teaching from IL</t>
  </si>
  <si>
    <t>Like SA</t>
  </si>
  <si>
    <t>18.56/wk</t>
  </si>
  <si>
    <t>6.99/wk</t>
  </si>
  <si>
    <t>13.2/wk</t>
  </si>
  <si>
    <t>4.97/wk</t>
  </si>
  <si>
    <t>Lebergott (1964: p. 333). Pittsburg. Furnished parish house = 25% of cash income.</t>
  </si>
  <si>
    <t>Urban</t>
  </si>
  <si>
    <t>Lebergott (1964: p. 331), and says they include pay and prerequisites.</t>
  </si>
  <si>
    <t>average</t>
  </si>
  <si>
    <t>Female manufacturing</t>
  </si>
  <si>
    <t>NM judges</t>
  </si>
  <si>
    <t>UT judges</t>
  </si>
  <si>
    <t>WA judges</t>
  </si>
  <si>
    <t>NY clergymen</t>
  </si>
  <si>
    <t>CA Common labor</t>
  </si>
  <si>
    <t>CA Clerks</t>
  </si>
  <si>
    <t>CA Artisans</t>
  </si>
  <si>
    <t>OH clergymen</t>
  </si>
  <si>
    <t>Rural Non-Farm</t>
  </si>
  <si>
    <t>PA/DE</t>
  </si>
  <si>
    <t>ME</t>
  </si>
  <si>
    <t>NH</t>
  </si>
  <si>
    <t>ME female domestics</t>
  </si>
  <si>
    <t>NH female domestics</t>
  </si>
  <si>
    <t>VT female domestics</t>
  </si>
  <si>
    <t>MA female domestics</t>
  </si>
  <si>
    <t>RI female domestics</t>
  </si>
  <si>
    <t>CT female domestics</t>
  </si>
  <si>
    <t>CT common labor</t>
  </si>
  <si>
    <t>ME common labor</t>
  </si>
  <si>
    <t>NH common labor</t>
  </si>
  <si>
    <t>VT common labor</t>
  </si>
  <si>
    <t>MA common labor</t>
  </si>
  <si>
    <t>RI common labor</t>
  </si>
  <si>
    <t>CT Cotton manufacturing</t>
  </si>
  <si>
    <t>ME Cotton manufacturing</t>
  </si>
  <si>
    <t>NH Cotton manufacturing</t>
  </si>
  <si>
    <t>VT Cotton manufacturing</t>
  </si>
  <si>
    <t>MA Cotton manufacturing</t>
  </si>
  <si>
    <t>RI Cotton manufacturing</t>
  </si>
  <si>
    <t>CT Woolen manufacturing</t>
  </si>
  <si>
    <t>ME Woolen manufacturing</t>
  </si>
  <si>
    <t>NH Woolen manufacturing</t>
  </si>
  <si>
    <t>VT Woolen manufacturing</t>
  </si>
  <si>
    <t>MA Woolen manufacturing</t>
  </si>
  <si>
    <t>RI Woolen manufacturing</t>
  </si>
  <si>
    <t>CT Iron &amp; steel</t>
  </si>
  <si>
    <t>PA female domestics</t>
  </si>
  <si>
    <t>NY Clergymen</t>
  </si>
  <si>
    <t>NY Cotton manufacturing</t>
  </si>
  <si>
    <t>NJ Cotton manufacturing</t>
  </si>
  <si>
    <t>PA Cotton manufacturing</t>
  </si>
  <si>
    <t>PA Woolen manufacturing</t>
  </si>
  <si>
    <t>NY Woolen manufacturing</t>
  </si>
  <si>
    <t>NJ Woolen manufacturing</t>
  </si>
  <si>
    <t>PA Iron &amp; steel</t>
  </si>
  <si>
    <t>NY Iron &amp; steel</t>
  </si>
  <si>
    <t>NJ Iron &amp; steel</t>
  </si>
  <si>
    <t xml:space="preserve">Technical = chemist, geologist, surveyor, engineer, draughtsman, machinist, professor, </t>
  </si>
  <si>
    <t>19.09/mo</t>
  </si>
  <si>
    <t>7mos, 17days</t>
  </si>
  <si>
    <t>58.84/yr</t>
  </si>
  <si>
    <t>Commissioners, etc. = state printer, inspector, chief of bureau, superintendent, commissioner, and warden.</t>
  </si>
  <si>
    <t>21.15/mo</t>
  </si>
  <si>
    <t>2.04/wk</t>
  </si>
  <si>
    <t>20.8wks</t>
  </si>
  <si>
    <t>48.90/mo</t>
  </si>
  <si>
    <t>We apply the manufacturing and domestic weights to female earnings in these occ. For males, we apply the manufacturing and farm weights, since the clerk data are not relevant for part-time teachers.</t>
  </si>
  <si>
    <t>total</t>
  </si>
  <si>
    <t>Female</t>
  </si>
  <si>
    <t>Female wage for Mountain = male Mountain/Pacific = 307.62/662.64 = 0.464 times female Pacific (774.80) = 359.51.</t>
  </si>
  <si>
    <t>Non-School job</t>
  </si>
  <si>
    <t>annual earnings</t>
  </si>
  <si>
    <t>Non-school job annual earnings are from sheet "1860 teachers notes". The estimates apply non-teaching occupational employment options (census weights) to average FTE annual earnings in those occupations.wage</t>
  </si>
  <si>
    <t>PS teachers</t>
  </si>
  <si>
    <t>ME lawyers</t>
  </si>
  <si>
    <t>ME treasurers</t>
  </si>
  <si>
    <t>ME commissioners</t>
  </si>
  <si>
    <t>ME clerks</t>
  </si>
  <si>
    <t>MD judges</t>
  </si>
  <si>
    <t>MD lawyers</t>
  </si>
  <si>
    <t>MD treasurers</t>
  </si>
  <si>
    <t>MD common labor</t>
  </si>
  <si>
    <t>DC common labor</t>
  </si>
  <si>
    <t>VA common labor</t>
  </si>
  <si>
    <t>WV common labor</t>
  </si>
  <si>
    <t>NC common labor</t>
  </si>
  <si>
    <t>SC common labor</t>
  </si>
  <si>
    <t>GA common labor</t>
  </si>
  <si>
    <t>FL common labor</t>
  </si>
  <si>
    <t>DE female domestics</t>
  </si>
  <si>
    <t>MD female domestics</t>
  </si>
  <si>
    <t>VA female domestics</t>
  </si>
  <si>
    <t>WV female domestics</t>
  </si>
  <si>
    <t>NC female domestics</t>
  </si>
  <si>
    <t>SC female domestics</t>
  </si>
  <si>
    <t>GA female domestics</t>
  </si>
  <si>
    <t>FL female domestics</t>
  </si>
  <si>
    <t>DE Cotton manufacturing</t>
  </si>
  <si>
    <t>MD Cotton manufacturing</t>
  </si>
  <si>
    <t>VA Cotton manufacturing</t>
  </si>
  <si>
    <t>NC Cotton manufacturing</t>
  </si>
  <si>
    <t>SC Cotton manufacturing</t>
  </si>
  <si>
    <t>GA Cotton manufacturing</t>
  </si>
  <si>
    <t>Lebergott (1964: pTable A-20, p. 329).</t>
  </si>
  <si>
    <t>iron miner</t>
  </si>
  <si>
    <t>copper miner</t>
  </si>
  <si>
    <t>Lebergott (1964: Table A-20, p. 529).</t>
  </si>
  <si>
    <t>MD Woolen manufacturing</t>
  </si>
  <si>
    <t>VA Woolen manufacturing</t>
  </si>
  <si>
    <t>NC Woolen manufacturing</t>
  </si>
  <si>
    <t>SC Woolen manufacturing</t>
  </si>
  <si>
    <t>GA Woolen manufacturing</t>
  </si>
  <si>
    <t>DE Iron &amp; steel</t>
  </si>
  <si>
    <t>MD Iron &amp; steel</t>
  </si>
  <si>
    <t>DC Iron &amp; steel</t>
  </si>
  <si>
    <t>VA Iron &amp; steel</t>
  </si>
  <si>
    <t>NC Iron &amp; steel</t>
  </si>
  <si>
    <t>SC Iron &amp; steel</t>
  </si>
  <si>
    <t>GA Iron &amp; steel</t>
  </si>
  <si>
    <t>FL Iron &amp; steel</t>
  </si>
  <si>
    <t>NC public school teacher</t>
  </si>
  <si>
    <t>KY common labor</t>
  </si>
  <si>
    <t>TN common labor</t>
  </si>
  <si>
    <t>NC clerks</t>
  </si>
  <si>
    <t>NY judges</t>
  </si>
  <si>
    <t>NC judges</t>
  </si>
  <si>
    <t>NC commissioners</t>
  </si>
  <si>
    <t>NC treasurers</t>
  </si>
  <si>
    <t>NC technical</t>
  </si>
  <si>
    <t>6.28/wk</t>
  </si>
  <si>
    <t>4.12/wk</t>
  </si>
  <si>
    <t>Non-farm slaves are also assumed to be distributed between rural and urban location in the same way as free labor. See notes "Slave Occ</t>
  </si>
  <si>
    <t>Distribution 1860" for a review of the literature that supports these assumptions.</t>
  </si>
  <si>
    <t>slave common labor</t>
  </si>
  <si>
    <t>slave female unskilled</t>
  </si>
  <si>
    <t>free</t>
  </si>
  <si>
    <t>slave</t>
  </si>
  <si>
    <t>See "1860 Slaves" sheet.</t>
  </si>
  <si>
    <t>Slave unskilled</t>
  </si>
  <si>
    <t>slave unskilled</t>
  </si>
  <si>
    <t>free farm labor</t>
  </si>
  <si>
    <t>slave farm labor</t>
  </si>
  <si>
    <t>Free labor earnings  (no slave labor earnings)</t>
  </si>
  <si>
    <t>MI iron miner</t>
  </si>
  <si>
    <t>WI iron miner</t>
  </si>
  <si>
    <t>MN iron miner</t>
  </si>
  <si>
    <t>AL iron miner</t>
  </si>
  <si>
    <t>AL coal miner</t>
  </si>
  <si>
    <t>DE coal miner</t>
  </si>
  <si>
    <t>WI copper miner</t>
  </si>
  <si>
    <t>NY iron miner</t>
  </si>
  <si>
    <t>MI Lumberman</t>
  </si>
  <si>
    <t>yes: room, board &amp; laundry</t>
  </si>
  <si>
    <t>William Cronon, Nature's Metropolis: Chicago and the Great West (New York: Norton, 1991).</t>
  </si>
  <si>
    <t xml:space="preserve">Nature's Metropolis, fn 60. </t>
  </si>
  <si>
    <t>VT</t>
  </si>
  <si>
    <t>MA</t>
  </si>
  <si>
    <t>RI</t>
  </si>
  <si>
    <t>CT</t>
  </si>
  <si>
    <t>NY</t>
  </si>
  <si>
    <t>NJ</t>
  </si>
  <si>
    <t>PA</t>
  </si>
  <si>
    <t>OH</t>
  </si>
  <si>
    <t>IN</t>
  </si>
  <si>
    <t>IL</t>
  </si>
  <si>
    <t>MI</t>
  </si>
  <si>
    <t>WI</t>
  </si>
  <si>
    <t>MN</t>
  </si>
  <si>
    <t>IA</t>
  </si>
  <si>
    <t>MO</t>
  </si>
  <si>
    <t>NB</t>
  </si>
  <si>
    <t>KN</t>
  </si>
  <si>
    <t>KY</t>
  </si>
  <si>
    <t>TN</t>
  </si>
  <si>
    <t>AL</t>
  </si>
  <si>
    <t>MS</t>
  </si>
  <si>
    <t>DE</t>
  </si>
  <si>
    <t>MD</t>
  </si>
  <si>
    <t>VA</t>
  </si>
  <si>
    <t>NC</t>
  </si>
  <si>
    <t>SC</t>
  </si>
  <si>
    <t>GA</t>
  </si>
  <si>
    <t>FL</t>
  </si>
  <si>
    <t>AK</t>
  </si>
  <si>
    <t>LA</t>
  </si>
  <si>
    <t>TX</t>
  </si>
  <si>
    <t>NM</t>
  </si>
  <si>
    <t>UT</t>
  </si>
  <si>
    <t>WA</t>
  </si>
  <si>
    <t>CA</t>
  </si>
  <si>
    <t>Monthly</t>
  </si>
  <si>
    <t>Annual</t>
  </si>
  <si>
    <t>Average</t>
  </si>
  <si>
    <t>All averages are unweighted.</t>
  </si>
  <si>
    <t>DC clerks</t>
  </si>
  <si>
    <t>DC lawyers</t>
  </si>
  <si>
    <t>DC technical</t>
  </si>
  <si>
    <t>DC judges</t>
  </si>
  <si>
    <t>Annual Earnings</t>
  </si>
  <si>
    <t>Unskilled female</t>
  </si>
  <si>
    <t>NY common labor</t>
  </si>
  <si>
    <t>NJ common labor</t>
  </si>
  <si>
    <t>PA common labor</t>
  </si>
  <si>
    <t>NY female domestics</t>
  </si>
  <si>
    <t>NJ female domestics</t>
  </si>
  <si>
    <t>Domestics &amp;</t>
  </si>
  <si>
    <t>dressmakers</t>
  </si>
  <si>
    <t>North Central</t>
  </si>
  <si>
    <t>South</t>
  </si>
  <si>
    <t>Almanac 1861</t>
  </si>
  <si>
    <t>Almanac 1861 = American Almanac and Repository of Useful Knowledge for the Year 1861 (Boston: Crosby, Nichols, Lee and Co., 1861). Part II, pp. 115-378.</t>
  </si>
  <si>
    <t>Treasurer, etc. = cashier, president state bank, treasurer, currency board president, examiners, comptrollers, and auditors.</t>
  </si>
  <si>
    <t>66.14/yr</t>
  </si>
  <si>
    <t>Takes Lieutenant as average.</t>
  </si>
  <si>
    <t>Math professor</t>
  </si>
  <si>
    <t>Army private</t>
  </si>
  <si>
    <t>Keeper, warehouseman</t>
  </si>
  <si>
    <t>Donald R. Adams, "Prices and Wages in Maryland, 1750-1850," Journal of Economic History 46,3 (September 1986): 625-645.</t>
  </si>
  <si>
    <t>Adams (1986: pp. 629-632) reports for MD  farm labor work month = 26 days was standard, implying 12x26 = 312 days/year.</t>
  </si>
  <si>
    <t xml:space="preserve">Also, the school year was very short, "almost every teacher engaged in some other occupation as well" (p. 34). What would that have been? </t>
  </si>
  <si>
    <t>Did males become white collar with literacy skills, like a clerk? Apparently, females became domestics or manufacturing operatives.</t>
  </si>
  <si>
    <t>Lebergott (1964: p. 318) reports annual earnings</t>
  </si>
  <si>
    <t>coal = 264, iron = 284, copper = 352. However, he also reports</t>
  </si>
  <si>
    <r>
      <rPr>
        <b/>
        <u/>
        <sz val="11"/>
        <color theme="1"/>
        <rFont val="Calibri"/>
        <family val="2"/>
        <scheme val="minor"/>
      </rPr>
      <t>Teachers' in-kind payments</t>
    </r>
    <r>
      <rPr>
        <sz val="11"/>
        <color theme="1"/>
        <rFont val="Calibri"/>
        <family val="2"/>
        <scheme val="minor"/>
      </rPr>
      <t>: teachers were commonly "boarded around" and we take the in kind % of cash wage = 50% as for farm labor.</t>
    </r>
  </si>
  <si>
    <t>15.03/mo</t>
  </si>
  <si>
    <t>8.3/mo</t>
  </si>
  <si>
    <t>10.58/mo</t>
  </si>
  <si>
    <t>1.02/wk</t>
  </si>
  <si>
    <t>24.45/mo</t>
  </si>
  <si>
    <t>9.55/mo</t>
  </si>
  <si>
    <t>12.65/mo</t>
  </si>
  <si>
    <t>7.08/mo</t>
  </si>
  <si>
    <t>199.00/yr</t>
  </si>
  <si>
    <t>117.00/yr</t>
  </si>
  <si>
    <t>14.83/mo</t>
  </si>
  <si>
    <t>9.74/mo</t>
  </si>
  <si>
    <t>0.57/day</t>
  </si>
  <si>
    <t>MD commissioners</t>
  </si>
  <si>
    <t xml:space="preserve">DC commissioners </t>
  </si>
  <si>
    <t>MD clerks</t>
  </si>
  <si>
    <t>MD technical</t>
  </si>
  <si>
    <t>MA judges</t>
  </si>
  <si>
    <t>MA lawyers</t>
  </si>
  <si>
    <t>MA treasurers</t>
  </si>
  <si>
    <t>MA clerks</t>
  </si>
  <si>
    <t>MI judges</t>
  </si>
  <si>
    <t>MI lawyers</t>
  </si>
  <si>
    <t>MI treasurers</t>
  </si>
  <si>
    <t>MI commissioners</t>
  </si>
  <si>
    <t>MI clerks</t>
  </si>
  <si>
    <t>MI technical</t>
  </si>
  <si>
    <t>MN judges</t>
  </si>
  <si>
    <t>MN lawyers</t>
  </si>
  <si>
    <t>MN treasurers</t>
  </si>
  <si>
    <t>MN commissioners</t>
  </si>
  <si>
    <t>MN clerks</t>
  </si>
  <si>
    <t>MS judges</t>
  </si>
  <si>
    <t>MS lawyers</t>
  </si>
  <si>
    <t>MS treasurers</t>
  </si>
  <si>
    <t>MS commissioners</t>
  </si>
  <si>
    <t>MS clerks</t>
  </si>
  <si>
    <t>MS technical</t>
  </si>
  <si>
    <t>MO judges</t>
  </si>
  <si>
    <t>DE Woolen manufacturing</t>
  </si>
  <si>
    <t>manufacturing: children</t>
  </si>
  <si>
    <t>manufacturing: females</t>
  </si>
  <si>
    <t>MO lawyers</t>
  </si>
  <si>
    <t>MO treasurers</t>
  </si>
  <si>
    <t>MO commissioners</t>
  </si>
  <si>
    <t>MO clerks</t>
  </si>
  <si>
    <t>NH judges</t>
  </si>
  <si>
    <t>NH lawyers</t>
  </si>
  <si>
    <t>NH commissioners</t>
  </si>
  <si>
    <t>NH treasurers</t>
  </si>
  <si>
    <t>NH clerks</t>
  </si>
  <si>
    <t>NJ clerks</t>
  </si>
  <si>
    <t>NJ lawyers</t>
  </si>
  <si>
    <t>NJ commissioners</t>
  </si>
  <si>
    <t>NJ technical</t>
  </si>
  <si>
    <t>NJ judges</t>
  </si>
  <si>
    <t>NY clerks</t>
  </si>
  <si>
    <t>NY treasurers</t>
  </si>
  <si>
    <t>NY lawyers</t>
  </si>
  <si>
    <t>NY commissioners</t>
  </si>
  <si>
    <t>NY technical</t>
  </si>
  <si>
    <t>Annual: Lebergott (1964: Tables A-27, A-28, A-29, pp. 543-5. Lebergott says these are FTE adjusted, but he doesn’t tell us how anywhere in the text. Furthermore, since these are average annual earnings of workers, they would include female and child workers. In any case, cotton and woolens are much lower than any other manufacturing estimates we’ve got, and even iron and steel is less than his reported industry-wide average reported elsewhere (Table A-19). Definitely not annual gender-specific FTE. REJECT.</t>
  </si>
  <si>
    <t>Urban Manufacturing</t>
  </si>
  <si>
    <t>Louis Hunter, Steamboats on the Western Rivers (1949), p. 465, cited in Lebergoot (1964: p. 325).</t>
  </si>
  <si>
    <t>coal</t>
  </si>
  <si>
    <t>iron</t>
  </si>
  <si>
    <t>copper</t>
  </si>
  <si>
    <t>coal+iron</t>
  </si>
  <si>
    <t>coal+copper</t>
  </si>
  <si>
    <t>iron+copper</t>
  </si>
  <si>
    <t>all 3</t>
  </si>
  <si>
    <t>NV</t>
  </si>
  <si>
    <t>WV</t>
  </si>
  <si>
    <t>NJ iron miner</t>
  </si>
  <si>
    <t>Boatman</t>
  </si>
  <si>
    <t>deck hand</t>
  </si>
  <si>
    <t>"US" taken from US sheet. While not specifically rural non-farm, they represent the closest the data offer.</t>
  </si>
  <si>
    <t xml:space="preserve">Lebergott (1964: p. 333). Except for (male) circuit riders, married got an allowance of 200. </t>
  </si>
  <si>
    <t xml:space="preserve">Lebergott (1964: p. 333). Single males and circuit riders got an allowance of 100. </t>
  </si>
  <si>
    <t>Clergymen</t>
  </si>
  <si>
    <t>female manufacturing</t>
  </si>
  <si>
    <t>Assume in kind 50% of cash, as for farm labor.</t>
  </si>
  <si>
    <t>Cash wage</t>
  </si>
  <si>
    <t>In kind?</t>
  </si>
  <si>
    <t>In kind payment</t>
  </si>
  <si>
    <t>Non-School</t>
  </si>
  <si>
    <t>Earnings</t>
  </si>
  <si>
    <t>Annual Teacher</t>
  </si>
  <si>
    <t>Who?</t>
  </si>
  <si>
    <t>all</t>
  </si>
  <si>
    <t>213/mo</t>
  </si>
  <si>
    <t>We assume that female teachers were employed the same way as native-born whites: e.g. p. 50: Table 2.5 reports for gainfully employed daughters, 16-25, native-born whites living outside the 98 largest cities, in 1860 (in %):</t>
  </si>
  <si>
    <r>
      <rPr>
        <b/>
        <u/>
        <sz val="11"/>
        <color theme="1"/>
        <rFont val="Calibri"/>
        <family val="2"/>
        <scheme val="minor"/>
      </rPr>
      <t>Non-school employment for teachers</t>
    </r>
    <r>
      <rPr>
        <sz val="11"/>
        <color theme="1"/>
        <rFont val="Calibri"/>
        <family val="2"/>
        <scheme val="minor"/>
      </rPr>
      <t>: Joel Perlmann and Robert A. Margo. 2001. Women’s Work? American Schoolteachers, 1650-1920. Chicago: University of Chicago Press.</t>
    </r>
  </si>
  <si>
    <t>6.6 mos</t>
  </si>
  <si>
    <t>summer 91% female</t>
  </si>
  <si>
    <t>winter 48% female</t>
  </si>
  <si>
    <t>male</t>
  </si>
  <si>
    <t>female</t>
  </si>
  <si>
    <t>30.05/mo</t>
  </si>
  <si>
    <t>16.59/mo</t>
  </si>
  <si>
    <t>7.6mos</t>
  </si>
  <si>
    <t>29.66/mo</t>
  </si>
  <si>
    <t>19.48/mo</t>
  </si>
  <si>
    <t>Cash</t>
  </si>
  <si>
    <t>In kind</t>
  </si>
  <si>
    <t>Total</t>
  </si>
  <si>
    <t>Teacher earnings</t>
  </si>
  <si>
    <t>1.13/day</t>
  </si>
  <si>
    <t>0.86/day</t>
  </si>
  <si>
    <t>77days</t>
  </si>
  <si>
    <t>Long (1960, Table 40, p. 95) reports for 1860 cotton goods industry female/male daily wage ratio of 58.2% But it was almost certainly higher there than in other industries (In 1890, it was 82% in cotton mills and 83% in woolen mills, while the weighted average was 56%. Long, 1960, Table 48, p. 106.). REJECT. The 1860 figure for children in textiles and furniture was 31% (Long, 1960, Table 51, p. 108).</t>
  </si>
  <si>
    <t>Manufacturing wages revised 3-13-2012 by JGW.</t>
  </si>
  <si>
    <t>Long (1960), Table 51, p. 108, 31% of male in textiles and furniture.</t>
  </si>
  <si>
    <t>Thus, FTE are raised accordinly.  We assume iron like copper.</t>
  </si>
  <si>
    <t>that these reflect coal = 9.5 mo/yr, and copper = 11. mo/yr.</t>
  </si>
  <si>
    <t>Based on Burgess (1920), Go and Lindert (2010: Table 2, p. 26) report the following weekly wages for 1861 teachers:</t>
  </si>
  <si>
    <t>All</t>
  </si>
  <si>
    <t>Rural</t>
  </si>
  <si>
    <t>wtd ave</t>
  </si>
  <si>
    <t>$</t>
  </si>
  <si>
    <t>% wtd ave</t>
  </si>
  <si>
    <t>All teachers, urban and rural</t>
  </si>
  <si>
    <t>Average, Rural and Urban Annual Earnings of PS Teachers</t>
  </si>
  <si>
    <t>Average: From "sheet "1860 teachers A".</t>
  </si>
  <si>
    <t xml:space="preserve">  see "1860 teachers notes" sheet.</t>
  </si>
  <si>
    <t>0.43/day</t>
  </si>
  <si>
    <t>29.42/yr</t>
  </si>
  <si>
    <t>47.08/yr</t>
  </si>
  <si>
    <t>26.16/yr</t>
  </si>
  <si>
    <t>13.91/mo</t>
  </si>
  <si>
    <t>8.15/mo</t>
  </si>
  <si>
    <t>33.07/yr</t>
  </si>
  <si>
    <t>44.80/yr</t>
  </si>
  <si>
    <t>24.89/yr</t>
  </si>
  <si>
    <t>11.50/mo</t>
  </si>
  <si>
    <t>7.73/mo</t>
  </si>
  <si>
    <t>106.50/mo</t>
  </si>
  <si>
    <t>155.56/mo</t>
  </si>
  <si>
    <t>85.48/mo</t>
  </si>
  <si>
    <t>Other: unwtd ave</t>
  </si>
  <si>
    <t>Females</t>
  </si>
  <si>
    <t>Males</t>
  </si>
  <si>
    <t>manufacturing: male</t>
  </si>
  <si>
    <t xml:space="preserve">We take the farm retention rate to be 50%, but allow it to be something like 3% higher in rural non-farm areas and something like 10% higher in urban areas to </t>
  </si>
  <si>
    <t>Annual Earnings ($)</t>
  </si>
  <si>
    <t>Lebergott (1964: Table A-21, p. 530). Like farm labor, in kind taken to be 50% of cash wage.</t>
  </si>
  <si>
    <t>Lebergott (1964: p. 325).  Like farm labor, in kind taken to be 50% of cash wage.</t>
  </si>
  <si>
    <t>15-17.5</t>
  </si>
  <si>
    <t>45-52.5</t>
  </si>
  <si>
    <t>1860 Slave income retention rate:</t>
  </si>
  <si>
    <t>ESC/MA ratio of annual earnings in cotton textiles [1859: Lebergott (1964: Table A-27, p. 543), FTE equivalent] = 0.848 times MA urban male manufacturing annual earnings from above (Sokoloff and Villaflor (1992), Table 1.1, p. 36).</t>
  </si>
  <si>
    <t>In US sheet, the ratio of artisans (548.22) to laborers (321.88) = 1.703, and is applied here to common labor.</t>
  </si>
  <si>
    <t>See ENC below. The income of rural clergy were "not equal to the wages of a good journeyman blacksmith" (Lebergott (1964: p. 331), and these figures confirm the statement.</t>
  </si>
  <si>
    <t>See ENC above. The income of rural clergy were "not equal to the wages of a good journeyman blacksmith" (Lebergott (1964: p. 331), and these figures confirm the statement.</t>
  </si>
  <si>
    <t>Building trades</t>
  </si>
  <si>
    <t xml:space="preserve">These US averages cannot have applied to the </t>
  </si>
  <si>
    <t>high-wage Mountain and  Pacific states. Lebergott</t>
  </si>
  <si>
    <t>(1964: p. 541) reports daily wages in the Mtn states</t>
  </si>
  <si>
    <t>1.89 times higher than the US average, and the Pac</t>
  </si>
  <si>
    <t>states 2.5 times higher. We appy these to the relevant</t>
  </si>
  <si>
    <t>western states.</t>
  </si>
  <si>
    <t>OR</t>
  </si>
  <si>
    <t>All others</t>
  </si>
  <si>
    <t>Almanac 1861: military earnings data. Includes "rations" (and "servants" for officers) but 15% added for in-kind rent.</t>
  </si>
  <si>
    <t xml:space="preserve">In US sheet, the ratio of building trades (blacksmiths, carpenters, painters, etc.: 508.94) to artisans (548.22) = 0.928, and is applied here to artisan's average earnings. </t>
  </si>
  <si>
    <t>Male occ weights</t>
  </si>
  <si>
    <t>Male occ annual earnings</t>
  </si>
  <si>
    <t>Female occ weights</t>
  </si>
  <si>
    <t>Female occ annual earnings</t>
  </si>
  <si>
    <t>manufacturing</t>
  </si>
  <si>
    <t>ave</t>
  </si>
  <si>
    <t>Male</t>
  </si>
  <si>
    <t>domestics</t>
  </si>
  <si>
    <t>Army surgeon &lt;10 yrs practice; Navy surgeon</t>
  </si>
  <si>
    <t>Takes captain as average.</t>
  </si>
  <si>
    <t>Army officer</t>
  </si>
  <si>
    <t>Naval officer</t>
  </si>
  <si>
    <t>US worksheet</t>
    <phoneticPr fontId="14" type="noConversion"/>
  </si>
  <si>
    <t>Urban worksheet</t>
    <phoneticPr fontId="14" type="noConversion"/>
  </si>
  <si>
    <t>Rural non-farm worksheet</t>
    <phoneticPr fontId="14" type="noConversion"/>
  </si>
  <si>
    <t>NewEng</t>
    <phoneticPr fontId="14" type="noConversion"/>
  </si>
  <si>
    <t>MidAtl</t>
    <phoneticPr fontId="14" type="noConversion"/>
  </si>
  <si>
    <t xml:space="preserve">HSUS (2006) Ba4225 reports female/male earnings ratios for 1850 (0.485) and 1885 (0.559), a linear interpolation of which for 1860 = 50.6%. </t>
  </si>
  <si>
    <t>Annual Mining</t>
  </si>
  <si>
    <t>FTE Mining</t>
  </si>
  <si>
    <t>Rural and urban: US city and rural PS teachers' weekly wages relative to US average, times the regional average annual earnings figures. The weekly wage relatives come from Go &amp; Lindert (2010: Table 2):</t>
  </si>
  <si>
    <t>PS teacher</t>
  </si>
  <si>
    <t>White collar Female</t>
  </si>
  <si>
    <t>See sheet "1860 teachers B".</t>
  </si>
  <si>
    <t>Includes non-teaching earnings. See sheets "1860 teachers B" and "1860 teachers notes".</t>
  </si>
  <si>
    <t>1860 Slave Retention Rates Assumed (%)</t>
  </si>
  <si>
    <t xml:space="preserve"> </t>
  </si>
  <si>
    <t>Rural non-farm</t>
  </si>
  <si>
    <t>Annual: from Long (1960: Table A-9, pp. 150) and in turn from the Census. These are total wage payments divided by employed workers, thus including the impact of gender, individual worker absence, plant shut down, and all the rest. Definitely not annual gender-specific FTE. REJECT.</t>
  </si>
  <si>
    <t>reflect higher cost of subsistence, the need for somewhat better clothing, and the incentive to be selected for less demanding urban work. See notes</t>
  </si>
  <si>
    <t>"Estimating the Share of Slave Earnings Retained c1860" for a review of the literature that defends the assumptions.</t>
  </si>
  <si>
    <t>The following distributions are implied:</t>
  </si>
  <si>
    <t>Non-farm</t>
  </si>
  <si>
    <t>Unskilled</t>
  </si>
  <si>
    <t>White collar &amp; managers</t>
  </si>
  <si>
    <t xml:space="preserve">Artisans </t>
  </si>
  <si>
    <t xml:space="preserve">   </t>
  </si>
  <si>
    <t>Slave occupation distribution 1860:</t>
  </si>
  <si>
    <t>ENC/MA ratio of annual earnings in cotton textiles [1859: Lebergott (1964: Table A-27, p. 543), FTE equivalent] = 1.065 times MA urban male manufacturing annual earnings from above (Sokoloff and Villaflor (1992), Table 1.1, p. 36).</t>
  </si>
  <si>
    <t>WNC/MA ratio of annual earnings in cotton textiles [1859: Lebergott (1964: Table A-27, p. 543), FTE equivalent] = 0.978 times MA urban male manufacturing annual earnings from above (Sokoloff and Villaflor (1992), Table 1.1, p. 36).</t>
  </si>
  <si>
    <t>Monthly: DE, PA from HSUS (2006: Ba4222-3) and in turn Adams (1982). Adams (pp. 906, 916-917) makes it clear that these are actual individual worker’s monthly earnings, which therefore include plant shut down or individual absence due to health and such. They are NOT FTE, and they are LOW. I don’t see how they can be adjusted to FTE. REJECT.</t>
  </si>
  <si>
    <t>Annual: from Sokoloff and Villaflor (1992: Table 1.1, p. 36). “The [annual] estimates were calculated from straightforward reports of average daily, weekly, or monthly wages for adult males, with annualizations based on assumptions of 12 months, 310 days, or 52 weeks of employment per year.” So, they are clearly FTE, and they seem more like common labor. ACCEPT.</t>
  </si>
  <si>
    <t>Rural Manufacturing</t>
  </si>
  <si>
    <t>On p. 316, he suggests that quarrying and copper</t>
  </si>
  <si>
    <t>mining received the same pay, and so we assume.</t>
  </si>
  <si>
    <t>Quarrying was done in all states.</t>
  </si>
  <si>
    <t>quarrying</t>
  </si>
  <si>
    <t>Annual: from Sokoloff and Vilaflor (1992: Table 1.1, p. 36). “The [annual] estimates were calculated from straightforward reports of average daily, weekly, or monthly wages for adult males, with annualizations based on assumptions of 12 months, 310 days, or 52 weeks of employment per year.” So, they are clearly FTE, and they seem more like common labor. ACCEPT.</t>
  </si>
  <si>
    <t>Female/Male</t>
  </si>
  <si>
    <t>Physicians</t>
  </si>
  <si>
    <t>Lebergott's own regional average daily wage (1964: Table A-25, p. 541).</t>
    <phoneticPr fontId="14" type="noConversion"/>
  </si>
  <si>
    <t>For free adult male common labor</t>
    <phoneticPr fontId="14" type="noConversion"/>
  </si>
  <si>
    <t>n.a.</t>
    <phoneticPr fontId="14" type="noConversion"/>
  </si>
  <si>
    <t>WSC/MA ratio of annual earnings in the average of woolen textiles and iron and steel [1859: Lebergott (1964: Table A-27, p. 543), FTE equivalent] = 1.041 times MA male manufacturing annual earnings from above (Sokoloff and Villaflor (1992), Table 1.1, p. 36).</t>
  </si>
  <si>
    <t>Teacher wage revisions 3-3-15-2012 JGW</t>
  </si>
  <si>
    <t>Male and female manufacturing is urban.</t>
  </si>
  <si>
    <t>Revised manufacturing wages used to revise teachers incomes 3-15-2012 JGW</t>
  </si>
  <si>
    <r>
      <t>East North Cen</t>
    </r>
    <r>
      <rPr>
        <b/>
        <sz val="11"/>
        <color indexed="8"/>
        <rFont val="Calibri"/>
        <family val="2"/>
      </rPr>
      <t>t</t>
    </r>
    <r>
      <rPr>
        <b/>
        <sz val="11"/>
        <color theme="1"/>
        <rFont val="Calibri"/>
        <family val="2"/>
        <scheme val="minor"/>
      </rPr>
      <t>ral</t>
    </r>
    <phoneticPr fontId="14" type="noConversion"/>
  </si>
  <si>
    <t>Lebergott's own regional average daily wage (1964: Table A-25, p. 541).</t>
    <phoneticPr fontId="14" type="noConversion"/>
  </si>
  <si>
    <t>Adult male, rural, weighted times HSUS (2006) Ba4225 reports female/male earnings ratios for 1850 (0.485) and 1885 (0.559), a linear interpolation of which for 1860 = 50.6%.</t>
  </si>
  <si>
    <t>Sokoloff and Villaflor (1992), Table 1.1, p. 36. Adult male, major urban, weighted.</t>
  </si>
  <si>
    <t>Sokoloff and Villaflor (1992), Table 1.1, p. 36. Adult male, urban, weighted.</t>
  </si>
  <si>
    <t>United States and Regions Manufacturing</t>
  </si>
  <si>
    <t>Daily: from Long (1960: Table A-10, p. 152) and in turn from Aldrich and Weeks. These have been multiplied by 313 to get FTE annual. They seem more like common labor. ACCEPT.</t>
  </si>
  <si>
    <t>ESC/MA ratio of annual earnings in cotton textiles [1859: Lebergott (1964: Table A-27, p. 543), FTE equivalent] = 0.848 times MA male manufacturing annual earnings from above (Sokoloff and Villaflor (1992), Table 1.1, p. 36).</t>
  </si>
  <si>
    <t>SouthAtl</t>
    <phoneticPr fontId="14" type="noConversion"/>
  </si>
  <si>
    <t>ENC</t>
    <phoneticPr fontId="14" type="noConversion"/>
  </si>
  <si>
    <t>WNC</t>
    <phoneticPr fontId="14" type="noConversion"/>
  </si>
  <si>
    <t>ESC</t>
    <phoneticPr fontId="14" type="noConversion"/>
  </si>
  <si>
    <t>WSC</t>
    <phoneticPr fontId="14" type="noConversion"/>
  </si>
  <si>
    <t>Mountain</t>
    <phoneticPr fontId="14" type="noConversion"/>
  </si>
  <si>
    <t>Pacific</t>
    <phoneticPr fontId="14" type="noConversion"/>
  </si>
  <si>
    <t>Source cited</t>
    <phoneticPr fontId="14" type="noConversion"/>
  </si>
  <si>
    <t>common labor</t>
    <phoneticPr fontId="14" type="noConversion"/>
  </si>
  <si>
    <t>WNC/MA ratio of annual earnings in cotton textiles [1859: Lebergott (1964: Table A-27, p. 543), FTE equivalent] = 0.978 times MA male manufacturing annual earnings from above (Sokoloff and Villaflor (1992), Table 1.1, p. 36).</t>
  </si>
  <si>
    <t>SA/MA ratio of annual earnings in cotton textiles [1859: Lebergott (1964: Table A-27, p. 543), FTE equivalent] = 0.913 times MA male manufacturing annual earnings from above (Sokoloff and Villaflor (1992), Table 1.1, p. 36).</t>
  </si>
  <si>
    <t xml:space="preserve">Drawn from HSUS are limited averages for all regions except Mid Atlantic; for Mid Atlantic, urban = rural = US (same Lebergott figure). </t>
    <phoneticPr fontId="14" type="noConversion"/>
  </si>
  <si>
    <t>HSUS (2006) Ba4254, "Northeast"</t>
    <phoneticPr fontId="14" type="noConversion"/>
  </si>
  <si>
    <t>HSUS (2006) Ba4271 (Weeks Report)</t>
    <phoneticPr fontId="14" type="noConversion"/>
  </si>
  <si>
    <t>no</t>
    <phoneticPr fontId="14" type="noConversion"/>
  </si>
  <si>
    <t>ENC/MA ratio of annual earnings in cotton textiles [1859: Lebergott (1964: Table A-27, p. 543), FTE equivalent] = 1.065 times MA male manufacturing annual earnings from above (Sokoloff and Villaflor (1992), Table 1.1, p. 36) .</t>
  </si>
  <si>
    <t>Annual: from Long (1960: Table A-9, pp. 150-1) and in turn from the Census. These are total wage payments divided by employed workers, thus including the impact of gender, individual worker absence, plant shut down, and all the rest. Definitely not annual gender-specific FTE. REJECT.</t>
  </si>
  <si>
    <t>HSUS Series 4272 [Weeks Report] times 313 days.</t>
    <phoneticPr fontId="14" type="noConversion"/>
  </si>
  <si>
    <t>SA/MA ratio of annual earnings in cotton textiles [1859: Lebergott (1964: Table A-27, p. 543), FTE equivalent] = 0.913 times MA urban male manufacturing annual earnings from above (Sokoloff and Villaflor (1992), Table 1.1, p. 36).</t>
  </si>
  <si>
    <t>WSC/MA ratio of annual earnings in the average of woolen textiles and iron and steel [1859: Lebergott (1964: Table A-27, p. 543), FTE equivalent] = 1.041 times MA urban male manufacturing annual earnings from above (Sokoloff and Villaflor (1992), Table 1.1, p. 36).</t>
  </si>
  <si>
    <t>HSUS (2006) Ba4225 reports female/male earnings ratios for 1850 (0.485) and 1885 (0.559), a linear interpolation of which for 1860 = 50.6%. ACCEPT. Women accounted for 19.6% of the 1860 manufacturing labor force, and children 5% (Long 1960, Table 16, p. 45).</t>
  </si>
  <si>
    <t>NewEng = same Lebergott, but only averaging ME, NH, and VT; ENC = eclectic mix; WNC = Lebergott again.</t>
    <phoneticPr fontId="14" type="noConversion"/>
  </si>
  <si>
    <t>Notes --&gt;</t>
    <phoneticPr fontId="14" type="noConversion"/>
  </si>
  <si>
    <t>Adult male, major urban, weighted times HSUS (2006) Ba4225 reports female/male earnings ratios for 1850 (0.485) and 1885 (0.559), a linear interpolation of which for 1860 = 50.6%.</t>
  </si>
  <si>
    <t>Adult male, urban, weighted times HSUS (2006) Ba4225 reports female/male earnings ratios for 1850 (0.485) and 1885 (0.559), a linear interpolation of which for 1860 = 50.6%.</t>
  </si>
  <si>
    <t>Sokoloff and Villaflor (1992), Table 1.1, p. 36. Adult male, rural, weighted.</t>
  </si>
  <si>
    <t>Additional sources: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</si>
</sst>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164" formatCode="0.0000"/>
    <numFmt numFmtId="165" formatCode="0.000"/>
  </numFmts>
  <fonts count="28" x14ac:knownFonts="1">
    <font>
      <sz val="11"/>
      <color theme="1"/>
      <name val="Calibri"/>
      <family val="2"/>
      <scheme val="minor"/>
    </font>
    <font>
      <b/>
      <sz val="11"/>
      <color theme="1"/>
      <name val="Calibri"/>
      <family val="2"/>
      <scheme val="minor"/>
    </font>
    <font>
      <b/>
      <i/>
      <sz val="11"/>
      <color theme="1"/>
      <name val="Calibri"/>
      <family val="2"/>
      <scheme val="minor"/>
    </font>
    <font>
      <b/>
      <u/>
      <sz val="11"/>
      <color theme="1"/>
      <name val="Calibri"/>
      <family val="2"/>
      <scheme val="minor"/>
    </font>
    <font>
      <b/>
      <sz val="18"/>
      <color theme="1"/>
      <name val="Calibri"/>
      <family val="2"/>
      <scheme val="minor"/>
    </font>
    <font>
      <sz val="12"/>
      <color indexed="8"/>
      <name val="Times New Roman"/>
      <family val="1"/>
    </font>
    <font>
      <b/>
      <sz val="12"/>
      <color indexed="8"/>
      <name val="Times New Roman"/>
      <family val="1"/>
    </font>
    <font>
      <b/>
      <sz val="14"/>
      <color theme="1"/>
      <name val="Calibri"/>
      <family val="2"/>
      <scheme val="minor"/>
    </font>
    <font>
      <b/>
      <sz val="14"/>
      <color indexed="8"/>
      <name val="Times New Roman"/>
      <family val="1"/>
    </font>
    <font>
      <b/>
      <u/>
      <sz val="11"/>
      <color rgb="FF000000"/>
      <name val="Calibri"/>
      <family val="2"/>
      <scheme val="minor"/>
    </font>
    <font>
      <sz val="11"/>
      <color rgb="FF000000"/>
      <name val="Calibri"/>
      <family val="2"/>
      <scheme val="minor"/>
    </font>
    <font>
      <b/>
      <sz val="16"/>
      <color rgb="FFFF0000"/>
      <name val="Calibri"/>
      <family val="2"/>
      <scheme val="minor"/>
    </font>
    <font>
      <b/>
      <sz val="11"/>
      <color rgb="FFFF0000"/>
      <name val="Calibri"/>
      <family val="2"/>
      <scheme val="minor"/>
    </font>
    <font>
      <sz val="11"/>
      <color indexed="8"/>
      <name val="Calibri"/>
      <family val="2"/>
    </font>
    <font>
      <sz val="8"/>
      <name val="Verdana"/>
    </font>
    <font>
      <b/>
      <sz val="11"/>
      <color indexed="8"/>
      <name val="Calibri"/>
      <family val="2"/>
    </font>
    <font>
      <b/>
      <sz val="11"/>
      <color indexed="10"/>
      <name val="Calibri"/>
      <family val="2"/>
    </font>
    <font>
      <b/>
      <u/>
      <sz val="12"/>
      <color indexed="8"/>
      <name val="Calibri"/>
    </font>
    <font>
      <b/>
      <sz val="14"/>
      <color indexed="10"/>
      <name val="Calibri"/>
    </font>
    <font>
      <sz val="11"/>
      <color indexed="10"/>
      <name val="Calibri"/>
    </font>
    <font>
      <b/>
      <sz val="16"/>
      <color indexed="10"/>
      <name val="Calibri"/>
      <family val="2"/>
    </font>
    <font>
      <b/>
      <sz val="12"/>
      <color indexed="8"/>
      <name val="Calibri"/>
    </font>
    <font>
      <sz val="12"/>
      <color indexed="8"/>
      <name val="Calibri"/>
    </font>
    <font>
      <i/>
      <sz val="12"/>
      <color indexed="8"/>
      <name val="Calibri"/>
    </font>
    <font>
      <u/>
      <sz val="12"/>
      <color indexed="8"/>
      <name val="Calibri"/>
    </font>
    <font>
      <b/>
      <sz val="14"/>
      <color indexed="8"/>
      <name val="Calibri"/>
      <family val="2"/>
    </font>
    <font>
      <sz val="11"/>
      <color theme="1"/>
      <name val="Calibri (Body)"/>
    </font>
    <font>
      <sz val="14"/>
      <color theme="1"/>
      <name val="Calibri"/>
      <scheme val="minor"/>
    </font>
  </fonts>
  <fills count="14">
    <fill>
      <patternFill patternType="none"/>
    </fill>
    <fill>
      <patternFill patternType="gray125"/>
    </fill>
    <fill>
      <patternFill patternType="solid">
        <fgColor indexed="15"/>
        <bgColor indexed="64"/>
      </patternFill>
    </fill>
    <fill>
      <patternFill patternType="solid">
        <fgColor indexed="41"/>
        <bgColor indexed="64"/>
      </patternFill>
    </fill>
    <fill>
      <patternFill patternType="solid">
        <fgColor indexed="11"/>
        <bgColor indexed="64"/>
      </patternFill>
    </fill>
    <fill>
      <patternFill patternType="solid">
        <fgColor indexed="42"/>
        <bgColor indexed="64"/>
      </patternFill>
    </fill>
    <fill>
      <patternFill patternType="solid">
        <fgColor indexed="45"/>
        <bgColor indexed="64"/>
      </patternFill>
    </fill>
    <fill>
      <patternFill patternType="solid">
        <fgColor indexed="51"/>
        <bgColor indexed="64"/>
      </patternFill>
    </fill>
    <fill>
      <patternFill patternType="solid">
        <fgColor indexed="47"/>
        <bgColor indexed="64"/>
      </patternFill>
    </fill>
    <fill>
      <patternFill patternType="solid">
        <fgColor indexed="43"/>
        <bgColor indexed="64"/>
      </patternFill>
    </fill>
    <fill>
      <patternFill patternType="solid">
        <fgColor indexed="13"/>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rgb="FFFF99CC"/>
        <bgColor indexed="64"/>
      </patternFill>
    </fill>
  </fills>
  <borders count="11">
    <border>
      <left/>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74">
    <xf numFmtId="0" fontId="0" fillId="0" borderId="0" xfId="0"/>
    <xf numFmtId="0" fontId="1"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right"/>
    </xf>
    <xf numFmtId="0" fontId="0" fillId="0" borderId="0" xfId="0" applyFont="1"/>
    <xf numFmtId="0" fontId="0" fillId="0" borderId="0" xfId="0" applyFont="1" applyAlignment="1">
      <alignment horizontal="center"/>
    </xf>
    <xf numFmtId="0" fontId="1" fillId="0" borderId="0" xfId="0" applyFont="1" applyAlignment="1">
      <alignment horizontal="right"/>
    </xf>
    <xf numFmtId="0" fontId="1" fillId="0" borderId="0" xfId="0" applyFont="1" applyAlignment="1">
      <alignment horizontal="left"/>
    </xf>
    <xf numFmtId="0" fontId="0" fillId="0" borderId="0" xfId="0" applyFont="1" applyAlignment="1">
      <alignment horizontal="right"/>
    </xf>
    <xf numFmtId="0" fontId="0" fillId="0" borderId="0" xfId="0" applyFont="1" applyAlignment="1">
      <alignment horizontal="left"/>
    </xf>
    <xf numFmtId="0" fontId="1" fillId="0" borderId="0" xfId="0" applyFont="1" applyAlignment="1">
      <alignment horizontal="center"/>
    </xf>
    <xf numFmtId="0" fontId="0" fillId="0" borderId="0" xfId="0" applyAlignment="1">
      <alignment horizontal="center"/>
    </xf>
    <xf numFmtId="2" fontId="0" fillId="0" borderId="0" xfId="0" applyNumberFormat="1" applyFont="1" applyAlignment="1">
      <alignment horizontal="center"/>
    </xf>
    <xf numFmtId="2" fontId="1" fillId="0" borderId="0" xfId="0" applyNumberFormat="1" applyFont="1" applyAlignment="1">
      <alignment horizontal="center"/>
    </xf>
    <xf numFmtId="0" fontId="1" fillId="0" borderId="0" xfId="0" applyFont="1" applyAlignment="1">
      <alignment horizontal="center"/>
    </xf>
    <xf numFmtId="0" fontId="0" fillId="0" borderId="0" xfId="0" applyAlignment="1">
      <alignment horizontal="center"/>
    </xf>
    <xf numFmtId="3" fontId="0" fillId="0" borderId="0" xfId="0" applyNumberFormat="1" applyAlignment="1">
      <alignment horizontal="center"/>
    </xf>
    <xf numFmtId="0" fontId="0" fillId="0" borderId="0" xfId="0" applyFont="1" applyAlignment="1">
      <alignment horizontal="left"/>
    </xf>
    <xf numFmtId="0" fontId="0" fillId="0" borderId="0" xfId="0" applyAlignment="1">
      <alignment horizontal="left"/>
    </xf>
    <xf numFmtId="3" fontId="0" fillId="0" borderId="0" xfId="0" applyNumberFormat="1" applyAlignment="1">
      <alignment horizontal="left"/>
    </xf>
    <xf numFmtId="0" fontId="0" fillId="0" borderId="0" xfId="0" applyAlignment="1">
      <alignment vertical="center"/>
    </xf>
    <xf numFmtId="2" fontId="0" fillId="0" borderId="0" xfId="0" applyNumberFormat="1" applyAlignment="1">
      <alignment horizontal="right"/>
    </xf>
    <xf numFmtId="2" fontId="0" fillId="0" borderId="0" xfId="0" applyNumberFormat="1" applyAlignment="1">
      <alignment horizontal="center"/>
    </xf>
    <xf numFmtId="2" fontId="0" fillId="0" borderId="0" xfId="0" applyNumberFormat="1"/>
    <xf numFmtId="0" fontId="0" fillId="0" borderId="0" xfId="0" applyAlignment="1">
      <alignment horizontal="left"/>
    </xf>
    <xf numFmtId="0" fontId="0" fillId="0" borderId="0" xfId="0" applyAlignment="1">
      <alignment horizontal="center"/>
    </xf>
    <xf numFmtId="2" fontId="0" fillId="0" borderId="0" xfId="0" applyNumberFormat="1" applyFont="1" applyAlignment="1">
      <alignment horizontal="right"/>
    </xf>
    <xf numFmtId="4" fontId="0" fillId="0" borderId="0" xfId="0" applyNumberFormat="1" applyAlignment="1">
      <alignment horizontal="center"/>
    </xf>
    <xf numFmtId="4" fontId="1" fillId="0" borderId="0" xfId="0" applyNumberFormat="1" applyFont="1" applyAlignment="1">
      <alignment horizontal="center"/>
    </xf>
    <xf numFmtId="0" fontId="4" fillId="0" borderId="0" xfId="0" applyFont="1"/>
    <xf numFmtId="0" fontId="5" fillId="0" borderId="0" xfId="0" applyFont="1" applyAlignment="1">
      <alignment vertical="center"/>
    </xf>
    <xf numFmtId="0" fontId="5" fillId="0" borderId="0" xfId="0" applyFont="1" applyAlignment="1">
      <alignment horizontal="center" vertical="center"/>
    </xf>
    <xf numFmtId="0" fontId="7" fillId="0" borderId="0" xfId="0" applyFont="1"/>
    <xf numFmtId="164" fontId="5" fillId="0" borderId="0" xfId="0" applyNumberFormat="1" applyFont="1" applyAlignment="1">
      <alignment vertical="center"/>
    </xf>
    <xf numFmtId="0" fontId="0" fillId="0" borderId="0" xfId="0" applyFont="1" applyAlignment="1">
      <alignment horizontal="left"/>
    </xf>
    <xf numFmtId="0" fontId="0" fillId="0" borderId="0" xfId="0" applyAlignment="1">
      <alignment horizontal="left"/>
    </xf>
    <xf numFmtId="0" fontId="0" fillId="0" borderId="0" xfId="0" applyAlignment="1">
      <alignment horizontal="center"/>
    </xf>
    <xf numFmtId="0" fontId="0" fillId="0" borderId="0" xfId="0" applyAlignment="1">
      <alignment horizontal="center"/>
    </xf>
    <xf numFmtId="0" fontId="0" fillId="0" borderId="0" xfId="0" applyAlignment="1">
      <alignment horizontal="left"/>
    </xf>
    <xf numFmtId="0" fontId="0" fillId="0" borderId="0" xfId="0" applyAlignment="1">
      <alignment horizontal="center"/>
    </xf>
    <xf numFmtId="0" fontId="1" fillId="0" borderId="0" xfId="0" applyFont="1" applyAlignment="1">
      <alignment horizontal="center"/>
    </xf>
    <xf numFmtId="0" fontId="3"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Fill="1"/>
    <xf numFmtId="0" fontId="10" fillId="0" borderId="0" xfId="0" applyFont="1"/>
    <xf numFmtId="0" fontId="0" fillId="0" borderId="0" xfId="0" applyAlignment="1">
      <alignment horizontal="left"/>
    </xf>
    <xf numFmtId="0" fontId="12" fillId="0" borderId="0" xfId="0" applyFont="1"/>
    <xf numFmtId="2" fontId="12" fillId="0" borderId="0" xfId="0" applyNumberFormat="1" applyFont="1" applyAlignment="1">
      <alignment horizontal="right"/>
    </xf>
    <xf numFmtId="2" fontId="12" fillId="0" borderId="0" xfId="0" applyNumberFormat="1" applyFont="1"/>
    <xf numFmtId="0" fontId="11" fillId="0" borderId="0" xfId="0" applyFont="1"/>
    <xf numFmtId="0" fontId="12" fillId="0" borderId="0" xfId="0" applyFont="1" applyAlignment="1">
      <alignment horizontal="right"/>
    </xf>
    <xf numFmtId="0" fontId="0" fillId="0" borderId="0" xfId="0" applyAlignment="1">
      <alignment horizontal="left"/>
    </xf>
    <xf numFmtId="0" fontId="1" fillId="2" borderId="0" xfId="0" applyFont="1" applyFill="1"/>
    <xf numFmtId="0" fontId="1" fillId="2" borderId="0" xfId="0" applyFont="1" applyFill="1" applyAlignment="1">
      <alignment horizontal="right"/>
    </xf>
    <xf numFmtId="0" fontId="0" fillId="2" borderId="0" xfId="0" applyFont="1" applyFill="1" applyAlignment="1">
      <alignment horizontal="right"/>
    </xf>
    <xf numFmtId="0" fontId="1" fillId="3" borderId="0" xfId="0" applyFont="1" applyFill="1" applyAlignment="1">
      <alignment horizontal="left"/>
    </xf>
    <xf numFmtId="0" fontId="1" fillId="3" borderId="0" xfId="0" applyFont="1" applyFill="1" applyAlignment="1">
      <alignment horizontal="right"/>
    </xf>
    <xf numFmtId="0" fontId="0" fillId="3" borderId="0" xfId="0" applyFont="1" applyFill="1" applyAlignment="1">
      <alignment horizontal="right"/>
    </xf>
    <xf numFmtId="0" fontId="1" fillId="4" borderId="0" xfId="0" applyFont="1" applyFill="1" applyAlignment="1">
      <alignment horizontal="left"/>
    </xf>
    <xf numFmtId="0" fontId="1" fillId="4" borderId="0" xfId="0" applyFont="1" applyFill="1" applyAlignment="1">
      <alignment horizontal="right"/>
    </xf>
    <xf numFmtId="0" fontId="0" fillId="4" borderId="0" xfId="0" applyFont="1" applyFill="1" applyAlignment="1">
      <alignment horizontal="right"/>
    </xf>
    <xf numFmtId="0" fontId="1" fillId="5" borderId="0" xfId="0" applyFont="1" applyFill="1" applyAlignment="1">
      <alignment horizontal="left"/>
    </xf>
    <xf numFmtId="0" fontId="1" fillId="5" borderId="0" xfId="0" applyFont="1" applyFill="1" applyAlignment="1">
      <alignment horizontal="right"/>
    </xf>
    <xf numFmtId="0" fontId="0" fillId="5" borderId="0" xfId="0" applyFont="1" applyFill="1" applyAlignment="1">
      <alignment horizontal="right"/>
    </xf>
    <xf numFmtId="0" fontId="1" fillId="6" borderId="0" xfId="0" applyFont="1" applyFill="1" applyAlignment="1">
      <alignment horizontal="left"/>
    </xf>
    <xf numFmtId="0" fontId="1" fillId="6" borderId="0" xfId="0" applyFont="1" applyFill="1" applyAlignment="1">
      <alignment horizontal="right"/>
    </xf>
    <xf numFmtId="0" fontId="0" fillId="6" borderId="0" xfId="0" applyFill="1"/>
    <xf numFmtId="0" fontId="0" fillId="6" borderId="0" xfId="0" applyFont="1" applyFill="1" applyAlignment="1">
      <alignment horizontal="right"/>
    </xf>
    <xf numFmtId="0" fontId="1" fillId="7" borderId="0" xfId="0" applyFont="1" applyFill="1" applyAlignment="1">
      <alignment horizontal="left"/>
    </xf>
    <xf numFmtId="0" fontId="1" fillId="7" borderId="0" xfId="0" applyFont="1" applyFill="1" applyAlignment="1">
      <alignment horizontal="right"/>
    </xf>
    <xf numFmtId="0" fontId="0" fillId="7" borderId="0" xfId="0" applyFont="1" applyFill="1" applyAlignment="1">
      <alignment horizontal="right"/>
    </xf>
    <xf numFmtId="0" fontId="1" fillId="8" borderId="0" xfId="0" applyFont="1" applyFill="1" applyAlignment="1">
      <alignment horizontal="left"/>
    </xf>
    <xf numFmtId="0" fontId="1" fillId="8" borderId="0" xfId="0" applyFont="1" applyFill="1" applyAlignment="1">
      <alignment horizontal="right"/>
    </xf>
    <xf numFmtId="0" fontId="0" fillId="8" borderId="0" xfId="0" applyFont="1" applyFill="1" applyAlignment="1">
      <alignment horizontal="right"/>
    </xf>
    <xf numFmtId="0" fontId="1" fillId="9" borderId="0" xfId="0" applyFont="1" applyFill="1"/>
    <xf numFmtId="0" fontId="1" fillId="9" borderId="0" xfId="0" applyFont="1" applyFill="1" applyAlignment="1">
      <alignment horizontal="right"/>
    </xf>
    <xf numFmtId="0" fontId="0" fillId="9" borderId="0" xfId="0" applyFont="1" applyFill="1" applyAlignment="1">
      <alignment horizontal="right"/>
    </xf>
    <xf numFmtId="0" fontId="1" fillId="10" borderId="0" xfId="0" applyFont="1" applyFill="1"/>
    <xf numFmtId="0" fontId="1" fillId="10" borderId="0" xfId="0" applyFont="1" applyFill="1" applyAlignment="1">
      <alignment horizontal="right"/>
    </xf>
    <xf numFmtId="0" fontId="0" fillId="10" borderId="0" xfId="0" applyFont="1" applyFill="1" applyAlignment="1">
      <alignment horizontal="right"/>
    </xf>
    <xf numFmtId="2" fontId="0" fillId="0" borderId="0" xfId="0" applyNumberFormat="1"/>
    <xf numFmtId="2" fontId="0" fillId="0" borderId="0" xfId="0" applyNumberFormat="1" applyAlignment="1">
      <alignment horizontal="right"/>
    </xf>
    <xf numFmtId="0" fontId="16" fillId="0" borderId="0" xfId="0" applyFont="1"/>
    <xf numFmtId="0" fontId="16" fillId="0" borderId="0" xfId="0" applyFont="1" applyAlignment="1">
      <alignment horizontal="left"/>
    </xf>
    <xf numFmtId="0" fontId="17" fillId="0" borderId="0" xfId="0" applyFont="1"/>
    <xf numFmtId="0" fontId="1" fillId="5" borderId="0" xfId="0" applyFont="1" applyFill="1"/>
    <xf numFmtId="0" fontId="1" fillId="3" borderId="0" xfId="0" applyFont="1" applyFill="1"/>
    <xf numFmtId="0" fontId="0" fillId="4" borderId="0" xfId="0" applyFill="1"/>
    <xf numFmtId="0" fontId="1" fillId="4" borderId="0" xfId="0" applyFont="1" applyFill="1"/>
    <xf numFmtId="0" fontId="0" fillId="5" borderId="0" xfId="0" applyFill="1"/>
    <xf numFmtId="0" fontId="0" fillId="7" borderId="0" xfId="0" applyFill="1"/>
    <xf numFmtId="0" fontId="1" fillId="7" borderId="0" xfId="0" applyFont="1" applyFill="1"/>
    <xf numFmtId="0" fontId="1" fillId="9" borderId="0" xfId="0" applyFont="1" applyFill="1" applyAlignment="1">
      <alignment horizontal="left"/>
    </xf>
    <xf numFmtId="0" fontId="0" fillId="9" borderId="0" xfId="0" applyFill="1"/>
    <xf numFmtId="0" fontId="1" fillId="6" borderId="0" xfId="0" applyFont="1" applyFill="1"/>
    <xf numFmtId="2" fontId="0" fillId="0" borderId="1" xfId="0" applyNumberFormat="1" applyBorder="1" applyAlignment="1">
      <alignment horizontal="right"/>
    </xf>
    <xf numFmtId="2" fontId="0" fillId="0" borderId="2" xfId="0" applyNumberFormat="1" applyBorder="1" applyAlignment="1">
      <alignment horizontal="right"/>
    </xf>
    <xf numFmtId="2" fontId="0" fillId="0" borderId="3" xfId="0" applyNumberFormat="1" applyBorder="1" applyAlignment="1">
      <alignment horizontal="right"/>
    </xf>
    <xf numFmtId="0" fontId="1" fillId="8" borderId="0" xfId="0" applyFont="1" applyFill="1"/>
    <xf numFmtId="0" fontId="0" fillId="8" borderId="0" xfId="0" applyFill="1"/>
    <xf numFmtId="2" fontId="0" fillId="0" borderId="0" xfId="0" applyNumberFormat="1" applyAlignment="1"/>
    <xf numFmtId="2" fontId="13" fillId="0" borderId="0" xfId="0" applyNumberFormat="1" applyFont="1" applyAlignment="1"/>
    <xf numFmtId="2" fontId="0" fillId="0" borderId="5" xfId="0" applyNumberFormat="1" applyBorder="1" applyAlignment="1">
      <alignment horizontal="right"/>
    </xf>
    <xf numFmtId="2" fontId="0" fillId="0" borderId="5" xfId="0" applyNumberFormat="1" applyBorder="1"/>
    <xf numFmtId="2" fontId="0" fillId="0" borderId="6" xfId="0" applyNumberFormat="1" applyBorder="1"/>
    <xf numFmtId="0" fontId="0" fillId="0" borderId="0" xfId="0" applyAlignment="1">
      <alignment horizontal="left"/>
    </xf>
    <xf numFmtId="2" fontId="16" fillId="0" borderId="0" xfId="0" applyNumberFormat="1" applyFont="1"/>
    <xf numFmtId="2" fontId="16" fillId="0" borderId="0" xfId="0" applyNumberFormat="1" applyFont="1" applyAlignment="1">
      <alignment horizontal="right"/>
    </xf>
    <xf numFmtId="2" fontId="0" fillId="0" borderId="4" xfId="0" applyNumberFormat="1" applyBorder="1"/>
    <xf numFmtId="2" fontId="0" fillId="0" borderId="7" xfId="0" applyNumberFormat="1" applyBorder="1"/>
    <xf numFmtId="2" fontId="0" fillId="0" borderId="1" xfId="0" applyNumberFormat="1" applyBorder="1"/>
    <xf numFmtId="2" fontId="0" fillId="0" borderId="3" xfId="0" applyNumberFormat="1" applyBorder="1"/>
    <xf numFmtId="2" fontId="0" fillId="0" borderId="8" xfId="0" applyNumberFormat="1" applyBorder="1"/>
    <xf numFmtId="2" fontId="0" fillId="0" borderId="9" xfId="0" applyNumberFormat="1" applyBorder="1"/>
    <xf numFmtId="0" fontId="18" fillId="0" borderId="0" xfId="0" applyFont="1"/>
    <xf numFmtId="2" fontId="16" fillId="0" borderId="4" xfId="0" applyNumberFormat="1" applyFont="1" applyBorder="1" applyAlignment="1">
      <alignment horizontal="left"/>
    </xf>
    <xf numFmtId="0" fontId="19" fillId="0" borderId="0" xfId="0" applyFont="1"/>
    <xf numFmtId="0" fontId="19" fillId="0" borderId="0" xfId="0" applyFont="1" applyAlignment="1">
      <alignment horizontal="center"/>
    </xf>
    <xf numFmtId="0" fontId="19" fillId="0" borderId="0" xfId="0" applyFont="1" applyFill="1"/>
    <xf numFmtId="2" fontId="19" fillId="0" borderId="0" xfId="0" applyNumberFormat="1" applyFont="1" applyFill="1" applyAlignment="1">
      <alignment horizontal="center"/>
    </xf>
    <xf numFmtId="2" fontId="16" fillId="0" borderId="0" xfId="0" applyNumberFormat="1" applyFont="1" applyFill="1" applyAlignment="1">
      <alignment horizontal="center"/>
    </xf>
    <xf numFmtId="0" fontId="19" fillId="0" borderId="0" xfId="0" applyFont="1" applyFill="1" applyAlignment="1">
      <alignment horizontal="left"/>
    </xf>
    <xf numFmtId="0" fontId="1" fillId="0" borderId="0" xfId="0" applyFont="1" applyAlignment="1">
      <alignment horizontal="center"/>
    </xf>
    <xf numFmtId="0" fontId="0" fillId="0" borderId="0" xfId="0" applyAlignment="1">
      <alignment horizontal="center"/>
    </xf>
    <xf numFmtId="0" fontId="15" fillId="0" borderId="0" xfId="0" applyFont="1"/>
    <xf numFmtId="0" fontId="20" fillId="0" borderId="0" xfId="0" applyFont="1" applyFill="1"/>
    <xf numFmtId="0" fontId="21" fillId="0" borderId="8" xfId="0" applyFont="1" applyBorder="1"/>
    <xf numFmtId="0" fontId="0" fillId="0" borderId="9" xfId="0" applyBorder="1"/>
    <xf numFmtId="0" fontId="0" fillId="5" borderId="10" xfId="0" applyFill="1" applyBorder="1" applyAlignment="1">
      <alignment horizontal="left"/>
    </xf>
    <xf numFmtId="0" fontId="22" fillId="0" borderId="0" xfId="0" applyFont="1"/>
    <xf numFmtId="0" fontId="22" fillId="0" borderId="0" xfId="0" applyFont="1" applyAlignment="1">
      <alignment horizontal="right"/>
    </xf>
    <xf numFmtId="0" fontId="24" fillId="0" borderId="0" xfId="0" applyFont="1" applyAlignment="1">
      <alignment horizontal="right"/>
    </xf>
    <xf numFmtId="8" fontId="22" fillId="0" borderId="0" xfId="0" applyNumberFormat="1" applyFont="1"/>
    <xf numFmtId="3" fontId="22" fillId="0" borderId="0" xfId="0" applyNumberFormat="1" applyFont="1"/>
    <xf numFmtId="0" fontId="25" fillId="0" borderId="0" xfId="0" applyFont="1"/>
    <xf numFmtId="165" fontId="22" fillId="0" borderId="0" xfId="0" applyNumberFormat="1" applyFont="1"/>
    <xf numFmtId="165" fontId="22" fillId="0" borderId="4" xfId="0" applyNumberFormat="1" applyFont="1" applyBorder="1"/>
    <xf numFmtId="165" fontId="22" fillId="0" borderId="5" xfId="0" applyNumberFormat="1" applyFont="1" applyBorder="1"/>
    <xf numFmtId="165" fontId="22" fillId="0" borderId="6" xfId="0" applyNumberFormat="1" applyFont="1" applyBorder="1"/>
    <xf numFmtId="0" fontId="0" fillId="11" borderId="0" xfId="0" applyFont="1" applyFill="1"/>
    <xf numFmtId="0" fontId="0" fillId="11" borderId="0" xfId="0" applyFont="1" applyFill="1" applyAlignment="1">
      <alignment horizontal="left"/>
    </xf>
    <xf numFmtId="0" fontId="0" fillId="11" borderId="0" xfId="0" applyFill="1" applyAlignment="1">
      <alignment horizontal="left"/>
    </xf>
    <xf numFmtId="0" fontId="1" fillId="11" borderId="0" xfId="0" applyFont="1" applyFill="1"/>
    <xf numFmtId="0" fontId="0" fillId="0" borderId="0" xfId="0" applyFill="1"/>
    <xf numFmtId="0" fontId="0" fillId="0" borderId="0" xfId="0" applyFont="1" applyFill="1" applyAlignment="1">
      <alignment horizontal="right"/>
    </xf>
    <xf numFmtId="0" fontId="0" fillId="0" borderId="0" xfId="0" applyFill="1" applyAlignment="1">
      <alignment horizontal="left"/>
    </xf>
    <xf numFmtId="0" fontId="0" fillId="0" borderId="0" xfId="0" applyFill="1" applyAlignment="1">
      <alignment horizontal="center"/>
    </xf>
    <xf numFmtId="2" fontId="0" fillId="0" borderId="0" xfId="0" applyNumberFormat="1" applyFill="1" applyAlignment="1">
      <alignment horizontal="center"/>
    </xf>
    <xf numFmtId="0" fontId="1" fillId="0" borderId="0" xfId="0" applyFont="1" applyFill="1" applyAlignment="1">
      <alignment horizontal="right"/>
    </xf>
    <xf numFmtId="2" fontId="1" fillId="0" borderId="0" xfId="0" applyNumberFormat="1" applyFont="1" applyFill="1" applyAlignment="1">
      <alignment horizontal="center"/>
    </xf>
    <xf numFmtId="3" fontId="0" fillId="0" borderId="0" xfId="0" applyNumberFormat="1" applyFill="1" applyAlignment="1">
      <alignment horizontal="center"/>
    </xf>
    <xf numFmtId="4" fontId="1" fillId="0" borderId="0" xfId="0" applyNumberFormat="1" applyFont="1" applyFill="1" applyAlignment="1">
      <alignment horizontal="center"/>
    </xf>
    <xf numFmtId="0" fontId="1" fillId="12" borderId="0" xfId="0" applyFont="1" applyFill="1"/>
    <xf numFmtId="0" fontId="1" fillId="12" borderId="0" xfId="0" applyFont="1" applyFill="1" applyAlignment="1">
      <alignment horizontal="right"/>
    </xf>
    <xf numFmtId="0" fontId="0" fillId="12" borderId="0" xfId="0" applyFill="1"/>
    <xf numFmtId="0" fontId="0" fillId="12" borderId="0" xfId="0" applyFont="1" applyFill="1" applyAlignment="1">
      <alignment horizontal="right"/>
    </xf>
    <xf numFmtId="0" fontId="26" fillId="0" borderId="0" xfId="0" applyFont="1" applyFill="1" applyAlignment="1">
      <alignment horizontal="left"/>
    </xf>
    <xf numFmtId="0" fontId="1" fillId="13" borderId="0" xfId="0" applyFont="1" applyFill="1"/>
    <xf numFmtId="0" fontId="1" fillId="13" borderId="0" xfId="0" applyFont="1" applyFill="1" applyAlignment="1">
      <alignment horizontal="right"/>
    </xf>
    <xf numFmtId="0" fontId="0" fillId="13" borderId="0" xfId="0" applyFont="1" applyFill="1" applyAlignment="1">
      <alignment horizontal="right"/>
    </xf>
    <xf numFmtId="0" fontId="7" fillId="0" borderId="0" xfId="0" applyFont="1" applyAlignment="1"/>
    <xf numFmtId="0" fontId="0" fillId="0" borderId="0" xfId="0" applyAlignment="1"/>
    <xf numFmtId="0" fontId="0" fillId="0" borderId="0" xfId="0" applyFont="1" applyAlignment="1">
      <alignment horizontal="left"/>
    </xf>
    <xf numFmtId="0" fontId="0" fillId="0" borderId="0" xfId="0" applyAlignment="1">
      <alignment horizontal="left"/>
    </xf>
    <xf numFmtId="0" fontId="1" fillId="0" borderId="0" xfId="0" applyFont="1" applyAlignment="1">
      <alignment horizontal="center"/>
    </xf>
    <xf numFmtId="0" fontId="0" fillId="0" borderId="0" xfId="0" applyAlignment="1">
      <alignment horizontal="center"/>
    </xf>
    <xf numFmtId="0" fontId="4" fillId="0" borderId="0" xfId="0" applyFont="1" applyAlignment="1"/>
    <xf numFmtId="0" fontId="6" fillId="0" borderId="0" xfId="0" applyFont="1" applyAlignment="1">
      <alignment horizontal="center" vertical="center"/>
    </xf>
    <xf numFmtId="0" fontId="8" fillId="0" borderId="0" xfId="0" applyFont="1" applyAlignment="1">
      <alignment horizontal="left" vertical="center"/>
    </xf>
    <xf numFmtId="0" fontId="7" fillId="0" borderId="0" xfId="0" applyFont="1" applyAlignment="1">
      <alignment horizontal="left"/>
    </xf>
    <xf numFmtId="0" fontId="5" fillId="0" borderId="0" xfId="0" applyFont="1" applyAlignment="1">
      <alignment vertical="center"/>
    </xf>
    <xf numFmtId="0" fontId="27" fillId="0" borderId="0" xfId="0" applyFont="1"/>
  </cellXfs>
  <cellStyles count="1">
    <cellStyle name="Normal" xfId="0" builtinId="0"/>
  </cellStyles>
  <dxfs count="0"/>
  <tableStyles count="0" defaultTableStyle="TableStyleMedium2"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theme" Target="theme/theme1.xml"/><Relationship Id="rId18" Type="http://schemas.openxmlformats.org/officeDocument/2006/relationships/styles" Target="styles.xml"/><Relationship Id="rId19"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5"/>
  <sheetViews>
    <sheetView workbookViewId="0">
      <selection activeCell="B22" sqref="B22"/>
    </sheetView>
  </sheetViews>
  <sheetFormatPr baseColWidth="10" defaultColWidth="8.83203125" defaultRowHeight="14" x14ac:dyDescent="0"/>
  <sheetData>
    <row r="2" spans="1:1" ht="18">
      <c r="A2" s="173" t="s">
        <v>112</v>
      </c>
    </row>
    <row r="3" spans="1:1">
      <c r="A3" t="s">
        <v>209</v>
      </c>
    </row>
    <row r="4" spans="1:1">
      <c r="A4" t="s">
        <v>129</v>
      </c>
    </row>
    <row r="5" spans="1:1">
      <c r="A5" t="s">
        <v>80</v>
      </c>
    </row>
    <row r="6" spans="1:1">
      <c r="A6" t="s">
        <v>81</v>
      </c>
    </row>
    <row r="7" spans="1:1">
      <c r="A7" t="s">
        <v>12</v>
      </c>
    </row>
    <row r="8" spans="1:1">
      <c r="A8" t="s">
        <v>13</v>
      </c>
    </row>
    <row r="9" spans="1:1">
      <c r="A9" t="s">
        <v>14</v>
      </c>
    </row>
    <row r="10" spans="1:1">
      <c r="A10" t="s">
        <v>139</v>
      </c>
    </row>
    <row r="11" spans="1:1">
      <c r="A11" t="s">
        <v>140</v>
      </c>
    </row>
    <row r="12" spans="1:1">
      <c r="A12" t="s">
        <v>141</v>
      </c>
    </row>
    <row r="13" spans="1:1">
      <c r="A13" t="s">
        <v>253</v>
      </c>
    </row>
    <row r="14" spans="1:1">
      <c r="A14" t="s">
        <v>170</v>
      </c>
    </row>
    <row r="15" spans="1:1">
      <c r="A15" t="s">
        <v>110</v>
      </c>
    </row>
    <row r="16" spans="1:1">
      <c r="A16" t="s">
        <v>111</v>
      </c>
    </row>
    <row r="17" spans="1:1">
      <c r="A17" t="s">
        <v>115</v>
      </c>
    </row>
    <row r="19" spans="1:1" ht="18">
      <c r="A19" s="173" t="s">
        <v>969</v>
      </c>
    </row>
    <row r="20" spans="1:1">
      <c r="A20" t="s">
        <v>37</v>
      </c>
    </row>
    <row r="21" spans="1:1">
      <c r="A21" t="s">
        <v>706</v>
      </c>
    </row>
    <row r="22" spans="1:1">
      <c r="A22" t="s">
        <v>205</v>
      </c>
    </row>
    <row r="23" spans="1:1">
      <c r="A23" t="s">
        <v>313</v>
      </c>
    </row>
    <row r="24" spans="1:1">
      <c r="A24" t="s">
        <v>309</v>
      </c>
    </row>
    <row r="25" spans="1:1">
      <c r="A25" t="s">
        <v>450</v>
      </c>
    </row>
  </sheetData>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topLeftCell="A7" workbookViewId="0">
      <selection activeCell="H42" sqref="H42"/>
    </sheetView>
  </sheetViews>
  <sheetFormatPr baseColWidth="10" defaultColWidth="8.83203125" defaultRowHeight="14" x14ac:dyDescent="0"/>
  <cols>
    <col min="1" max="1" width="20.6640625" customWidth="1"/>
    <col min="2" max="2" width="14.1640625" customWidth="1"/>
    <col min="3" max="3" width="12.1640625" customWidth="1"/>
    <col min="4" max="4" width="10.83203125" customWidth="1"/>
    <col min="5" max="5" width="13.6640625" customWidth="1"/>
    <col min="6" max="6" width="12.83203125" customWidth="1"/>
    <col min="7" max="7" width="11" customWidth="1"/>
    <col min="8" max="8" width="13.83203125" customWidth="1"/>
    <col min="10" max="10" width="14.6640625" customWidth="1"/>
    <col min="11" max="11" width="10.5" customWidth="1"/>
    <col min="13" max="13" width="15.1640625" customWidth="1"/>
    <col min="14" max="14" width="10.6640625" customWidth="1"/>
  </cols>
  <sheetData>
    <row r="1" spans="1:19" ht="20">
      <c r="A1" s="51" t="s">
        <v>934</v>
      </c>
    </row>
    <row r="2" spans="1:19" s="163" customFormat="1">
      <c r="A2" s="163" t="s">
        <v>805</v>
      </c>
    </row>
    <row r="3" spans="1:19">
      <c r="A3" s="21" t="s">
        <v>804</v>
      </c>
      <c r="E3" s="11"/>
    </row>
    <row r="4" spans="1:19">
      <c r="B4" s="12" t="s">
        <v>373</v>
      </c>
      <c r="C4" s="12" t="s">
        <v>694</v>
      </c>
      <c r="D4" s="12" t="s">
        <v>145</v>
      </c>
      <c r="E4" s="6" t="s">
        <v>165</v>
      </c>
      <c r="F4" s="6" t="s">
        <v>818</v>
      </c>
    </row>
    <row r="5" spans="1:19">
      <c r="A5" t="s">
        <v>853</v>
      </c>
      <c r="B5" s="12"/>
      <c r="C5" s="12" t="s">
        <v>695</v>
      </c>
      <c r="D5" s="12"/>
      <c r="E5" s="6"/>
    </row>
    <row r="6" spans="1:19">
      <c r="A6" s="4" t="s">
        <v>34</v>
      </c>
      <c r="B6">
        <v>19</v>
      </c>
      <c r="C6">
        <v>67</v>
      </c>
      <c r="D6">
        <v>9</v>
      </c>
      <c r="E6" s="6">
        <v>5</v>
      </c>
      <c r="F6">
        <f>B6+C6+D6+E6</f>
        <v>100</v>
      </c>
    </row>
    <row r="7" spans="1:19">
      <c r="A7" s="4" t="s">
        <v>696</v>
      </c>
      <c r="B7">
        <v>1</v>
      </c>
      <c r="C7">
        <v>81</v>
      </c>
      <c r="D7">
        <v>16</v>
      </c>
      <c r="E7" s="6">
        <v>1</v>
      </c>
      <c r="F7">
        <f>B7+C7+D7+E7</f>
        <v>99</v>
      </c>
    </row>
    <row r="8" spans="1:19">
      <c r="A8" s="4" t="s">
        <v>697</v>
      </c>
      <c r="B8">
        <v>8</v>
      </c>
      <c r="C8">
        <v>78</v>
      </c>
      <c r="D8">
        <v>4</v>
      </c>
      <c r="E8" s="6">
        <v>10</v>
      </c>
      <c r="F8">
        <f>B8+C8+D8+E8</f>
        <v>100</v>
      </c>
    </row>
    <row r="9" spans="1:19">
      <c r="A9" s="4" t="s">
        <v>852</v>
      </c>
      <c r="B9">
        <v>9.4</v>
      </c>
      <c r="C9">
        <v>75.5</v>
      </c>
      <c r="D9">
        <v>9.6999999999999993</v>
      </c>
      <c r="E9" s="6">
        <v>5.4</v>
      </c>
      <c r="F9">
        <f>B9+C9+D9+E9</f>
        <v>100.00000000000001</v>
      </c>
    </row>
    <row r="10" spans="1:19">
      <c r="A10" s="3" t="s">
        <v>854</v>
      </c>
      <c r="E10" s="6"/>
    </row>
    <row r="11" spans="1:19">
      <c r="A11" s="4" t="s">
        <v>34</v>
      </c>
      <c r="B11">
        <v>57.6</v>
      </c>
      <c r="D11">
        <v>27.3</v>
      </c>
      <c r="E11" s="6">
        <v>15.2</v>
      </c>
      <c r="F11">
        <f>B11+C11+D11+E11</f>
        <v>100.10000000000001</v>
      </c>
    </row>
    <row r="12" spans="1:19">
      <c r="A12" s="4" t="s">
        <v>696</v>
      </c>
      <c r="B12">
        <v>5.6</v>
      </c>
      <c r="D12">
        <v>88.9</v>
      </c>
      <c r="E12" s="6">
        <v>5.6</v>
      </c>
      <c r="F12">
        <f>B12+C12+D12+E12</f>
        <v>100.1</v>
      </c>
    </row>
    <row r="13" spans="1:19">
      <c r="A13" s="4" t="s">
        <v>697</v>
      </c>
      <c r="B13">
        <v>36.4</v>
      </c>
      <c r="D13">
        <v>18.2</v>
      </c>
      <c r="E13" s="6">
        <v>45.5</v>
      </c>
      <c r="F13">
        <f>B13+C13+D13+E13</f>
        <v>100.1</v>
      </c>
    </row>
    <row r="14" spans="1:19">
      <c r="A14" s="4" t="s">
        <v>852</v>
      </c>
      <c r="B14">
        <v>33.200000000000003</v>
      </c>
      <c r="D14">
        <v>44.8</v>
      </c>
      <c r="E14" s="6">
        <v>22.1</v>
      </c>
      <c r="F14">
        <v>100.1</v>
      </c>
    </row>
    <row r="15" spans="1:19">
      <c r="A15" s="4"/>
      <c r="E15" s="6"/>
    </row>
    <row r="16" spans="1:19">
      <c r="A16" s="165" t="s">
        <v>555</v>
      </c>
      <c r="B16" s="165"/>
      <c r="C16" s="165"/>
      <c r="D16" s="163"/>
      <c r="E16" s="163"/>
      <c r="F16" s="163"/>
      <c r="G16" s="163"/>
      <c r="H16" s="163"/>
      <c r="I16" s="163"/>
      <c r="J16" s="163"/>
      <c r="K16" s="163"/>
      <c r="L16" s="163"/>
      <c r="M16" s="163"/>
      <c r="N16" s="163"/>
      <c r="O16" s="163"/>
      <c r="P16" s="163"/>
      <c r="Q16" s="163"/>
      <c r="R16" s="163"/>
      <c r="S16" s="163"/>
    </row>
    <row r="18" spans="1:18">
      <c r="A18" s="165" t="s">
        <v>712</v>
      </c>
      <c r="B18" s="165"/>
      <c r="C18" s="165"/>
      <c r="D18" s="165"/>
      <c r="E18" s="165"/>
      <c r="F18" s="165"/>
      <c r="G18" s="165"/>
      <c r="H18" s="165"/>
      <c r="I18" s="165"/>
      <c r="J18" s="165"/>
      <c r="K18" s="165"/>
      <c r="L18" s="165"/>
      <c r="M18" s="165"/>
      <c r="N18" s="165"/>
      <c r="O18" s="165"/>
      <c r="P18" s="165"/>
      <c r="Q18" s="165"/>
      <c r="R18" s="165"/>
    </row>
    <row r="20" spans="1:18">
      <c r="B20" s="167" t="s">
        <v>878</v>
      </c>
      <c r="C20" s="167"/>
      <c r="D20" s="167"/>
      <c r="E20" s="167" t="s">
        <v>879</v>
      </c>
      <c r="F20" s="167"/>
      <c r="G20" s="167"/>
      <c r="H20" s="16" t="s">
        <v>884</v>
      </c>
      <c r="I20" s="16"/>
    </row>
    <row r="21" spans="1:18">
      <c r="B21" s="16" t="s">
        <v>882</v>
      </c>
      <c r="C21" s="16" t="s">
        <v>169</v>
      </c>
      <c r="D21" s="16" t="s">
        <v>556</v>
      </c>
      <c r="E21" s="16" t="s">
        <v>882</v>
      </c>
      <c r="F21" s="16" t="s">
        <v>169</v>
      </c>
      <c r="H21" s="16" t="s">
        <v>883</v>
      </c>
    </row>
    <row r="22" spans="1:18">
      <c r="A22" s="1" t="s">
        <v>34</v>
      </c>
      <c r="B22">
        <v>0.79</v>
      </c>
      <c r="C22">
        <v>0.21</v>
      </c>
      <c r="D22">
        <f>SUM(B22:C22)</f>
        <v>1</v>
      </c>
      <c r="E22" s="48">
        <v>372.7</v>
      </c>
      <c r="F22">
        <v>259.04000000000002</v>
      </c>
      <c r="H22" s="50">
        <f>B22*E22+C22*F22</f>
        <v>348.83139999999997</v>
      </c>
    </row>
    <row r="23" spans="1:18">
      <c r="A23" s="1" t="s">
        <v>66</v>
      </c>
      <c r="B23">
        <v>0.93</v>
      </c>
      <c r="C23">
        <v>7.0000000000000007E-2</v>
      </c>
      <c r="D23">
        <f t="shared" ref="D23:D30" si="0">SUM(B23:C23)</f>
        <v>1</v>
      </c>
      <c r="E23" s="48">
        <v>348.8</v>
      </c>
      <c r="F23">
        <v>253.25</v>
      </c>
      <c r="H23" s="50">
        <f t="shared" ref="H23:H28" si="1">B23*E23+C23*F23</f>
        <v>342.11150000000004</v>
      </c>
    </row>
    <row r="24" spans="1:18">
      <c r="A24" s="8" t="s">
        <v>67</v>
      </c>
      <c r="B24">
        <v>0.45</v>
      </c>
      <c r="C24">
        <v>0.55000000000000004</v>
      </c>
      <c r="D24">
        <f t="shared" si="0"/>
        <v>1</v>
      </c>
      <c r="E24" s="48">
        <v>371.47</v>
      </c>
      <c r="F24">
        <v>250.68</v>
      </c>
      <c r="H24" s="50">
        <f t="shared" si="1"/>
        <v>305.03550000000007</v>
      </c>
    </row>
    <row r="25" spans="1:18">
      <c r="A25" s="1" t="s">
        <v>68</v>
      </c>
      <c r="B25">
        <v>0.45</v>
      </c>
      <c r="C25">
        <v>0.55000000000000004</v>
      </c>
      <c r="D25">
        <f t="shared" si="0"/>
        <v>1</v>
      </c>
      <c r="E25" s="48">
        <v>341.13</v>
      </c>
      <c r="F25">
        <v>264.72000000000003</v>
      </c>
      <c r="H25" s="50">
        <f t="shared" si="1"/>
        <v>299.10450000000003</v>
      </c>
    </row>
    <row r="26" spans="1:18">
      <c r="A26" s="1" t="s">
        <v>70</v>
      </c>
      <c r="B26">
        <v>0.44</v>
      </c>
      <c r="C26">
        <v>0.56000000000000005</v>
      </c>
      <c r="D26">
        <f t="shared" si="0"/>
        <v>1</v>
      </c>
      <c r="E26" s="48">
        <v>318.45</v>
      </c>
      <c r="F26">
        <v>184.52</v>
      </c>
      <c r="H26" s="50">
        <f t="shared" si="1"/>
        <v>243.44920000000002</v>
      </c>
    </row>
    <row r="27" spans="1:18">
      <c r="A27" s="1" t="s">
        <v>69</v>
      </c>
      <c r="B27">
        <v>0.44</v>
      </c>
      <c r="C27">
        <v>0.56000000000000005</v>
      </c>
      <c r="D27">
        <f t="shared" si="0"/>
        <v>1</v>
      </c>
      <c r="E27" s="52">
        <v>295.77999999999997</v>
      </c>
      <c r="F27">
        <v>247.1</v>
      </c>
      <c r="H27" s="50">
        <f t="shared" si="1"/>
        <v>268.51919999999996</v>
      </c>
    </row>
    <row r="28" spans="1:18">
      <c r="A28" s="1" t="s">
        <v>71</v>
      </c>
      <c r="B28">
        <v>0.44</v>
      </c>
      <c r="C28">
        <v>0.56000000000000005</v>
      </c>
      <c r="D28">
        <f t="shared" si="0"/>
        <v>1</v>
      </c>
      <c r="E28" s="52">
        <v>363.1</v>
      </c>
      <c r="F28">
        <v>282.60000000000002</v>
      </c>
      <c r="H28" s="50">
        <f t="shared" si="1"/>
        <v>318.02000000000004</v>
      </c>
    </row>
    <row r="29" spans="1:18">
      <c r="A29" s="1" t="s">
        <v>72</v>
      </c>
      <c r="B29">
        <v>0.45</v>
      </c>
      <c r="C29">
        <v>0.55000000000000004</v>
      </c>
      <c r="D29">
        <f t="shared" si="0"/>
        <v>1</v>
      </c>
      <c r="E29" s="4" t="s">
        <v>78</v>
      </c>
      <c r="F29">
        <v>307.62</v>
      </c>
      <c r="H29" s="24">
        <f>F29</f>
        <v>307.62</v>
      </c>
    </row>
    <row r="30" spans="1:18">
      <c r="A30" s="1" t="s">
        <v>73</v>
      </c>
      <c r="B30">
        <v>0.45</v>
      </c>
      <c r="C30">
        <v>0.55000000000000004</v>
      </c>
      <c r="D30">
        <f t="shared" si="0"/>
        <v>1</v>
      </c>
      <c r="E30" s="4" t="s">
        <v>78</v>
      </c>
      <c r="F30">
        <v>662.64</v>
      </c>
      <c r="H30" s="24">
        <f>F30</f>
        <v>662.64</v>
      </c>
    </row>
    <row r="31" spans="1:18">
      <c r="A31" s="1"/>
    </row>
    <row r="32" spans="1:18">
      <c r="B32" s="167" t="s">
        <v>880</v>
      </c>
      <c r="C32" s="167"/>
      <c r="D32" s="167"/>
      <c r="E32" s="167" t="s">
        <v>881</v>
      </c>
      <c r="F32" s="167"/>
      <c r="G32" s="167"/>
      <c r="H32" t="s">
        <v>557</v>
      </c>
    </row>
    <row r="33" spans="1:8">
      <c r="B33" s="16" t="s">
        <v>882</v>
      </c>
      <c r="C33" s="16" t="s">
        <v>885</v>
      </c>
      <c r="D33" s="16" t="s">
        <v>556</v>
      </c>
      <c r="E33" s="16" t="s">
        <v>882</v>
      </c>
      <c r="F33" s="16" t="s">
        <v>885</v>
      </c>
      <c r="G33" s="16"/>
      <c r="H33" s="16" t="s">
        <v>883</v>
      </c>
    </row>
    <row r="34" spans="1:8">
      <c r="A34" s="1" t="s">
        <v>34</v>
      </c>
      <c r="B34">
        <v>0.2</v>
      </c>
      <c r="C34">
        <v>0.8</v>
      </c>
      <c r="D34">
        <f>SUM(B34:C34)</f>
        <v>1</v>
      </c>
      <c r="E34">
        <v>188.59</v>
      </c>
      <c r="F34">
        <v>164.32</v>
      </c>
      <c r="H34" s="24">
        <f>B34*E34+C34*F34</f>
        <v>169.17399999999998</v>
      </c>
    </row>
    <row r="35" spans="1:8">
      <c r="A35" s="1" t="s">
        <v>66</v>
      </c>
      <c r="B35">
        <v>0.1</v>
      </c>
      <c r="C35">
        <v>0.9</v>
      </c>
      <c r="D35">
        <f t="shared" ref="D35:D42" si="2">SUM(B35:C35)</f>
        <v>1</v>
      </c>
      <c r="E35">
        <v>176.49</v>
      </c>
      <c r="F35">
        <v>128.96</v>
      </c>
      <c r="H35" s="24">
        <f t="shared" ref="H35:H40" si="3">B35*E35+C35*F35</f>
        <v>133.71300000000002</v>
      </c>
    </row>
    <row r="36" spans="1:8">
      <c r="A36" s="8" t="s">
        <v>67</v>
      </c>
      <c r="B36">
        <v>0.1</v>
      </c>
      <c r="C36">
        <v>0.9</v>
      </c>
      <c r="D36">
        <f t="shared" si="2"/>
        <v>1</v>
      </c>
      <c r="E36" s="52">
        <v>187.96</v>
      </c>
      <c r="F36">
        <v>138.32</v>
      </c>
      <c r="H36" s="50">
        <f t="shared" si="3"/>
        <v>143.28399999999999</v>
      </c>
    </row>
    <row r="37" spans="1:8">
      <c r="A37" s="1" t="s">
        <v>68</v>
      </c>
      <c r="B37">
        <v>0.01</v>
      </c>
      <c r="C37">
        <v>0.99</v>
      </c>
      <c r="D37">
        <f t="shared" si="2"/>
        <v>1</v>
      </c>
      <c r="E37" s="52">
        <v>172.61</v>
      </c>
      <c r="F37">
        <v>149.76</v>
      </c>
      <c r="H37" s="50">
        <f t="shared" si="3"/>
        <v>149.98849999999999</v>
      </c>
    </row>
    <row r="38" spans="1:8">
      <c r="A38" s="1" t="s">
        <v>70</v>
      </c>
      <c r="B38">
        <v>0.1</v>
      </c>
      <c r="C38">
        <v>0.9</v>
      </c>
      <c r="D38">
        <f t="shared" si="2"/>
        <v>1</v>
      </c>
      <c r="E38" s="52">
        <v>161.13999999999999</v>
      </c>
      <c r="F38">
        <v>124.8</v>
      </c>
      <c r="H38" s="50">
        <f t="shared" si="3"/>
        <v>128.434</v>
      </c>
    </row>
    <row r="39" spans="1:8">
      <c r="A39" s="1" t="s">
        <v>69</v>
      </c>
      <c r="B39">
        <v>0.1</v>
      </c>
      <c r="C39">
        <v>0.9</v>
      </c>
      <c r="D39">
        <f t="shared" si="2"/>
        <v>1</v>
      </c>
      <c r="E39" s="52">
        <v>149.66999999999999</v>
      </c>
      <c r="F39">
        <v>169.52</v>
      </c>
      <c r="H39" s="50">
        <f t="shared" si="3"/>
        <v>167.53500000000003</v>
      </c>
    </row>
    <row r="40" spans="1:8">
      <c r="A40" s="1" t="s">
        <v>71</v>
      </c>
      <c r="B40">
        <v>0.1</v>
      </c>
      <c r="C40">
        <v>0.9</v>
      </c>
      <c r="D40">
        <f t="shared" si="2"/>
        <v>1</v>
      </c>
      <c r="E40" s="52">
        <v>183.73</v>
      </c>
      <c r="F40">
        <v>306.8</v>
      </c>
      <c r="H40" s="50">
        <f t="shared" si="3"/>
        <v>294.49299999999999</v>
      </c>
    </row>
    <row r="41" spans="1:8">
      <c r="A41" s="1" t="s">
        <v>72</v>
      </c>
      <c r="B41">
        <v>0.01</v>
      </c>
      <c r="C41">
        <v>0.99</v>
      </c>
      <c r="D41">
        <f t="shared" si="2"/>
        <v>1</v>
      </c>
      <c r="E41" s="4" t="s">
        <v>78</v>
      </c>
      <c r="F41" s="4" t="s">
        <v>78</v>
      </c>
      <c r="H41" s="22" t="s">
        <v>78</v>
      </c>
    </row>
    <row r="42" spans="1:8">
      <c r="A42" s="1" t="s">
        <v>73</v>
      </c>
      <c r="B42">
        <v>0.01</v>
      </c>
      <c r="C42">
        <v>0.99</v>
      </c>
      <c r="D42">
        <f t="shared" si="2"/>
        <v>1</v>
      </c>
      <c r="E42" s="4" t="s">
        <v>78</v>
      </c>
      <c r="F42">
        <v>774.8</v>
      </c>
      <c r="H42" s="24">
        <v>774.8</v>
      </c>
    </row>
    <row r="44" spans="1:8" s="5" customFormat="1">
      <c r="A44" s="5" t="s">
        <v>558</v>
      </c>
    </row>
    <row r="45" spans="1:8">
      <c r="A45" s="1" t="s">
        <v>933</v>
      </c>
    </row>
    <row r="47" spans="1:8">
      <c r="A47" t="s">
        <v>828</v>
      </c>
    </row>
    <row r="49" spans="1:6">
      <c r="B49" s="166" t="s">
        <v>884</v>
      </c>
      <c r="C49" s="167"/>
      <c r="D49" s="166" t="s">
        <v>557</v>
      </c>
      <c r="E49" s="167"/>
      <c r="F49" s="15" t="s">
        <v>829</v>
      </c>
    </row>
    <row r="50" spans="1:6">
      <c r="B50" s="15" t="s">
        <v>832</v>
      </c>
      <c r="C50" s="15" t="s">
        <v>833</v>
      </c>
      <c r="D50" s="15" t="s">
        <v>832</v>
      </c>
      <c r="E50" s="15" t="s">
        <v>833</v>
      </c>
      <c r="F50" s="1"/>
    </row>
    <row r="51" spans="1:6">
      <c r="A51" s="1" t="s">
        <v>830</v>
      </c>
      <c r="B51" s="23">
        <v>6.3</v>
      </c>
      <c r="C51" s="23">
        <f>B51/8.07</f>
        <v>0.7806691449814126</v>
      </c>
      <c r="D51" s="23">
        <v>4.05</v>
      </c>
      <c r="E51" s="23">
        <f>D51/4.66</f>
        <v>0.86909871244635184</v>
      </c>
      <c r="F51" s="23"/>
    </row>
    <row r="52" spans="1:6">
      <c r="A52" s="1" t="s">
        <v>494</v>
      </c>
      <c r="B52" s="23">
        <v>18.07</v>
      </c>
      <c r="C52" s="23">
        <f>B52/8.07</f>
        <v>2.2391573729863694</v>
      </c>
      <c r="D52" s="23">
        <v>6.91</v>
      </c>
      <c r="E52" s="23">
        <f>D52/4.66</f>
        <v>1.4828326180257509</v>
      </c>
      <c r="F52" s="23"/>
    </row>
    <row r="53" spans="1:6">
      <c r="A53" s="1" t="s">
        <v>831</v>
      </c>
      <c r="B53" s="23">
        <v>8.07</v>
      </c>
      <c r="C53" s="23">
        <f>B53/8.07</f>
        <v>1</v>
      </c>
      <c r="D53" s="23">
        <v>4.66</v>
      </c>
      <c r="E53" s="23">
        <f>D53/4.66</f>
        <v>1</v>
      </c>
      <c r="F53" s="23">
        <v>5.66</v>
      </c>
    </row>
  </sheetData>
  <mergeCells count="9">
    <mergeCell ref="B32:D32"/>
    <mergeCell ref="E32:G32"/>
    <mergeCell ref="B49:C49"/>
    <mergeCell ref="D49:E49"/>
    <mergeCell ref="A2:XFD2"/>
    <mergeCell ref="A16:S16"/>
    <mergeCell ref="A18:R18"/>
    <mergeCell ref="B20:D20"/>
    <mergeCell ref="E20:G20"/>
  </mergeCells>
  <phoneticPr fontId="14" type="noConversion"/>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election activeCell="G31" sqref="G31"/>
    </sheetView>
  </sheetViews>
  <sheetFormatPr baseColWidth="10" defaultColWidth="8.83203125" defaultRowHeight="14" x14ac:dyDescent="0"/>
  <sheetData>
    <row r="1" spans="1:3">
      <c r="A1" t="s">
        <v>114</v>
      </c>
    </row>
    <row r="2" spans="1:3">
      <c r="B2" t="s">
        <v>113</v>
      </c>
    </row>
    <row r="3" spans="1:3">
      <c r="C3" t="s">
        <v>43</v>
      </c>
    </row>
    <row r="4" spans="1:3">
      <c r="C4" t="s">
        <v>44</v>
      </c>
    </row>
    <row r="5" spans="1:3">
      <c r="B5" t="s">
        <v>29</v>
      </c>
    </row>
    <row r="6" spans="1:3">
      <c r="C6" t="s">
        <v>30</v>
      </c>
    </row>
    <row r="7" spans="1:3">
      <c r="C7" t="s">
        <v>31</v>
      </c>
    </row>
    <row r="8" spans="1:3">
      <c r="C8" t="s">
        <v>42</v>
      </c>
    </row>
    <row r="9" spans="1:3">
      <c r="B9" t="s">
        <v>45</v>
      </c>
    </row>
    <row r="10" spans="1:3">
      <c r="C10" t="s">
        <v>46</v>
      </c>
    </row>
    <row r="11" spans="1:3">
      <c r="B11" t="s">
        <v>119</v>
      </c>
    </row>
    <row r="12" spans="1:3">
      <c r="B12" t="s">
        <v>118</v>
      </c>
    </row>
    <row r="13" spans="1:3">
      <c r="B13" t="s">
        <v>207</v>
      </c>
    </row>
    <row r="16" spans="1:3">
      <c r="A16" t="s">
        <v>208</v>
      </c>
    </row>
    <row r="18" spans="1:1">
      <c r="A18" t="s">
        <v>134</v>
      </c>
    </row>
    <row r="19" spans="1:1">
      <c r="A19" t="s">
        <v>130</v>
      </c>
    </row>
    <row r="20" spans="1:1">
      <c r="A20" t="s">
        <v>131</v>
      </c>
    </row>
    <row r="21" spans="1:1">
      <c r="A21" t="s">
        <v>132</v>
      </c>
    </row>
    <row r="22" spans="1:1">
      <c r="A22" t="s">
        <v>133</v>
      </c>
    </row>
  </sheetData>
  <pageMargins left="0.7" right="0.7" top="0.75" bottom="0.75"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sqref="A1:XFD14"/>
    </sheetView>
  </sheetViews>
  <sheetFormatPr baseColWidth="10" defaultColWidth="8.83203125" defaultRowHeight="14" x14ac:dyDescent="0"/>
  <sheetData>
    <row r="1" spans="1:2">
      <c r="A1" t="s">
        <v>11</v>
      </c>
    </row>
    <row r="2" spans="1:2">
      <c r="B2" t="s">
        <v>87</v>
      </c>
    </row>
    <row r="4" spans="1:2">
      <c r="A4" t="s">
        <v>707</v>
      </c>
    </row>
    <row r="5" spans="1:2">
      <c r="A5" t="s">
        <v>47</v>
      </c>
    </row>
    <row r="6" spans="1:2">
      <c r="A6" t="s">
        <v>26</v>
      </c>
    </row>
    <row r="8" spans="1:2">
      <c r="A8" t="s">
        <v>48</v>
      </c>
    </row>
    <row r="10" spans="1:2">
      <c r="A10" t="s">
        <v>312</v>
      </c>
    </row>
    <row r="11" spans="1:2">
      <c r="B11" t="s">
        <v>708</v>
      </c>
    </row>
    <row r="12" spans="1:2">
      <c r="B12" t="s">
        <v>709</v>
      </c>
    </row>
    <row r="13" spans="1:2">
      <c r="A13" t="s">
        <v>451</v>
      </c>
    </row>
    <row r="14" spans="1:2">
      <c r="B14" t="s">
        <v>452</v>
      </c>
    </row>
    <row r="15" spans="1:2">
      <c r="B15" t="s">
        <v>314</v>
      </c>
    </row>
  </sheetData>
  <phoneticPr fontId="14" type="noConversion"/>
  <pageMargins left="0.7" right="0.7" top="0.75" bottom="0.75" header="0.3" footer="0.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workbookViewId="0">
      <selection sqref="A1:XFD5"/>
    </sheetView>
  </sheetViews>
  <sheetFormatPr baseColWidth="10" defaultColWidth="8.83203125" defaultRowHeight="14" x14ac:dyDescent="0"/>
  <cols>
    <col min="1" max="1" width="22.83203125" customWidth="1"/>
  </cols>
  <sheetData>
    <row r="1" spans="1:6" ht="18">
      <c r="A1" s="33" t="s">
        <v>862</v>
      </c>
    </row>
    <row r="3" spans="1:6" ht="15">
      <c r="A3" s="31" t="s">
        <v>856</v>
      </c>
    </row>
    <row r="4" spans="1:6" ht="15">
      <c r="A4" s="31" t="s">
        <v>907</v>
      </c>
    </row>
    <row r="5" spans="1:6" ht="15">
      <c r="A5" s="31" t="s">
        <v>908</v>
      </c>
    </row>
    <row r="6" spans="1:6" ht="15">
      <c r="A6" s="31"/>
    </row>
    <row r="7" spans="1:6" ht="15">
      <c r="A7" s="169" t="s">
        <v>903</v>
      </c>
      <c r="B7" s="163"/>
      <c r="C7" s="163"/>
      <c r="D7" s="163"/>
    </row>
    <row r="8" spans="1:6" ht="15">
      <c r="F8" s="31" t="s">
        <v>904</v>
      </c>
    </row>
    <row r="9" spans="1:6" ht="15">
      <c r="A9" s="32" t="s">
        <v>369</v>
      </c>
      <c r="B9" s="32">
        <v>50</v>
      </c>
    </row>
    <row r="10" spans="1:6" ht="15">
      <c r="A10" s="32" t="s">
        <v>905</v>
      </c>
      <c r="B10" s="32">
        <v>53</v>
      </c>
    </row>
    <row r="11" spans="1:6" ht="15">
      <c r="A11" s="32" t="s">
        <v>494</v>
      </c>
      <c r="B11" s="32">
        <v>60</v>
      </c>
    </row>
    <row r="13" spans="1:6" ht="18">
      <c r="A13" s="170" t="s">
        <v>915</v>
      </c>
      <c r="B13" s="171"/>
      <c r="C13" s="171"/>
      <c r="D13" s="171"/>
    </row>
    <row r="15" spans="1:6" ht="15">
      <c r="A15" s="31" t="s">
        <v>909</v>
      </c>
    </row>
    <row r="16" spans="1:6" ht="15">
      <c r="A16" s="31"/>
    </row>
    <row r="17" spans="1:13" ht="15">
      <c r="A17" s="31" t="s">
        <v>165</v>
      </c>
      <c r="B17" s="34">
        <v>0.90600000000000003</v>
      </c>
    </row>
    <row r="18" spans="1:13" ht="15">
      <c r="A18" s="31" t="s">
        <v>910</v>
      </c>
      <c r="B18" s="34">
        <v>9.4E-2</v>
      </c>
    </row>
    <row r="19" spans="1:13" ht="15">
      <c r="A19" s="31" t="s">
        <v>911</v>
      </c>
      <c r="B19" s="34">
        <v>5.9400000000000001E-2</v>
      </c>
    </row>
    <row r="20" spans="1:13" ht="15">
      <c r="A20" s="31" t="s">
        <v>912</v>
      </c>
      <c r="B20" s="34">
        <v>0</v>
      </c>
    </row>
    <row r="21" spans="1:13" ht="15">
      <c r="A21" s="31" t="s">
        <v>913</v>
      </c>
      <c r="B21" s="34">
        <v>1.7299999999999999E-2</v>
      </c>
    </row>
    <row r="22" spans="1:13" ht="15">
      <c r="A22" s="31" t="s">
        <v>372</v>
      </c>
      <c r="B22" s="34">
        <v>1.7299999999999999E-2</v>
      </c>
      <c r="F22" s="31" t="s">
        <v>914</v>
      </c>
    </row>
    <row r="23" spans="1:13" ht="15">
      <c r="C23" s="31" t="s">
        <v>914</v>
      </c>
    </row>
    <row r="24" spans="1:13" ht="15">
      <c r="A24" s="172" t="s">
        <v>620</v>
      </c>
      <c r="B24" s="163"/>
      <c r="C24" s="163"/>
      <c r="D24" s="163"/>
      <c r="E24" s="163"/>
      <c r="F24" s="163"/>
      <c r="G24" s="163"/>
      <c r="H24" s="163"/>
      <c r="I24" s="163"/>
      <c r="J24" s="163"/>
      <c r="K24" s="163"/>
      <c r="L24" s="163"/>
      <c r="M24" s="163"/>
    </row>
    <row r="25" spans="1:13" ht="15">
      <c r="A25" s="31" t="s">
        <v>621</v>
      </c>
    </row>
  </sheetData>
  <mergeCells count="3">
    <mergeCell ref="A7:D7"/>
    <mergeCell ref="A13:D13"/>
    <mergeCell ref="A24:M24"/>
  </mergeCells>
  <pageMargins left="0.7" right="0.7" top="0.75" bottom="0.75" header="0.3" footer="0.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workbookViewId="0">
      <selection activeCell="I22" sqref="I22"/>
    </sheetView>
  </sheetViews>
  <sheetFormatPr baseColWidth="10" defaultColWidth="8.83203125" defaultRowHeight="14" x14ac:dyDescent="0"/>
  <cols>
    <col min="1" max="1" width="15" customWidth="1"/>
    <col min="3" max="3" width="14.6640625" customWidth="1"/>
    <col min="5" max="5" width="11.33203125" customWidth="1"/>
    <col min="6" max="6" width="12.1640625" customWidth="1"/>
    <col min="7" max="7" width="11.6640625" customWidth="1"/>
    <col min="9" max="9" width="10.6640625" customWidth="1"/>
  </cols>
  <sheetData>
    <row r="1" spans="1:11">
      <c r="A1" s="8" t="s">
        <v>896</v>
      </c>
      <c r="B1" s="23" t="s">
        <v>777</v>
      </c>
      <c r="C1" s="38" t="s">
        <v>778</v>
      </c>
      <c r="D1" s="23" t="s">
        <v>779</v>
      </c>
      <c r="E1" s="23" t="s">
        <v>780</v>
      </c>
      <c r="F1" s="23" t="s">
        <v>781</v>
      </c>
      <c r="G1" s="23" t="s">
        <v>782</v>
      </c>
      <c r="H1" s="23" t="s">
        <v>783</v>
      </c>
      <c r="I1" s="23" t="s">
        <v>924</v>
      </c>
      <c r="J1" s="23"/>
    </row>
    <row r="2" spans="1:11">
      <c r="B2" s="24">
        <f>264*12/9.5</f>
        <v>333.4736842105263</v>
      </c>
      <c r="C2" s="24">
        <f>284*12/9.5</f>
        <v>358.73684210526318</v>
      </c>
      <c r="D2" s="24">
        <f>352*12/11</f>
        <v>384</v>
      </c>
      <c r="E2" s="24">
        <f>(333.47+358.74)/2</f>
        <v>346.10500000000002</v>
      </c>
      <c r="F2" s="24">
        <f>(333.47+384)/2</f>
        <v>358.73500000000001</v>
      </c>
      <c r="G2" s="24">
        <f>(358.74+384)/2</f>
        <v>371.37</v>
      </c>
      <c r="H2">
        <f>(358.74*2+358.74)/3</f>
        <v>358.74</v>
      </c>
      <c r="I2" s="24">
        <f>352*12/11</f>
        <v>384</v>
      </c>
      <c r="K2" t="s">
        <v>710</v>
      </c>
    </row>
    <row r="3" spans="1:11">
      <c r="A3" s="8" t="s">
        <v>897</v>
      </c>
      <c r="B3" s="24"/>
      <c r="D3" s="24"/>
      <c r="E3" s="24"/>
      <c r="F3" s="24"/>
      <c r="G3" s="24"/>
      <c r="K3" t="s">
        <v>711</v>
      </c>
    </row>
    <row r="4" spans="1:11">
      <c r="A4" s="7" t="s">
        <v>663</v>
      </c>
      <c r="B4" s="24">
        <f>(333.47+358.74)/2</f>
        <v>346.10500000000002</v>
      </c>
      <c r="C4" s="23" t="s">
        <v>780</v>
      </c>
      <c r="D4" s="24"/>
      <c r="E4" s="24"/>
      <c r="F4" s="24"/>
      <c r="G4" s="24"/>
      <c r="K4" t="s">
        <v>827</v>
      </c>
    </row>
    <row r="5" spans="1:11">
      <c r="A5" s="7" t="s">
        <v>678</v>
      </c>
      <c r="B5" s="24">
        <f>2.5*(358.74+384)/2</f>
        <v>928.42499999999995</v>
      </c>
      <c r="C5" s="23" t="s">
        <v>782</v>
      </c>
      <c r="D5" s="24"/>
      <c r="E5" s="24"/>
      <c r="F5" s="24"/>
      <c r="G5" s="24"/>
      <c r="K5" t="s">
        <v>826</v>
      </c>
    </row>
    <row r="6" spans="1:11">
      <c r="A6" s="7" t="s">
        <v>670</v>
      </c>
      <c r="B6" s="24">
        <f>284*12/9.5</f>
        <v>358.73684210526318</v>
      </c>
      <c r="C6" s="38" t="s">
        <v>778</v>
      </c>
      <c r="D6" s="24"/>
      <c r="E6" s="24"/>
      <c r="F6" s="24"/>
      <c r="G6" s="24"/>
      <c r="K6" t="s">
        <v>921</v>
      </c>
    </row>
    <row r="7" spans="1:11">
      <c r="A7" s="7" t="s">
        <v>653</v>
      </c>
      <c r="B7" s="24">
        <f>264*12/9.5</f>
        <v>333.4736842105263</v>
      </c>
      <c r="C7" s="23" t="s">
        <v>777</v>
      </c>
      <c r="D7" s="24"/>
      <c r="E7" s="24"/>
      <c r="F7" s="24"/>
      <c r="G7" s="24"/>
      <c r="K7" t="s">
        <v>922</v>
      </c>
    </row>
    <row r="8" spans="1:11">
      <c r="A8" s="7" t="s">
        <v>661</v>
      </c>
      <c r="B8" s="24">
        <f>264*12/9.5</f>
        <v>333.4736842105263</v>
      </c>
      <c r="C8" s="23" t="s">
        <v>777</v>
      </c>
      <c r="D8" s="24"/>
      <c r="E8" s="24"/>
      <c r="F8" s="24"/>
      <c r="G8" s="24"/>
      <c r="K8" t="s">
        <v>923</v>
      </c>
    </row>
    <row r="9" spans="1:11">
      <c r="A9" s="7" t="s">
        <v>666</v>
      </c>
      <c r="B9" s="24">
        <f>264*12/9.5</f>
        <v>333.4736842105263</v>
      </c>
      <c r="C9" s="23" t="s">
        <v>777</v>
      </c>
      <c r="D9" s="24"/>
      <c r="E9" s="24"/>
      <c r="F9" s="24"/>
      <c r="G9" s="24"/>
      <c r="K9" t="s">
        <v>868</v>
      </c>
    </row>
    <row r="10" spans="1:11">
      <c r="A10" s="7" t="s">
        <v>654</v>
      </c>
      <c r="B10" s="24">
        <f>(358.74+384)/2</f>
        <v>371.37</v>
      </c>
      <c r="C10" s="23" t="s">
        <v>782</v>
      </c>
      <c r="D10" s="24"/>
      <c r="E10" s="24"/>
      <c r="F10" s="24"/>
      <c r="G10" s="24"/>
      <c r="K10" t="s">
        <v>869</v>
      </c>
    </row>
    <row r="11" spans="1:11">
      <c r="A11" s="7" t="s">
        <v>656</v>
      </c>
      <c r="B11" s="24">
        <f>(358.74+384)/2</f>
        <v>371.37</v>
      </c>
      <c r="C11" s="23" t="s">
        <v>782</v>
      </c>
      <c r="D11" s="24"/>
      <c r="E11" s="24"/>
      <c r="F11" s="24"/>
      <c r="G11" s="24"/>
      <c r="K11" t="s">
        <v>870</v>
      </c>
    </row>
    <row r="12" spans="1:11">
      <c r="A12" s="7" t="s">
        <v>658</v>
      </c>
      <c r="B12">
        <f>(358.74*2+358.74)/3</f>
        <v>358.74</v>
      </c>
      <c r="C12" s="23" t="s">
        <v>783</v>
      </c>
      <c r="D12" s="24"/>
      <c r="E12" s="24"/>
      <c r="F12" s="24"/>
      <c r="G12" s="24"/>
      <c r="K12" t="s">
        <v>871</v>
      </c>
    </row>
    <row r="13" spans="1:11">
      <c r="A13" s="7" t="s">
        <v>664</v>
      </c>
      <c r="B13" s="24">
        <f>284*12/9.5</f>
        <v>358.73684210526318</v>
      </c>
      <c r="C13" s="38" t="s">
        <v>778</v>
      </c>
      <c r="D13" s="24"/>
      <c r="E13" s="24"/>
      <c r="F13" s="24"/>
      <c r="G13" s="24"/>
      <c r="K13" t="s">
        <v>872</v>
      </c>
    </row>
    <row r="14" spans="1:11">
      <c r="A14" s="7" t="s">
        <v>668</v>
      </c>
      <c r="B14" s="24">
        <f>352*12/11</f>
        <v>384</v>
      </c>
      <c r="C14" s="23" t="s">
        <v>779</v>
      </c>
      <c r="D14" s="24"/>
      <c r="E14" s="24"/>
      <c r="F14" s="24"/>
      <c r="G14" s="24"/>
      <c r="K14" t="s">
        <v>873</v>
      </c>
    </row>
    <row r="15" spans="1:11">
      <c r="A15" s="7" t="s">
        <v>649</v>
      </c>
      <c r="B15" s="24">
        <f>(333.47+358.74)/2</f>
        <v>346.10500000000002</v>
      </c>
      <c r="C15" s="23" t="s">
        <v>780</v>
      </c>
      <c r="D15" s="24"/>
      <c r="E15" s="24"/>
      <c r="F15" s="24"/>
      <c r="G15" s="24"/>
    </row>
    <row r="16" spans="1:11">
      <c r="A16" s="7" t="s">
        <v>675</v>
      </c>
      <c r="B16" s="24">
        <f>1.89*352*12/11</f>
        <v>725.76</v>
      </c>
      <c r="C16" s="23" t="s">
        <v>779</v>
      </c>
      <c r="D16" s="24"/>
      <c r="E16" s="24"/>
      <c r="F16" s="24"/>
      <c r="G16" s="24"/>
    </row>
    <row r="17" spans="1:7">
      <c r="A17" s="7" t="s">
        <v>784</v>
      </c>
      <c r="B17" s="24">
        <f>1.89*352*12/11</f>
        <v>725.76</v>
      </c>
      <c r="C17" s="23" t="s">
        <v>779</v>
      </c>
      <c r="D17" s="24"/>
      <c r="E17" s="24"/>
      <c r="F17" s="24"/>
      <c r="G17" s="24"/>
    </row>
    <row r="18" spans="1:7">
      <c r="A18" s="7" t="s">
        <v>648</v>
      </c>
      <c r="B18" s="24">
        <f>(358.74+384)/2</f>
        <v>371.37</v>
      </c>
      <c r="C18" s="23" t="s">
        <v>782</v>
      </c>
      <c r="D18" s="24"/>
      <c r="E18" s="24"/>
      <c r="F18" s="24"/>
      <c r="G18" s="24"/>
    </row>
    <row r="19" spans="1:7">
      <c r="A19" s="7" t="s">
        <v>651</v>
      </c>
      <c r="B19" s="24">
        <f>264*12/9.5</f>
        <v>333.4736842105263</v>
      </c>
      <c r="C19" s="23" t="s">
        <v>777</v>
      </c>
      <c r="D19" s="24"/>
      <c r="E19" s="24"/>
      <c r="F19" s="24"/>
      <c r="G19" s="24"/>
    </row>
    <row r="20" spans="1:7">
      <c r="A20" s="7" t="s">
        <v>650</v>
      </c>
      <c r="B20">
        <f>(358.74*2+358.74)/3</f>
        <v>358.74</v>
      </c>
      <c r="C20" s="23" t="s">
        <v>783</v>
      </c>
      <c r="D20" s="24"/>
      <c r="E20" s="24"/>
      <c r="F20" s="24"/>
      <c r="G20" s="24"/>
    </row>
    <row r="21" spans="1:7">
      <c r="A21" s="7" t="s">
        <v>662</v>
      </c>
      <c r="B21">
        <f>(358.74*2+358.74)/3</f>
        <v>358.74</v>
      </c>
      <c r="C21" s="23" t="s">
        <v>783</v>
      </c>
      <c r="D21" s="24"/>
      <c r="E21" s="24"/>
      <c r="F21" s="24"/>
      <c r="G21" s="24"/>
    </row>
    <row r="22" spans="1:7">
      <c r="A22" s="7" t="s">
        <v>676</v>
      </c>
      <c r="B22" s="24">
        <f>1.89*352*12/11</f>
        <v>725.76</v>
      </c>
      <c r="C22" s="23" t="s">
        <v>779</v>
      </c>
      <c r="D22" s="24"/>
      <c r="E22" s="24"/>
      <c r="F22" s="24"/>
      <c r="G22" s="24"/>
    </row>
    <row r="23" spans="1:7">
      <c r="A23" s="7" t="s">
        <v>667</v>
      </c>
      <c r="B23" s="24">
        <f>(333.47+384)/2</f>
        <v>358.73500000000001</v>
      </c>
      <c r="C23" s="23" t="s">
        <v>781</v>
      </c>
      <c r="D23" s="24"/>
      <c r="E23" s="24"/>
      <c r="F23" s="24"/>
      <c r="G23" s="24"/>
    </row>
    <row r="24" spans="1:7">
      <c r="A24" s="7" t="s">
        <v>644</v>
      </c>
      <c r="B24" s="24">
        <f>352*12/11</f>
        <v>384</v>
      </c>
      <c r="C24" s="23" t="s">
        <v>779</v>
      </c>
      <c r="D24" s="24"/>
      <c r="E24" s="24"/>
      <c r="F24" s="24"/>
      <c r="G24" s="24"/>
    </row>
    <row r="25" spans="1:7">
      <c r="A25" s="7" t="s">
        <v>677</v>
      </c>
      <c r="B25" s="24">
        <f>2.5*264*12/9.5</f>
        <v>833.68421052631584</v>
      </c>
      <c r="C25" s="23" t="s">
        <v>777</v>
      </c>
      <c r="D25" s="24"/>
      <c r="E25" s="24"/>
      <c r="F25" s="24"/>
      <c r="G25" s="24"/>
    </row>
    <row r="26" spans="1:7">
      <c r="A26" s="7" t="s">
        <v>785</v>
      </c>
      <c r="B26" s="24">
        <f>264*12/9.5</f>
        <v>333.4736842105263</v>
      </c>
      <c r="C26" s="23" t="s">
        <v>777</v>
      </c>
      <c r="D26" s="24"/>
      <c r="E26" s="24"/>
      <c r="F26" s="24"/>
      <c r="G26" s="24"/>
    </row>
    <row r="27" spans="1:7">
      <c r="A27" s="7" t="s">
        <v>655</v>
      </c>
      <c r="B27" s="24">
        <f>(358.74+384)/2</f>
        <v>371.37</v>
      </c>
      <c r="C27" s="23" t="s">
        <v>782</v>
      </c>
      <c r="D27" s="24"/>
      <c r="E27" s="24"/>
      <c r="F27" s="24"/>
      <c r="G27" s="24"/>
    </row>
    <row r="28" spans="1:7">
      <c r="A28" s="7" t="s">
        <v>674</v>
      </c>
      <c r="B28" s="27">
        <v>358.73684210526318</v>
      </c>
      <c r="C28" s="38" t="s">
        <v>778</v>
      </c>
      <c r="D28" s="166"/>
      <c r="E28" s="166"/>
      <c r="F28" s="166"/>
      <c r="G28" s="166"/>
    </row>
    <row r="29" spans="1:7">
      <c r="B29" s="15"/>
      <c r="C29" s="15"/>
      <c r="D29" s="14"/>
      <c r="E29" s="14"/>
      <c r="F29" s="14"/>
      <c r="G29" s="14"/>
    </row>
    <row r="30" spans="1:7">
      <c r="A30" s="7" t="s">
        <v>874</v>
      </c>
      <c r="B30" s="22">
        <f>2.5*384</f>
        <v>960</v>
      </c>
      <c r="C30" s="23" t="s">
        <v>924</v>
      </c>
      <c r="D30" s="23"/>
      <c r="E30" s="23"/>
      <c r="F30" s="23"/>
      <c r="G30" s="23"/>
    </row>
    <row r="31" spans="1:7">
      <c r="A31" s="1"/>
      <c r="B31" s="23"/>
      <c r="C31" s="23"/>
      <c r="D31" s="23"/>
      <c r="E31" s="23"/>
      <c r="F31" s="23"/>
      <c r="G31" s="23"/>
    </row>
    <row r="32" spans="1:7">
      <c r="A32" s="7" t="s">
        <v>875</v>
      </c>
      <c r="B32" s="22">
        <v>384</v>
      </c>
      <c r="C32" s="23" t="s">
        <v>924</v>
      </c>
      <c r="D32" s="23"/>
      <c r="E32" s="23"/>
      <c r="F32" s="23"/>
      <c r="G32" s="23"/>
    </row>
    <row r="33" spans="4:7">
      <c r="D33" s="24"/>
      <c r="E33" s="24"/>
      <c r="F33" s="24"/>
      <c r="G33" s="24"/>
    </row>
  </sheetData>
  <mergeCells count="1">
    <mergeCell ref="D28:G28"/>
  </mergeCells>
  <phoneticPr fontId="14" type="noConversion"/>
  <pageMargins left="0.7" right="0.7" top="0.75" bottom="0.75" header="0.3" footer="0.3"/>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election activeCell="B13" sqref="B13"/>
    </sheetView>
  </sheetViews>
  <sheetFormatPr baseColWidth="10" defaultColWidth="8.83203125" defaultRowHeight="14" x14ac:dyDescent="0"/>
  <cols>
    <col min="1" max="1" width="23.5" customWidth="1"/>
    <col min="2" max="2" width="12" style="24" customWidth="1"/>
    <col min="3" max="3" width="14.5" customWidth="1"/>
    <col min="4" max="4" width="8.83203125" style="24"/>
    <col min="5" max="5" width="10.5" style="24" customWidth="1"/>
    <col min="6" max="6" width="12.6640625" style="24" customWidth="1"/>
    <col min="7" max="7" width="13.1640625" style="24" customWidth="1"/>
    <col min="9" max="9" width="13.83203125" customWidth="1"/>
  </cols>
  <sheetData>
    <row r="1" spans="1:4">
      <c r="A1" t="s">
        <v>82</v>
      </c>
    </row>
    <row r="3" spans="1:4">
      <c r="A3" t="s">
        <v>138</v>
      </c>
    </row>
    <row r="4" spans="1:4">
      <c r="A4" s="1"/>
    </row>
    <row r="5" spans="1:4">
      <c r="A5" t="s">
        <v>876</v>
      </c>
    </row>
    <row r="7" spans="1:4">
      <c r="A7" t="s">
        <v>927</v>
      </c>
      <c r="B7" s="24">
        <f>(2244+2313)*1.15/2</f>
        <v>2620.2749999999996</v>
      </c>
      <c r="D7" s="24" t="s">
        <v>886</v>
      </c>
    </row>
    <row r="8" spans="1:4">
      <c r="A8" t="s">
        <v>888</v>
      </c>
      <c r="B8" s="24">
        <f>1746*1.15</f>
        <v>2007.8999999999999</v>
      </c>
      <c r="D8" s="24" t="s">
        <v>887</v>
      </c>
    </row>
    <row r="9" spans="1:4">
      <c r="A9" t="s">
        <v>704</v>
      </c>
      <c r="B9" s="24">
        <f>282*1.15</f>
        <v>324.29999999999995</v>
      </c>
    </row>
    <row r="10" spans="1:4">
      <c r="A10" t="s">
        <v>889</v>
      </c>
      <c r="B10" s="24">
        <f>1695*1.15</f>
        <v>1949.2499999999998</v>
      </c>
      <c r="D10" s="24" t="s">
        <v>702</v>
      </c>
    </row>
    <row r="11" spans="1:4">
      <c r="A11" t="s">
        <v>703</v>
      </c>
      <c r="B11" s="24">
        <v>1800</v>
      </c>
    </row>
    <row r="12" spans="1:4">
      <c r="A12" t="s">
        <v>705</v>
      </c>
      <c r="B12" s="24">
        <f>(1490+1040)/2</f>
        <v>1265</v>
      </c>
    </row>
  </sheetData>
  <pageMargins left="0.7" right="0.7" top="0.75" bottom="0.75" header="0.3" footer="0.3"/>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election activeCell="J37" sqref="J37"/>
    </sheetView>
  </sheetViews>
  <sheetFormatPr baseColWidth="10" defaultColWidth="8.83203125" defaultRowHeight="14" x14ac:dyDescent="0"/>
  <sheetData>
    <row r="1" spans="1:1">
      <c r="A1" s="42" t="s">
        <v>940</v>
      </c>
    </row>
    <row r="2" spans="1:1">
      <c r="A2" s="21" t="s">
        <v>941</v>
      </c>
    </row>
    <row r="3" spans="1:1">
      <c r="A3" s="21" t="s">
        <v>906</v>
      </c>
    </row>
    <row r="4" spans="1:1">
      <c r="A4" s="21" t="s">
        <v>774</v>
      </c>
    </row>
    <row r="5" spans="1:1">
      <c r="A5" s="21"/>
    </row>
    <row r="6" spans="1:1">
      <c r="A6" s="42" t="s">
        <v>775</v>
      </c>
    </row>
    <row r="7" spans="1:1">
      <c r="A7" s="21" t="s">
        <v>919</v>
      </c>
    </row>
    <row r="8" spans="1:1">
      <c r="A8" s="21"/>
    </row>
    <row r="9" spans="1:1">
      <c r="A9" s="42" t="s">
        <v>920</v>
      </c>
    </row>
    <row r="10" spans="1:1">
      <c r="A10" s="21" t="s">
        <v>918</v>
      </c>
    </row>
    <row r="11" spans="1:1">
      <c r="A11" s="21" t="s">
        <v>959</v>
      </c>
    </row>
    <row r="12" spans="1:1">
      <c r="A12" s="21" t="s">
        <v>925</v>
      </c>
    </row>
    <row r="13" spans="1:1">
      <c r="A13" s="21"/>
    </row>
    <row r="14" spans="1:1">
      <c r="A14" s="43" t="s">
        <v>926</v>
      </c>
    </row>
    <row r="15" spans="1:1">
      <c r="A15" s="44" t="s">
        <v>963</v>
      </c>
    </row>
    <row r="16" spans="1:1">
      <c r="A16" s="44" t="s">
        <v>823</v>
      </c>
    </row>
    <row r="17" spans="1:1">
      <c r="A17" s="44"/>
    </row>
    <row r="18" spans="1:1">
      <c r="A18" s="44"/>
    </row>
    <row r="19" spans="1:1">
      <c r="A19" s="21"/>
    </row>
    <row r="20" spans="1:1">
      <c r="A20" s="21"/>
    </row>
  </sheetData>
  <phoneticPr fontId="14" type="noConversion"/>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9"/>
  <sheetViews>
    <sheetView workbookViewId="0">
      <pane xSplit="1" ySplit="4" topLeftCell="B209" activePane="bottomRight" state="frozen"/>
      <selection pane="topRight" activeCell="B1" sqref="B1"/>
      <selection pane="bottomLeft" activeCell="A2" sqref="A2"/>
      <selection pane="bottomRight" activeCell="A25" sqref="A17:XFD25"/>
    </sheetView>
  </sheetViews>
  <sheetFormatPr baseColWidth="10" defaultColWidth="8.83203125" defaultRowHeight="14" x14ac:dyDescent="0"/>
  <cols>
    <col min="1" max="1" width="22.5" customWidth="1"/>
    <col min="2" max="2" width="28" customWidth="1"/>
    <col min="5" max="5" width="16.6640625" customWidth="1"/>
    <col min="6" max="6" width="10.33203125" customWidth="1"/>
    <col min="7" max="7" width="14.1640625" customWidth="1"/>
    <col min="8" max="8" width="18.33203125" customWidth="1"/>
    <col min="9" max="9" width="33.6640625" customWidth="1"/>
  </cols>
  <sheetData>
    <row r="1" spans="1:10" ht="20">
      <c r="A1" s="45" t="s">
        <v>824</v>
      </c>
      <c r="B1" s="45"/>
    </row>
    <row r="2" spans="1:10" ht="18">
      <c r="A2" s="162" t="s">
        <v>631</v>
      </c>
      <c r="B2" s="163"/>
      <c r="C2" s="163"/>
    </row>
    <row r="4" spans="1:10">
      <c r="B4" s="1" t="s">
        <v>61</v>
      </c>
      <c r="C4" s="1" t="s">
        <v>62</v>
      </c>
      <c r="D4" s="1" t="s">
        <v>63</v>
      </c>
      <c r="E4" s="1" t="s">
        <v>77</v>
      </c>
      <c r="F4" s="1" t="s">
        <v>65</v>
      </c>
      <c r="G4" s="1" t="s">
        <v>204</v>
      </c>
      <c r="H4" s="1" t="s">
        <v>857</v>
      </c>
      <c r="I4" s="1" t="s">
        <v>64</v>
      </c>
      <c r="J4" s="1" t="s">
        <v>10</v>
      </c>
    </row>
    <row r="5" spans="1:10">
      <c r="B5" s="1"/>
      <c r="C5" s="1"/>
      <c r="D5" s="1"/>
      <c r="E5" s="1"/>
      <c r="F5" s="1"/>
      <c r="G5" s="1"/>
      <c r="H5" s="1"/>
      <c r="I5" s="1"/>
      <c r="J5" s="1"/>
    </row>
    <row r="6" spans="1:10">
      <c r="A6" s="1" t="s">
        <v>33</v>
      </c>
      <c r="B6" s="1"/>
      <c r="C6" s="1"/>
      <c r="D6" s="1"/>
      <c r="E6" s="1"/>
      <c r="F6" s="1"/>
      <c r="G6" s="1"/>
      <c r="H6" s="1"/>
      <c r="I6" s="1"/>
      <c r="J6" s="1"/>
    </row>
    <row r="7" spans="1:10">
      <c r="A7" s="7" t="s">
        <v>369</v>
      </c>
      <c r="B7" s="5" t="s">
        <v>165</v>
      </c>
      <c r="C7" s="6" t="s">
        <v>146</v>
      </c>
      <c r="D7" s="6">
        <v>13.66</v>
      </c>
      <c r="E7" s="6" t="s">
        <v>166</v>
      </c>
      <c r="F7" s="6">
        <v>6.83</v>
      </c>
      <c r="G7" s="13">
        <v>20.49</v>
      </c>
      <c r="H7" s="13">
        <v>245.88</v>
      </c>
      <c r="I7" s="5" t="s">
        <v>168</v>
      </c>
      <c r="J7" s="1" t="s">
        <v>311</v>
      </c>
    </row>
    <row r="8" spans="1:10">
      <c r="A8" s="7"/>
      <c r="B8" s="5"/>
      <c r="C8" s="6"/>
      <c r="D8" s="6"/>
      <c r="E8" s="6"/>
      <c r="F8" s="6"/>
      <c r="G8" s="13"/>
      <c r="H8" s="13"/>
      <c r="I8" s="5"/>
      <c r="J8" s="1"/>
    </row>
    <row r="9" spans="1:10">
      <c r="A9" s="7" t="s">
        <v>370</v>
      </c>
      <c r="B9" s="3" t="s">
        <v>74</v>
      </c>
      <c r="C9" s="2" t="s">
        <v>75</v>
      </c>
      <c r="D9" s="2">
        <v>2.62</v>
      </c>
      <c r="E9" s="2" t="s">
        <v>76</v>
      </c>
      <c r="G9" s="23">
        <v>2.62</v>
      </c>
      <c r="H9" s="23">
        <v>820.06</v>
      </c>
      <c r="I9" s="3" t="s">
        <v>155</v>
      </c>
      <c r="J9" t="s">
        <v>88</v>
      </c>
    </row>
    <row r="10" spans="1:10">
      <c r="A10" s="4"/>
      <c r="B10" s="3" t="s">
        <v>74</v>
      </c>
      <c r="C10" s="2" t="s">
        <v>75</v>
      </c>
      <c r="D10" s="2">
        <v>1.06</v>
      </c>
      <c r="E10" s="2" t="s">
        <v>76</v>
      </c>
      <c r="G10" s="23">
        <v>1.06</v>
      </c>
      <c r="H10" s="23">
        <v>331.78</v>
      </c>
      <c r="I10" s="3" t="s">
        <v>243</v>
      </c>
    </row>
    <row r="11" spans="1:10">
      <c r="A11" s="4"/>
      <c r="B11" s="3" t="s">
        <v>100</v>
      </c>
      <c r="C11" s="2" t="s">
        <v>75</v>
      </c>
      <c r="D11" s="2">
        <v>1.03</v>
      </c>
      <c r="E11" s="2" t="s">
        <v>76</v>
      </c>
      <c r="G11" s="23">
        <v>1.03</v>
      </c>
      <c r="H11" s="23">
        <v>322.39</v>
      </c>
      <c r="I11" s="3" t="s">
        <v>101</v>
      </c>
    </row>
    <row r="12" spans="1:10">
      <c r="A12" s="4"/>
      <c r="B12" s="3" t="s">
        <v>100</v>
      </c>
      <c r="C12" s="2" t="s">
        <v>201</v>
      </c>
      <c r="D12" s="2">
        <v>6.18</v>
      </c>
      <c r="E12" s="2" t="s">
        <v>76</v>
      </c>
      <c r="G12" s="23">
        <v>6.18</v>
      </c>
      <c r="H12" s="23">
        <v>321.36</v>
      </c>
      <c r="I12" s="3" t="s">
        <v>136</v>
      </c>
    </row>
    <row r="13" spans="1:10">
      <c r="B13" s="7" t="s">
        <v>496</v>
      </c>
      <c r="C13" s="16"/>
      <c r="D13" s="16"/>
      <c r="E13" s="16"/>
      <c r="G13" s="23"/>
      <c r="H13" s="14">
        <f>SUM(H9:H12)/4</f>
        <v>448.89750000000004</v>
      </c>
      <c r="I13" s="19"/>
    </row>
    <row r="14" spans="1:10">
      <c r="A14" s="7" t="s">
        <v>787</v>
      </c>
      <c r="B14" s="35" t="s">
        <v>788</v>
      </c>
      <c r="C14" s="37" t="s">
        <v>146</v>
      </c>
      <c r="D14" s="37">
        <v>32.5</v>
      </c>
      <c r="E14" s="37" t="s">
        <v>76</v>
      </c>
      <c r="G14" s="23">
        <v>32.5</v>
      </c>
      <c r="H14" s="14">
        <f>G14*12</f>
        <v>390</v>
      </c>
      <c r="I14" s="36" t="s">
        <v>776</v>
      </c>
    </row>
    <row r="15" spans="1:10">
      <c r="A15" s="7" t="s">
        <v>376</v>
      </c>
      <c r="B15" t="s">
        <v>244</v>
      </c>
      <c r="C15" s="2" t="s">
        <v>201</v>
      </c>
      <c r="D15" s="2">
        <v>1.34</v>
      </c>
      <c r="E15" s="2" t="s">
        <v>245</v>
      </c>
      <c r="F15" s="2">
        <f>D15</f>
        <v>1.34</v>
      </c>
      <c r="G15" s="23">
        <f>D15+F15</f>
        <v>2.68</v>
      </c>
      <c r="H15" s="14">
        <v>139.36000000000001</v>
      </c>
      <c r="I15" s="3" t="s">
        <v>246</v>
      </c>
    </row>
    <row r="16" spans="1:10">
      <c r="A16" s="7"/>
      <c r="C16" s="16"/>
      <c r="D16" s="16"/>
      <c r="E16" s="16"/>
      <c r="F16" s="16"/>
      <c r="G16" s="23"/>
      <c r="H16" s="23"/>
      <c r="I16" s="19"/>
    </row>
    <row r="17" spans="1:10">
      <c r="A17" s="7" t="s">
        <v>867</v>
      </c>
      <c r="B17" t="s">
        <v>89</v>
      </c>
      <c r="C17" s="2" t="s">
        <v>75</v>
      </c>
      <c r="D17" s="2">
        <v>1.64</v>
      </c>
      <c r="E17" s="2" t="s">
        <v>76</v>
      </c>
      <c r="G17" s="23">
        <v>1.64</v>
      </c>
      <c r="H17" s="23">
        <v>513.32000000000005</v>
      </c>
      <c r="I17" s="3" t="s">
        <v>90</v>
      </c>
    </row>
    <row r="18" spans="1:10">
      <c r="A18" s="4"/>
      <c r="B18" t="s">
        <v>91</v>
      </c>
      <c r="C18" s="2" t="s">
        <v>75</v>
      </c>
      <c r="D18" s="2">
        <v>1.65</v>
      </c>
      <c r="E18" s="2" t="s">
        <v>76</v>
      </c>
      <c r="G18" s="23">
        <v>1.65</v>
      </c>
      <c r="H18" s="23">
        <v>516.45000000000005</v>
      </c>
      <c r="I18" s="3" t="s">
        <v>96</v>
      </c>
    </row>
    <row r="19" spans="1:10">
      <c r="A19" s="4"/>
      <c r="B19" t="s">
        <v>92</v>
      </c>
      <c r="C19" s="2" t="s">
        <v>75</v>
      </c>
      <c r="D19" s="2">
        <v>1.61</v>
      </c>
      <c r="E19" s="2" t="s">
        <v>76</v>
      </c>
      <c r="G19" s="23">
        <v>1.61</v>
      </c>
      <c r="H19" s="23">
        <v>503.93</v>
      </c>
      <c r="I19" s="3" t="s">
        <v>97</v>
      </c>
    </row>
    <row r="20" spans="1:10">
      <c r="A20" s="4"/>
      <c r="B20" t="s">
        <v>93</v>
      </c>
      <c r="C20" s="2" t="s">
        <v>94</v>
      </c>
      <c r="D20" s="2">
        <v>1.61</v>
      </c>
      <c r="E20" s="2" t="s">
        <v>76</v>
      </c>
      <c r="G20" s="23">
        <v>1.61</v>
      </c>
      <c r="H20" s="23">
        <v>503.93</v>
      </c>
      <c r="I20" s="3" t="s">
        <v>98</v>
      </c>
    </row>
    <row r="21" spans="1:10">
      <c r="A21" s="4"/>
      <c r="B21" t="s">
        <v>95</v>
      </c>
      <c r="C21" s="2" t="s">
        <v>75</v>
      </c>
      <c r="D21" s="2">
        <v>1.62</v>
      </c>
      <c r="E21" s="2" t="s">
        <v>76</v>
      </c>
      <c r="G21" s="23">
        <v>1.62</v>
      </c>
      <c r="H21" s="23">
        <v>507.06</v>
      </c>
      <c r="I21" s="3" t="s">
        <v>99</v>
      </c>
    </row>
    <row r="22" spans="1:10">
      <c r="A22" s="4"/>
      <c r="C22" s="16"/>
      <c r="D22" s="16"/>
      <c r="E22" s="16"/>
      <c r="G22" s="23"/>
      <c r="H22" s="14">
        <f>SUM(H17:H21)/5</f>
        <v>508.93799999999999</v>
      </c>
      <c r="I22" s="19"/>
    </row>
    <row r="23" spans="1:10">
      <c r="A23" s="4"/>
      <c r="C23" s="16"/>
      <c r="D23" s="16"/>
      <c r="E23" s="16"/>
      <c r="G23" s="23"/>
      <c r="H23" s="23"/>
      <c r="I23" s="19"/>
    </row>
    <row r="24" spans="1:10">
      <c r="A24" s="7" t="s">
        <v>104</v>
      </c>
      <c r="B24" t="s">
        <v>104</v>
      </c>
      <c r="C24" s="2" t="s">
        <v>75</v>
      </c>
      <c r="D24" s="2">
        <v>1.83</v>
      </c>
      <c r="E24" s="2" t="s">
        <v>76</v>
      </c>
      <c r="G24" s="23">
        <v>1.83</v>
      </c>
      <c r="H24" s="14">
        <v>572.79</v>
      </c>
      <c r="I24" s="3" t="s">
        <v>147</v>
      </c>
    </row>
    <row r="25" spans="1:10">
      <c r="A25" s="4"/>
      <c r="B25" t="s">
        <v>104</v>
      </c>
      <c r="C25" s="2" t="s">
        <v>201</v>
      </c>
      <c r="D25" s="2">
        <v>10.07</v>
      </c>
      <c r="E25" s="2" t="s">
        <v>76</v>
      </c>
      <c r="G25" s="23">
        <v>10.07</v>
      </c>
      <c r="H25" s="23">
        <v>523.64</v>
      </c>
      <c r="I25" s="3" t="s">
        <v>137</v>
      </c>
    </row>
    <row r="26" spans="1:10">
      <c r="A26" s="4"/>
      <c r="B26" s="7" t="s">
        <v>496</v>
      </c>
      <c r="C26" s="16"/>
      <c r="D26" s="16"/>
      <c r="E26" s="16"/>
      <c r="G26" s="23"/>
      <c r="H26" s="14">
        <f>SUM(H24:H25)/2</f>
        <v>548.21499999999992</v>
      </c>
      <c r="I26" s="19"/>
    </row>
    <row r="27" spans="1:10">
      <c r="A27" s="7" t="s">
        <v>371</v>
      </c>
      <c r="B27" t="s">
        <v>145</v>
      </c>
      <c r="C27" s="2" t="s">
        <v>146</v>
      </c>
      <c r="D27" s="2">
        <v>52.1</v>
      </c>
      <c r="E27" s="2" t="s">
        <v>76</v>
      </c>
      <c r="G27" s="23">
        <v>52.1</v>
      </c>
      <c r="H27" s="23">
        <v>625.20000000000005</v>
      </c>
      <c r="I27" s="3" t="s">
        <v>105</v>
      </c>
    </row>
    <row r="28" spans="1:10">
      <c r="A28" s="4"/>
      <c r="B28" t="s">
        <v>159</v>
      </c>
      <c r="C28" s="2" t="s">
        <v>157</v>
      </c>
      <c r="D28" s="2">
        <v>3047</v>
      </c>
      <c r="E28" s="2" t="s">
        <v>76</v>
      </c>
      <c r="G28" s="23">
        <v>3047</v>
      </c>
      <c r="H28" s="23">
        <v>3047</v>
      </c>
      <c r="I28" t="s">
        <v>161</v>
      </c>
      <c r="J28">
        <v>1859</v>
      </c>
    </row>
    <row r="29" spans="1:10">
      <c r="A29" s="4"/>
      <c r="B29" s="4" t="s">
        <v>160</v>
      </c>
      <c r="C29" s="2" t="s">
        <v>157</v>
      </c>
      <c r="D29" s="2">
        <v>782</v>
      </c>
      <c r="E29" s="2" t="s">
        <v>76</v>
      </c>
      <c r="G29" s="23">
        <v>782</v>
      </c>
      <c r="H29" s="23">
        <v>782</v>
      </c>
      <c r="I29" t="s">
        <v>162</v>
      </c>
      <c r="J29">
        <v>1859</v>
      </c>
    </row>
    <row r="30" spans="1:10">
      <c r="A30" s="7" t="s">
        <v>372</v>
      </c>
      <c r="B30" s="5" t="s">
        <v>308</v>
      </c>
      <c r="C30" s="2" t="s">
        <v>75</v>
      </c>
      <c r="D30" s="2">
        <v>1.69</v>
      </c>
      <c r="E30" s="2" t="s">
        <v>76</v>
      </c>
      <c r="F30" s="2"/>
      <c r="G30" s="23">
        <v>1.69</v>
      </c>
      <c r="H30" s="23">
        <v>528.97</v>
      </c>
      <c r="I30" t="s">
        <v>310</v>
      </c>
    </row>
    <row r="31" spans="1:10">
      <c r="A31" s="7" t="s">
        <v>373</v>
      </c>
      <c r="B31" s="5" t="s">
        <v>855</v>
      </c>
      <c r="C31" s="2" t="s">
        <v>75</v>
      </c>
      <c r="D31" s="2">
        <v>1.19</v>
      </c>
      <c r="E31" s="2" t="s">
        <v>76</v>
      </c>
      <c r="F31" s="2"/>
      <c r="G31" s="23">
        <v>1.19</v>
      </c>
      <c r="H31" s="23">
        <v>372.47</v>
      </c>
      <c r="I31" t="s">
        <v>310</v>
      </c>
    </row>
    <row r="32" spans="1:10">
      <c r="A32" s="4"/>
      <c r="C32" s="2" t="s">
        <v>75</v>
      </c>
      <c r="D32" s="2">
        <v>1.32</v>
      </c>
      <c r="E32" s="2" t="s">
        <v>76</v>
      </c>
      <c r="F32" s="2"/>
      <c r="G32" s="23">
        <v>1.32</v>
      </c>
      <c r="H32" s="23">
        <v>413.16</v>
      </c>
      <c r="I32" t="s">
        <v>449</v>
      </c>
    </row>
    <row r="33" spans="1:9">
      <c r="A33" s="4"/>
      <c r="C33" s="40"/>
      <c r="D33" s="40"/>
      <c r="E33" s="40"/>
      <c r="F33" s="40"/>
      <c r="G33" s="23"/>
      <c r="H33" s="14">
        <v>392.82</v>
      </c>
      <c r="I33" t="s">
        <v>496</v>
      </c>
    </row>
    <row r="34" spans="1:9">
      <c r="A34" s="7"/>
      <c r="B34" t="s">
        <v>753</v>
      </c>
      <c r="C34" s="2" t="s">
        <v>75</v>
      </c>
      <c r="D34" s="23">
        <f>0.31*1.19</f>
        <v>0.36890000000000001</v>
      </c>
      <c r="E34" s="2" t="s">
        <v>76</v>
      </c>
      <c r="F34" s="2"/>
      <c r="G34" s="23">
        <f>0.31*1.19</f>
        <v>0.36890000000000001</v>
      </c>
      <c r="H34" s="23">
        <f>313*G34</f>
        <v>115.4657</v>
      </c>
      <c r="I34" t="s">
        <v>825</v>
      </c>
    </row>
    <row r="35" spans="1:9">
      <c r="A35" s="7"/>
      <c r="C35" s="12" t="s">
        <v>75</v>
      </c>
      <c r="D35" s="23">
        <f>0.31*1.32</f>
        <v>0.40920000000000001</v>
      </c>
      <c r="E35" s="12" t="s">
        <v>76</v>
      </c>
      <c r="F35" s="12"/>
      <c r="G35" s="23">
        <f>0.31*1.32</f>
        <v>0.40920000000000001</v>
      </c>
      <c r="H35" s="23">
        <f>313*G35</f>
        <v>128.0796</v>
      </c>
      <c r="I35" t="s">
        <v>825</v>
      </c>
    </row>
    <row r="36" spans="1:9">
      <c r="A36" s="7"/>
      <c r="C36" s="12"/>
      <c r="D36" s="23"/>
      <c r="E36" s="12"/>
      <c r="F36" s="12"/>
      <c r="G36" s="23"/>
      <c r="H36" s="14">
        <v>121.78</v>
      </c>
      <c r="I36" t="s">
        <v>496</v>
      </c>
    </row>
    <row r="37" spans="1:9">
      <c r="A37" s="7"/>
      <c r="B37" t="s">
        <v>754</v>
      </c>
      <c r="C37" s="2" t="s">
        <v>75</v>
      </c>
      <c r="D37" s="23">
        <f>0.506*1.19</f>
        <v>0.60214000000000001</v>
      </c>
      <c r="E37" s="12" t="s">
        <v>76</v>
      </c>
      <c r="F37" s="2"/>
      <c r="G37" s="23">
        <v>0.6</v>
      </c>
      <c r="H37" s="23">
        <f>313*G37</f>
        <v>187.79999999999998</v>
      </c>
      <c r="I37" s="46" t="s">
        <v>895</v>
      </c>
    </row>
    <row r="38" spans="1:9">
      <c r="A38" s="7"/>
      <c r="C38" s="12" t="s">
        <v>75</v>
      </c>
      <c r="D38" s="23">
        <f>0.506*1.32</f>
        <v>0.66792000000000007</v>
      </c>
      <c r="E38" s="12" t="s">
        <v>76</v>
      </c>
      <c r="F38" s="12"/>
      <c r="G38" s="23">
        <v>0.67</v>
      </c>
      <c r="H38" s="23">
        <f>313*G38</f>
        <v>209.71</v>
      </c>
      <c r="I38" s="46" t="s">
        <v>895</v>
      </c>
    </row>
    <row r="39" spans="1:9">
      <c r="A39" s="7"/>
      <c r="C39" s="12"/>
      <c r="D39" s="23"/>
      <c r="E39" s="12"/>
      <c r="F39" s="12"/>
      <c r="G39" s="23"/>
      <c r="H39" s="14">
        <v>198.76</v>
      </c>
      <c r="I39" t="s">
        <v>496</v>
      </c>
    </row>
    <row r="40" spans="1:9">
      <c r="A40" s="4"/>
      <c r="B40" s="3" t="s">
        <v>247</v>
      </c>
      <c r="C40" s="2" t="s">
        <v>157</v>
      </c>
      <c r="D40" s="2">
        <v>201</v>
      </c>
      <c r="E40" s="2" t="s">
        <v>76</v>
      </c>
      <c r="G40" s="23">
        <f>D40</f>
        <v>201</v>
      </c>
      <c r="H40" s="23">
        <v>201</v>
      </c>
      <c r="I40" t="s">
        <v>364</v>
      </c>
    </row>
    <row r="41" spans="1:9">
      <c r="A41" s="4"/>
      <c r="B41" s="3" t="s">
        <v>365</v>
      </c>
      <c r="C41" s="2" t="s">
        <v>157</v>
      </c>
      <c r="D41" s="2">
        <v>232</v>
      </c>
      <c r="E41" s="2" t="s">
        <v>76</v>
      </c>
      <c r="G41" s="23">
        <f>D41</f>
        <v>232</v>
      </c>
      <c r="H41" s="23">
        <v>232</v>
      </c>
      <c r="I41" t="s">
        <v>366</v>
      </c>
    </row>
    <row r="42" spans="1:9">
      <c r="A42" s="4"/>
      <c r="B42" t="s">
        <v>367</v>
      </c>
      <c r="C42" s="2" t="s">
        <v>157</v>
      </c>
      <c r="D42" s="2">
        <v>346</v>
      </c>
      <c r="E42" s="2" t="s">
        <v>76</v>
      </c>
      <c r="G42" s="23">
        <f>D42</f>
        <v>346</v>
      </c>
      <c r="H42" s="23">
        <v>346</v>
      </c>
      <c r="I42" s="3" t="s">
        <v>368</v>
      </c>
    </row>
    <row r="43" spans="1:9">
      <c r="A43" s="7" t="s">
        <v>374</v>
      </c>
      <c r="B43" s="5" t="s">
        <v>217</v>
      </c>
      <c r="C43" s="2" t="s">
        <v>157</v>
      </c>
      <c r="D43" s="2">
        <v>264</v>
      </c>
      <c r="E43" s="2" t="s">
        <v>76</v>
      </c>
      <c r="F43" s="2"/>
      <c r="G43" s="23">
        <v>264</v>
      </c>
      <c r="H43" s="23">
        <v>264</v>
      </c>
      <c r="I43" t="s">
        <v>453</v>
      </c>
    </row>
    <row r="44" spans="1:9">
      <c r="A44" s="9"/>
      <c r="B44" s="5" t="s">
        <v>593</v>
      </c>
      <c r="C44" s="2" t="s">
        <v>157</v>
      </c>
      <c r="D44" s="2">
        <v>284</v>
      </c>
      <c r="E44" s="2" t="s">
        <v>76</v>
      </c>
      <c r="F44" s="2"/>
      <c r="G44" s="23">
        <v>284</v>
      </c>
      <c r="H44" s="23">
        <v>284</v>
      </c>
      <c r="I44" t="s">
        <v>453</v>
      </c>
    </row>
    <row r="45" spans="1:9">
      <c r="A45" s="9"/>
      <c r="B45" s="5" t="s">
        <v>594</v>
      </c>
      <c r="C45" s="2" t="s">
        <v>157</v>
      </c>
      <c r="D45" s="2">
        <v>375</v>
      </c>
      <c r="E45" s="2" t="s">
        <v>76</v>
      </c>
      <c r="F45" s="2"/>
      <c r="G45" s="23">
        <v>375</v>
      </c>
      <c r="H45" s="23">
        <v>375</v>
      </c>
      <c r="I45" t="s">
        <v>453</v>
      </c>
    </row>
    <row r="46" spans="1:9">
      <c r="A46" s="7" t="s">
        <v>375</v>
      </c>
      <c r="B46" t="s">
        <v>454</v>
      </c>
      <c r="C46" s="2" t="s">
        <v>146</v>
      </c>
      <c r="D46" s="2">
        <v>12</v>
      </c>
      <c r="E46" s="2" t="s">
        <v>35</v>
      </c>
      <c r="F46" s="2">
        <v>6</v>
      </c>
      <c r="G46" s="23">
        <v>18</v>
      </c>
      <c r="H46" s="23">
        <v>216</v>
      </c>
      <c r="I46" s="3" t="s">
        <v>858</v>
      </c>
    </row>
    <row r="47" spans="1:9">
      <c r="A47" s="4"/>
      <c r="B47" t="s">
        <v>455</v>
      </c>
      <c r="C47" s="2" t="s">
        <v>146</v>
      </c>
      <c r="D47" s="2">
        <v>15</v>
      </c>
      <c r="E47" s="2" t="s">
        <v>35</v>
      </c>
      <c r="F47" s="2">
        <v>7.5</v>
      </c>
      <c r="G47" s="23">
        <v>22.5</v>
      </c>
      <c r="H47" s="23">
        <v>270</v>
      </c>
      <c r="I47" s="3" t="s">
        <v>858</v>
      </c>
    </row>
    <row r="48" spans="1:9">
      <c r="A48" s="4"/>
      <c r="B48" t="s">
        <v>456</v>
      </c>
      <c r="C48" s="2" t="s">
        <v>146</v>
      </c>
      <c r="D48" s="2">
        <v>20</v>
      </c>
      <c r="E48" s="2" t="s">
        <v>35</v>
      </c>
      <c r="F48" s="2">
        <v>10</v>
      </c>
      <c r="G48" s="23">
        <v>30</v>
      </c>
      <c r="H48" s="23">
        <v>360</v>
      </c>
      <c r="I48" s="3" t="s">
        <v>858</v>
      </c>
    </row>
    <row r="49" spans="1:10">
      <c r="A49" s="4"/>
      <c r="B49" t="s">
        <v>456</v>
      </c>
      <c r="C49" s="26" t="s">
        <v>146</v>
      </c>
      <c r="D49" s="26">
        <v>15</v>
      </c>
      <c r="E49" s="26" t="s">
        <v>35</v>
      </c>
      <c r="F49" s="26">
        <v>7.5</v>
      </c>
      <c r="G49" s="23">
        <v>22.5</v>
      </c>
      <c r="H49" s="23">
        <v>270</v>
      </c>
      <c r="I49" s="25" t="s">
        <v>858</v>
      </c>
    </row>
    <row r="50" spans="1:10">
      <c r="A50" s="54" t="s">
        <v>36</v>
      </c>
      <c r="C50" s="2"/>
      <c r="D50" s="2"/>
      <c r="E50" s="2"/>
      <c r="F50" s="2"/>
      <c r="G50" s="23"/>
      <c r="H50" s="23"/>
      <c r="I50" s="3"/>
    </row>
    <row r="51" spans="1:10">
      <c r="A51" s="55" t="s">
        <v>387</v>
      </c>
      <c r="B51" s="84" t="s">
        <v>951</v>
      </c>
      <c r="C51" s="2" t="s">
        <v>75</v>
      </c>
      <c r="D51" s="2">
        <v>1.03</v>
      </c>
      <c r="E51" s="2" t="s">
        <v>76</v>
      </c>
      <c r="G51" s="23">
        <f>D51</f>
        <v>1.03</v>
      </c>
      <c r="H51" s="23">
        <v>322.39</v>
      </c>
      <c r="I51" s="85" t="s">
        <v>928</v>
      </c>
    </row>
    <row r="52" spans="1:10">
      <c r="A52" s="56"/>
      <c r="B52" s="5" t="s">
        <v>517</v>
      </c>
      <c r="C52" s="2" t="s">
        <v>75</v>
      </c>
      <c r="D52" s="2">
        <v>1.05</v>
      </c>
      <c r="E52" s="2" t="s">
        <v>76</v>
      </c>
      <c r="G52" s="23">
        <v>1.05</v>
      </c>
      <c r="H52" s="23">
        <v>328.65</v>
      </c>
      <c r="I52" s="3" t="s">
        <v>243</v>
      </c>
    </row>
    <row r="53" spans="1:10">
      <c r="A53" s="56"/>
      <c r="B53" s="5" t="s">
        <v>518</v>
      </c>
      <c r="C53" s="2" t="s">
        <v>75</v>
      </c>
      <c r="D53" s="2">
        <v>0.94</v>
      </c>
      <c r="E53" s="2" t="s">
        <v>76</v>
      </c>
      <c r="G53" s="23">
        <v>0.94</v>
      </c>
      <c r="H53" s="23">
        <v>294.22000000000003</v>
      </c>
      <c r="I53" s="3" t="s">
        <v>243</v>
      </c>
    </row>
    <row r="54" spans="1:10">
      <c r="A54" s="56"/>
      <c r="B54" s="5" t="s">
        <v>519</v>
      </c>
      <c r="C54" s="2" t="s">
        <v>75</v>
      </c>
      <c r="D54" s="2">
        <v>1.04</v>
      </c>
      <c r="E54" s="2" t="s">
        <v>76</v>
      </c>
      <c r="G54" s="23">
        <v>1.04</v>
      </c>
      <c r="H54" s="23">
        <v>325.52</v>
      </c>
      <c r="I54" s="3" t="s">
        <v>243</v>
      </c>
    </row>
    <row r="55" spans="1:10">
      <c r="A55" s="56"/>
      <c r="B55" s="5" t="s">
        <v>520</v>
      </c>
      <c r="C55" s="2" t="s">
        <v>75</v>
      </c>
      <c r="D55" s="2">
        <v>1.02</v>
      </c>
      <c r="E55" s="2" t="s">
        <v>76</v>
      </c>
      <c r="G55" s="23">
        <v>1.02</v>
      </c>
      <c r="H55" s="23">
        <v>319.26</v>
      </c>
      <c r="I55" s="3" t="s">
        <v>243</v>
      </c>
    </row>
    <row r="56" spans="1:10">
      <c r="A56" s="56"/>
      <c r="B56" s="5" t="s">
        <v>521</v>
      </c>
      <c r="C56" s="2" t="s">
        <v>75</v>
      </c>
      <c r="D56" s="2">
        <v>1.05</v>
      </c>
      <c r="E56" s="2" t="s">
        <v>76</v>
      </c>
      <c r="G56" s="23">
        <v>1.05</v>
      </c>
      <c r="H56" s="23">
        <v>328.65</v>
      </c>
      <c r="I56" s="3" t="s">
        <v>243</v>
      </c>
    </row>
    <row r="57" spans="1:10">
      <c r="A57" s="56"/>
      <c r="B57" s="5" t="s">
        <v>516</v>
      </c>
      <c r="C57" s="2" t="s">
        <v>75</v>
      </c>
      <c r="D57" s="2">
        <v>1.05</v>
      </c>
      <c r="E57" s="2" t="s">
        <v>76</v>
      </c>
      <c r="G57" s="23">
        <v>1.05</v>
      </c>
      <c r="H57" s="23">
        <v>328.65</v>
      </c>
      <c r="I57" s="3" t="s">
        <v>243</v>
      </c>
    </row>
    <row r="58" spans="1:10">
      <c r="A58" s="55" t="s">
        <v>688</v>
      </c>
      <c r="B58" t="s">
        <v>510</v>
      </c>
      <c r="C58" s="2" t="s">
        <v>201</v>
      </c>
      <c r="D58" s="2">
        <v>1.32</v>
      </c>
      <c r="E58" s="2" t="s">
        <v>245</v>
      </c>
      <c r="F58" s="2">
        <f t="shared" ref="F58:F63" si="0">D58</f>
        <v>1.32</v>
      </c>
      <c r="G58" s="23">
        <f t="shared" ref="G58:G63" si="1">D58+F58</f>
        <v>2.64</v>
      </c>
      <c r="H58" s="23">
        <v>137.28</v>
      </c>
      <c r="I58" s="3" t="s">
        <v>246</v>
      </c>
    </row>
    <row r="59" spans="1:10">
      <c r="A59" s="56"/>
      <c r="B59" t="s">
        <v>511</v>
      </c>
      <c r="C59" s="2" t="s">
        <v>201</v>
      </c>
      <c r="D59" s="2">
        <v>1.63</v>
      </c>
      <c r="E59" s="2" t="s">
        <v>245</v>
      </c>
      <c r="F59" s="2">
        <f t="shared" si="0"/>
        <v>1.63</v>
      </c>
      <c r="G59" s="23">
        <f t="shared" si="1"/>
        <v>3.26</v>
      </c>
      <c r="H59" s="23">
        <v>169.52</v>
      </c>
      <c r="I59" s="3" t="s">
        <v>246</v>
      </c>
    </row>
    <row r="60" spans="1:10">
      <c r="A60" s="56"/>
      <c r="B60" t="s">
        <v>512</v>
      </c>
      <c r="C60" s="2" t="s">
        <v>201</v>
      </c>
      <c r="D60" s="2">
        <v>1.31</v>
      </c>
      <c r="E60" s="2" t="s">
        <v>245</v>
      </c>
      <c r="F60" s="2">
        <f t="shared" si="0"/>
        <v>1.31</v>
      </c>
      <c r="G60" s="23">
        <f t="shared" si="1"/>
        <v>2.62</v>
      </c>
      <c r="H60" s="23">
        <v>136.24</v>
      </c>
      <c r="I60" s="3" t="s">
        <v>246</v>
      </c>
    </row>
    <row r="61" spans="1:10">
      <c r="A61" s="56"/>
      <c r="B61" t="s">
        <v>513</v>
      </c>
      <c r="C61" s="2" t="s">
        <v>201</v>
      </c>
      <c r="D61" s="2">
        <v>1.58</v>
      </c>
      <c r="E61" s="2" t="s">
        <v>245</v>
      </c>
      <c r="F61" s="2">
        <f t="shared" si="0"/>
        <v>1.58</v>
      </c>
      <c r="G61" s="23">
        <f t="shared" si="1"/>
        <v>3.16</v>
      </c>
      <c r="H61" s="23">
        <v>164.32</v>
      </c>
      <c r="I61" s="3" t="s">
        <v>246</v>
      </c>
    </row>
    <row r="62" spans="1:10">
      <c r="A62" s="56"/>
      <c r="B62" t="s">
        <v>514</v>
      </c>
      <c r="C62" s="2" t="s">
        <v>201</v>
      </c>
      <c r="D62" s="2">
        <v>1.5</v>
      </c>
      <c r="E62" s="2" t="s">
        <v>245</v>
      </c>
      <c r="F62" s="2">
        <f t="shared" si="0"/>
        <v>1.5</v>
      </c>
      <c r="G62" s="23">
        <f t="shared" si="1"/>
        <v>3</v>
      </c>
      <c r="H62" s="23">
        <v>156</v>
      </c>
      <c r="I62" s="3" t="s">
        <v>246</v>
      </c>
    </row>
    <row r="63" spans="1:10">
      <c r="A63" s="56"/>
      <c r="B63" t="s">
        <v>515</v>
      </c>
      <c r="C63" s="2" t="s">
        <v>201</v>
      </c>
      <c r="D63" s="2">
        <v>1.5</v>
      </c>
      <c r="E63" s="2" t="s">
        <v>245</v>
      </c>
      <c r="F63" s="2">
        <f t="shared" si="0"/>
        <v>1.5</v>
      </c>
      <c r="G63" s="23">
        <f t="shared" si="1"/>
        <v>3</v>
      </c>
      <c r="H63" s="23">
        <v>156</v>
      </c>
      <c r="I63" s="3" t="s">
        <v>246</v>
      </c>
    </row>
    <row r="64" spans="1:10">
      <c r="A64" s="55" t="s">
        <v>371</v>
      </c>
      <c r="B64" s="5" t="s">
        <v>377</v>
      </c>
      <c r="C64" s="2" t="s">
        <v>157</v>
      </c>
      <c r="D64" s="2">
        <v>633</v>
      </c>
      <c r="E64" s="2" t="s">
        <v>35</v>
      </c>
      <c r="F64" s="2">
        <v>158.25</v>
      </c>
      <c r="G64" s="23">
        <v>791.25</v>
      </c>
      <c r="H64" s="23">
        <v>791.25</v>
      </c>
      <c r="I64" s="3" t="s">
        <v>39</v>
      </c>
      <c r="J64" t="s">
        <v>38</v>
      </c>
    </row>
    <row r="65" spans="1:9">
      <c r="A65" s="55" t="s">
        <v>373</v>
      </c>
      <c r="B65" s="3" t="s">
        <v>247</v>
      </c>
      <c r="C65" s="2" t="s">
        <v>157</v>
      </c>
      <c r="D65" s="2">
        <v>206</v>
      </c>
      <c r="E65" s="2" t="s">
        <v>76</v>
      </c>
      <c r="G65" s="23">
        <f t="shared" ref="G65:G85" si="2">D65</f>
        <v>206</v>
      </c>
      <c r="H65" s="23">
        <v>206</v>
      </c>
      <c r="I65" t="s">
        <v>364</v>
      </c>
    </row>
    <row r="66" spans="1:9">
      <c r="A66" s="56"/>
      <c r="B66" s="3" t="s">
        <v>523</v>
      </c>
      <c r="C66" s="2" t="s">
        <v>157</v>
      </c>
      <c r="D66" s="2">
        <v>202</v>
      </c>
      <c r="E66" s="2" t="s">
        <v>76</v>
      </c>
      <c r="G66" s="23">
        <f t="shared" si="2"/>
        <v>202</v>
      </c>
      <c r="H66" s="23">
        <v>202</v>
      </c>
      <c r="I66" t="s">
        <v>364</v>
      </c>
    </row>
    <row r="67" spans="1:9">
      <c r="A67" s="56"/>
      <c r="B67" s="3" t="s">
        <v>524</v>
      </c>
      <c r="C67" s="2" t="s">
        <v>157</v>
      </c>
      <c r="D67" s="2">
        <v>227</v>
      </c>
      <c r="E67" s="2" t="s">
        <v>76</v>
      </c>
      <c r="G67" s="23">
        <f t="shared" si="2"/>
        <v>227</v>
      </c>
      <c r="H67" s="23">
        <v>227</v>
      </c>
      <c r="I67" t="s">
        <v>364</v>
      </c>
    </row>
    <row r="68" spans="1:9">
      <c r="A68" s="56"/>
      <c r="B68" s="3" t="s">
        <v>525</v>
      </c>
      <c r="C68" s="2" t="s">
        <v>157</v>
      </c>
      <c r="D68" s="2">
        <v>207</v>
      </c>
      <c r="E68" s="2" t="s">
        <v>76</v>
      </c>
      <c r="G68" s="23">
        <f t="shared" si="2"/>
        <v>207</v>
      </c>
      <c r="H68" s="23">
        <v>207</v>
      </c>
      <c r="I68" t="s">
        <v>364</v>
      </c>
    </row>
    <row r="69" spans="1:9">
      <c r="A69" s="56"/>
      <c r="B69" s="3" t="s">
        <v>526</v>
      </c>
      <c r="C69" s="2" t="s">
        <v>157</v>
      </c>
      <c r="D69" s="2">
        <v>203</v>
      </c>
      <c r="E69" s="2" t="s">
        <v>76</v>
      </c>
      <c r="G69" s="23">
        <f t="shared" si="2"/>
        <v>203</v>
      </c>
      <c r="H69" s="23">
        <v>203</v>
      </c>
      <c r="I69" t="s">
        <v>364</v>
      </c>
    </row>
    <row r="70" spans="1:9">
      <c r="A70" s="56"/>
      <c r="B70" s="3" t="s">
        <v>527</v>
      </c>
      <c r="C70" s="2" t="s">
        <v>157</v>
      </c>
      <c r="D70" s="2">
        <v>202</v>
      </c>
      <c r="E70" s="2" t="s">
        <v>76</v>
      </c>
      <c r="G70" s="23">
        <f t="shared" si="2"/>
        <v>202</v>
      </c>
      <c r="H70" s="23">
        <v>202</v>
      </c>
      <c r="I70" t="s">
        <v>364</v>
      </c>
    </row>
    <row r="71" spans="1:9">
      <c r="A71" s="56"/>
      <c r="B71" s="3" t="s">
        <v>522</v>
      </c>
      <c r="C71" s="2" t="s">
        <v>157</v>
      </c>
      <c r="D71" s="2">
        <v>194</v>
      </c>
      <c r="E71" s="2" t="s">
        <v>76</v>
      </c>
      <c r="G71" s="23">
        <f t="shared" si="2"/>
        <v>194</v>
      </c>
      <c r="H71" s="23">
        <v>194</v>
      </c>
      <c r="I71" t="s">
        <v>364</v>
      </c>
    </row>
    <row r="72" spans="1:9">
      <c r="A72" s="56"/>
      <c r="B72" s="3" t="s">
        <v>365</v>
      </c>
      <c r="C72" s="2" t="s">
        <v>157</v>
      </c>
      <c r="D72" s="2">
        <v>233</v>
      </c>
      <c r="E72" s="2" t="s">
        <v>76</v>
      </c>
      <c r="G72" s="23">
        <f t="shared" si="2"/>
        <v>233</v>
      </c>
      <c r="H72" s="23">
        <v>233</v>
      </c>
      <c r="I72" t="s">
        <v>366</v>
      </c>
    </row>
    <row r="73" spans="1:9">
      <c r="A73" s="56"/>
      <c r="B73" s="3" t="s">
        <v>529</v>
      </c>
      <c r="C73" s="2" t="s">
        <v>157</v>
      </c>
      <c r="D73" s="2">
        <v>256</v>
      </c>
      <c r="E73" s="2" t="s">
        <v>76</v>
      </c>
      <c r="G73" s="23">
        <f t="shared" si="2"/>
        <v>256</v>
      </c>
      <c r="H73" s="23">
        <v>256</v>
      </c>
      <c r="I73" t="s">
        <v>366</v>
      </c>
    </row>
    <row r="74" spans="1:9">
      <c r="A74" s="56"/>
      <c r="B74" s="3" t="s">
        <v>530</v>
      </c>
      <c r="C74" s="2" t="s">
        <v>157</v>
      </c>
      <c r="D74" s="2">
        <v>275</v>
      </c>
      <c r="E74" s="2" t="s">
        <v>76</v>
      </c>
      <c r="G74" s="23">
        <f t="shared" si="2"/>
        <v>275</v>
      </c>
      <c r="H74" s="23">
        <v>275</v>
      </c>
      <c r="I74" t="s">
        <v>366</v>
      </c>
    </row>
    <row r="75" spans="1:9">
      <c r="A75" s="56"/>
      <c r="B75" s="3" t="s">
        <v>531</v>
      </c>
      <c r="C75" s="2" t="s">
        <v>157</v>
      </c>
      <c r="D75" s="2">
        <v>199</v>
      </c>
      <c r="E75" s="2" t="s">
        <v>76</v>
      </c>
      <c r="G75" s="23">
        <f t="shared" si="2"/>
        <v>199</v>
      </c>
      <c r="H75" s="23">
        <v>199</v>
      </c>
      <c r="I75" t="s">
        <v>366</v>
      </c>
    </row>
    <row r="76" spans="1:9">
      <c r="A76" s="56"/>
      <c r="B76" s="3" t="s">
        <v>532</v>
      </c>
      <c r="C76" s="2" t="s">
        <v>157</v>
      </c>
      <c r="D76" s="2">
        <v>234</v>
      </c>
      <c r="E76" s="2" t="s">
        <v>76</v>
      </c>
      <c r="G76" s="23">
        <f t="shared" si="2"/>
        <v>234</v>
      </c>
      <c r="H76" s="23">
        <v>234</v>
      </c>
      <c r="I76" t="s">
        <v>366</v>
      </c>
    </row>
    <row r="77" spans="1:9">
      <c r="A77" s="56"/>
      <c r="B77" s="3" t="s">
        <v>533</v>
      </c>
      <c r="C77" s="2" t="s">
        <v>157</v>
      </c>
      <c r="D77" s="2">
        <v>253</v>
      </c>
      <c r="E77" s="2" t="s">
        <v>76</v>
      </c>
      <c r="G77" s="23">
        <f t="shared" si="2"/>
        <v>253</v>
      </c>
      <c r="H77" s="23">
        <v>253</v>
      </c>
      <c r="I77" t="s">
        <v>366</v>
      </c>
    </row>
    <row r="78" spans="1:9">
      <c r="A78" s="56"/>
      <c r="B78" s="3" t="s">
        <v>528</v>
      </c>
      <c r="C78" s="2" t="s">
        <v>157</v>
      </c>
      <c r="D78" s="2">
        <v>252</v>
      </c>
      <c r="E78" s="2" t="s">
        <v>76</v>
      </c>
      <c r="G78" s="23">
        <f t="shared" si="2"/>
        <v>252</v>
      </c>
      <c r="H78" s="23">
        <v>252</v>
      </c>
      <c r="I78" t="s">
        <v>366</v>
      </c>
    </row>
    <row r="79" spans="1:9">
      <c r="A79" s="56"/>
      <c r="B79" t="s">
        <v>367</v>
      </c>
      <c r="C79" s="2" t="s">
        <v>157</v>
      </c>
      <c r="D79" s="2">
        <v>368</v>
      </c>
      <c r="E79" s="2" t="s">
        <v>76</v>
      </c>
      <c r="G79" s="23">
        <f t="shared" si="2"/>
        <v>368</v>
      </c>
      <c r="H79" s="23">
        <v>368</v>
      </c>
      <c r="I79" s="3" t="s">
        <v>368</v>
      </c>
    </row>
    <row r="80" spans="1:9">
      <c r="A80" s="56"/>
      <c r="B80" t="s">
        <v>382</v>
      </c>
      <c r="C80" s="2" t="s">
        <v>157</v>
      </c>
      <c r="D80" s="2">
        <v>414</v>
      </c>
      <c r="E80" s="2" t="s">
        <v>76</v>
      </c>
      <c r="G80" s="23">
        <f t="shared" si="2"/>
        <v>414</v>
      </c>
      <c r="H80" s="23">
        <v>414</v>
      </c>
      <c r="I80" s="3" t="s">
        <v>368</v>
      </c>
    </row>
    <row r="81" spans="1:10">
      <c r="A81" s="56"/>
      <c r="B81" t="s">
        <v>383</v>
      </c>
      <c r="C81" s="2" t="s">
        <v>157</v>
      </c>
      <c r="D81" s="2">
        <v>364</v>
      </c>
      <c r="E81" s="2" t="s">
        <v>76</v>
      </c>
      <c r="G81" s="23">
        <f t="shared" si="2"/>
        <v>364</v>
      </c>
      <c r="H81" s="23">
        <v>364</v>
      </c>
      <c r="I81" s="3" t="s">
        <v>368</v>
      </c>
    </row>
    <row r="82" spans="1:10">
      <c r="A82" s="56"/>
      <c r="B82" t="s">
        <v>384</v>
      </c>
      <c r="C82" s="2" t="s">
        <v>157</v>
      </c>
      <c r="D82" s="2">
        <v>389</v>
      </c>
      <c r="E82" s="2" t="s">
        <v>76</v>
      </c>
      <c r="G82" s="23">
        <f t="shared" si="2"/>
        <v>389</v>
      </c>
      <c r="H82" s="23">
        <v>389</v>
      </c>
      <c r="I82" s="3" t="s">
        <v>368</v>
      </c>
    </row>
    <row r="83" spans="1:10">
      <c r="A83" s="56"/>
      <c r="B83" t="s">
        <v>385</v>
      </c>
      <c r="C83" s="2" t="s">
        <v>157</v>
      </c>
      <c r="D83" s="2">
        <v>380</v>
      </c>
      <c r="E83" s="2" t="s">
        <v>76</v>
      </c>
      <c r="G83" s="23">
        <f t="shared" si="2"/>
        <v>380</v>
      </c>
      <c r="H83" s="23">
        <v>380</v>
      </c>
      <c r="I83" s="3" t="s">
        <v>368</v>
      </c>
    </row>
    <row r="84" spans="1:10">
      <c r="A84" s="56"/>
      <c r="B84" t="s">
        <v>386</v>
      </c>
      <c r="C84" s="2" t="s">
        <v>157</v>
      </c>
      <c r="D84" s="2">
        <v>422</v>
      </c>
      <c r="E84" s="2" t="s">
        <v>76</v>
      </c>
      <c r="G84" s="23">
        <f t="shared" si="2"/>
        <v>422</v>
      </c>
      <c r="H84" s="23">
        <v>422</v>
      </c>
      <c r="I84" s="3" t="s">
        <v>368</v>
      </c>
    </row>
    <row r="85" spans="1:10">
      <c r="A85" s="56"/>
      <c r="B85" t="s">
        <v>534</v>
      </c>
      <c r="C85" s="2" t="s">
        <v>157</v>
      </c>
      <c r="D85" s="2">
        <v>316</v>
      </c>
      <c r="E85" s="2" t="s">
        <v>76</v>
      </c>
      <c r="G85" s="23">
        <f t="shared" si="2"/>
        <v>316</v>
      </c>
      <c r="H85" s="23">
        <v>310</v>
      </c>
      <c r="I85" s="3" t="s">
        <v>368</v>
      </c>
    </row>
    <row r="86" spans="1:10">
      <c r="A86" s="57" t="s">
        <v>66</v>
      </c>
      <c r="C86" s="2"/>
      <c r="D86" s="2"/>
      <c r="E86" s="2"/>
      <c r="G86" s="23"/>
      <c r="H86" s="23"/>
      <c r="I86" s="3"/>
    </row>
    <row r="87" spans="1:10">
      <c r="A87" s="58" t="s">
        <v>387</v>
      </c>
      <c r="B87" s="5" t="s">
        <v>163</v>
      </c>
      <c r="C87" s="2" t="s">
        <v>75</v>
      </c>
      <c r="D87" s="2">
        <v>1.06</v>
      </c>
      <c r="E87" s="2" t="s">
        <v>76</v>
      </c>
      <c r="G87" s="23">
        <v>1.06</v>
      </c>
      <c r="H87" s="23">
        <v>331.78</v>
      </c>
      <c r="I87" s="47" t="s">
        <v>936</v>
      </c>
    </row>
    <row r="88" spans="1:10">
      <c r="A88" s="59"/>
      <c r="B88" s="5" t="s">
        <v>689</v>
      </c>
      <c r="C88" s="2" t="s">
        <v>75</v>
      </c>
      <c r="D88" s="2">
        <v>1.02</v>
      </c>
      <c r="E88" s="2" t="s">
        <v>76</v>
      </c>
      <c r="G88" s="23">
        <v>1.02</v>
      </c>
      <c r="H88" s="23">
        <v>319.26</v>
      </c>
      <c r="I88" s="3" t="s">
        <v>243</v>
      </c>
    </row>
    <row r="89" spans="1:10">
      <c r="A89" s="59"/>
      <c r="B89" s="5" t="s">
        <v>690</v>
      </c>
      <c r="C89" s="2" t="s">
        <v>75</v>
      </c>
      <c r="D89" s="2">
        <v>1.07</v>
      </c>
      <c r="E89" s="2" t="s">
        <v>76</v>
      </c>
      <c r="G89" s="23">
        <v>1.07</v>
      </c>
      <c r="H89" s="23">
        <v>334.91</v>
      </c>
      <c r="I89" s="3" t="s">
        <v>243</v>
      </c>
    </row>
    <row r="90" spans="1:10">
      <c r="A90" s="59"/>
      <c r="B90" s="5" t="s">
        <v>691</v>
      </c>
      <c r="C90" s="2" t="s">
        <v>75</v>
      </c>
      <c r="D90" s="2">
        <v>1.1100000000000001</v>
      </c>
      <c r="E90" s="2" t="s">
        <v>76</v>
      </c>
      <c r="G90" s="23">
        <v>1.1100000000000001</v>
      </c>
      <c r="H90" s="23">
        <v>347.43</v>
      </c>
      <c r="I90" s="3" t="s">
        <v>243</v>
      </c>
    </row>
    <row r="91" spans="1:10">
      <c r="A91" s="58" t="s">
        <v>688</v>
      </c>
      <c r="B91" t="s">
        <v>244</v>
      </c>
      <c r="C91" s="2" t="s">
        <v>201</v>
      </c>
      <c r="D91" s="2">
        <v>1.24</v>
      </c>
      <c r="E91" s="2" t="s">
        <v>245</v>
      </c>
      <c r="F91" s="2">
        <f>D91</f>
        <v>1.24</v>
      </c>
      <c r="G91" s="23">
        <f>D91+F91</f>
        <v>2.48</v>
      </c>
      <c r="H91" s="23">
        <v>128.96</v>
      </c>
      <c r="I91" s="3" t="s">
        <v>246</v>
      </c>
    </row>
    <row r="92" spans="1:10">
      <c r="A92" s="59"/>
      <c r="B92" t="s">
        <v>692</v>
      </c>
      <c r="C92" s="2" t="s">
        <v>201</v>
      </c>
      <c r="D92" s="2">
        <v>1.25</v>
      </c>
      <c r="E92" s="2" t="s">
        <v>245</v>
      </c>
      <c r="F92" s="2">
        <f>D92</f>
        <v>1.25</v>
      </c>
      <c r="G92" s="23">
        <f>D92+F92</f>
        <v>2.5</v>
      </c>
      <c r="H92" s="23">
        <v>130</v>
      </c>
      <c r="I92" s="3" t="s">
        <v>246</v>
      </c>
    </row>
    <row r="93" spans="1:10">
      <c r="A93" s="59"/>
      <c r="B93" t="s">
        <v>244</v>
      </c>
      <c r="C93" s="2" t="s">
        <v>201</v>
      </c>
      <c r="D93" s="2">
        <v>1.5</v>
      </c>
      <c r="E93" s="2" t="s">
        <v>245</v>
      </c>
      <c r="F93" s="2">
        <f>D93</f>
        <v>1.5</v>
      </c>
      <c r="G93" s="23">
        <f>D93+F93</f>
        <v>3</v>
      </c>
      <c r="H93" s="23">
        <v>156</v>
      </c>
      <c r="I93" s="3" t="s">
        <v>246</v>
      </c>
    </row>
    <row r="94" spans="1:10">
      <c r="A94" s="59"/>
      <c r="B94" t="s">
        <v>693</v>
      </c>
      <c r="C94" s="2" t="s">
        <v>201</v>
      </c>
      <c r="D94" s="2">
        <v>1.23</v>
      </c>
      <c r="E94" s="2" t="s">
        <v>245</v>
      </c>
      <c r="F94" s="2">
        <f>D94</f>
        <v>1.23</v>
      </c>
      <c r="G94" s="23">
        <f>D94+F94</f>
        <v>2.46</v>
      </c>
      <c r="H94" s="23">
        <v>127.92</v>
      </c>
      <c r="I94" s="3" t="s">
        <v>246</v>
      </c>
    </row>
    <row r="95" spans="1:10">
      <c r="A95" s="59"/>
      <c r="B95" t="s">
        <v>535</v>
      </c>
      <c r="C95" s="2" t="s">
        <v>201</v>
      </c>
      <c r="D95" s="2">
        <v>1.22</v>
      </c>
      <c r="E95" s="2" t="s">
        <v>245</v>
      </c>
      <c r="F95" s="2">
        <f>D95</f>
        <v>1.22</v>
      </c>
      <c r="G95" s="23">
        <f>D95+F95</f>
        <v>2.44</v>
      </c>
      <c r="H95" s="23">
        <v>126.88</v>
      </c>
      <c r="I95" s="3" t="s">
        <v>246</v>
      </c>
    </row>
    <row r="96" spans="1:10">
      <c r="A96" s="58" t="s">
        <v>371</v>
      </c>
      <c r="B96" s="5" t="s">
        <v>536</v>
      </c>
      <c r="C96" s="2" t="s">
        <v>157</v>
      </c>
      <c r="D96" s="2">
        <v>604.09</v>
      </c>
      <c r="E96" s="2" t="s">
        <v>35</v>
      </c>
      <c r="F96" s="2">
        <v>151.02000000000001</v>
      </c>
      <c r="G96" s="23">
        <v>755.11</v>
      </c>
      <c r="H96" s="23">
        <v>755.11</v>
      </c>
      <c r="I96" s="3" t="s">
        <v>39</v>
      </c>
      <c r="J96" t="s">
        <v>198</v>
      </c>
    </row>
    <row r="97" spans="1:9">
      <c r="A97" s="58" t="s">
        <v>373</v>
      </c>
      <c r="B97" s="3" t="s">
        <v>247</v>
      </c>
      <c r="C97" s="2" t="s">
        <v>157</v>
      </c>
      <c r="D97" s="2">
        <v>184</v>
      </c>
      <c r="E97" s="2" t="s">
        <v>76</v>
      </c>
      <c r="G97" s="23">
        <f t="shared" ref="G97:G108" si="3">D97</f>
        <v>184</v>
      </c>
      <c r="H97" s="23">
        <v>184</v>
      </c>
      <c r="I97" t="s">
        <v>364</v>
      </c>
    </row>
    <row r="98" spans="1:9">
      <c r="A98" s="59"/>
      <c r="B98" s="3" t="s">
        <v>537</v>
      </c>
      <c r="C98" s="2" t="s">
        <v>157</v>
      </c>
      <c r="D98" s="2">
        <v>183</v>
      </c>
      <c r="E98" s="2" t="s">
        <v>76</v>
      </c>
      <c r="G98" s="23">
        <f t="shared" si="3"/>
        <v>183</v>
      </c>
      <c r="H98" s="23">
        <v>183</v>
      </c>
      <c r="I98" t="s">
        <v>364</v>
      </c>
    </row>
    <row r="99" spans="1:9">
      <c r="A99" s="59"/>
      <c r="B99" s="3" t="s">
        <v>538</v>
      </c>
      <c r="C99" s="2" t="s">
        <v>157</v>
      </c>
      <c r="D99" s="2">
        <v>185</v>
      </c>
      <c r="E99" s="2" t="s">
        <v>76</v>
      </c>
      <c r="G99" s="23">
        <f t="shared" si="3"/>
        <v>185</v>
      </c>
      <c r="H99" s="23">
        <v>185</v>
      </c>
      <c r="I99" t="s">
        <v>364</v>
      </c>
    </row>
    <row r="100" spans="1:9">
      <c r="A100" s="59"/>
      <c r="B100" s="3" t="s">
        <v>539</v>
      </c>
      <c r="C100" s="2" t="s">
        <v>157</v>
      </c>
      <c r="D100" s="2">
        <v>185</v>
      </c>
      <c r="E100" s="2" t="s">
        <v>76</v>
      </c>
      <c r="G100" s="23">
        <f t="shared" si="3"/>
        <v>185</v>
      </c>
      <c r="H100" s="23">
        <v>185</v>
      </c>
      <c r="I100" t="s">
        <v>364</v>
      </c>
    </row>
    <row r="101" spans="1:9">
      <c r="A101" s="59"/>
      <c r="B101" s="3" t="s">
        <v>365</v>
      </c>
      <c r="C101" s="2" t="s">
        <v>157</v>
      </c>
      <c r="D101" s="2">
        <v>234</v>
      </c>
      <c r="E101" s="2" t="s">
        <v>76</v>
      </c>
      <c r="G101" s="23">
        <f t="shared" si="3"/>
        <v>234</v>
      </c>
      <c r="H101" s="23">
        <v>234</v>
      </c>
      <c r="I101" t="s">
        <v>366</v>
      </c>
    </row>
    <row r="102" spans="1:9">
      <c r="A102" s="59"/>
      <c r="B102" s="3" t="s">
        <v>541</v>
      </c>
      <c r="C102" s="2" t="s">
        <v>157</v>
      </c>
      <c r="D102" s="2">
        <v>235</v>
      </c>
      <c r="E102" s="2" t="s">
        <v>76</v>
      </c>
      <c r="G102" s="23">
        <f t="shared" si="3"/>
        <v>235</v>
      </c>
      <c r="H102" s="23">
        <v>235</v>
      </c>
      <c r="I102" t="s">
        <v>366</v>
      </c>
    </row>
    <row r="103" spans="1:9">
      <c r="A103" s="59"/>
      <c r="B103" s="3" t="s">
        <v>542</v>
      </c>
      <c r="C103" s="2" t="s">
        <v>157</v>
      </c>
      <c r="D103" s="2">
        <v>243</v>
      </c>
      <c r="E103" s="2" t="s">
        <v>76</v>
      </c>
      <c r="G103" s="23">
        <f t="shared" si="3"/>
        <v>243</v>
      </c>
      <c r="H103" s="23">
        <v>243</v>
      </c>
      <c r="I103" t="s">
        <v>366</v>
      </c>
    </row>
    <row r="104" spans="1:9">
      <c r="A104" s="59"/>
      <c r="B104" s="3" t="s">
        <v>540</v>
      </c>
      <c r="C104" s="2" t="s">
        <v>157</v>
      </c>
      <c r="D104" s="2">
        <v>232</v>
      </c>
      <c r="E104" s="2" t="s">
        <v>76</v>
      </c>
      <c r="G104" s="23">
        <f t="shared" si="3"/>
        <v>232</v>
      </c>
      <c r="H104" s="23">
        <v>232</v>
      </c>
      <c r="I104" t="s">
        <v>366</v>
      </c>
    </row>
    <row r="105" spans="1:9">
      <c r="A105" s="59"/>
      <c r="B105" t="s">
        <v>367</v>
      </c>
      <c r="C105" s="2" t="s">
        <v>157</v>
      </c>
      <c r="D105" s="2">
        <v>344</v>
      </c>
      <c r="E105" s="2" t="s">
        <v>76</v>
      </c>
      <c r="G105" s="23">
        <f t="shared" si="3"/>
        <v>344</v>
      </c>
      <c r="H105" s="23">
        <v>344</v>
      </c>
      <c r="I105" s="3" t="s">
        <v>368</v>
      </c>
    </row>
    <row r="106" spans="1:9">
      <c r="A106" s="59"/>
      <c r="B106" t="s">
        <v>544</v>
      </c>
      <c r="C106" s="2" t="s">
        <v>157</v>
      </c>
      <c r="D106" s="2">
        <v>385</v>
      </c>
      <c r="E106" s="2" t="s">
        <v>76</v>
      </c>
      <c r="G106" s="23">
        <f t="shared" si="3"/>
        <v>385</v>
      </c>
      <c r="H106" s="23">
        <v>385</v>
      </c>
      <c r="I106" s="3" t="s">
        <v>368</v>
      </c>
    </row>
    <row r="107" spans="1:9">
      <c r="A107" s="59"/>
      <c r="B107" t="s">
        <v>545</v>
      </c>
      <c r="C107" s="2" t="s">
        <v>157</v>
      </c>
      <c r="D107" s="2">
        <v>373</v>
      </c>
      <c r="E107" s="2" t="s">
        <v>76</v>
      </c>
      <c r="G107" s="23">
        <f t="shared" si="3"/>
        <v>373</v>
      </c>
      <c r="H107" s="23">
        <v>373</v>
      </c>
      <c r="I107" s="3" t="s">
        <v>368</v>
      </c>
    </row>
    <row r="108" spans="1:9">
      <c r="A108" s="59"/>
      <c r="B108" t="s">
        <v>543</v>
      </c>
      <c r="C108" s="2" t="s">
        <v>157</v>
      </c>
      <c r="D108" s="2">
        <v>311</v>
      </c>
      <c r="E108" s="2" t="s">
        <v>76</v>
      </c>
      <c r="G108" s="23">
        <f t="shared" si="3"/>
        <v>311</v>
      </c>
      <c r="H108" s="23">
        <v>311</v>
      </c>
      <c r="I108" s="3" t="s">
        <v>368</v>
      </c>
    </row>
    <row r="109" spans="1:9">
      <c r="A109" s="58" t="s">
        <v>374</v>
      </c>
      <c r="B109" s="5" t="s">
        <v>181</v>
      </c>
      <c r="C109" s="2" t="s">
        <v>94</v>
      </c>
      <c r="D109" s="2">
        <v>1.1499999999999999</v>
      </c>
      <c r="E109" s="2" t="s">
        <v>76</v>
      </c>
      <c r="F109" s="2"/>
      <c r="G109" s="23">
        <v>1.1499999999999999</v>
      </c>
      <c r="H109" s="23">
        <v>359.95</v>
      </c>
      <c r="I109" t="s">
        <v>592</v>
      </c>
    </row>
    <row r="110" spans="1:9">
      <c r="A110" s="60" t="s">
        <v>935</v>
      </c>
      <c r="B110" s="5"/>
      <c r="C110" s="2"/>
      <c r="D110" s="2"/>
      <c r="E110" s="2"/>
      <c r="F110" s="2"/>
      <c r="G110" s="23"/>
      <c r="H110" s="23"/>
    </row>
    <row r="111" spans="1:9">
      <c r="A111" s="61" t="s">
        <v>387</v>
      </c>
      <c r="B111" s="5" t="s">
        <v>163</v>
      </c>
      <c r="C111" s="2" t="s">
        <v>75</v>
      </c>
      <c r="D111" s="2">
        <v>1.01</v>
      </c>
      <c r="E111" s="2" t="s">
        <v>76</v>
      </c>
      <c r="G111" s="23">
        <v>1.01</v>
      </c>
      <c r="H111" s="23">
        <v>316.13</v>
      </c>
      <c r="I111" s="47" t="s">
        <v>936</v>
      </c>
    </row>
    <row r="112" spans="1:9">
      <c r="A112" s="62"/>
      <c r="B112" s="5" t="s">
        <v>182</v>
      </c>
      <c r="C112" s="2" t="s">
        <v>75</v>
      </c>
      <c r="D112" s="2">
        <v>0.98</v>
      </c>
      <c r="E112" s="2" t="s">
        <v>76</v>
      </c>
      <c r="G112" s="23">
        <v>0.98</v>
      </c>
      <c r="H112" s="23">
        <v>306.74</v>
      </c>
      <c r="I112" s="3" t="s">
        <v>243</v>
      </c>
    </row>
    <row r="113" spans="1:9">
      <c r="A113" s="62"/>
      <c r="B113" s="5" t="s">
        <v>183</v>
      </c>
      <c r="C113" s="2" t="s">
        <v>75</v>
      </c>
      <c r="D113" s="2">
        <v>0.98</v>
      </c>
      <c r="E113" s="2" t="s">
        <v>76</v>
      </c>
      <c r="G113" s="23">
        <v>0.98</v>
      </c>
      <c r="H113" s="23">
        <v>306.74</v>
      </c>
      <c r="I113" s="3" t="s">
        <v>243</v>
      </c>
    </row>
    <row r="114" spans="1:9">
      <c r="A114" s="62"/>
      <c r="B114" s="5" t="s">
        <v>184</v>
      </c>
      <c r="C114" s="2" t="s">
        <v>75</v>
      </c>
      <c r="D114" s="2">
        <v>1.05</v>
      </c>
      <c r="E114" s="2" t="s">
        <v>76</v>
      </c>
      <c r="G114" s="23">
        <v>1.05</v>
      </c>
      <c r="H114" s="23">
        <v>328.65</v>
      </c>
      <c r="I114" s="3" t="s">
        <v>243</v>
      </c>
    </row>
    <row r="115" spans="1:9">
      <c r="A115" s="62"/>
      <c r="B115" s="5" t="s">
        <v>185</v>
      </c>
      <c r="C115" s="2" t="s">
        <v>75</v>
      </c>
      <c r="D115" s="2">
        <v>1.04</v>
      </c>
      <c r="E115" s="2" t="s">
        <v>76</v>
      </c>
      <c r="G115" s="23">
        <v>1.04</v>
      </c>
      <c r="H115" s="23">
        <v>325.52</v>
      </c>
      <c r="I115" s="3" t="s">
        <v>243</v>
      </c>
    </row>
    <row r="116" spans="1:9">
      <c r="A116" s="62"/>
      <c r="B116" s="5" t="s">
        <v>211</v>
      </c>
      <c r="C116" s="2" t="s">
        <v>94</v>
      </c>
      <c r="D116" s="2">
        <v>1</v>
      </c>
      <c r="E116" s="2" t="s">
        <v>76</v>
      </c>
      <c r="F116" s="2"/>
      <c r="G116" s="23">
        <v>1</v>
      </c>
      <c r="H116" s="23">
        <v>313</v>
      </c>
      <c r="I116" s="3" t="s">
        <v>212</v>
      </c>
    </row>
    <row r="117" spans="1:9">
      <c r="A117" s="61" t="s">
        <v>688</v>
      </c>
      <c r="B117" t="s">
        <v>244</v>
      </c>
      <c r="C117" s="2" t="s">
        <v>201</v>
      </c>
      <c r="D117" s="2">
        <v>1.33</v>
      </c>
      <c r="E117" s="2" t="s">
        <v>245</v>
      </c>
      <c r="F117" s="2">
        <f>D117</f>
        <v>1.33</v>
      </c>
      <c r="G117" s="23">
        <f>D117+F117</f>
        <v>2.66</v>
      </c>
      <c r="H117" s="23">
        <v>138.32</v>
      </c>
      <c r="I117" s="3" t="s">
        <v>246</v>
      </c>
    </row>
    <row r="118" spans="1:9">
      <c r="A118" s="62"/>
      <c r="B118" t="s">
        <v>187</v>
      </c>
      <c r="C118" s="2" t="s">
        <v>201</v>
      </c>
      <c r="D118" s="2">
        <v>1.22</v>
      </c>
      <c r="E118" s="2" t="s">
        <v>245</v>
      </c>
      <c r="F118" s="2">
        <f>D118</f>
        <v>1.22</v>
      </c>
      <c r="G118" s="23">
        <f>D118+F118</f>
        <v>2.44</v>
      </c>
      <c r="H118" s="23">
        <v>126.88</v>
      </c>
      <c r="I118" s="3" t="s">
        <v>246</v>
      </c>
    </row>
    <row r="119" spans="1:9">
      <c r="A119" s="62"/>
      <c r="B119" t="s">
        <v>188</v>
      </c>
      <c r="C119" s="2" t="s">
        <v>201</v>
      </c>
      <c r="D119" s="2">
        <v>1.28</v>
      </c>
      <c r="E119" s="2" t="s">
        <v>245</v>
      </c>
      <c r="F119" s="2">
        <f>D119</f>
        <v>1.28</v>
      </c>
      <c r="G119" s="23">
        <f>D119+F119</f>
        <v>2.56</v>
      </c>
      <c r="H119" s="23">
        <v>133.12</v>
      </c>
      <c r="I119" s="3" t="s">
        <v>246</v>
      </c>
    </row>
    <row r="120" spans="1:9">
      <c r="A120" s="62"/>
      <c r="B120" t="s">
        <v>189</v>
      </c>
      <c r="C120" s="2" t="s">
        <v>201</v>
      </c>
      <c r="D120" s="2">
        <v>1.46</v>
      </c>
      <c r="E120" s="2" t="s">
        <v>245</v>
      </c>
      <c r="F120" s="2">
        <f>D120</f>
        <v>1.46</v>
      </c>
      <c r="G120" s="23">
        <f>D120+F120</f>
        <v>2.92</v>
      </c>
      <c r="H120" s="23">
        <v>151.84</v>
      </c>
      <c r="I120" s="3" t="s">
        <v>246</v>
      </c>
    </row>
    <row r="121" spans="1:9">
      <c r="A121" s="62"/>
      <c r="B121" t="s">
        <v>190</v>
      </c>
      <c r="C121" s="2" t="s">
        <v>201</v>
      </c>
      <c r="D121" s="2">
        <v>1.4</v>
      </c>
      <c r="E121" s="2" t="s">
        <v>245</v>
      </c>
      <c r="F121" s="2">
        <f>D121</f>
        <v>1.4</v>
      </c>
      <c r="G121" s="23">
        <f>D121+F121</f>
        <v>2.8</v>
      </c>
      <c r="H121" s="23">
        <v>145.6</v>
      </c>
      <c r="I121" s="3" t="s">
        <v>246</v>
      </c>
    </row>
    <row r="122" spans="1:9">
      <c r="A122" s="61" t="s">
        <v>373</v>
      </c>
      <c r="B122" s="3" t="s">
        <v>247</v>
      </c>
      <c r="C122" s="2" t="s">
        <v>157</v>
      </c>
      <c r="D122" s="2">
        <v>196</v>
      </c>
      <c r="E122" s="2" t="s">
        <v>76</v>
      </c>
      <c r="G122" s="23">
        <f t="shared" ref="G122:G134" si="4">D122</f>
        <v>196</v>
      </c>
      <c r="H122" s="23">
        <v>196</v>
      </c>
      <c r="I122" t="s">
        <v>364</v>
      </c>
    </row>
    <row r="123" spans="1:9">
      <c r="A123" s="62"/>
      <c r="B123" s="3" t="s">
        <v>191</v>
      </c>
      <c r="C123" s="2" t="s">
        <v>157</v>
      </c>
      <c r="D123" s="2">
        <v>180</v>
      </c>
      <c r="E123" s="2" t="s">
        <v>76</v>
      </c>
      <c r="G123" s="23">
        <f t="shared" si="4"/>
        <v>180</v>
      </c>
      <c r="H123" s="23">
        <v>180</v>
      </c>
      <c r="I123" t="s">
        <v>364</v>
      </c>
    </row>
    <row r="124" spans="1:9">
      <c r="A124" s="62"/>
      <c r="B124" s="3" t="s">
        <v>192</v>
      </c>
      <c r="C124" s="2" t="s">
        <v>157</v>
      </c>
      <c r="D124" s="2">
        <v>231</v>
      </c>
      <c r="E124" s="2" t="s">
        <v>76</v>
      </c>
      <c r="G124" s="23">
        <f t="shared" si="4"/>
        <v>231</v>
      </c>
      <c r="H124" s="23">
        <v>231</v>
      </c>
      <c r="I124" t="s">
        <v>364</v>
      </c>
    </row>
    <row r="125" spans="1:9">
      <c r="A125" s="62"/>
      <c r="B125" s="3" t="s">
        <v>365</v>
      </c>
      <c r="C125" s="2" t="s">
        <v>157</v>
      </c>
      <c r="D125" s="2">
        <v>261</v>
      </c>
      <c r="E125" s="2" t="s">
        <v>76</v>
      </c>
      <c r="G125" s="23">
        <f t="shared" si="4"/>
        <v>261</v>
      </c>
      <c r="H125" s="23">
        <v>231</v>
      </c>
      <c r="I125" t="s">
        <v>366</v>
      </c>
    </row>
    <row r="126" spans="1:9">
      <c r="A126" s="62"/>
      <c r="B126" s="3" t="s">
        <v>194</v>
      </c>
      <c r="C126" s="2" t="s">
        <v>157</v>
      </c>
      <c r="D126" s="2">
        <v>246</v>
      </c>
      <c r="E126" s="2" t="s">
        <v>76</v>
      </c>
      <c r="G126" s="23">
        <f t="shared" si="4"/>
        <v>246</v>
      </c>
      <c r="H126" s="23">
        <v>246</v>
      </c>
      <c r="I126" t="s">
        <v>366</v>
      </c>
    </row>
    <row r="127" spans="1:9">
      <c r="A127" s="62"/>
      <c r="B127" s="3" t="s">
        <v>193</v>
      </c>
      <c r="C127" s="2" t="s">
        <v>157</v>
      </c>
      <c r="D127" s="2">
        <v>282</v>
      </c>
      <c r="E127" s="2" t="s">
        <v>76</v>
      </c>
      <c r="G127" s="23">
        <f t="shared" si="4"/>
        <v>282</v>
      </c>
      <c r="H127" s="23">
        <v>282</v>
      </c>
      <c r="I127" t="s">
        <v>366</v>
      </c>
    </row>
    <row r="128" spans="1:9">
      <c r="A128" s="62"/>
      <c r="B128" s="3" t="s">
        <v>195</v>
      </c>
      <c r="C128" s="2" t="s">
        <v>157</v>
      </c>
      <c r="D128" s="2">
        <v>272</v>
      </c>
      <c r="E128" s="2" t="s">
        <v>76</v>
      </c>
      <c r="G128" s="23">
        <f t="shared" si="4"/>
        <v>272</v>
      </c>
      <c r="H128" s="23">
        <v>272</v>
      </c>
      <c r="I128" t="s">
        <v>366</v>
      </c>
    </row>
    <row r="129" spans="1:9">
      <c r="A129" s="62"/>
      <c r="B129" s="3" t="s">
        <v>196</v>
      </c>
      <c r="C129" s="2" t="s">
        <v>157</v>
      </c>
      <c r="D129" s="2">
        <v>243</v>
      </c>
      <c r="E129" s="2" t="s">
        <v>76</v>
      </c>
      <c r="G129" s="23">
        <f t="shared" si="4"/>
        <v>243</v>
      </c>
      <c r="H129" s="23">
        <v>243</v>
      </c>
      <c r="I129" t="s">
        <v>366</v>
      </c>
    </row>
    <row r="130" spans="1:9">
      <c r="A130" s="62"/>
      <c r="B130" s="39" t="s">
        <v>293</v>
      </c>
      <c r="C130" s="40" t="s">
        <v>157</v>
      </c>
      <c r="D130" s="40">
        <v>257</v>
      </c>
      <c r="E130" s="40" t="s">
        <v>76</v>
      </c>
      <c r="G130" s="23">
        <f>D130</f>
        <v>257</v>
      </c>
      <c r="H130" s="23">
        <v>257</v>
      </c>
      <c r="I130" t="s">
        <v>366</v>
      </c>
    </row>
    <row r="131" spans="1:9">
      <c r="A131" s="62"/>
      <c r="B131" t="s">
        <v>295</v>
      </c>
      <c r="C131" s="2" t="s">
        <v>157</v>
      </c>
      <c r="D131" s="2">
        <v>344</v>
      </c>
      <c r="E131" s="2" t="s">
        <v>76</v>
      </c>
      <c r="G131" s="23">
        <f t="shared" si="4"/>
        <v>344</v>
      </c>
      <c r="H131" s="23">
        <v>344</v>
      </c>
      <c r="I131" s="3" t="s">
        <v>368</v>
      </c>
    </row>
    <row r="132" spans="1:9">
      <c r="A132" s="62"/>
      <c r="B132" t="s">
        <v>367</v>
      </c>
      <c r="C132" s="2" t="s">
        <v>157</v>
      </c>
      <c r="D132" s="2">
        <v>320</v>
      </c>
      <c r="E132" s="2" t="s">
        <v>76</v>
      </c>
      <c r="G132" s="23">
        <f t="shared" si="4"/>
        <v>320</v>
      </c>
      <c r="H132" s="23">
        <v>320</v>
      </c>
      <c r="I132" s="3" t="s">
        <v>368</v>
      </c>
    </row>
    <row r="133" spans="1:9">
      <c r="A133" s="62"/>
      <c r="B133" t="s">
        <v>296</v>
      </c>
      <c r="C133" s="2" t="s">
        <v>157</v>
      </c>
      <c r="D133" s="2">
        <v>411</v>
      </c>
      <c r="E133" s="2" t="s">
        <v>76</v>
      </c>
      <c r="G133" s="23">
        <f t="shared" si="4"/>
        <v>411</v>
      </c>
      <c r="H133" s="23">
        <v>411</v>
      </c>
      <c r="I133" s="3" t="s">
        <v>368</v>
      </c>
    </row>
    <row r="134" spans="1:9">
      <c r="A134" s="62"/>
      <c r="B134" t="s">
        <v>297</v>
      </c>
      <c r="C134" s="2" t="s">
        <v>157</v>
      </c>
      <c r="D134" s="2">
        <v>360</v>
      </c>
      <c r="E134" s="2" t="s">
        <v>76</v>
      </c>
      <c r="G134" s="23">
        <f t="shared" si="4"/>
        <v>360</v>
      </c>
      <c r="H134" s="23">
        <v>360</v>
      </c>
      <c r="I134" s="3" t="s">
        <v>368</v>
      </c>
    </row>
    <row r="135" spans="1:9">
      <c r="A135" s="62"/>
      <c r="B135" t="s">
        <v>294</v>
      </c>
      <c r="C135" s="40" t="s">
        <v>157</v>
      </c>
      <c r="D135" s="40">
        <v>351</v>
      </c>
      <c r="E135" s="40" t="s">
        <v>76</v>
      </c>
      <c r="G135" s="23">
        <f>D135</f>
        <v>351</v>
      </c>
      <c r="H135" s="23">
        <v>351</v>
      </c>
      <c r="I135" s="39" t="s">
        <v>368</v>
      </c>
    </row>
    <row r="136" spans="1:9">
      <c r="A136" s="61" t="s">
        <v>374</v>
      </c>
      <c r="B136" s="5" t="s">
        <v>298</v>
      </c>
      <c r="C136" s="2" t="s">
        <v>146</v>
      </c>
      <c r="D136" s="2">
        <v>32</v>
      </c>
      <c r="E136" s="2" t="s">
        <v>76</v>
      </c>
      <c r="F136" s="2"/>
      <c r="G136" s="23">
        <v>32</v>
      </c>
      <c r="H136" s="23">
        <v>384</v>
      </c>
      <c r="I136" t="s">
        <v>595</v>
      </c>
    </row>
    <row r="137" spans="1:9">
      <c r="A137" s="63" t="s">
        <v>68</v>
      </c>
      <c r="B137" s="5"/>
      <c r="C137" s="2"/>
      <c r="D137" s="2"/>
      <c r="E137" s="2"/>
      <c r="F137" s="2"/>
      <c r="G137" s="23"/>
      <c r="H137" s="23"/>
    </row>
    <row r="138" spans="1:9">
      <c r="A138" s="64" t="s">
        <v>387</v>
      </c>
      <c r="B138" s="5" t="s">
        <v>163</v>
      </c>
      <c r="C138" s="2" t="s">
        <v>75</v>
      </c>
      <c r="D138" s="2">
        <v>0.98</v>
      </c>
      <c r="E138" s="2" t="s">
        <v>76</v>
      </c>
      <c r="G138" s="23">
        <v>0.98</v>
      </c>
      <c r="H138" s="23">
        <v>306.74</v>
      </c>
      <c r="I138" s="47" t="s">
        <v>936</v>
      </c>
    </row>
    <row r="139" spans="1:9">
      <c r="A139" s="65"/>
      <c r="B139" s="5" t="s">
        <v>299</v>
      </c>
      <c r="C139" s="2" t="s">
        <v>75</v>
      </c>
      <c r="D139" s="2">
        <v>1.2</v>
      </c>
      <c r="E139" s="2" t="s">
        <v>76</v>
      </c>
      <c r="G139" s="23">
        <v>1.2</v>
      </c>
      <c r="H139" s="23">
        <v>375.6</v>
      </c>
      <c r="I139" s="3" t="s">
        <v>243</v>
      </c>
    </row>
    <row r="140" spans="1:9">
      <c r="A140" s="65"/>
      <c r="B140" s="5" t="s">
        <v>300</v>
      </c>
      <c r="C140" s="2" t="s">
        <v>75</v>
      </c>
      <c r="D140" s="2">
        <v>0.99</v>
      </c>
      <c r="E140" s="2" t="s">
        <v>76</v>
      </c>
      <c r="G140" s="23">
        <v>0.99</v>
      </c>
      <c r="H140" s="23">
        <v>309.87</v>
      </c>
      <c r="I140" s="3" t="s">
        <v>243</v>
      </c>
    </row>
    <row r="141" spans="1:9">
      <c r="A141" s="65"/>
      <c r="B141" s="5" t="s">
        <v>301</v>
      </c>
      <c r="C141" s="2" t="s">
        <v>75</v>
      </c>
      <c r="D141" s="2">
        <v>0.98</v>
      </c>
      <c r="E141" s="2" t="s">
        <v>76</v>
      </c>
      <c r="G141" s="23">
        <v>0.98</v>
      </c>
      <c r="H141" s="23">
        <v>306.74</v>
      </c>
      <c r="I141" s="3" t="s">
        <v>243</v>
      </c>
    </row>
    <row r="142" spans="1:9">
      <c r="A142" s="65"/>
      <c r="B142" s="5" t="s">
        <v>302</v>
      </c>
      <c r="C142" s="2" t="s">
        <v>75</v>
      </c>
      <c r="D142" s="2">
        <v>1.37</v>
      </c>
      <c r="E142" s="2" t="s">
        <v>76</v>
      </c>
      <c r="G142" s="23">
        <v>1.37</v>
      </c>
      <c r="H142" s="23">
        <v>428.81</v>
      </c>
      <c r="I142" s="3" t="s">
        <v>243</v>
      </c>
    </row>
    <row r="143" spans="1:9">
      <c r="A143" s="65"/>
      <c r="B143" s="5" t="s">
        <v>303</v>
      </c>
      <c r="C143" s="2" t="s">
        <v>75</v>
      </c>
      <c r="D143" s="2">
        <v>1.22</v>
      </c>
      <c r="E143" s="2" t="s">
        <v>76</v>
      </c>
      <c r="G143" s="23">
        <v>1.22</v>
      </c>
      <c r="H143" s="23">
        <v>381.86</v>
      </c>
      <c r="I143" s="3" t="s">
        <v>243</v>
      </c>
    </row>
    <row r="144" spans="1:9">
      <c r="A144" s="65"/>
      <c r="B144" s="5" t="s">
        <v>186</v>
      </c>
      <c r="C144" s="2" t="s">
        <v>75</v>
      </c>
      <c r="D144" s="2">
        <v>1.05</v>
      </c>
      <c r="E144" s="2" t="s">
        <v>76</v>
      </c>
      <c r="G144" s="23">
        <v>1.05</v>
      </c>
      <c r="H144" s="23">
        <v>328.65</v>
      </c>
      <c r="I144" s="3" t="s">
        <v>243</v>
      </c>
    </row>
    <row r="145" spans="1:9">
      <c r="A145" s="64" t="s">
        <v>688</v>
      </c>
      <c r="B145" t="s">
        <v>244</v>
      </c>
      <c r="C145" s="2" t="s">
        <v>201</v>
      </c>
      <c r="D145" s="2">
        <v>1.44</v>
      </c>
      <c r="E145" s="2" t="s">
        <v>245</v>
      </c>
      <c r="F145" s="2">
        <f t="shared" ref="F145:F150" si="5">D145</f>
        <v>1.44</v>
      </c>
      <c r="G145" s="23">
        <f t="shared" ref="G145:G150" si="6">D145+F145</f>
        <v>2.88</v>
      </c>
      <c r="H145" s="23">
        <v>149.76</v>
      </c>
      <c r="I145" s="3" t="s">
        <v>246</v>
      </c>
    </row>
    <row r="146" spans="1:9">
      <c r="A146" s="65"/>
      <c r="B146" t="s">
        <v>305</v>
      </c>
      <c r="C146" s="2" t="s">
        <v>201</v>
      </c>
      <c r="D146" s="2">
        <v>1.58</v>
      </c>
      <c r="E146" s="2" t="s">
        <v>245</v>
      </c>
      <c r="F146" s="2">
        <f t="shared" si="5"/>
        <v>1.58</v>
      </c>
      <c r="G146" s="23">
        <f t="shared" si="6"/>
        <v>3.16</v>
      </c>
      <c r="H146" s="23">
        <v>164.32</v>
      </c>
      <c r="I146" s="3" t="s">
        <v>246</v>
      </c>
    </row>
    <row r="147" spans="1:9">
      <c r="A147" s="65"/>
      <c r="B147" t="s">
        <v>438</v>
      </c>
      <c r="C147" s="2" t="s">
        <v>201</v>
      </c>
      <c r="D147" s="2">
        <v>1.27</v>
      </c>
      <c r="E147" s="2" t="s">
        <v>245</v>
      </c>
      <c r="F147" s="2">
        <f t="shared" si="5"/>
        <v>1.27</v>
      </c>
      <c r="G147" s="23">
        <f t="shared" si="6"/>
        <v>2.54</v>
      </c>
      <c r="H147" s="23">
        <v>132.08000000000001</v>
      </c>
      <c r="I147" s="3" t="s">
        <v>246</v>
      </c>
    </row>
    <row r="148" spans="1:9">
      <c r="A148" s="65"/>
      <c r="B148" t="s">
        <v>439</v>
      </c>
      <c r="C148" s="2" t="s">
        <v>201</v>
      </c>
      <c r="D148" s="2">
        <v>1.47</v>
      </c>
      <c r="E148" s="2" t="s">
        <v>245</v>
      </c>
      <c r="F148" s="2">
        <f t="shared" si="5"/>
        <v>1.47</v>
      </c>
      <c r="G148" s="23">
        <f t="shared" si="6"/>
        <v>2.94</v>
      </c>
      <c r="H148" s="23">
        <v>152.88</v>
      </c>
      <c r="I148" s="3" t="s">
        <v>246</v>
      </c>
    </row>
    <row r="149" spans="1:9">
      <c r="A149" s="65"/>
      <c r="B149" t="s">
        <v>440</v>
      </c>
      <c r="C149" s="2" t="s">
        <v>201</v>
      </c>
      <c r="D149" s="2">
        <v>1.72</v>
      </c>
      <c r="E149" s="2" t="s">
        <v>245</v>
      </c>
      <c r="F149" s="2">
        <f t="shared" si="5"/>
        <v>1.72</v>
      </c>
      <c r="G149" s="23">
        <f t="shared" si="6"/>
        <v>3.44</v>
      </c>
      <c r="H149" s="23">
        <v>178.88</v>
      </c>
      <c r="I149" s="3" t="s">
        <v>246</v>
      </c>
    </row>
    <row r="150" spans="1:9">
      <c r="A150" s="65"/>
      <c r="B150" t="s">
        <v>304</v>
      </c>
      <c r="C150" s="2" t="s">
        <v>201</v>
      </c>
      <c r="D150" s="2">
        <v>1.82</v>
      </c>
      <c r="E150" s="2" t="s">
        <v>245</v>
      </c>
      <c r="F150" s="2">
        <f t="shared" si="5"/>
        <v>1.82</v>
      </c>
      <c r="G150" s="23">
        <f t="shared" si="6"/>
        <v>3.64</v>
      </c>
      <c r="H150" s="23">
        <v>189.28</v>
      </c>
      <c r="I150" s="3" t="s">
        <v>246</v>
      </c>
    </row>
    <row r="151" spans="1:9">
      <c r="A151" s="65"/>
    </row>
    <row r="152" spans="1:9">
      <c r="A152" s="64" t="s">
        <v>373</v>
      </c>
      <c r="B152" s="3" t="s">
        <v>247</v>
      </c>
      <c r="C152" s="2" t="s">
        <v>157</v>
      </c>
      <c r="D152" s="2">
        <v>180</v>
      </c>
      <c r="E152" s="2" t="s">
        <v>76</v>
      </c>
      <c r="G152" s="23">
        <f t="shared" ref="G152:G160" si="7">D152</f>
        <v>180</v>
      </c>
      <c r="H152" s="23">
        <v>180</v>
      </c>
      <c r="I152" t="s">
        <v>364</v>
      </c>
    </row>
    <row r="153" spans="1:9">
      <c r="A153" s="65"/>
      <c r="B153" s="3" t="s">
        <v>441</v>
      </c>
      <c r="C153" s="2" t="s">
        <v>157</v>
      </c>
      <c r="D153" s="2">
        <v>180</v>
      </c>
      <c r="E153" s="2" t="s">
        <v>76</v>
      </c>
      <c r="G153" s="23">
        <f t="shared" si="7"/>
        <v>180</v>
      </c>
      <c r="H153" s="23">
        <v>180</v>
      </c>
      <c r="I153" t="s">
        <v>364</v>
      </c>
    </row>
    <row r="154" spans="1:9">
      <c r="A154" s="65"/>
      <c r="B154" s="3" t="s">
        <v>365</v>
      </c>
      <c r="C154" s="2" t="s">
        <v>157</v>
      </c>
      <c r="D154" s="2">
        <v>228</v>
      </c>
      <c r="E154" s="2" t="s">
        <v>76</v>
      </c>
      <c r="G154" s="23">
        <f t="shared" si="7"/>
        <v>228</v>
      </c>
      <c r="H154" s="23">
        <v>228</v>
      </c>
      <c r="I154" t="s">
        <v>366</v>
      </c>
    </row>
    <row r="155" spans="1:9">
      <c r="A155" s="65"/>
      <c r="B155" s="3" t="s">
        <v>443</v>
      </c>
      <c r="C155" s="2" t="s">
        <v>157</v>
      </c>
      <c r="D155" s="2">
        <v>197</v>
      </c>
      <c r="E155" s="2" t="s">
        <v>76</v>
      </c>
      <c r="G155" s="23">
        <f t="shared" si="7"/>
        <v>197</v>
      </c>
      <c r="H155" s="23">
        <v>197</v>
      </c>
      <c r="I155" t="s">
        <v>366</v>
      </c>
    </row>
    <row r="156" spans="1:9">
      <c r="A156" s="65"/>
      <c r="B156" s="3" t="s">
        <v>442</v>
      </c>
      <c r="C156" s="2" t="s">
        <v>157</v>
      </c>
      <c r="D156" s="2">
        <v>282</v>
      </c>
      <c r="E156" s="2" t="s">
        <v>76</v>
      </c>
      <c r="G156" s="23">
        <f t="shared" si="7"/>
        <v>282</v>
      </c>
      <c r="H156" s="23">
        <v>282</v>
      </c>
      <c r="I156" t="s">
        <v>366</v>
      </c>
    </row>
    <row r="157" spans="1:9">
      <c r="A157" s="65"/>
      <c r="B157" t="s">
        <v>367</v>
      </c>
      <c r="C157" s="2" t="s">
        <v>157</v>
      </c>
      <c r="D157" s="2">
        <v>438</v>
      </c>
      <c r="E157" s="2" t="s">
        <v>76</v>
      </c>
      <c r="G157" s="23">
        <f t="shared" si="7"/>
        <v>438</v>
      </c>
      <c r="H157" s="23">
        <v>438</v>
      </c>
      <c r="I157" s="3" t="s">
        <v>368</v>
      </c>
    </row>
    <row r="158" spans="1:9">
      <c r="A158" s="65"/>
      <c r="B158" t="s">
        <v>445</v>
      </c>
      <c r="C158" s="2" t="s">
        <v>157</v>
      </c>
      <c r="D158" s="2">
        <v>481</v>
      </c>
      <c r="E158" s="2" t="s">
        <v>76</v>
      </c>
      <c r="G158" s="23">
        <f t="shared" si="7"/>
        <v>481</v>
      </c>
      <c r="H158" s="23">
        <v>481</v>
      </c>
      <c r="I158" s="3" t="s">
        <v>368</v>
      </c>
    </row>
    <row r="159" spans="1:9">
      <c r="A159" s="65"/>
      <c r="B159" t="s">
        <v>446</v>
      </c>
      <c r="C159" s="2" t="s">
        <v>157</v>
      </c>
      <c r="D159" s="2">
        <v>373</v>
      </c>
      <c r="E159" s="2" t="s">
        <v>76</v>
      </c>
      <c r="G159" s="23">
        <f t="shared" si="7"/>
        <v>373</v>
      </c>
      <c r="H159" s="23">
        <v>373</v>
      </c>
      <c r="I159" s="3" t="s">
        <v>368</v>
      </c>
    </row>
    <row r="160" spans="1:9">
      <c r="A160" s="65"/>
      <c r="B160" t="s">
        <v>444</v>
      </c>
      <c r="C160" s="2" t="s">
        <v>157</v>
      </c>
      <c r="D160" s="2">
        <v>443</v>
      </c>
      <c r="E160" s="2" t="s">
        <v>76</v>
      </c>
      <c r="G160" s="23">
        <f t="shared" si="7"/>
        <v>443</v>
      </c>
      <c r="H160" s="23">
        <v>443</v>
      </c>
      <c r="I160" s="3" t="s">
        <v>368</v>
      </c>
    </row>
    <row r="161" spans="1:10">
      <c r="A161" s="66" t="s">
        <v>70</v>
      </c>
      <c r="C161" s="12"/>
      <c r="D161" s="12"/>
      <c r="E161" s="12"/>
      <c r="G161" s="23"/>
      <c r="H161" s="23"/>
      <c r="I161" s="3"/>
    </row>
    <row r="162" spans="1:10">
      <c r="A162" s="67" t="s">
        <v>387</v>
      </c>
      <c r="B162" s="5" t="s">
        <v>163</v>
      </c>
      <c r="C162" s="2" t="s">
        <v>75</v>
      </c>
      <c r="D162" s="2">
        <v>0.84</v>
      </c>
      <c r="E162" s="2" t="s">
        <v>76</v>
      </c>
      <c r="G162" s="23">
        <v>0.84</v>
      </c>
      <c r="H162" s="23">
        <v>262.92</v>
      </c>
      <c r="I162" s="47" t="s">
        <v>936</v>
      </c>
      <c r="J162" s="24"/>
    </row>
    <row r="163" spans="1:10">
      <c r="A163" s="68"/>
      <c r="B163" s="5" t="s">
        <v>448</v>
      </c>
      <c r="C163" s="2" t="s">
        <v>75</v>
      </c>
      <c r="D163" s="2">
        <v>0.87</v>
      </c>
      <c r="E163" s="2" t="s">
        <v>76</v>
      </c>
      <c r="G163" s="23">
        <v>0.87</v>
      </c>
      <c r="H163" s="23">
        <v>272.31</v>
      </c>
      <c r="I163" s="3" t="s">
        <v>243</v>
      </c>
    </row>
    <row r="164" spans="1:10">
      <c r="A164" s="69"/>
      <c r="B164" s="5" t="s">
        <v>570</v>
      </c>
      <c r="C164" s="2" t="s">
        <v>75</v>
      </c>
      <c r="D164" s="2">
        <v>0.84</v>
      </c>
      <c r="E164" s="2" t="s">
        <v>76</v>
      </c>
      <c r="G164" s="23">
        <v>0.84</v>
      </c>
      <c r="H164" s="23">
        <v>262.92</v>
      </c>
      <c r="I164" s="3" t="s">
        <v>243</v>
      </c>
    </row>
    <row r="165" spans="1:10">
      <c r="A165" s="69"/>
      <c r="B165" s="5" t="s">
        <v>571</v>
      </c>
      <c r="C165" s="2" t="s">
        <v>75</v>
      </c>
      <c r="D165" s="2">
        <v>1</v>
      </c>
      <c r="E165" s="2" t="s">
        <v>76</v>
      </c>
      <c r="G165" s="23">
        <v>1</v>
      </c>
      <c r="H165" s="23">
        <v>313</v>
      </c>
      <c r="I165" s="3" t="s">
        <v>243</v>
      </c>
    </row>
    <row r="166" spans="1:10">
      <c r="A166" s="69"/>
      <c r="B166" s="5" t="s">
        <v>572</v>
      </c>
      <c r="C166" s="2" t="s">
        <v>75</v>
      </c>
      <c r="D166" s="2">
        <v>0.81</v>
      </c>
      <c r="E166" s="2" t="s">
        <v>76</v>
      </c>
      <c r="G166" s="23">
        <v>0.81</v>
      </c>
      <c r="H166" s="23">
        <v>253.53</v>
      </c>
      <c r="I166" s="3" t="s">
        <v>243</v>
      </c>
    </row>
    <row r="167" spans="1:10">
      <c r="A167" s="69"/>
      <c r="B167" s="5" t="s">
        <v>573</v>
      </c>
      <c r="C167" s="2" t="s">
        <v>75</v>
      </c>
      <c r="D167" s="2"/>
      <c r="E167" s="2" t="s">
        <v>76</v>
      </c>
      <c r="G167" s="23"/>
      <c r="H167" s="23"/>
      <c r="I167" s="3" t="s">
        <v>243</v>
      </c>
    </row>
    <row r="168" spans="1:10">
      <c r="A168" s="69"/>
      <c r="B168" s="5" t="s">
        <v>574</v>
      </c>
      <c r="C168" s="2" t="s">
        <v>75</v>
      </c>
      <c r="D168" s="2">
        <v>0.77</v>
      </c>
      <c r="E168" s="2" t="s">
        <v>76</v>
      </c>
      <c r="G168" s="23">
        <v>0.77</v>
      </c>
      <c r="H168" s="23">
        <v>241.01</v>
      </c>
      <c r="I168" s="3" t="s">
        <v>243</v>
      </c>
    </row>
    <row r="169" spans="1:10">
      <c r="A169" s="69"/>
      <c r="B169" s="5" t="s">
        <v>575</v>
      </c>
      <c r="C169" s="2" t="s">
        <v>75</v>
      </c>
      <c r="D169" s="2">
        <v>0.82</v>
      </c>
      <c r="E169" s="2" t="s">
        <v>76</v>
      </c>
      <c r="G169" s="23">
        <v>0.82</v>
      </c>
      <c r="H169" s="23">
        <v>256.66000000000003</v>
      </c>
      <c r="I169" s="3" t="s">
        <v>243</v>
      </c>
    </row>
    <row r="170" spans="1:10">
      <c r="A170" s="69"/>
      <c r="B170" s="5" t="s">
        <v>576</v>
      </c>
      <c r="C170" s="2" t="s">
        <v>75</v>
      </c>
      <c r="D170" s="2">
        <v>0.89</v>
      </c>
      <c r="E170" s="2" t="s">
        <v>76</v>
      </c>
      <c r="G170" s="23">
        <v>0.89</v>
      </c>
      <c r="H170" s="23">
        <v>278.57</v>
      </c>
      <c r="I170" s="3" t="s">
        <v>243</v>
      </c>
    </row>
    <row r="171" spans="1:10">
      <c r="A171" s="69"/>
      <c r="B171" s="5" t="s">
        <v>577</v>
      </c>
      <c r="C171" s="2" t="s">
        <v>75</v>
      </c>
      <c r="D171" s="2">
        <v>1.1599999999999999</v>
      </c>
      <c r="E171" s="2" t="s">
        <v>76</v>
      </c>
      <c r="G171" s="23">
        <v>1.1599999999999999</v>
      </c>
      <c r="H171" s="23">
        <v>363.08</v>
      </c>
      <c r="I171" s="3" t="s">
        <v>243</v>
      </c>
    </row>
    <row r="172" spans="1:10">
      <c r="A172" s="67" t="s">
        <v>688</v>
      </c>
      <c r="B172" t="s">
        <v>244</v>
      </c>
      <c r="C172" s="2" t="s">
        <v>201</v>
      </c>
      <c r="D172" s="2">
        <v>1.2</v>
      </c>
      <c r="E172" s="2" t="s">
        <v>245</v>
      </c>
      <c r="F172" s="2">
        <f t="shared" ref="F172:F180" si="8">D172</f>
        <v>1.2</v>
      </c>
      <c r="G172" s="23">
        <f t="shared" ref="G172:G180" si="9">D172+F172</f>
        <v>2.4</v>
      </c>
      <c r="H172" s="23">
        <v>124.8</v>
      </c>
      <c r="I172" s="3" t="s">
        <v>246</v>
      </c>
    </row>
    <row r="173" spans="1:10">
      <c r="A173" s="69"/>
      <c r="B173" t="s">
        <v>578</v>
      </c>
      <c r="C173" s="2" t="s">
        <v>201</v>
      </c>
      <c r="D173" s="2">
        <v>0.92</v>
      </c>
      <c r="E173" s="2" t="s">
        <v>245</v>
      </c>
      <c r="F173" s="2">
        <f t="shared" si="8"/>
        <v>0.92</v>
      </c>
      <c r="G173" s="23">
        <f t="shared" si="9"/>
        <v>1.84</v>
      </c>
      <c r="H173" s="23">
        <v>95.68</v>
      </c>
      <c r="I173" s="3" t="s">
        <v>246</v>
      </c>
    </row>
    <row r="174" spans="1:10">
      <c r="A174" s="69"/>
      <c r="B174" t="s">
        <v>579</v>
      </c>
      <c r="C174" s="2" t="s">
        <v>201</v>
      </c>
      <c r="D174" s="2">
        <v>1.17</v>
      </c>
      <c r="E174" s="2" t="s">
        <v>245</v>
      </c>
      <c r="F174" s="2">
        <f t="shared" si="8"/>
        <v>1.17</v>
      </c>
      <c r="G174" s="23">
        <f t="shared" si="9"/>
        <v>2.34</v>
      </c>
      <c r="H174" s="23">
        <v>121.68</v>
      </c>
      <c r="I174" s="3" t="s">
        <v>246</v>
      </c>
    </row>
    <row r="175" spans="1:10">
      <c r="A175" s="69"/>
      <c r="B175" t="s">
        <v>580</v>
      </c>
      <c r="C175" s="2" t="s">
        <v>201</v>
      </c>
      <c r="D175" s="2">
        <v>1.1399999999999999</v>
      </c>
      <c r="E175" s="2" t="s">
        <v>245</v>
      </c>
      <c r="F175" s="2">
        <f t="shared" si="8"/>
        <v>1.1399999999999999</v>
      </c>
      <c r="G175" s="23">
        <f t="shared" si="9"/>
        <v>2.2799999999999998</v>
      </c>
      <c r="H175" s="23">
        <v>118.56</v>
      </c>
      <c r="I175" s="3" t="s">
        <v>246</v>
      </c>
    </row>
    <row r="176" spans="1:10">
      <c r="A176" s="69"/>
      <c r="B176" t="s">
        <v>581</v>
      </c>
      <c r="C176" s="2" t="s">
        <v>201</v>
      </c>
      <c r="D176" s="2"/>
      <c r="E176" s="2" t="s">
        <v>245</v>
      </c>
      <c r="F176" s="2"/>
      <c r="G176" s="23"/>
      <c r="H176" s="23"/>
      <c r="I176" s="3" t="s">
        <v>246</v>
      </c>
    </row>
    <row r="177" spans="1:9">
      <c r="A177" s="69"/>
      <c r="B177" t="s">
        <v>582</v>
      </c>
      <c r="C177" s="2" t="s">
        <v>201</v>
      </c>
      <c r="D177" s="2">
        <v>1.08</v>
      </c>
      <c r="E177" s="2" t="s">
        <v>245</v>
      </c>
      <c r="F177" s="2">
        <f t="shared" si="8"/>
        <v>1.08</v>
      </c>
      <c r="G177" s="23">
        <f t="shared" si="9"/>
        <v>2.16</v>
      </c>
      <c r="H177" s="23">
        <v>112.32</v>
      </c>
      <c r="I177" s="3" t="s">
        <v>246</v>
      </c>
    </row>
    <row r="178" spans="1:9">
      <c r="A178" s="69"/>
      <c r="B178" t="s">
        <v>583</v>
      </c>
      <c r="C178" s="2" t="s">
        <v>201</v>
      </c>
      <c r="D178" s="2">
        <v>1.82</v>
      </c>
      <c r="E178" s="2" t="s">
        <v>245</v>
      </c>
      <c r="F178" s="2">
        <f t="shared" si="8"/>
        <v>1.82</v>
      </c>
      <c r="G178" s="23">
        <f t="shared" si="9"/>
        <v>3.64</v>
      </c>
      <c r="H178" s="23">
        <v>189.28</v>
      </c>
      <c r="I178" s="3" t="s">
        <v>246</v>
      </c>
    </row>
    <row r="179" spans="1:9">
      <c r="A179" s="69"/>
      <c r="B179" t="s">
        <v>584</v>
      </c>
      <c r="C179" s="2" t="s">
        <v>201</v>
      </c>
      <c r="D179" s="2">
        <v>1.67</v>
      </c>
      <c r="E179" s="2" t="s">
        <v>245</v>
      </c>
      <c r="F179" s="2">
        <f t="shared" si="8"/>
        <v>1.67</v>
      </c>
      <c r="G179" s="23">
        <f t="shared" si="9"/>
        <v>3.34</v>
      </c>
      <c r="H179" s="23">
        <v>173.68</v>
      </c>
      <c r="I179" s="3" t="s">
        <v>246</v>
      </c>
    </row>
    <row r="180" spans="1:9">
      <c r="A180" s="69"/>
      <c r="B180" t="s">
        <v>585</v>
      </c>
      <c r="C180" s="2" t="s">
        <v>201</v>
      </c>
      <c r="D180" s="2">
        <v>2.3199999999999998</v>
      </c>
      <c r="E180" s="2" t="s">
        <v>245</v>
      </c>
      <c r="F180" s="2">
        <f t="shared" si="8"/>
        <v>2.3199999999999998</v>
      </c>
      <c r="G180" s="23">
        <f t="shared" si="9"/>
        <v>4.6399999999999997</v>
      </c>
      <c r="H180" s="23">
        <v>241.28</v>
      </c>
      <c r="I180" s="3" t="s">
        <v>246</v>
      </c>
    </row>
    <row r="181" spans="1:9">
      <c r="A181" s="67" t="s">
        <v>373</v>
      </c>
      <c r="B181" s="3" t="s">
        <v>247</v>
      </c>
      <c r="C181" s="2" t="s">
        <v>157</v>
      </c>
      <c r="D181" s="2">
        <v>168</v>
      </c>
      <c r="E181" s="2" t="s">
        <v>76</v>
      </c>
      <c r="G181" s="23">
        <f t="shared" ref="G181:G203" si="10">D181</f>
        <v>168</v>
      </c>
      <c r="H181" s="23">
        <v>168</v>
      </c>
      <c r="I181" t="s">
        <v>364</v>
      </c>
    </row>
    <row r="182" spans="1:9">
      <c r="A182" s="69"/>
      <c r="B182" s="3" t="s">
        <v>586</v>
      </c>
      <c r="C182" s="2" t="s">
        <v>157</v>
      </c>
      <c r="D182" s="2">
        <v>198</v>
      </c>
      <c r="E182" s="2" t="s">
        <v>76</v>
      </c>
      <c r="G182" s="23">
        <f t="shared" si="10"/>
        <v>198</v>
      </c>
      <c r="H182" s="23">
        <v>198</v>
      </c>
      <c r="I182" t="s">
        <v>364</v>
      </c>
    </row>
    <row r="183" spans="1:9">
      <c r="A183" s="69"/>
      <c r="B183" s="3" t="s">
        <v>587</v>
      </c>
      <c r="C183" s="2" t="s">
        <v>157</v>
      </c>
      <c r="D183" s="2">
        <v>217</v>
      </c>
      <c r="E183" s="2" t="s">
        <v>76</v>
      </c>
      <c r="G183" s="23">
        <f t="shared" si="10"/>
        <v>217</v>
      </c>
      <c r="H183" s="23">
        <v>217</v>
      </c>
      <c r="I183" t="s">
        <v>364</v>
      </c>
    </row>
    <row r="184" spans="1:9">
      <c r="A184" s="69"/>
      <c r="B184" s="3" t="s">
        <v>588</v>
      </c>
      <c r="C184" s="2" t="s">
        <v>157</v>
      </c>
      <c r="D184" s="2">
        <v>181</v>
      </c>
      <c r="E184" s="2" t="s">
        <v>76</v>
      </c>
      <c r="G184" s="23">
        <f t="shared" si="10"/>
        <v>181</v>
      </c>
      <c r="H184" s="23">
        <v>181</v>
      </c>
      <c r="I184" t="s">
        <v>364</v>
      </c>
    </row>
    <row r="185" spans="1:9">
      <c r="A185" s="69"/>
      <c r="B185" s="3" t="s">
        <v>589</v>
      </c>
      <c r="C185" s="2" t="s">
        <v>157</v>
      </c>
      <c r="D185" s="2">
        <v>109</v>
      </c>
      <c r="E185" s="2" t="s">
        <v>76</v>
      </c>
      <c r="G185" s="23">
        <f t="shared" si="10"/>
        <v>109</v>
      </c>
      <c r="H185" s="23">
        <v>109</v>
      </c>
      <c r="I185" t="s">
        <v>364</v>
      </c>
    </row>
    <row r="186" spans="1:9">
      <c r="A186" s="69"/>
      <c r="B186" s="3" t="s">
        <v>590</v>
      </c>
      <c r="C186" s="2" t="s">
        <v>157</v>
      </c>
      <c r="D186" s="2">
        <v>138</v>
      </c>
      <c r="E186" s="2" t="s">
        <v>76</v>
      </c>
      <c r="G186" s="23">
        <f t="shared" si="10"/>
        <v>138</v>
      </c>
      <c r="H186" s="23">
        <v>138</v>
      </c>
      <c r="I186" t="s">
        <v>364</v>
      </c>
    </row>
    <row r="187" spans="1:9">
      <c r="A187" s="69"/>
      <c r="B187" s="3" t="s">
        <v>591</v>
      </c>
      <c r="C187" s="2" t="s">
        <v>157</v>
      </c>
      <c r="D187" s="2">
        <v>148</v>
      </c>
      <c r="E187" s="2" t="s">
        <v>76</v>
      </c>
      <c r="G187" s="23">
        <f t="shared" si="10"/>
        <v>148</v>
      </c>
      <c r="H187" s="23">
        <v>148</v>
      </c>
      <c r="I187" t="s">
        <v>364</v>
      </c>
    </row>
    <row r="188" spans="1:9">
      <c r="A188" s="69"/>
      <c r="B188" s="3" t="s">
        <v>365</v>
      </c>
      <c r="C188" s="2" t="s">
        <v>157</v>
      </c>
      <c r="D188" s="2">
        <v>207</v>
      </c>
      <c r="E188" s="2" t="s">
        <v>76</v>
      </c>
      <c r="G188" s="23">
        <f t="shared" si="10"/>
        <v>207</v>
      </c>
      <c r="H188" s="23">
        <v>207</v>
      </c>
      <c r="I188" t="s">
        <v>366</v>
      </c>
    </row>
    <row r="189" spans="1:9">
      <c r="A189" s="69"/>
      <c r="B189" s="3" t="s">
        <v>752</v>
      </c>
      <c r="C189" s="2" t="s">
        <v>157</v>
      </c>
      <c r="D189" s="2">
        <v>242</v>
      </c>
      <c r="E189" s="2" t="s">
        <v>76</v>
      </c>
      <c r="G189" s="23">
        <f t="shared" si="10"/>
        <v>242</v>
      </c>
      <c r="H189" s="23">
        <v>242</v>
      </c>
      <c r="I189" t="s">
        <v>366</v>
      </c>
    </row>
    <row r="190" spans="1:9">
      <c r="A190" s="69"/>
      <c r="B190" s="3" t="s">
        <v>596</v>
      </c>
      <c r="C190" s="2" t="s">
        <v>157</v>
      </c>
      <c r="D190" s="2">
        <v>226</v>
      </c>
      <c r="E190" s="2" t="s">
        <v>76</v>
      </c>
      <c r="G190" s="23">
        <f t="shared" si="10"/>
        <v>226</v>
      </c>
      <c r="H190" s="23">
        <v>226</v>
      </c>
      <c r="I190" t="s">
        <v>366</v>
      </c>
    </row>
    <row r="191" spans="1:9">
      <c r="A191" s="69"/>
      <c r="B191" s="3" t="s">
        <v>597</v>
      </c>
      <c r="C191" s="2" t="s">
        <v>157</v>
      </c>
      <c r="D191" s="2">
        <v>216</v>
      </c>
      <c r="E191" s="2" t="s">
        <v>76</v>
      </c>
      <c r="G191" s="23">
        <f t="shared" si="10"/>
        <v>216</v>
      </c>
      <c r="H191" s="23">
        <v>216</v>
      </c>
      <c r="I191" t="s">
        <v>366</v>
      </c>
    </row>
    <row r="192" spans="1:9">
      <c r="A192" s="69"/>
      <c r="B192" s="3" t="s">
        <v>598</v>
      </c>
      <c r="C192" s="2" t="s">
        <v>157</v>
      </c>
      <c r="D192" s="2">
        <v>237</v>
      </c>
      <c r="E192" s="2" t="s">
        <v>76</v>
      </c>
      <c r="G192" s="23">
        <f t="shared" si="10"/>
        <v>237</v>
      </c>
      <c r="H192" s="23">
        <v>237</v>
      </c>
      <c r="I192" t="s">
        <v>366</v>
      </c>
    </row>
    <row r="193" spans="1:9">
      <c r="A193" s="69"/>
      <c r="B193" s="3" t="s">
        <v>599</v>
      </c>
      <c r="C193" s="2" t="s">
        <v>157</v>
      </c>
      <c r="D193" s="2">
        <v>124</v>
      </c>
      <c r="E193" s="2" t="s">
        <v>76</v>
      </c>
      <c r="G193" s="23">
        <f t="shared" si="10"/>
        <v>124</v>
      </c>
      <c r="H193" s="23">
        <v>124</v>
      </c>
      <c r="I193" t="s">
        <v>366</v>
      </c>
    </row>
    <row r="194" spans="1:9">
      <c r="A194" s="69"/>
      <c r="B194" s="3" t="s">
        <v>600</v>
      </c>
      <c r="C194" s="2" t="s">
        <v>157</v>
      </c>
      <c r="D194" s="2">
        <v>165</v>
      </c>
      <c r="E194" s="2" t="s">
        <v>76</v>
      </c>
      <c r="G194" s="23">
        <f t="shared" si="10"/>
        <v>165</v>
      </c>
      <c r="H194" s="23">
        <v>165</v>
      </c>
      <c r="I194" t="s">
        <v>366</v>
      </c>
    </row>
    <row r="195" spans="1:9">
      <c r="A195" s="69"/>
      <c r="B195" t="s">
        <v>367</v>
      </c>
      <c r="C195" s="2" t="s">
        <v>157</v>
      </c>
      <c r="D195" s="2">
        <v>300</v>
      </c>
      <c r="E195" s="2" t="s">
        <v>76</v>
      </c>
      <c r="G195" s="23">
        <f t="shared" si="10"/>
        <v>300</v>
      </c>
      <c r="H195" s="23">
        <v>300</v>
      </c>
      <c r="I195" s="3" t="s">
        <v>368</v>
      </c>
    </row>
    <row r="196" spans="1:9">
      <c r="A196" s="69"/>
      <c r="B196" t="s">
        <v>601</v>
      </c>
      <c r="C196" s="2" t="s">
        <v>157</v>
      </c>
      <c r="D196" s="2">
        <v>372</v>
      </c>
      <c r="E196" s="2" t="s">
        <v>76</v>
      </c>
      <c r="G196" s="23">
        <f t="shared" si="10"/>
        <v>372</v>
      </c>
      <c r="H196" s="23">
        <v>372</v>
      </c>
      <c r="I196" s="3" t="s">
        <v>368</v>
      </c>
    </row>
    <row r="197" spans="1:9">
      <c r="A197" s="69"/>
      <c r="B197" t="s">
        <v>602</v>
      </c>
      <c r="C197" s="2" t="s">
        <v>157</v>
      </c>
      <c r="D197" s="2">
        <v>304</v>
      </c>
      <c r="E197" s="2" t="s">
        <v>76</v>
      </c>
      <c r="G197" s="23">
        <f t="shared" si="10"/>
        <v>304</v>
      </c>
      <c r="H197" s="23">
        <v>304</v>
      </c>
      <c r="I197" s="3" t="s">
        <v>368</v>
      </c>
    </row>
    <row r="198" spans="1:9">
      <c r="A198" s="69"/>
      <c r="B198" t="s">
        <v>603</v>
      </c>
      <c r="C198" s="2" t="s">
        <v>157</v>
      </c>
      <c r="D198" s="2">
        <v>360</v>
      </c>
      <c r="E198" s="2" t="s">
        <v>76</v>
      </c>
      <c r="G198" s="23">
        <f t="shared" si="10"/>
        <v>360</v>
      </c>
      <c r="H198" s="23">
        <v>360</v>
      </c>
      <c r="I198" s="3" t="s">
        <v>368</v>
      </c>
    </row>
    <row r="199" spans="1:9">
      <c r="A199" s="69"/>
      <c r="B199" t="s">
        <v>604</v>
      </c>
      <c r="C199" s="2" t="s">
        <v>157</v>
      </c>
      <c r="D199" s="2">
        <v>271</v>
      </c>
      <c r="E199" s="2" t="s">
        <v>76</v>
      </c>
      <c r="G199" s="23">
        <f t="shared" si="10"/>
        <v>271</v>
      </c>
      <c r="H199" s="23">
        <v>271</v>
      </c>
      <c r="I199" s="3" t="s">
        <v>368</v>
      </c>
    </row>
    <row r="200" spans="1:9">
      <c r="A200" s="69"/>
      <c r="B200" t="s">
        <v>605</v>
      </c>
      <c r="C200" s="2" t="s">
        <v>157</v>
      </c>
      <c r="D200" s="2">
        <v>237</v>
      </c>
      <c r="E200" s="2" t="s">
        <v>76</v>
      </c>
      <c r="G200" s="23">
        <f t="shared" si="10"/>
        <v>237</v>
      </c>
      <c r="H200" s="23">
        <v>237</v>
      </c>
      <c r="I200" s="3" t="s">
        <v>368</v>
      </c>
    </row>
    <row r="201" spans="1:9">
      <c r="A201" s="69"/>
      <c r="B201" t="s">
        <v>606</v>
      </c>
      <c r="C201" s="2" t="s">
        <v>157</v>
      </c>
      <c r="D201" s="2">
        <v>200</v>
      </c>
      <c r="E201" s="2" t="s">
        <v>76</v>
      </c>
      <c r="G201" s="23">
        <f t="shared" si="10"/>
        <v>200</v>
      </c>
      <c r="H201" s="23">
        <v>200</v>
      </c>
      <c r="I201" s="3" t="s">
        <v>368</v>
      </c>
    </row>
    <row r="202" spans="1:9">
      <c r="A202" s="69"/>
      <c r="B202" t="s">
        <v>607</v>
      </c>
      <c r="C202" s="2" t="s">
        <v>157</v>
      </c>
      <c r="D202" s="2">
        <v>340</v>
      </c>
      <c r="E202" s="2" t="s">
        <v>76</v>
      </c>
      <c r="G202" s="23">
        <f t="shared" si="10"/>
        <v>340</v>
      </c>
      <c r="H202" s="23">
        <v>340</v>
      </c>
      <c r="I202" s="3" t="s">
        <v>368</v>
      </c>
    </row>
    <row r="203" spans="1:9">
      <c r="A203" s="69"/>
      <c r="B203" t="s">
        <v>608</v>
      </c>
      <c r="C203" s="2" t="s">
        <v>157</v>
      </c>
      <c r="D203" s="2">
        <v>463</v>
      </c>
      <c r="E203" s="2" t="s">
        <v>76</v>
      </c>
      <c r="G203" s="23">
        <f t="shared" si="10"/>
        <v>463</v>
      </c>
      <c r="H203" s="23">
        <v>463</v>
      </c>
      <c r="I203" s="3" t="s">
        <v>368</v>
      </c>
    </row>
    <row r="204" spans="1:9">
      <c r="A204" s="67" t="s">
        <v>371</v>
      </c>
      <c r="B204" s="10" t="s">
        <v>609</v>
      </c>
      <c r="C204" s="2" t="s">
        <v>201</v>
      </c>
      <c r="D204" s="2">
        <v>17.5</v>
      </c>
      <c r="E204" s="2" t="s">
        <v>167</v>
      </c>
      <c r="F204" s="2"/>
      <c r="G204" s="23" t="s">
        <v>167</v>
      </c>
      <c r="H204" s="23"/>
      <c r="I204" s="3" t="s">
        <v>206</v>
      </c>
    </row>
    <row r="205" spans="1:9">
      <c r="A205" s="67" t="s">
        <v>447</v>
      </c>
      <c r="B205" s="5" t="s">
        <v>315</v>
      </c>
      <c r="C205" s="2" t="s">
        <v>146</v>
      </c>
      <c r="D205" s="2" t="s">
        <v>210</v>
      </c>
      <c r="E205" s="2" t="s">
        <v>35</v>
      </c>
      <c r="F205" s="2" t="s">
        <v>860</v>
      </c>
      <c r="G205" s="23" t="s">
        <v>861</v>
      </c>
      <c r="H205" s="23">
        <v>585</v>
      </c>
      <c r="I205" s="3" t="s">
        <v>859</v>
      </c>
    </row>
    <row r="206" spans="1:9">
      <c r="A206" s="70" t="s">
        <v>69</v>
      </c>
      <c r="B206" s="5"/>
      <c r="C206" s="2"/>
      <c r="D206" s="2"/>
      <c r="E206" s="2"/>
      <c r="F206" s="2"/>
      <c r="G206" s="23"/>
      <c r="H206" s="23"/>
      <c r="I206" s="3"/>
    </row>
    <row r="207" spans="1:9">
      <c r="A207" s="71" t="s">
        <v>387</v>
      </c>
      <c r="B207" s="5" t="s">
        <v>163</v>
      </c>
      <c r="C207" s="2" t="s">
        <v>75</v>
      </c>
      <c r="D207" s="2">
        <v>0.92</v>
      </c>
      <c r="E207" s="2" t="s">
        <v>76</v>
      </c>
      <c r="G207" s="23">
        <v>0.92</v>
      </c>
      <c r="H207" s="23">
        <v>287.95999999999998</v>
      </c>
      <c r="I207" s="47" t="s">
        <v>936</v>
      </c>
    </row>
    <row r="208" spans="1:9">
      <c r="A208" s="72"/>
      <c r="B208" s="5" t="s">
        <v>610</v>
      </c>
      <c r="C208" s="2" t="s">
        <v>75</v>
      </c>
      <c r="D208" s="2">
        <v>0.97</v>
      </c>
      <c r="E208" s="2" t="s">
        <v>76</v>
      </c>
      <c r="G208" s="23">
        <v>0.97</v>
      </c>
      <c r="H208" s="23">
        <v>303.61</v>
      </c>
      <c r="I208" s="3" t="s">
        <v>243</v>
      </c>
    </row>
    <row r="209" spans="1:9">
      <c r="A209" s="72"/>
      <c r="B209" s="5" t="s">
        <v>611</v>
      </c>
      <c r="C209" s="2" t="s">
        <v>75</v>
      </c>
      <c r="D209" s="2">
        <v>0.84</v>
      </c>
      <c r="E209" s="2" t="s">
        <v>76</v>
      </c>
      <c r="G209" s="23">
        <v>0.84</v>
      </c>
      <c r="H209" s="23">
        <v>262.92</v>
      </c>
      <c r="I209" s="3" t="s">
        <v>243</v>
      </c>
    </row>
    <row r="210" spans="1:9">
      <c r="A210" s="72"/>
      <c r="B210" s="5" t="s">
        <v>460</v>
      </c>
      <c r="C210" s="2" t="s">
        <v>75</v>
      </c>
      <c r="D210" s="2">
        <v>0.96</v>
      </c>
      <c r="E210" s="2" t="s">
        <v>76</v>
      </c>
      <c r="G210" s="23">
        <v>0.96</v>
      </c>
      <c r="H210" s="23">
        <v>300.48</v>
      </c>
      <c r="I210" s="3" t="s">
        <v>243</v>
      </c>
    </row>
    <row r="211" spans="1:9">
      <c r="A211" s="72"/>
      <c r="B211" s="5" t="s">
        <v>461</v>
      </c>
      <c r="C211" s="2" t="s">
        <v>75</v>
      </c>
      <c r="D211" s="2">
        <v>1.26</v>
      </c>
      <c r="E211" s="2" t="s">
        <v>76</v>
      </c>
      <c r="G211" s="23">
        <v>1.26</v>
      </c>
      <c r="H211" s="23">
        <v>394.38</v>
      </c>
      <c r="I211" s="3" t="s">
        <v>243</v>
      </c>
    </row>
    <row r="212" spans="1:9">
      <c r="A212" s="71" t="s">
        <v>688</v>
      </c>
      <c r="B212" t="s">
        <v>244</v>
      </c>
      <c r="C212" s="2" t="s">
        <v>201</v>
      </c>
      <c r="D212" s="2">
        <v>1.63</v>
      </c>
      <c r="E212" s="2" t="s">
        <v>245</v>
      </c>
      <c r="F212" s="2">
        <f>D212</f>
        <v>1.63</v>
      </c>
      <c r="G212" s="23">
        <f>D212+F212</f>
        <v>3.26</v>
      </c>
      <c r="H212" s="23">
        <v>169.52</v>
      </c>
      <c r="I212" s="3" t="s">
        <v>246</v>
      </c>
    </row>
    <row r="213" spans="1:9">
      <c r="A213" s="72"/>
      <c r="B213" t="s">
        <v>462</v>
      </c>
      <c r="C213" s="2" t="s">
        <v>201</v>
      </c>
      <c r="D213" s="2">
        <v>1.47</v>
      </c>
      <c r="E213" s="2" t="s">
        <v>245</v>
      </c>
      <c r="F213" s="2">
        <f>D213</f>
        <v>1.47</v>
      </c>
      <c r="G213" s="23">
        <f>D213+F213</f>
        <v>2.94</v>
      </c>
      <c r="H213" s="23">
        <v>152.88</v>
      </c>
      <c r="I213" s="3" t="s">
        <v>246</v>
      </c>
    </row>
    <row r="214" spans="1:9">
      <c r="A214" s="72"/>
      <c r="B214" t="s">
        <v>463</v>
      </c>
      <c r="C214" s="2" t="s">
        <v>201</v>
      </c>
      <c r="D214" s="2">
        <v>1.28</v>
      </c>
      <c r="E214" s="2" t="s">
        <v>245</v>
      </c>
      <c r="F214" s="2">
        <f>D214</f>
        <v>1.28</v>
      </c>
      <c r="G214" s="23">
        <f>D214+F214</f>
        <v>2.56</v>
      </c>
      <c r="H214" s="23">
        <v>133.12</v>
      </c>
      <c r="I214" s="3" t="s">
        <v>246</v>
      </c>
    </row>
    <row r="215" spans="1:9">
      <c r="A215" s="72"/>
      <c r="B215" t="s">
        <v>218</v>
      </c>
      <c r="C215" s="2" t="s">
        <v>201</v>
      </c>
      <c r="D215" s="2">
        <v>2.08</v>
      </c>
      <c r="E215" s="2" t="s">
        <v>245</v>
      </c>
      <c r="F215" s="2">
        <f>D215</f>
        <v>2.08</v>
      </c>
      <c r="G215" s="23">
        <f>D215+F215</f>
        <v>4.16</v>
      </c>
      <c r="H215" s="23">
        <v>216.32</v>
      </c>
      <c r="I215" s="3" t="s">
        <v>246</v>
      </c>
    </row>
    <row r="216" spans="1:9">
      <c r="A216" s="72"/>
      <c r="B216" t="s">
        <v>219</v>
      </c>
      <c r="C216" s="2" t="s">
        <v>201</v>
      </c>
      <c r="D216" s="2">
        <v>2.25</v>
      </c>
      <c r="E216" s="2" t="s">
        <v>245</v>
      </c>
      <c r="F216" s="2">
        <f>D216</f>
        <v>2.25</v>
      </c>
      <c r="G216" s="23">
        <f>D216+F216</f>
        <v>4.5</v>
      </c>
      <c r="H216" s="23">
        <v>234</v>
      </c>
      <c r="I216" s="3" t="s">
        <v>246</v>
      </c>
    </row>
    <row r="217" spans="1:9">
      <c r="A217" s="71" t="s">
        <v>373</v>
      </c>
      <c r="B217" s="3" t="s">
        <v>247</v>
      </c>
      <c r="C217" s="2" t="s">
        <v>157</v>
      </c>
      <c r="D217" s="2">
        <v>156</v>
      </c>
      <c r="E217" s="2" t="s">
        <v>76</v>
      </c>
      <c r="G217" s="23">
        <f t="shared" ref="G217:G231" si="11">D217</f>
        <v>156</v>
      </c>
      <c r="H217" s="23">
        <v>156</v>
      </c>
      <c r="I217" t="s">
        <v>364</v>
      </c>
    </row>
    <row r="218" spans="1:9">
      <c r="A218" s="72"/>
      <c r="B218" s="3" t="s">
        <v>220</v>
      </c>
      <c r="C218" s="2" t="s">
        <v>157</v>
      </c>
      <c r="D218" s="2">
        <v>168</v>
      </c>
      <c r="E218" s="2" t="s">
        <v>76</v>
      </c>
      <c r="G218" s="23">
        <f t="shared" si="11"/>
        <v>168</v>
      </c>
      <c r="H218" s="23">
        <v>168</v>
      </c>
      <c r="I218" t="s">
        <v>364</v>
      </c>
    </row>
    <row r="219" spans="1:9">
      <c r="A219" s="72"/>
      <c r="B219" s="3" t="s">
        <v>221</v>
      </c>
      <c r="C219" s="2" t="s">
        <v>157</v>
      </c>
      <c r="D219" s="2">
        <v>154</v>
      </c>
      <c r="E219" s="2" t="s">
        <v>76</v>
      </c>
      <c r="G219" s="23">
        <f t="shared" si="11"/>
        <v>154</v>
      </c>
      <c r="H219" s="23">
        <v>154</v>
      </c>
      <c r="I219" t="s">
        <v>364</v>
      </c>
    </row>
    <row r="220" spans="1:9">
      <c r="A220" s="72"/>
      <c r="B220" s="3" t="s">
        <v>222</v>
      </c>
      <c r="C220" s="2" t="s">
        <v>157</v>
      </c>
      <c r="D220" s="2">
        <v>152</v>
      </c>
      <c r="E220" s="2" t="s">
        <v>76</v>
      </c>
      <c r="G220" s="23">
        <f t="shared" si="11"/>
        <v>152</v>
      </c>
      <c r="H220" s="23">
        <v>152</v>
      </c>
      <c r="I220" t="s">
        <v>364</v>
      </c>
    </row>
    <row r="221" spans="1:9">
      <c r="A221" s="72"/>
      <c r="B221" s="3" t="s">
        <v>223</v>
      </c>
      <c r="C221" s="2" t="s">
        <v>157</v>
      </c>
      <c r="D221" s="2">
        <v>169</v>
      </c>
      <c r="E221" s="2" t="s">
        <v>76</v>
      </c>
      <c r="G221" s="23">
        <f t="shared" si="11"/>
        <v>169</v>
      </c>
      <c r="H221" s="23">
        <v>169</v>
      </c>
      <c r="I221" t="s">
        <v>364</v>
      </c>
    </row>
    <row r="222" spans="1:9">
      <c r="A222" s="72"/>
      <c r="B222" s="3" t="s">
        <v>365</v>
      </c>
      <c r="C222" s="2" t="s">
        <v>157</v>
      </c>
      <c r="D222" s="2">
        <v>185</v>
      </c>
      <c r="E222" s="2" t="s">
        <v>76</v>
      </c>
      <c r="G222" s="23">
        <f t="shared" si="11"/>
        <v>185</v>
      </c>
      <c r="H222" s="23">
        <v>185</v>
      </c>
      <c r="I222" t="s">
        <v>366</v>
      </c>
    </row>
    <row r="223" spans="1:9">
      <c r="A223" s="72"/>
      <c r="B223" s="3" t="s">
        <v>224</v>
      </c>
      <c r="C223" s="2" t="s">
        <v>157</v>
      </c>
      <c r="D223" s="2">
        <v>236</v>
      </c>
      <c r="E223" s="2" t="s">
        <v>76</v>
      </c>
      <c r="G223" s="23">
        <f t="shared" si="11"/>
        <v>236</v>
      </c>
      <c r="H223" s="23">
        <v>236</v>
      </c>
      <c r="I223" t="s">
        <v>366</v>
      </c>
    </row>
    <row r="224" spans="1:9">
      <c r="A224" s="72"/>
      <c r="B224" s="3" t="s">
        <v>225</v>
      </c>
      <c r="C224" s="2" t="s">
        <v>157</v>
      </c>
      <c r="D224" s="2">
        <v>247</v>
      </c>
      <c r="E224" s="2" t="s">
        <v>76</v>
      </c>
      <c r="G224" s="23">
        <f t="shared" si="11"/>
        <v>247</v>
      </c>
      <c r="H224" s="23">
        <v>247</v>
      </c>
      <c r="I224" t="s">
        <v>366</v>
      </c>
    </row>
    <row r="225" spans="1:9">
      <c r="A225" s="72"/>
      <c r="B225" s="3" t="s">
        <v>226</v>
      </c>
      <c r="C225" s="2" t="s">
        <v>157</v>
      </c>
      <c r="D225" s="2">
        <v>172</v>
      </c>
      <c r="E225" s="2" t="s">
        <v>76</v>
      </c>
      <c r="G225" s="23">
        <f t="shared" si="11"/>
        <v>172</v>
      </c>
      <c r="H225" s="23">
        <v>172</v>
      </c>
      <c r="I225" t="s">
        <v>366</v>
      </c>
    </row>
    <row r="226" spans="1:9">
      <c r="A226" s="72"/>
      <c r="B226" s="3" t="s">
        <v>227</v>
      </c>
      <c r="C226" s="2" t="s">
        <v>157</v>
      </c>
      <c r="D226" s="2">
        <v>96</v>
      </c>
      <c r="E226" s="2" t="s">
        <v>76</v>
      </c>
      <c r="G226" s="23">
        <f t="shared" si="11"/>
        <v>96</v>
      </c>
      <c r="H226" s="23">
        <v>96</v>
      </c>
      <c r="I226" t="s">
        <v>366</v>
      </c>
    </row>
    <row r="227" spans="1:9">
      <c r="A227" s="72"/>
      <c r="B227" t="s">
        <v>367</v>
      </c>
      <c r="C227" s="2" t="s">
        <v>157</v>
      </c>
      <c r="D227" s="2">
        <v>303</v>
      </c>
      <c r="E227" s="2" t="s">
        <v>76</v>
      </c>
      <c r="G227" s="23">
        <f t="shared" si="11"/>
        <v>303</v>
      </c>
      <c r="H227" s="23">
        <v>303</v>
      </c>
      <c r="I227" s="3" t="s">
        <v>368</v>
      </c>
    </row>
    <row r="228" spans="1:9">
      <c r="A228" s="72"/>
      <c r="B228" t="s">
        <v>228</v>
      </c>
      <c r="C228" s="2" t="s">
        <v>157</v>
      </c>
      <c r="D228" s="2">
        <v>380</v>
      </c>
      <c r="E228" s="2" t="s">
        <v>76</v>
      </c>
      <c r="G228" s="23">
        <f t="shared" si="11"/>
        <v>380</v>
      </c>
      <c r="H228" s="23">
        <v>380</v>
      </c>
      <c r="I228" s="3" t="s">
        <v>368</v>
      </c>
    </row>
    <row r="229" spans="1:9">
      <c r="A229" s="72"/>
      <c r="B229" t="s">
        <v>229</v>
      </c>
      <c r="C229" s="2" t="s">
        <v>157</v>
      </c>
      <c r="D229" s="2">
        <v>226</v>
      </c>
      <c r="E229" s="2" t="s">
        <v>76</v>
      </c>
      <c r="G229" s="23">
        <f t="shared" si="11"/>
        <v>226</v>
      </c>
      <c r="H229" s="23">
        <v>226</v>
      </c>
      <c r="I229" s="3" t="s">
        <v>368</v>
      </c>
    </row>
    <row r="230" spans="1:9">
      <c r="A230" s="72"/>
      <c r="B230" t="s">
        <v>230</v>
      </c>
      <c r="C230" s="2" t="s">
        <v>157</v>
      </c>
      <c r="D230" s="2">
        <v>319</v>
      </c>
      <c r="E230" s="2" t="s">
        <v>76</v>
      </c>
      <c r="G230" s="23">
        <f t="shared" si="11"/>
        <v>319</v>
      </c>
      <c r="H230" s="23">
        <v>319</v>
      </c>
      <c r="I230" s="3" t="s">
        <v>368</v>
      </c>
    </row>
    <row r="231" spans="1:9">
      <c r="A231" s="72"/>
      <c r="B231" t="s">
        <v>231</v>
      </c>
      <c r="C231" s="2" t="s">
        <v>157</v>
      </c>
      <c r="D231" s="2">
        <v>535</v>
      </c>
      <c r="E231" s="2" t="s">
        <v>76</v>
      </c>
      <c r="G231" s="23">
        <f t="shared" si="11"/>
        <v>535</v>
      </c>
      <c r="H231" s="23">
        <v>535</v>
      </c>
      <c r="I231" s="3" t="s">
        <v>368</v>
      </c>
    </row>
    <row r="232" spans="1:9">
      <c r="A232" s="71" t="s">
        <v>447</v>
      </c>
      <c r="B232" s="5" t="s">
        <v>315</v>
      </c>
      <c r="C232" s="2" t="s">
        <v>146</v>
      </c>
      <c r="D232" s="2" t="s">
        <v>210</v>
      </c>
      <c r="E232" s="2" t="s">
        <v>35</v>
      </c>
      <c r="F232" s="16" t="s">
        <v>860</v>
      </c>
      <c r="G232" s="23" t="s">
        <v>861</v>
      </c>
      <c r="H232" s="23">
        <v>585</v>
      </c>
      <c r="I232" s="19" t="s">
        <v>859</v>
      </c>
    </row>
    <row r="233" spans="1:9">
      <c r="A233" s="73" t="s">
        <v>71</v>
      </c>
      <c r="B233" s="5"/>
      <c r="C233" s="2"/>
      <c r="D233" s="2"/>
      <c r="E233" s="2"/>
      <c r="F233" s="2"/>
      <c r="G233" s="23"/>
      <c r="H233" s="23"/>
      <c r="I233" s="3"/>
    </row>
    <row r="234" spans="1:9">
      <c r="A234" s="74" t="s">
        <v>387</v>
      </c>
      <c r="B234" s="5" t="s">
        <v>163</v>
      </c>
      <c r="C234" s="2" t="s">
        <v>75</v>
      </c>
      <c r="D234" s="2">
        <v>1.27</v>
      </c>
      <c r="E234" s="2" t="s">
        <v>76</v>
      </c>
      <c r="G234" s="23">
        <v>1.27</v>
      </c>
      <c r="H234" s="23">
        <v>397.51</v>
      </c>
      <c r="I234" s="47" t="s">
        <v>936</v>
      </c>
    </row>
    <row r="235" spans="1:9">
      <c r="A235" s="75"/>
      <c r="B235" s="5" t="s">
        <v>232</v>
      </c>
      <c r="C235" s="2" t="s">
        <v>75</v>
      </c>
      <c r="D235" s="2">
        <v>1.04</v>
      </c>
      <c r="E235" s="2" t="s">
        <v>76</v>
      </c>
      <c r="G235" s="23">
        <v>1.04</v>
      </c>
      <c r="H235" s="23">
        <v>325.52</v>
      </c>
      <c r="I235" s="3" t="s">
        <v>243</v>
      </c>
    </row>
    <row r="236" spans="1:9">
      <c r="A236" s="75"/>
      <c r="B236" s="5" t="s">
        <v>233</v>
      </c>
      <c r="C236" s="2" t="s">
        <v>75</v>
      </c>
      <c r="D236" s="2">
        <v>1.39</v>
      </c>
      <c r="E236" s="2" t="s">
        <v>76</v>
      </c>
      <c r="G236" s="23">
        <v>1.39</v>
      </c>
      <c r="H236" s="23">
        <v>435.07</v>
      </c>
      <c r="I236" s="3" t="s">
        <v>243</v>
      </c>
    </row>
    <row r="237" spans="1:9">
      <c r="A237" s="75"/>
      <c r="B237" s="5" t="s">
        <v>234</v>
      </c>
      <c r="C237" s="2" t="s">
        <v>75</v>
      </c>
      <c r="D237" s="2">
        <v>1.25</v>
      </c>
      <c r="E237" s="2" t="s">
        <v>76</v>
      </c>
      <c r="G237" s="23">
        <v>1.25</v>
      </c>
      <c r="H237" s="23">
        <v>391.25</v>
      </c>
      <c r="I237" s="3" t="s">
        <v>243</v>
      </c>
    </row>
    <row r="238" spans="1:9">
      <c r="A238" s="74" t="s">
        <v>688</v>
      </c>
      <c r="B238" t="s">
        <v>244</v>
      </c>
      <c r="C238" s="2" t="s">
        <v>201</v>
      </c>
      <c r="D238" s="2">
        <v>2.95</v>
      </c>
      <c r="E238" s="2" t="s">
        <v>245</v>
      </c>
      <c r="F238" s="2">
        <f>D238</f>
        <v>2.95</v>
      </c>
      <c r="G238" s="23">
        <f>D238+F238</f>
        <v>5.9</v>
      </c>
      <c r="H238" s="23">
        <v>306.8</v>
      </c>
      <c r="I238" s="3" t="s">
        <v>246</v>
      </c>
    </row>
    <row r="239" spans="1:9">
      <c r="A239" s="75"/>
      <c r="B239" t="s">
        <v>235</v>
      </c>
      <c r="C239" s="2" t="s">
        <v>201</v>
      </c>
      <c r="D239" s="2">
        <v>1.91</v>
      </c>
      <c r="E239" s="2" t="s">
        <v>245</v>
      </c>
      <c r="F239" s="2">
        <f>D239</f>
        <v>1.91</v>
      </c>
      <c r="G239" s="23">
        <f>D239+F239</f>
        <v>3.82</v>
      </c>
      <c r="H239" s="23">
        <v>198.64</v>
      </c>
      <c r="I239" s="3" t="s">
        <v>246</v>
      </c>
    </row>
    <row r="240" spans="1:9">
      <c r="A240" s="75"/>
      <c r="B240" t="s">
        <v>236</v>
      </c>
      <c r="C240" s="2" t="s">
        <v>201</v>
      </c>
      <c r="D240" s="2">
        <v>3.36</v>
      </c>
      <c r="E240" s="2" t="s">
        <v>245</v>
      </c>
      <c r="F240" s="2">
        <f>D240</f>
        <v>3.36</v>
      </c>
      <c r="G240" s="23">
        <f>D240+F240</f>
        <v>6.72</v>
      </c>
      <c r="H240" s="23">
        <v>349.44</v>
      </c>
      <c r="I240" s="3" t="s">
        <v>246</v>
      </c>
    </row>
    <row r="241" spans="1:9">
      <c r="A241" s="75"/>
      <c r="B241" t="s">
        <v>237</v>
      </c>
      <c r="C241" s="2" t="s">
        <v>201</v>
      </c>
      <c r="D241" s="2">
        <v>2.5</v>
      </c>
      <c r="E241" s="2" t="s">
        <v>245</v>
      </c>
      <c r="F241" s="2">
        <f>D241</f>
        <v>2.5</v>
      </c>
      <c r="G241" s="23">
        <f>D241+F241</f>
        <v>5</v>
      </c>
      <c r="H241" s="23">
        <v>260</v>
      </c>
      <c r="I241" s="3" t="s">
        <v>246</v>
      </c>
    </row>
    <row r="242" spans="1:9">
      <c r="A242" s="74" t="s">
        <v>373</v>
      </c>
      <c r="B242" s="3" t="s">
        <v>365</v>
      </c>
      <c r="C242" s="2" t="s">
        <v>157</v>
      </c>
      <c r="D242" s="2">
        <v>179</v>
      </c>
      <c r="E242" s="2" t="s">
        <v>76</v>
      </c>
      <c r="G242" s="23">
        <f>D242</f>
        <v>179</v>
      </c>
      <c r="H242" s="23">
        <v>179</v>
      </c>
      <c r="I242" t="s">
        <v>366</v>
      </c>
    </row>
    <row r="243" spans="1:9">
      <c r="A243" s="75"/>
      <c r="B243" s="3" t="s">
        <v>238</v>
      </c>
      <c r="C243" s="2" t="s">
        <v>157</v>
      </c>
      <c r="D243" s="2">
        <v>179</v>
      </c>
      <c r="E243" s="2" t="s">
        <v>76</v>
      </c>
      <c r="G243" s="23">
        <f>D243</f>
        <v>179</v>
      </c>
      <c r="H243" s="23">
        <v>179</v>
      </c>
      <c r="I243" t="s">
        <v>366</v>
      </c>
    </row>
    <row r="244" spans="1:9">
      <c r="A244" s="75"/>
      <c r="B244" t="s">
        <v>367</v>
      </c>
      <c r="C244" s="2" t="s">
        <v>157</v>
      </c>
      <c r="D244" s="2">
        <v>453</v>
      </c>
      <c r="E244" s="2" t="s">
        <v>76</v>
      </c>
      <c r="G244" s="23">
        <f>D244</f>
        <v>453</v>
      </c>
      <c r="H244" s="23">
        <v>453</v>
      </c>
      <c r="I244" s="3" t="s">
        <v>368</v>
      </c>
    </row>
    <row r="245" spans="1:9">
      <c r="A245" s="75"/>
      <c r="B245" t="s">
        <v>239</v>
      </c>
      <c r="C245" s="2" t="s">
        <v>157</v>
      </c>
      <c r="D245" s="2">
        <v>171</v>
      </c>
      <c r="E245" s="2" t="s">
        <v>76</v>
      </c>
      <c r="G245" s="23">
        <f>D245</f>
        <v>171</v>
      </c>
      <c r="H245" s="23">
        <v>171</v>
      </c>
      <c r="I245" s="3" t="s">
        <v>368</v>
      </c>
    </row>
    <row r="246" spans="1:9">
      <c r="A246" s="75"/>
      <c r="B246" t="s">
        <v>240</v>
      </c>
      <c r="C246" s="2" t="s">
        <v>157</v>
      </c>
      <c r="D246" s="2">
        <v>467</v>
      </c>
      <c r="E246" s="2" t="s">
        <v>76</v>
      </c>
      <c r="G246" s="23">
        <f>D246</f>
        <v>467</v>
      </c>
      <c r="H246" s="23">
        <v>467</v>
      </c>
      <c r="I246" s="3" t="s">
        <v>368</v>
      </c>
    </row>
    <row r="247" spans="1:9">
      <c r="A247" s="76" t="s">
        <v>72</v>
      </c>
      <c r="C247" s="2"/>
      <c r="D247" s="2"/>
      <c r="E247" s="2"/>
      <c r="G247" s="23"/>
      <c r="H247" s="23"/>
      <c r="I247" s="3"/>
    </row>
    <row r="248" spans="1:9">
      <c r="A248" s="77" t="s">
        <v>387</v>
      </c>
      <c r="B248" s="5" t="s">
        <v>163</v>
      </c>
      <c r="C248" s="2" t="s">
        <v>75</v>
      </c>
      <c r="D248" s="2">
        <v>2</v>
      </c>
      <c r="E248" s="2" t="s">
        <v>76</v>
      </c>
      <c r="G248" s="23">
        <f>D248</f>
        <v>2</v>
      </c>
      <c r="H248" s="23">
        <v>626</v>
      </c>
      <c r="I248" s="47" t="s">
        <v>936</v>
      </c>
    </row>
    <row r="249" spans="1:9">
      <c r="A249" s="78"/>
      <c r="B249" s="5" t="s">
        <v>241</v>
      </c>
      <c r="C249" s="2" t="s">
        <v>75</v>
      </c>
      <c r="D249" s="2">
        <v>2</v>
      </c>
      <c r="E249" s="2" t="s">
        <v>76</v>
      </c>
      <c r="G249" s="23">
        <f>D249</f>
        <v>2</v>
      </c>
      <c r="H249" s="23">
        <v>626</v>
      </c>
      <c r="I249" s="3" t="s">
        <v>243</v>
      </c>
    </row>
    <row r="250" spans="1:9">
      <c r="A250" s="78"/>
      <c r="B250" s="5" t="s">
        <v>358</v>
      </c>
      <c r="C250" s="2" t="s">
        <v>75</v>
      </c>
      <c r="D250" s="2">
        <v>1.02</v>
      </c>
      <c r="E250" s="2" t="s">
        <v>76</v>
      </c>
      <c r="G250" s="23">
        <f>D250</f>
        <v>1.02</v>
      </c>
      <c r="H250" s="23">
        <v>319.26</v>
      </c>
      <c r="I250" s="3" t="s">
        <v>243</v>
      </c>
    </row>
    <row r="251" spans="1:9">
      <c r="A251" s="78"/>
      <c r="B251" s="5" t="s">
        <v>359</v>
      </c>
      <c r="C251" s="2" t="s">
        <v>75</v>
      </c>
      <c r="D251" s="2">
        <v>1.94</v>
      </c>
      <c r="E251" s="2" t="s">
        <v>76</v>
      </c>
      <c r="G251" s="23">
        <f>D251</f>
        <v>1.94</v>
      </c>
      <c r="H251" s="23">
        <v>607.22</v>
      </c>
      <c r="I251" s="3" t="s">
        <v>243</v>
      </c>
    </row>
    <row r="252" spans="1:9">
      <c r="A252" s="79" t="s">
        <v>73</v>
      </c>
      <c r="B252" s="5"/>
      <c r="C252" s="2"/>
      <c r="D252" s="2"/>
      <c r="E252" s="2"/>
      <c r="G252" s="23"/>
      <c r="H252" s="23"/>
      <c r="I252" s="3"/>
    </row>
    <row r="253" spans="1:9">
      <c r="A253" s="80" t="s">
        <v>387</v>
      </c>
      <c r="B253" s="5" t="s">
        <v>163</v>
      </c>
      <c r="C253" s="2" t="s">
        <v>75</v>
      </c>
      <c r="D253" s="2">
        <v>2.65</v>
      </c>
      <c r="E253" s="2" t="s">
        <v>76</v>
      </c>
      <c r="G253" s="23">
        <f>D253</f>
        <v>2.65</v>
      </c>
      <c r="H253" s="23">
        <v>829.45</v>
      </c>
      <c r="I253" s="47" t="s">
        <v>936</v>
      </c>
    </row>
    <row r="254" spans="1:9">
      <c r="A254" s="81"/>
      <c r="B254" s="5" t="s">
        <v>360</v>
      </c>
      <c r="C254" s="2" t="s">
        <v>75</v>
      </c>
      <c r="D254" s="2">
        <v>2.92</v>
      </c>
      <c r="E254" s="2" t="s">
        <v>76</v>
      </c>
      <c r="G254" s="23">
        <f>D254</f>
        <v>2.92</v>
      </c>
      <c r="H254" s="23">
        <v>913.96</v>
      </c>
      <c r="I254" s="3" t="s">
        <v>243</v>
      </c>
    </row>
    <row r="255" spans="1:9">
      <c r="A255" s="81"/>
      <c r="B255" s="5" t="s">
        <v>361</v>
      </c>
      <c r="C255" s="2" t="s">
        <v>75</v>
      </c>
      <c r="D255" s="2">
        <v>2.62</v>
      </c>
      <c r="E255" s="2" t="s">
        <v>76</v>
      </c>
      <c r="G255" s="23">
        <f>D255</f>
        <v>2.62</v>
      </c>
      <c r="H255" s="23">
        <v>820.06</v>
      </c>
      <c r="I255" s="3" t="s">
        <v>243</v>
      </c>
    </row>
    <row r="256" spans="1:9">
      <c r="A256" s="80" t="s">
        <v>688</v>
      </c>
      <c r="B256" t="s">
        <v>362</v>
      </c>
      <c r="C256" s="2" t="s">
        <v>201</v>
      </c>
      <c r="D256" s="2">
        <v>7.45</v>
      </c>
      <c r="E256" s="2" t="s">
        <v>245</v>
      </c>
      <c r="F256" s="2">
        <f>D256</f>
        <v>7.45</v>
      </c>
      <c r="G256" s="23">
        <f>D256+F256</f>
        <v>14.9</v>
      </c>
      <c r="H256" s="23">
        <v>774.8</v>
      </c>
      <c r="I256" s="3" t="s">
        <v>246</v>
      </c>
    </row>
    <row r="257" spans="1:9">
      <c r="A257" s="81"/>
      <c r="B257" t="s">
        <v>363</v>
      </c>
      <c r="C257" s="2" t="s">
        <v>201</v>
      </c>
      <c r="D257" s="2">
        <v>5.4</v>
      </c>
      <c r="E257" s="2" t="s">
        <v>245</v>
      </c>
      <c r="F257" s="2">
        <f>D257</f>
        <v>5.4</v>
      </c>
      <c r="G257" s="23">
        <f>D257+F257</f>
        <v>10.8</v>
      </c>
      <c r="H257" s="23">
        <v>561.6</v>
      </c>
      <c r="I257" s="3" t="s">
        <v>246</v>
      </c>
    </row>
    <row r="258" spans="1:9">
      <c r="A258" s="80" t="s">
        <v>373</v>
      </c>
      <c r="B258" t="s">
        <v>367</v>
      </c>
      <c r="C258" s="2" t="s">
        <v>157</v>
      </c>
      <c r="D258" s="2">
        <v>106</v>
      </c>
      <c r="E258" s="2" t="s">
        <v>76</v>
      </c>
      <c r="G258" s="23">
        <f>D258</f>
        <v>106</v>
      </c>
      <c r="H258" s="23">
        <v>106</v>
      </c>
      <c r="I258" s="3" t="s">
        <v>368</v>
      </c>
    </row>
    <row r="259" spans="1:9">
      <c r="A259" s="81"/>
      <c r="B259" t="s">
        <v>354</v>
      </c>
      <c r="C259" s="2" t="s">
        <v>157</v>
      </c>
      <c r="D259" s="2">
        <v>106</v>
      </c>
      <c r="E259" s="2" t="s">
        <v>76</v>
      </c>
      <c r="G259" s="23">
        <f>D259</f>
        <v>106</v>
      </c>
      <c r="H259" s="23">
        <v>106</v>
      </c>
      <c r="I259" s="3" t="s">
        <v>368</v>
      </c>
    </row>
  </sheetData>
  <mergeCells count="1">
    <mergeCell ref="A2:C2"/>
  </mergeCells>
  <phoneticPr fontId="14" type="noConversion"/>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6"/>
  <sheetViews>
    <sheetView tabSelected="1" workbookViewId="0">
      <pane ySplit="11400" topLeftCell="A430"/>
      <selection activeCell="B1" sqref="B1"/>
      <selection pane="bottomLeft" activeCell="A21" sqref="A21"/>
    </sheetView>
  </sheetViews>
  <sheetFormatPr baseColWidth="10" defaultColWidth="8.83203125" defaultRowHeight="14" x14ac:dyDescent="0"/>
  <cols>
    <col min="2" max="2" width="27" customWidth="1"/>
    <col min="3" max="3" width="27.33203125" customWidth="1"/>
    <col min="4" max="4" width="10.33203125" customWidth="1"/>
    <col min="5" max="5" width="11.33203125" customWidth="1"/>
    <col min="6" max="6" width="25.33203125" bestFit="1" customWidth="1"/>
    <col min="7" max="7" width="9.1640625" customWidth="1"/>
    <col min="8" max="8" width="14.1640625" customWidth="1"/>
    <col min="9" max="9" width="12.83203125" customWidth="1"/>
    <col min="10" max="10" width="15.33203125" customWidth="1"/>
    <col min="11" max="11" width="75.83203125" customWidth="1"/>
  </cols>
  <sheetData>
    <row r="1" spans="1:14" ht="21" thickBot="1">
      <c r="C1" s="127" t="s">
        <v>49</v>
      </c>
      <c r="I1" s="128" t="s">
        <v>57</v>
      </c>
      <c r="J1" s="129"/>
    </row>
    <row r="2" spans="1:14" ht="20">
      <c r="B2" s="127"/>
      <c r="C2" s="127" t="s">
        <v>50</v>
      </c>
      <c r="I2" s="126" t="s">
        <v>51</v>
      </c>
      <c r="J2" s="126" t="s">
        <v>53</v>
      </c>
    </row>
    <row r="3" spans="1:14">
      <c r="A3" s="4" t="s">
        <v>55</v>
      </c>
      <c r="B3" s="1" t="s">
        <v>494</v>
      </c>
      <c r="C3" s="1" t="s">
        <v>61</v>
      </c>
      <c r="D3" s="1" t="s">
        <v>62</v>
      </c>
      <c r="E3" s="1" t="s">
        <v>63</v>
      </c>
      <c r="F3" s="1" t="s">
        <v>77</v>
      </c>
      <c r="G3" s="1" t="s">
        <v>65</v>
      </c>
      <c r="H3" s="1" t="s">
        <v>204</v>
      </c>
      <c r="I3" s="126" t="s">
        <v>52</v>
      </c>
      <c r="J3" s="126" t="s">
        <v>54</v>
      </c>
      <c r="K3" s="1" t="s">
        <v>64</v>
      </c>
      <c r="L3" s="1" t="s">
        <v>10</v>
      </c>
    </row>
    <row r="4" spans="1:14">
      <c r="A4" s="4" t="s">
        <v>56</v>
      </c>
      <c r="C4" s="1"/>
      <c r="D4" s="1"/>
      <c r="E4" s="1"/>
      <c r="F4" s="1"/>
      <c r="G4" s="1"/>
      <c r="H4" s="1"/>
      <c r="I4" s="1"/>
      <c r="J4" s="1"/>
      <c r="K4" s="1"/>
      <c r="L4" s="1"/>
    </row>
    <row r="5" spans="1:14">
      <c r="A5">
        <v>1</v>
      </c>
      <c r="B5" s="54" t="s">
        <v>34</v>
      </c>
      <c r="C5" s="6"/>
      <c r="D5" s="6"/>
      <c r="E5" s="6"/>
      <c r="F5" s="5"/>
      <c r="G5" s="6"/>
      <c r="H5" s="6"/>
      <c r="I5" s="6"/>
      <c r="J5" s="6"/>
      <c r="K5" s="10"/>
      <c r="L5" s="5"/>
      <c r="M5" s="5"/>
      <c r="N5" s="5"/>
    </row>
    <row r="6" spans="1:14">
      <c r="A6">
        <v>2</v>
      </c>
      <c r="B6" s="55" t="s">
        <v>387</v>
      </c>
      <c r="C6" s="3" t="s">
        <v>74</v>
      </c>
      <c r="D6" s="2" t="s">
        <v>75</v>
      </c>
      <c r="E6" s="2">
        <v>1.1359999999999999</v>
      </c>
      <c r="F6" s="2" t="s">
        <v>76</v>
      </c>
      <c r="H6" s="2">
        <v>1.1359999999999999</v>
      </c>
      <c r="I6" s="23">
        <v>355.57</v>
      </c>
      <c r="J6" s="23"/>
      <c r="K6" s="107" t="s">
        <v>956</v>
      </c>
      <c r="L6" s="3" t="s">
        <v>149</v>
      </c>
    </row>
    <row r="7" spans="1:14">
      <c r="A7">
        <v>3</v>
      </c>
      <c r="B7" s="54"/>
      <c r="C7" s="3" t="s">
        <v>74</v>
      </c>
      <c r="D7" s="2" t="s">
        <v>75</v>
      </c>
      <c r="E7" s="2">
        <v>1.0900000000000001</v>
      </c>
      <c r="F7" s="2" t="s">
        <v>76</v>
      </c>
      <c r="H7" s="2">
        <v>1.0900000000000001</v>
      </c>
      <c r="I7" s="23">
        <v>341.17</v>
      </c>
      <c r="J7" s="23"/>
      <c r="K7" s="107" t="s">
        <v>955</v>
      </c>
      <c r="L7" s="3"/>
    </row>
    <row r="8" spans="1:14">
      <c r="A8">
        <v>4</v>
      </c>
      <c r="B8" s="54"/>
      <c r="C8" s="19"/>
      <c r="D8" s="16"/>
      <c r="E8" s="16"/>
      <c r="F8" s="16"/>
      <c r="H8" s="16"/>
      <c r="I8" s="14">
        <f>SUM(I6:I7)/2</f>
        <v>348.37</v>
      </c>
      <c r="J8" s="14"/>
      <c r="K8" s="19"/>
      <c r="L8" s="19"/>
    </row>
    <row r="9" spans="1:14">
      <c r="A9">
        <v>5</v>
      </c>
      <c r="B9" s="54"/>
      <c r="C9" s="19"/>
      <c r="D9" s="16"/>
      <c r="E9" s="16"/>
      <c r="F9" s="16"/>
      <c r="H9" s="16"/>
      <c r="I9" s="14"/>
      <c r="J9" s="14"/>
      <c r="K9" s="19"/>
      <c r="L9" s="19"/>
    </row>
    <row r="10" spans="1:14">
      <c r="A10">
        <v>6</v>
      </c>
      <c r="B10" s="55" t="s">
        <v>688</v>
      </c>
      <c r="C10" t="s">
        <v>513</v>
      </c>
      <c r="D10" s="16" t="s">
        <v>201</v>
      </c>
      <c r="E10" s="16">
        <v>1.58</v>
      </c>
      <c r="F10" s="16" t="s">
        <v>245</v>
      </c>
      <c r="G10" s="16">
        <f>E10</f>
        <v>1.58</v>
      </c>
      <c r="H10" s="23">
        <f>E10+G10</f>
        <v>3.16</v>
      </c>
      <c r="I10" s="14">
        <v>164.32</v>
      </c>
      <c r="J10" s="14"/>
      <c r="K10" s="19" t="s">
        <v>246</v>
      </c>
    </row>
    <row r="11" spans="1:14">
      <c r="A11">
        <v>7</v>
      </c>
      <c r="B11" s="54"/>
      <c r="C11" s="19"/>
      <c r="D11" s="16"/>
      <c r="E11" s="16"/>
      <c r="F11" s="16"/>
      <c r="H11" s="16"/>
      <c r="I11" s="14"/>
      <c r="J11" s="14"/>
      <c r="K11" s="19"/>
      <c r="L11" s="19"/>
    </row>
    <row r="12" spans="1:14">
      <c r="A12">
        <v>8</v>
      </c>
      <c r="B12" s="55" t="s">
        <v>104</v>
      </c>
      <c r="C12" s="3" t="s">
        <v>104</v>
      </c>
      <c r="D12" s="2" t="s">
        <v>75</v>
      </c>
      <c r="E12" s="2">
        <v>1.8</v>
      </c>
      <c r="F12" s="2" t="s">
        <v>76</v>
      </c>
      <c r="H12" s="2">
        <v>1.8</v>
      </c>
      <c r="I12" s="14">
        <v>563.4</v>
      </c>
      <c r="J12" s="14"/>
      <c r="K12" s="3" t="s">
        <v>106</v>
      </c>
      <c r="L12" s="3"/>
    </row>
    <row r="13" spans="1:14">
      <c r="A13">
        <v>9</v>
      </c>
      <c r="B13" s="55"/>
      <c r="C13" s="19"/>
      <c r="D13" s="16"/>
      <c r="E13" s="16"/>
      <c r="F13" s="16"/>
      <c r="H13" s="16"/>
      <c r="I13" s="14"/>
      <c r="J13" s="14"/>
      <c r="K13" s="19"/>
      <c r="L13" s="19"/>
    </row>
    <row r="14" spans="1:14">
      <c r="A14">
        <v>10</v>
      </c>
      <c r="B14" s="55" t="s">
        <v>372</v>
      </c>
      <c r="C14" s="1"/>
      <c r="D14" s="1"/>
      <c r="E14" s="1"/>
      <c r="F14" s="1"/>
      <c r="G14" s="1"/>
      <c r="H14" s="1"/>
      <c r="I14" s="14">
        <v>522.84</v>
      </c>
      <c r="J14" s="14"/>
      <c r="K14" s="5" t="s">
        <v>877</v>
      </c>
      <c r="L14" s="1"/>
    </row>
    <row r="15" spans="1:14">
      <c r="A15">
        <v>11</v>
      </c>
      <c r="B15" s="55"/>
      <c r="C15" s="19"/>
      <c r="D15" s="16"/>
      <c r="E15" s="16"/>
      <c r="F15" s="16"/>
      <c r="H15" s="16"/>
      <c r="I15" s="23"/>
      <c r="J15" s="23"/>
      <c r="K15" s="19"/>
      <c r="L15" s="19"/>
    </row>
    <row r="16" spans="1:14">
      <c r="A16">
        <v>12</v>
      </c>
      <c r="B16" s="55" t="s">
        <v>371</v>
      </c>
      <c r="C16" s="3" t="s">
        <v>145</v>
      </c>
      <c r="D16" s="2" t="s">
        <v>146</v>
      </c>
      <c r="E16" s="2">
        <v>49.19</v>
      </c>
      <c r="F16" s="2" t="s">
        <v>76</v>
      </c>
      <c r="H16" s="2">
        <v>49.19</v>
      </c>
      <c r="I16" s="23">
        <v>590.28</v>
      </c>
      <c r="J16" s="23"/>
      <c r="K16" s="3" t="s">
        <v>148</v>
      </c>
      <c r="L16" s="3"/>
    </row>
    <row r="17" spans="1:12">
      <c r="A17">
        <v>13</v>
      </c>
      <c r="B17" s="55"/>
      <c r="C17" s="3" t="s">
        <v>566</v>
      </c>
      <c r="D17" s="12" t="s">
        <v>157</v>
      </c>
      <c r="E17" s="12">
        <v>462</v>
      </c>
      <c r="F17" s="12" t="s">
        <v>76</v>
      </c>
      <c r="H17" s="12">
        <v>462</v>
      </c>
      <c r="I17" s="23">
        <v>462</v>
      </c>
      <c r="J17" s="23"/>
      <c r="K17" s="3" t="s">
        <v>698</v>
      </c>
      <c r="L17" s="3"/>
    </row>
    <row r="18" spans="1:12">
      <c r="A18">
        <v>14</v>
      </c>
      <c r="B18" s="55"/>
      <c r="C18" s="3" t="s">
        <v>733</v>
      </c>
      <c r="D18" s="12" t="s">
        <v>157</v>
      </c>
      <c r="E18" s="12">
        <v>1375</v>
      </c>
      <c r="F18" s="12" t="s">
        <v>76</v>
      </c>
      <c r="H18" s="12">
        <v>1375</v>
      </c>
      <c r="I18" s="23">
        <v>1375</v>
      </c>
      <c r="J18" s="23"/>
      <c r="K18" s="3" t="s">
        <v>698</v>
      </c>
      <c r="L18" s="3"/>
    </row>
    <row r="19" spans="1:12">
      <c r="A19">
        <v>15</v>
      </c>
      <c r="B19" s="55"/>
      <c r="C19" s="3" t="s">
        <v>763</v>
      </c>
      <c r="D19" s="12" t="s">
        <v>157</v>
      </c>
      <c r="E19" s="12">
        <v>339</v>
      </c>
      <c r="F19" s="12" t="s">
        <v>76</v>
      </c>
      <c r="H19" s="12">
        <v>339</v>
      </c>
      <c r="I19" s="23">
        <v>339</v>
      </c>
      <c r="J19" s="23"/>
      <c r="K19" s="3" t="s">
        <v>698</v>
      </c>
      <c r="L19" s="3"/>
    </row>
    <row r="20" spans="1:12">
      <c r="A20">
        <v>16</v>
      </c>
      <c r="B20" s="55"/>
      <c r="C20" s="3" t="s">
        <v>321</v>
      </c>
      <c r="D20" s="12" t="s">
        <v>157</v>
      </c>
      <c r="E20" s="12">
        <v>500</v>
      </c>
      <c r="F20" s="12" t="s">
        <v>76</v>
      </c>
      <c r="H20" s="12">
        <v>500</v>
      </c>
      <c r="I20" s="23">
        <v>500</v>
      </c>
      <c r="J20" s="23"/>
      <c r="K20" s="3" t="s">
        <v>698</v>
      </c>
      <c r="L20" s="3"/>
    </row>
    <row r="21" spans="1:12">
      <c r="A21">
        <v>17</v>
      </c>
      <c r="B21" s="55"/>
      <c r="C21" s="3" t="s">
        <v>341</v>
      </c>
      <c r="D21" s="12" t="s">
        <v>157</v>
      </c>
      <c r="E21" s="12">
        <v>433</v>
      </c>
      <c r="F21" s="12" t="s">
        <v>76</v>
      </c>
      <c r="H21" s="12">
        <v>433</v>
      </c>
      <c r="I21" s="23">
        <v>433</v>
      </c>
      <c r="J21" s="23"/>
      <c r="K21" s="3" t="s">
        <v>698</v>
      </c>
      <c r="L21" s="3"/>
    </row>
    <row r="22" spans="1:12">
      <c r="A22">
        <v>18</v>
      </c>
      <c r="B22" s="55"/>
      <c r="C22" s="19"/>
      <c r="D22" s="16"/>
      <c r="E22" s="16"/>
      <c r="F22" s="16"/>
      <c r="H22" s="16"/>
      <c r="I22" s="14">
        <f>SUM(I16:I21)/6</f>
        <v>616.54666666666662</v>
      </c>
      <c r="J22" s="14"/>
      <c r="K22" s="19"/>
      <c r="L22" s="19"/>
    </row>
    <row r="23" spans="1:12">
      <c r="A23">
        <v>19</v>
      </c>
      <c r="B23" s="55"/>
      <c r="C23" s="19"/>
      <c r="D23" s="16"/>
      <c r="E23" s="16"/>
      <c r="F23" s="16"/>
      <c r="H23" s="16"/>
      <c r="I23" s="14"/>
      <c r="J23" s="14"/>
      <c r="K23" s="19"/>
      <c r="L23" s="19"/>
    </row>
    <row r="24" spans="1:12">
      <c r="A24">
        <v>20</v>
      </c>
      <c r="B24" s="55"/>
      <c r="C24" s="3" t="s">
        <v>267</v>
      </c>
      <c r="D24" s="12" t="s">
        <v>157</v>
      </c>
      <c r="E24" s="12">
        <v>2000</v>
      </c>
      <c r="F24" s="12" t="s">
        <v>76</v>
      </c>
      <c r="H24" s="12">
        <v>2000</v>
      </c>
      <c r="I24" s="23">
        <v>2000</v>
      </c>
      <c r="J24" s="23"/>
      <c r="K24" s="3" t="s">
        <v>698</v>
      </c>
      <c r="L24" s="3"/>
    </row>
    <row r="25" spans="1:12">
      <c r="A25">
        <v>21</v>
      </c>
      <c r="B25" s="55"/>
      <c r="C25" s="3" t="s">
        <v>429</v>
      </c>
      <c r="D25" s="12" t="s">
        <v>157</v>
      </c>
      <c r="E25" s="12">
        <v>1800</v>
      </c>
      <c r="F25" s="12" t="s">
        <v>76</v>
      </c>
      <c r="H25" s="12">
        <v>1800</v>
      </c>
      <c r="I25" s="23">
        <v>1800</v>
      </c>
      <c r="J25" s="23"/>
      <c r="K25" s="3" t="s">
        <v>698</v>
      </c>
      <c r="L25" s="3"/>
    </row>
    <row r="26" spans="1:12">
      <c r="A26">
        <v>22</v>
      </c>
      <c r="B26" s="55"/>
      <c r="C26" s="3" t="s">
        <v>730</v>
      </c>
      <c r="D26" s="12" t="s">
        <v>157</v>
      </c>
      <c r="E26" s="12">
        <v>3000</v>
      </c>
      <c r="F26" s="12" t="s">
        <v>76</v>
      </c>
      <c r="H26" s="12">
        <v>3000</v>
      </c>
      <c r="I26" s="23">
        <v>3000</v>
      </c>
      <c r="J26" s="23"/>
      <c r="K26" s="3" t="s">
        <v>698</v>
      </c>
      <c r="L26" s="3"/>
    </row>
    <row r="27" spans="1:12">
      <c r="A27">
        <v>23</v>
      </c>
      <c r="B27" s="55"/>
      <c r="C27" s="3" t="s">
        <v>759</v>
      </c>
      <c r="D27" s="12" t="s">
        <v>157</v>
      </c>
      <c r="E27" s="12">
        <v>1600</v>
      </c>
      <c r="F27" s="12" t="s">
        <v>76</v>
      </c>
      <c r="H27" s="12">
        <v>1600</v>
      </c>
      <c r="I27" s="23">
        <v>1600</v>
      </c>
      <c r="J27" s="23"/>
      <c r="K27" s="3" t="s">
        <v>698</v>
      </c>
      <c r="L27" s="3"/>
    </row>
    <row r="28" spans="1:12">
      <c r="A28">
        <v>24</v>
      </c>
      <c r="B28" s="55"/>
      <c r="C28" s="3" t="s">
        <v>322</v>
      </c>
      <c r="D28" s="12" t="s">
        <v>157</v>
      </c>
      <c r="E28" s="12">
        <v>1975</v>
      </c>
      <c r="F28" s="12" t="s">
        <v>76</v>
      </c>
      <c r="H28" s="12">
        <v>1975</v>
      </c>
      <c r="I28" s="23">
        <v>1975</v>
      </c>
      <c r="J28" s="23"/>
      <c r="K28" s="3" t="s">
        <v>698</v>
      </c>
      <c r="L28" s="3"/>
    </row>
    <row r="29" spans="1:12">
      <c r="A29">
        <v>25</v>
      </c>
      <c r="B29" s="55"/>
      <c r="C29" s="3" t="s">
        <v>337</v>
      </c>
      <c r="D29" s="12" t="s">
        <v>157</v>
      </c>
      <c r="E29" s="12">
        <v>1500</v>
      </c>
      <c r="F29" s="12" t="s">
        <v>76</v>
      </c>
      <c r="H29" s="12">
        <v>1500</v>
      </c>
      <c r="I29" s="23">
        <v>1500</v>
      </c>
      <c r="J29" s="23"/>
      <c r="K29" s="3" t="s">
        <v>698</v>
      </c>
      <c r="L29" s="3"/>
    </row>
    <row r="30" spans="1:12">
      <c r="A30">
        <v>26</v>
      </c>
      <c r="B30" s="55"/>
      <c r="C30" s="19"/>
      <c r="D30" s="16"/>
      <c r="E30" s="16"/>
      <c r="F30" s="16"/>
      <c r="H30" s="16"/>
      <c r="I30" s="14">
        <f>SUM(I24:I29)/6</f>
        <v>1979.1666666666667</v>
      </c>
      <c r="J30" s="14"/>
      <c r="K30" s="19"/>
      <c r="L30" s="19"/>
    </row>
    <row r="31" spans="1:12">
      <c r="A31">
        <v>27</v>
      </c>
      <c r="B31" s="55"/>
      <c r="C31" s="19"/>
      <c r="D31" s="16"/>
      <c r="E31" s="16"/>
      <c r="F31" s="16"/>
      <c r="H31" s="16"/>
      <c r="I31" s="23"/>
      <c r="J31" s="23"/>
      <c r="K31" s="19"/>
      <c r="L31" s="19"/>
    </row>
    <row r="32" spans="1:12">
      <c r="A32">
        <v>28</v>
      </c>
      <c r="B32" s="55"/>
      <c r="C32" s="3" t="s">
        <v>563</v>
      </c>
      <c r="D32" s="12" t="s">
        <v>157</v>
      </c>
      <c r="E32" s="12">
        <v>1000</v>
      </c>
      <c r="F32" s="12" t="s">
        <v>76</v>
      </c>
      <c r="H32" s="12">
        <v>1000</v>
      </c>
      <c r="I32" s="23">
        <v>1000</v>
      </c>
      <c r="J32" s="23"/>
      <c r="K32" s="3" t="s">
        <v>698</v>
      </c>
      <c r="L32" s="3"/>
    </row>
    <row r="33" spans="1:12">
      <c r="A33">
        <v>29</v>
      </c>
      <c r="B33" s="55"/>
      <c r="C33" s="3" t="s">
        <v>731</v>
      </c>
      <c r="D33" s="12" t="s">
        <v>157</v>
      </c>
      <c r="E33" s="12">
        <v>1550</v>
      </c>
      <c r="F33" s="12" t="s">
        <v>76</v>
      </c>
      <c r="H33" s="12">
        <v>1550</v>
      </c>
      <c r="I33" s="23">
        <v>1550</v>
      </c>
      <c r="J33" s="23"/>
      <c r="K33" s="3" t="s">
        <v>698</v>
      </c>
      <c r="L33" s="3"/>
    </row>
    <row r="34" spans="1:12">
      <c r="A34">
        <v>30</v>
      </c>
      <c r="B34" s="55"/>
      <c r="C34" s="3" t="s">
        <v>760</v>
      </c>
      <c r="D34" s="12" t="s">
        <v>157</v>
      </c>
      <c r="E34" s="12">
        <v>1800</v>
      </c>
      <c r="F34" s="12" t="s">
        <v>76</v>
      </c>
      <c r="H34" s="12">
        <v>1800</v>
      </c>
      <c r="I34" s="23">
        <v>1800</v>
      </c>
      <c r="J34" s="23"/>
      <c r="K34" s="3" t="s">
        <v>698</v>
      </c>
      <c r="L34" s="3"/>
    </row>
    <row r="35" spans="1:12">
      <c r="A35">
        <v>31</v>
      </c>
      <c r="B35" s="55"/>
      <c r="C35" s="3" t="s">
        <v>323</v>
      </c>
      <c r="D35" s="12" t="s">
        <v>157</v>
      </c>
      <c r="E35" s="12">
        <v>1200</v>
      </c>
      <c r="F35" s="12" t="s">
        <v>76</v>
      </c>
      <c r="H35" s="12">
        <v>1200</v>
      </c>
      <c r="I35" s="23">
        <v>1200</v>
      </c>
      <c r="J35" s="23"/>
      <c r="K35" s="3" t="s">
        <v>698</v>
      </c>
      <c r="L35" s="3"/>
    </row>
    <row r="36" spans="1:12">
      <c r="A36">
        <v>32</v>
      </c>
      <c r="B36" s="55"/>
      <c r="C36" s="3" t="s">
        <v>338</v>
      </c>
      <c r="D36" s="12" t="s">
        <v>157</v>
      </c>
      <c r="E36" s="12">
        <v>1800</v>
      </c>
      <c r="F36" s="12" t="s">
        <v>76</v>
      </c>
      <c r="H36" s="12">
        <v>1800</v>
      </c>
      <c r="I36" s="23">
        <v>1800</v>
      </c>
      <c r="J36" s="23"/>
      <c r="K36" s="3" t="s">
        <v>698</v>
      </c>
      <c r="L36" s="3"/>
    </row>
    <row r="37" spans="1:12">
      <c r="A37">
        <v>33</v>
      </c>
      <c r="B37" s="55"/>
      <c r="C37" s="19"/>
      <c r="D37" s="16"/>
      <c r="E37" s="16"/>
      <c r="F37" s="16"/>
      <c r="H37" s="16"/>
      <c r="I37" s="14">
        <f>SUM(I32:I36)/5</f>
        <v>1470</v>
      </c>
      <c r="J37" s="14"/>
      <c r="K37" s="19"/>
      <c r="L37" s="19"/>
    </row>
    <row r="38" spans="1:12">
      <c r="A38">
        <v>34</v>
      </c>
      <c r="B38" s="55"/>
      <c r="C38" s="19"/>
      <c r="D38" s="16"/>
      <c r="E38" s="16"/>
      <c r="F38" s="16"/>
      <c r="H38" s="16"/>
      <c r="I38" s="23"/>
      <c r="J38" s="23"/>
      <c r="K38" s="19"/>
      <c r="L38" s="19"/>
    </row>
    <row r="39" spans="1:12">
      <c r="A39">
        <v>35</v>
      </c>
      <c r="B39" s="55"/>
      <c r="C39" s="3" t="s">
        <v>564</v>
      </c>
      <c r="D39" s="12" t="s">
        <v>157</v>
      </c>
      <c r="E39" s="12">
        <v>1600</v>
      </c>
      <c r="F39" s="12" t="s">
        <v>76</v>
      </c>
      <c r="H39" s="12">
        <v>1600</v>
      </c>
      <c r="I39" s="23">
        <v>1600</v>
      </c>
      <c r="J39" s="23"/>
      <c r="K39" s="3" t="s">
        <v>698</v>
      </c>
      <c r="L39" s="3"/>
    </row>
    <row r="40" spans="1:12">
      <c r="A40">
        <v>36</v>
      </c>
      <c r="B40" s="56"/>
      <c r="C40" s="3" t="s">
        <v>732</v>
      </c>
      <c r="D40" s="12" t="s">
        <v>157</v>
      </c>
      <c r="E40" s="17">
        <v>2000</v>
      </c>
      <c r="F40" s="12" t="s">
        <v>76</v>
      </c>
      <c r="H40" s="17">
        <v>2000</v>
      </c>
      <c r="I40" s="23">
        <v>2000</v>
      </c>
      <c r="J40" s="23"/>
      <c r="K40" s="3" t="s">
        <v>698</v>
      </c>
      <c r="L40" s="3"/>
    </row>
    <row r="41" spans="1:12">
      <c r="A41">
        <v>37</v>
      </c>
      <c r="B41" s="56"/>
      <c r="C41" s="3" t="s">
        <v>762</v>
      </c>
      <c r="D41" s="12" t="s">
        <v>157</v>
      </c>
      <c r="E41" s="17">
        <v>600</v>
      </c>
      <c r="F41" s="12" t="s">
        <v>76</v>
      </c>
      <c r="H41" s="17">
        <v>600</v>
      </c>
      <c r="I41" s="23">
        <v>600</v>
      </c>
      <c r="J41" s="23"/>
      <c r="K41" s="3" t="s">
        <v>698</v>
      </c>
      <c r="L41" s="3"/>
    </row>
    <row r="42" spans="1:12">
      <c r="A42">
        <v>38</v>
      </c>
      <c r="B42" s="56"/>
      <c r="C42" s="3" t="s">
        <v>325</v>
      </c>
      <c r="D42" s="12" t="s">
        <v>157</v>
      </c>
      <c r="E42" s="17">
        <v>900</v>
      </c>
      <c r="F42" s="12" t="s">
        <v>76</v>
      </c>
      <c r="H42" s="17">
        <v>900</v>
      </c>
      <c r="I42" s="23">
        <v>900</v>
      </c>
      <c r="J42" s="23"/>
      <c r="K42" s="3" t="s">
        <v>698</v>
      </c>
      <c r="L42" s="3"/>
    </row>
    <row r="43" spans="1:12">
      <c r="A43">
        <v>39</v>
      </c>
      <c r="B43" s="56"/>
      <c r="C43" s="3" t="s">
        <v>340</v>
      </c>
      <c r="D43" s="12" t="s">
        <v>157</v>
      </c>
      <c r="E43" s="17">
        <v>500</v>
      </c>
      <c r="F43" s="12" t="s">
        <v>76</v>
      </c>
      <c r="H43" s="17">
        <v>500</v>
      </c>
      <c r="I43" s="23">
        <v>500</v>
      </c>
      <c r="J43" s="23"/>
      <c r="K43" s="3" t="s">
        <v>698</v>
      </c>
      <c r="L43" s="3"/>
    </row>
    <row r="44" spans="1:12">
      <c r="A44">
        <v>40</v>
      </c>
      <c r="B44" s="56"/>
      <c r="C44" s="19"/>
      <c r="D44" s="16"/>
      <c r="E44" s="17"/>
      <c r="F44" s="16"/>
      <c r="H44" s="17"/>
      <c r="I44" s="14">
        <f>SUM(I39:I43)/5</f>
        <v>1120</v>
      </c>
      <c r="J44" s="14"/>
      <c r="K44" s="19"/>
      <c r="L44" s="19"/>
    </row>
    <row r="45" spans="1:12">
      <c r="A45">
        <v>41</v>
      </c>
      <c r="B45" s="56"/>
      <c r="C45" s="19"/>
      <c r="D45" s="16"/>
      <c r="E45" s="17"/>
      <c r="F45" s="16"/>
      <c r="H45" s="17"/>
      <c r="I45" s="23"/>
      <c r="J45" s="23"/>
      <c r="K45" s="19"/>
      <c r="L45" s="19"/>
    </row>
    <row r="46" spans="1:12">
      <c r="A46">
        <v>42</v>
      </c>
      <c r="B46" s="55"/>
      <c r="C46" s="3" t="s">
        <v>565</v>
      </c>
      <c r="D46" s="12" t="s">
        <v>157</v>
      </c>
      <c r="E46" s="12">
        <v>1275</v>
      </c>
      <c r="F46" s="12" t="s">
        <v>76</v>
      </c>
      <c r="H46" s="12">
        <v>1275</v>
      </c>
      <c r="I46" s="23">
        <v>1275</v>
      </c>
      <c r="J46" s="23"/>
      <c r="K46" s="3" t="s">
        <v>698</v>
      </c>
      <c r="L46" s="3"/>
    </row>
    <row r="47" spans="1:12">
      <c r="A47">
        <v>43</v>
      </c>
      <c r="B47" s="55"/>
      <c r="C47" s="3" t="s">
        <v>761</v>
      </c>
      <c r="D47" s="12" t="s">
        <v>157</v>
      </c>
      <c r="E47" s="12">
        <v>800</v>
      </c>
      <c r="F47" s="12" t="s">
        <v>76</v>
      </c>
      <c r="H47" s="12">
        <v>800</v>
      </c>
      <c r="I47" s="23">
        <v>800</v>
      </c>
      <c r="J47" s="23"/>
      <c r="K47" s="3" t="s">
        <v>698</v>
      </c>
      <c r="L47" s="3"/>
    </row>
    <row r="48" spans="1:12">
      <c r="A48">
        <v>44</v>
      </c>
      <c r="B48" s="55"/>
      <c r="C48" s="3" t="s">
        <v>324</v>
      </c>
      <c r="D48" s="12" t="s">
        <v>157</v>
      </c>
      <c r="E48" s="12">
        <v>1125</v>
      </c>
      <c r="F48" s="12" t="s">
        <v>76</v>
      </c>
      <c r="H48" s="12">
        <v>1125</v>
      </c>
      <c r="I48" s="23">
        <v>1125</v>
      </c>
      <c r="J48" s="23"/>
      <c r="K48" s="3" t="s">
        <v>698</v>
      </c>
      <c r="L48" s="3"/>
    </row>
    <row r="49" spans="1:12">
      <c r="A49">
        <v>45</v>
      </c>
      <c r="B49" s="55"/>
      <c r="C49" s="3" t="s">
        <v>339</v>
      </c>
      <c r="D49" s="12" t="s">
        <v>157</v>
      </c>
      <c r="E49" s="12">
        <v>542</v>
      </c>
      <c r="F49" s="12" t="s">
        <v>76</v>
      </c>
      <c r="H49" s="12">
        <v>542</v>
      </c>
      <c r="I49" s="23">
        <v>542</v>
      </c>
      <c r="J49" s="23"/>
      <c r="K49" s="3" t="s">
        <v>698</v>
      </c>
      <c r="L49" s="3"/>
    </row>
    <row r="50" spans="1:12">
      <c r="A50">
        <v>46</v>
      </c>
      <c r="B50" s="55"/>
      <c r="C50" s="19"/>
      <c r="D50" s="16"/>
      <c r="E50" s="16"/>
      <c r="F50" s="16"/>
      <c r="H50" s="16"/>
      <c r="I50" s="14">
        <f>SUM(I45:I49)/5</f>
        <v>748.4</v>
      </c>
      <c r="J50" s="14"/>
      <c r="K50" s="19"/>
      <c r="L50" s="19"/>
    </row>
    <row r="51" spans="1:12">
      <c r="A51">
        <v>47</v>
      </c>
      <c r="B51" s="55"/>
      <c r="C51" s="19"/>
      <c r="D51" s="16"/>
      <c r="E51" s="16"/>
      <c r="F51" s="16"/>
      <c r="H51" s="16"/>
      <c r="I51" s="23"/>
      <c r="J51" s="23"/>
      <c r="K51" s="19"/>
      <c r="L51" s="19"/>
    </row>
    <row r="52" spans="1:12">
      <c r="A52">
        <v>48</v>
      </c>
      <c r="B52" s="55"/>
      <c r="C52" s="19" t="s">
        <v>562</v>
      </c>
      <c r="D52" s="16" t="s">
        <v>157</v>
      </c>
      <c r="I52" s="15">
        <v>906.23</v>
      </c>
      <c r="J52" s="124"/>
      <c r="K52" s="19" t="s">
        <v>902</v>
      </c>
      <c r="L52" s="19"/>
    </row>
    <row r="53" spans="1:12">
      <c r="A53">
        <v>49</v>
      </c>
      <c r="B53" s="55"/>
      <c r="C53" s="19"/>
      <c r="D53" s="16"/>
      <c r="E53" s="16"/>
      <c r="F53" s="16"/>
      <c r="H53" s="16"/>
      <c r="I53" s="23"/>
      <c r="J53" s="23"/>
      <c r="K53" s="19"/>
      <c r="L53" s="19"/>
    </row>
    <row r="54" spans="1:12">
      <c r="A54">
        <v>50</v>
      </c>
      <c r="B54" s="55" t="s">
        <v>355</v>
      </c>
      <c r="C54" s="19" t="s">
        <v>562</v>
      </c>
      <c r="D54" s="16" t="s">
        <v>157</v>
      </c>
      <c r="I54" s="15">
        <v>334.27</v>
      </c>
      <c r="J54" s="124"/>
      <c r="K54" s="19" t="s">
        <v>902</v>
      </c>
    </row>
    <row r="55" spans="1:12">
      <c r="A55">
        <v>51</v>
      </c>
      <c r="B55" s="55"/>
      <c r="C55" s="19"/>
      <c r="D55" s="16"/>
      <c r="E55" s="16"/>
      <c r="F55" s="16"/>
      <c r="H55" s="16"/>
      <c r="I55" s="23"/>
      <c r="J55" s="23"/>
      <c r="K55" s="19"/>
      <c r="L55" s="19"/>
    </row>
    <row r="56" spans="1:12">
      <c r="A56">
        <v>52</v>
      </c>
      <c r="B56" s="55" t="s">
        <v>373</v>
      </c>
      <c r="C56" s="3" t="s">
        <v>156</v>
      </c>
      <c r="D56" s="2" t="s">
        <v>157</v>
      </c>
      <c r="E56" s="2">
        <v>411.8</v>
      </c>
      <c r="F56" s="2" t="s">
        <v>76</v>
      </c>
      <c r="H56" s="2">
        <v>411.8</v>
      </c>
      <c r="I56" s="23">
        <v>411.8</v>
      </c>
      <c r="J56" s="23"/>
      <c r="K56" s="3" t="s">
        <v>938</v>
      </c>
      <c r="L56" s="3" t="s">
        <v>32</v>
      </c>
    </row>
    <row r="57" spans="1:12">
      <c r="A57">
        <v>53</v>
      </c>
      <c r="B57" s="55"/>
      <c r="C57" s="19" t="s">
        <v>156</v>
      </c>
      <c r="D57" s="16" t="s">
        <v>157</v>
      </c>
      <c r="E57" s="16">
        <v>372.7</v>
      </c>
      <c r="F57" s="16" t="s">
        <v>76</v>
      </c>
      <c r="H57" s="16">
        <v>372.7</v>
      </c>
      <c r="I57" s="14">
        <v>372.7</v>
      </c>
      <c r="J57" s="14"/>
      <c r="K57" s="19" t="s">
        <v>939</v>
      </c>
      <c r="L57" s="19" t="s">
        <v>116</v>
      </c>
    </row>
    <row r="58" spans="1:12">
      <c r="A58">
        <v>54</v>
      </c>
      <c r="B58" s="55"/>
      <c r="C58" s="19"/>
      <c r="D58" s="16"/>
      <c r="E58" s="16"/>
      <c r="F58" s="16"/>
      <c r="H58" s="16"/>
      <c r="I58" s="14"/>
      <c r="J58" s="14"/>
      <c r="K58" s="19"/>
      <c r="L58" s="19"/>
    </row>
    <row r="59" spans="1:12">
      <c r="A59">
        <v>55</v>
      </c>
      <c r="B59" s="55"/>
      <c r="C59" s="19" t="s">
        <v>497</v>
      </c>
      <c r="D59" s="16" t="s">
        <v>157</v>
      </c>
      <c r="E59" s="23">
        <f>0.506*E56</f>
        <v>208.3708</v>
      </c>
      <c r="F59" s="16" t="s">
        <v>76</v>
      </c>
      <c r="H59" s="23">
        <f>E59</f>
        <v>208.3708</v>
      </c>
      <c r="I59" s="13">
        <v>188.59</v>
      </c>
      <c r="J59" s="13"/>
      <c r="K59" s="19" t="s">
        <v>966</v>
      </c>
      <c r="L59" s="19"/>
    </row>
    <row r="60" spans="1:12">
      <c r="A60">
        <v>56</v>
      </c>
      <c r="B60" s="55"/>
      <c r="C60" s="39" t="s">
        <v>497</v>
      </c>
      <c r="D60" s="40" t="s">
        <v>157</v>
      </c>
      <c r="E60" s="23">
        <f>0.506*E57</f>
        <v>188.58619999999999</v>
      </c>
      <c r="F60" s="40" t="s">
        <v>76</v>
      </c>
      <c r="H60" s="23">
        <f>E60</f>
        <v>188.58619999999999</v>
      </c>
      <c r="I60" s="14">
        <v>188.59</v>
      </c>
      <c r="J60" s="14"/>
      <c r="K60" s="39" t="s">
        <v>967</v>
      </c>
      <c r="L60" s="39"/>
    </row>
    <row r="61" spans="1:12" s="145" customFormat="1">
      <c r="B61" s="150"/>
      <c r="C61" s="147"/>
      <c r="D61" s="148"/>
      <c r="E61" s="149"/>
      <c r="F61" s="148"/>
      <c r="H61" s="149"/>
      <c r="I61" s="151"/>
      <c r="J61" s="151"/>
      <c r="K61" s="147"/>
      <c r="L61" s="147"/>
    </row>
    <row r="62" spans="1:12">
      <c r="A62">
        <v>57</v>
      </c>
      <c r="B62" s="154" t="s">
        <v>66</v>
      </c>
      <c r="C62" s="3"/>
      <c r="D62" s="2"/>
      <c r="E62" s="2"/>
      <c r="F62" s="2"/>
      <c r="H62" s="2"/>
      <c r="I62" s="23"/>
      <c r="J62" s="23"/>
      <c r="K62" s="3"/>
      <c r="L62" s="3"/>
    </row>
    <row r="63" spans="1:12">
      <c r="A63">
        <v>58</v>
      </c>
      <c r="B63" s="155" t="s">
        <v>387</v>
      </c>
      <c r="C63" s="118" t="s">
        <v>163</v>
      </c>
      <c r="D63" s="119" t="s">
        <v>75</v>
      </c>
      <c r="E63" s="119">
        <v>0.98299999999999998</v>
      </c>
      <c r="F63" s="119" t="s">
        <v>957</v>
      </c>
      <c r="G63" s="120"/>
      <c r="H63" s="121">
        <f>E63</f>
        <v>0.98299999999999998</v>
      </c>
      <c r="I63" s="122">
        <f>H63*313</f>
        <v>307.67899999999997</v>
      </c>
      <c r="J63" s="122"/>
      <c r="K63" s="123" t="s">
        <v>960</v>
      </c>
      <c r="L63" s="107"/>
    </row>
    <row r="64" spans="1:12">
      <c r="A64">
        <v>59</v>
      </c>
      <c r="B64" s="156"/>
      <c r="C64" s="5" t="s">
        <v>163</v>
      </c>
      <c r="D64" s="16" t="s">
        <v>75</v>
      </c>
      <c r="E64" s="16">
        <v>1.06</v>
      </c>
      <c r="F64" s="16" t="s">
        <v>76</v>
      </c>
      <c r="H64" s="23">
        <v>1.06</v>
      </c>
      <c r="I64" s="14">
        <v>331.78</v>
      </c>
      <c r="J64" s="14"/>
      <c r="K64" s="19" t="s">
        <v>243</v>
      </c>
    </row>
    <row r="65" spans="1:12">
      <c r="A65">
        <v>60</v>
      </c>
      <c r="B65" s="155"/>
      <c r="C65" s="142" t="s">
        <v>622</v>
      </c>
      <c r="D65" s="16"/>
      <c r="E65" s="16"/>
      <c r="F65" s="16"/>
      <c r="H65" s="23"/>
      <c r="I65" s="14">
        <f>I64*0.6</f>
        <v>199.06799999999998</v>
      </c>
      <c r="J65" s="14"/>
      <c r="K65" s="19" t="s">
        <v>626</v>
      </c>
    </row>
    <row r="66" spans="1:12">
      <c r="A66">
        <v>61</v>
      </c>
      <c r="B66" s="155"/>
      <c r="C66" s="19"/>
      <c r="D66" s="16"/>
      <c r="E66" s="16"/>
      <c r="F66" s="16"/>
      <c r="H66" s="16"/>
      <c r="I66" s="14"/>
      <c r="J66" s="14"/>
      <c r="K66" s="19"/>
    </row>
    <row r="67" spans="1:12">
      <c r="A67">
        <v>62</v>
      </c>
      <c r="B67" s="155" t="s">
        <v>688</v>
      </c>
      <c r="C67" t="s">
        <v>244</v>
      </c>
      <c r="D67" s="16" t="s">
        <v>201</v>
      </c>
      <c r="E67" s="16">
        <v>1.24</v>
      </c>
      <c r="F67" s="16" t="s">
        <v>245</v>
      </c>
      <c r="G67" s="16">
        <f>E67</f>
        <v>1.24</v>
      </c>
      <c r="H67" s="23">
        <f>E67+G67</f>
        <v>2.48</v>
      </c>
      <c r="I67" s="14">
        <v>128.96</v>
      </c>
      <c r="J67" s="14"/>
      <c r="K67" s="19" t="s">
        <v>246</v>
      </c>
    </row>
    <row r="68" spans="1:12">
      <c r="A68">
        <v>63</v>
      </c>
      <c r="B68" s="155"/>
      <c r="C68" s="143" t="s">
        <v>623</v>
      </c>
      <c r="D68" s="16"/>
      <c r="E68" s="16"/>
      <c r="F68" s="16"/>
      <c r="G68" s="16"/>
      <c r="H68" s="23"/>
      <c r="I68" s="14">
        <f>I67*0.6</f>
        <v>77.376000000000005</v>
      </c>
      <c r="J68" s="14"/>
      <c r="K68" s="19" t="s">
        <v>626</v>
      </c>
    </row>
    <row r="69" spans="1:12">
      <c r="A69">
        <v>64</v>
      </c>
      <c r="B69" s="155"/>
      <c r="D69" s="16"/>
      <c r="E69" s="16"/>
      <c r="F69" s="16"/>
      <c r="G69" s="16"/>
      <c r="H69" s="23"/>
      <c r="I69" s="14"/>
      <c r="J69" s="14"/>
      <c r="K69" s="19"/>
    </row>
    <row r="70" spans="1:12">
      <c r="A70">
        <v>65</v>
      </c>
      <c r="B70" s="155" t="s">
        <v>104</v>
      </c>
      <c r="C70" s="5" t="s">
        <v>624</v>
      </c>
      <c r="D70" s="1"/>
      <c r="E70" s="1"/>
      <c r="F70" s="1"/>
      <c r="G70" s="1"/>
      <c r="H70" s="1"/>
      <c r="I70" s="14">
        <v>565.02</v>
      </c>
      <c r="J70" s="14"/>
      <c r="K70" s="5" t="s">
        <v>864</v>
      </c>
      <c r="L70" s="1"/>
    </row>
    <row r="71" spans="1:12">
      <c r="A71">
        <v>66</v>
      </c>
      <c r="B71" s="155"/>
      <c r="C71" s="141" t="s">
        <v>625</v>
      </c>
      <c r="D71" s="1"/>
      <c r="E71" s="1"/>
      <c r="F71" s="1"/>
      <c r="G71" s="1"/>
      <c r="H71" s="1"/>
      <c r="I71" s="14">
        <f>I70*0.6</f>
        <v>339.012</v>
      </c>
      <c r="J71" s="14"/>
      <c r="K71" s="19" t="s">
        <v>626</v>
      </c>
      <c r="L71" s="1"/>
    </row>
    <row r="72" spans="1:12">
      <c r="A72">
        <v>67</v>
      </c>
      <c r="B72" s="155"/>
      <c r="C72" s="1"/>
      <c r="D72" s="1"/>
      <c r="E72" s="1"/>
      <c r="F72" s="1"/>
      <c r="G72" s="1"/>
      <c r="H72" s="1"/>
      <c r="I72" s="14"/>
      <c r="J72" s="14"/>
      <c r="K72" s="5"/>
      <c r="L72" s="1"/>
    </row>
    <row r="73" spans="1:12">
      <c r="A73">
        <v>68</v>
      </c>
      <c r="B73" s="155" t="s">
        <v>372</v>
      </c>
      <c r="C73" s="5" t="s">
        <v>624</v>
      </c>
      <c r="D73" s="1"/>
      <c r="E73" s="1"/>
      <c r="F73" s="1"/>
      <c r="G73" s="1"/>
      <c r="H73" s="1"/>
      <c r="I73" s="14">
        <v>524.34</v>
      </c>
      <c r="J73" s="14"/>
      <c r="K73" s="5" t="s">
        <v>877</v>
      </c>
      <c r="L73" s="1"/>
    </row>
    <row r="74" spans="1:12">
      <c r="A74">
        <v>69</v>
      </c>
      <c r="B74" s="155"/>
      <c r="C74" s="141" t="s">
        <v>625</v>
      </c>
      <c r="D74" s="1"/>
      <c r="E74" s="1"/>
      <c r="F74" s="1"/>
      <c r="G74" s="1"/>
      <c r="H74" s="1"/>
      <c r="I74" s="14">
        <f>I73*0.6</f>
        <v>314.60399999999998</v>
      </c>
      <c r="J74" s="14"/>
      <c r="K74" s="19" t="s">
        <v>626</v>
      </c>
      <c r="L74" s="1"/>
    </row>
    <row r="75" spans="1:12">
      <c r="A75">
        <v>70</v>
      </c>
      <c r="B75" s="155"/>
      <c r="C75" s="19"/>
      <c r="D75" s="16"/>
      <c r="E75" s="16"/>
      <c r="F75" s="16"/>
      <c r="H75" s="16"/>
      <c r="I75" s="23"/>
      <c r="J75" s="23"/>
      <c r="K75" s="19"/>
    </row>
    <row r="76" spans="1:12">
      <c r="A76">
        <v>71</v>
      </c>
      <c r="B76" s="155" t="s">
        <v>356</v>
      </c>
      <c r="C76" s="3" t="s">
        <v>156</v>
      </c>
      <c r="D76" s="2" t="s">
        <v>157</v>
      </c>
      <c r="E76" s="2">
        <v>340.1</v>
      </c>
      <c r="F76" s="2" t="s">
        <v>76</v>
      </c>
      <c r="H76" s="2">
        <v>340.1</v>
      </c>
      <c r="I76" s="23">
        <v>340.1</v>
      </c>
      <c r="J76" s="23"/>
      <c r="K76" s="39" t="s">
        <v>938</v>
      </c>
      <c r="L76" s="3" t="s">
        <v>117</v>
      </c>
    </row>
    <row r="77" spans="1:12">
      <c r="A77">
        <v>72</v>
      </c>
      <c r="B77" s="155"/>
      <c r="C77" s="19" t="s">
        <v>156</v>
      </c>
      <c r="D77" s="16" t="s">
        <v>157</v>
      </c>
      <c r="E77" s="16">
        <v>348.8</v>
      </c>
      <c r="F77" s="16" t="s">
        <v>76</v>
      </c>
      <c r="H77" s="16">
        <v>348.8</v>
      </c>
      <c r="I77" s="14">
        <v>348.8</v>
      </c>
      <c r="J77" s="14"/>
      <c r="K77" s="39" t="s">
        <v>939</v>
      </c>
      <c r="L77" s="19" t="s">
        <v>117</v>
      </c>
    </row>
    <row r="78" spans="1:12">
      <c r="A78">
        <v>73</v>
      </c>
      <c r="B78" s="155"/>
      <c r="C78" s="19"/>
      <c r="D78" s="16"/>
      <c r="E78" s="16"/>
      <c r="F78" s="16"/>
      <c r="H78" s="16"/>
      <c r="I78" s="14"/>
      <c r="J78" s="14"/>
      <c r="K78" s="19"/>
      <c r="L78" s="19"/>
    </row>
    <row r="79" spans="1:12">
      <c r="A79">
        <v>74</v>
      </c>
      <c r="B79" s="155"/>
      <c r="C79" s="19" t="s">
        <v>497</v>
      </c>
      <c r="D79" s="16" t="s">
        <v>157</v>
      </c>
      <c r="E79" s="23">
        <f>E76*0.506</f>
        <v>172.09060000000002</v>
      </c>
      <c r="F79" s="16" t="s">
        <v>76</v>
      </c>
      <c r="H79" s="23">
        <f>E79</f>
        <v>172.09060000000002</v>
      </c>
      <c r="I79" s="13">
        <f>H79</f>
        <v>172.09060000000002</v>
      </c>
      <c r="J79" s="13"/>
      <c r="K79" s="39" t="s">
        <v>966</v>
      </c>
      <c r="L79" s="19" t="s">
        <v>117</v>
      </c>
    </row>
    <row r="80" spans="1:12">
      <c r="A80">
        <v>75</v>
      </c>
      <c r="B80" s="155"/>
      <c r="C80" s="39" t="s">
        <v>497</v>
      </c>
      <c r="D80" s="40" t="s">
        <v>157</v>
      </c>
      <c r="E80" s="23">
        <f>0.506*E77</f>
        <v>176.49280000000002</v>
      </c>
      <c r="F80" s="40" t="s">
        <v>76</v>
      </c>
      <c r="H80" s="23">
        <f>E80</f>
        <v>176.49280000000002</v>
      </c>
      <c r="I80" s="14">
        <f>H80</f>
        <v>176.49280000000002</v>
      </c>
      <c r="J80" s="14"/>
      <c r="K80" s="39" t="s">
        <v>967</v>
      </c>
      <c r="L80" s="39"/>
    </row>
    <row r="81" spans="1:12">
      <c r="A81">
        <v>76</v>
      </c>
      <c r="B81" s="155"/>
      <c r="C81" s="19"/>
      <c r="D81" s="16"/>
      <c r="E81" s="16"/>
      <c r="F81" s="16"/>
      <c r="H81" s="16"/>
      <c r="I81" s="23"/>
      <c r="J81" s="23"/>
      <c r="K81" s="19"/>
      <c r="L81" s="19"/>
    </row>
    <row r="82" spans="1:12">
      <c r="A82">
        <v>77</v>
      </c>
      <c r="B82" s="155" t="s">
        <v>371</v>
      </c>
      <c r="C82" s="3" t="s">
        <v>357</v>
      </c>
      <c r="D82" s="2" t="s">
        <v>157</v>
      </c>
      <c r="E82" s="2">
        <v>426</v>
      </c>
      <c r="F82" s="2" t="s">
        <v>35</v>
      </c>
      <c r="H82" s="2">
        <v>106.5</v>
      </c>
      <c r="I82" s="23">
        <v>532.5</v>
      </c>
      <c r="J82" s="23"/>
      <c r="K82" s="3" t="s">
        <v>493</v>
      </c>
      <c r="L82" s="3"/>
    </row>
    <row r="83" spans="1:12">
      <c r="A83">
        <v>78</v>
      </c>
      <c r="B83" s="157"/>
      <c r="C83" s="3" t="s">
        <v>501</v>
      </c>
      <c r="D83" s="2" t="s">
        <v>157</v>
      </c>
      <c r="E83" s="2">
        <v>600</v>
      </c>
      <c r="F83" s="2" t="s">
        <v>35</v>
      </c>
      <c r="H83" s="2">
        <v>150</v>
      </c>
      <c r="I83" s="23">
        <v>750</v>
      </c>
      <c r="J83" s="23"/>
      <c r="K83" s="3" t="s">
        <v>215</v>
      </c>
      <c r="L83" s="3"/>
    </row>
    <row r="84" spans="1:12">
      <c r="A84">
        <v>79</v>
      </c>
      <c r="B84" s="157"/>
      <c r="C84" s="19"/>
      <c r="D84" s="16"/>
      <c r="E84" s="16"/>
      <c r="F84" s="16"/>
      <c r="H84" s="16"/>
      <c r="I84" s="14">
        <f>SUM(I82:I83)/2</f>
        <v>641.25</v>
      </c>
      <c r="J84" s="14"/>
      <c r="K84" s="19"/>
      <c r="L84" s="19"/>
    </row>
    <row r="85" spans="1:12">
      <c r="A85">
        <v>80</v>
      </c>
      <c r="B85" s="157"/>
      <c r="C85" s="19"/>
      <c r="D85" s="16"/>
      <c r="E85" s="16"/>
      <c r="F85" s="16"/>
      <c r="H85" s="16"/>
      <c r="I85" s="23"/>
      <c r="J85" s="23"/>
      <c r="K85" s="19"/>
      <c r="L85" s="19"/>
    </row>
    <row r="86" spans="1:12" s="145" customFormat="1">
      <c r="A86" s="145">
        <v>84</v>
      </c>
      <c r="B86" s="157"/>
      <c r="C86" s="147" t="s">
        <v>764</v>
      </c>
      <c r="D86" s="148" t="s">
        <v>157</v>
      </c>
      <c r="E86" s="148">
        <v>150</v>
      </c>
      <c r="F86" s="148" t="s">
        <v>76</v>
      </c>
      <c r="H86" s="148">
        <v>150</v>
      </c>
      <c r="I86" s="149">
        <v>150</v>
      </c>
      <c r="J86" s="149"/>
      <c r="K86" s="147" t="s">
        <v>698</v>
      </c>
      <c r="L86" s="147"/>
    </row>
    <row r="87" spans="1:12" s="145" customFormat="1">
      <c r="A87" s="145">
        <v>85</v>
      </c>
      <c r="B87" s="157"/>
      <c r="C87" s="147" t="s">
        <v>769</v>
      </c>
      <c r="D87" s="148" t="s">
        <v>157</v>
      </c>
      <c r="E87" s="148">
        <v>2750</v>
      </c>
      <c r="F87" s="148" t="s">
        <v>76</v>
      </c>
      <c r="H87" s="148">
        <v>2750</v>
      </c>
      <c r="I87" s="149">
        <v>2750</v>
      </c>
      <c r="J87" s="149"/>
      <c r="K87" s="147" t="s">
        <v>698</v>
      </c>
      <c r="L87" s="147"/>
    </row>
    <row r="88" spans="1:12" s="145" customFormat="1">
      <c r="A88" s="145">
        <v>86</v>
      </c>
      <c r="B88" s="157"/>
      <c r="C88" s="147" t="s">
        <v>320</v>
      </c>
      <c r="D88" s="148" t="s">
        <v>157</v>
      </c>
      <c r="E88" s="148">
        <v>1200</v>
      </c>
      <c r="F88" s="148"/>
      <c r="H88" s="148"/>
      <c r="I88" s="149">
        <v>1200</v>
      </c>
      <c r="J88" s="149"/>
      <c r="K88" s="147" t="s">
        <v>698</v>
      </c>
      <c r="L88" s="147"/>
    </row>
    <row r="89" spans="1:12" s="145" customFormat="1">
      <c r="A89" s="145">
        <v>87</v>
      </c>
      <c r="B89" s="157"/>
      <c r="C89" s="150" t="s">
        <v>496</v>
      </c>
      <c r="D89" s="148"/>
      <c r="E89" s="148"/>
      <c r="F89" s="148"/>
      <c r="H89" s="148"/>
      <c r="I89" s="151">
        <f ca="1">SUM(I86:I88)/3</f>
        <v>1366.6666666666667</v>
      </c>
      <c r="J89" s="151"/>
      <c r="K89" s="147"/>
      <c r="L89" s="147"/>
    </row>
    <row r="90" spans="1:12" s="145" customFormat="1">
      <c r="A90" s="145">
        <v>88</v>
      </c>
      <c r="B90" s="157"/>
      <c r="C90" s="147"/>
      <c r="D90" s="148"/>
      <c r="E90" s="148"/>
      <c r="F90" s="148"/>
      <c r="H90" s="148"/>
      <c r="I90" s="149"/>
      <c r="J90" s="149"/>
      <c r="K90" s="147"/>
      <c r="L90" s="147"/>
    </row>
    <row r="91" spans="1:12" s="145" customFormat="1">
      <c r="A91" s="145">
        <v>91</v>
      </c>
      <c r="B91" s="157"/>
      <c r="C91" s="147" t="s">
        <v>770</v>
      </c>
      <c r="D91" s="148" t="s">
        <v>157</v>
      </c>
      <c r="E91" s="152">
        <v>2500</v>
      </c>
      <c r="F91" s="148" t="s">
        <v>76</v>
      </c>
      <c r="H91" s="152">
        <v>2500</v>
      </c>
      <c r="I91" s="151">
        <v>2500</v>
      </c>
      <c r="J91" s="149"/>
      <c r="K91" s="147" t="s">
        <v>698</v>
      </c>
      <c r="L91" s="147"/>
    </row>
    <row r="92" spans="1:12" s="145" customFormat="1">
      <c r="A92" s="145">
        <v>93</v>
      </c>
      <c r="B92" s="157"/>
      <c r="C92" s="147"/>
      <c r="D92" s="148"/>
      <c r="E92" s="152"/>
      <c r="F92" s="148"/>
      <c r="H92" s="152"/>
      <c r="I92" s="149"/>
      <c r="J92" s="149"/>
      <c r="K92" s="147"/>
      <c r="L92" s="147"/>
    </row>
    <row r="93" spans="1:12" s="145" customFormat="1">
      <c r="A93" s="145">
        <v>96</v>
      </c>
      <c r="B93" s="157"/>
      <c r="C93" s="147" t="s">
        <v>765</v>
      </c>
      <c r="D93" s="148" t="s">
        <v>157</v>
      </c>
      <c r="E93" s="152">
        <v>1500</v>
      </c>
      <c r="F93" s="148" t="s">
        <v>76</v>
      </c>
      <c r="H93" s="152">
        <v>1500</v>
      </c>
      <c r="I93" s="149">
        <v>1500</v>
      </c>
      <c r="J93" s="149"/>
      <c r="K93" s="147" t="s">
        <v>698</v>
      </c>
      <c r="L93" s="147"/>
    </row>
    <row r="94" spans="1:12" s="145" customFormat="1">
      <c r="A94" s="145">
        <v>97</v>
      </c>
      <c r="B94" s="157"/>
      <c r="C94" s="147" t="s">
        <v>771</v>
      </c>
      <c r="D94" s="148" t="s">
        <v>157</v>
      </c>
      <c r="E94" s="152">
        <v>3500</v>
      </c>
      <c r="F94" s="148" t="s">
        <v>76</v>
      </c>
      <c r="H94" s="152">
        <v>3500</v>
      </c>
      <c r="I94" s="149">
        <v>3500</v>
      </c>
      <c r="J94" s="149"/>
      <c r="K94" s="147" t="s">
        <v>698</v>
      </c>
      <c r="L94" s="147"/>
    </row>
    <row r="95" spans="1:12" s="145" customFormat="1">
      <c r="A95" s="145">
        <v>98</v>
      </c>
      <c r="B95" s="157"/>
      <c r="C95" s="150" t="s">
        <v>496</v>
      </c>
      <c r="D95" s="148"/>
      <c r="E95" s="152"/>
      <c r="F95" s="148"/>
      <c r="I95" s="153">
        <f ca="1">SUM(I93:I94)/2</f>
        <v>2500</v>
      </c>
      <c r="J95" s="153"/>
      <c r="K95" s="147"/>
      <c r="L95" s="147"/>
    </row>
    <row r="96" spans="1:12" s="145" customFormat="1">
      <c r="A96" s="145">
        <v>99</v>
      </c>
      <c r="B96" s="157"/>
      <c r="C96" s="147"/>
      <c r="D96" s="148"/>
      <c r="E96" s="152"/>
      <c r="F96" s="148"/>
      <c r="H96" s="152"/>
      <c r="I96" s="149"/>
      <c r="J96" s="149"/>
      <c r="K96" s="147"/>
      <c r="L96" s="147"/>
    </row>
    <row r="97" spans="1:12" s="145" customFormat="1">
      <c r="A97" s="145">
        <v>102</v>
      </c>
      <c r="B97" s="157"/>
      <c r="C97" s="147" t="s">
        <v>766</v>
      </c>
      <c r="D97" s="148" t="s">
        <v>157</v>
      </c>
      <c r="E97" s="152">
        <v>500</v>
      </c>
      <c r="F97" s="148" t="s">
        <v>76</v>
      </c>
      <c r="H97" s="152">
        <v>500</v>
      </c>
      <c r="I97" s="149">
        <v>500</v>
      </c>
      <c r="J97" s="149"/>
      <c r="K97" s="147" t="s">
        <v>698</v>
      </c>
      <c r="L97" s="147"/>
    </row>
    <row r="98" spans="1:12" s="145" customFormat="1">
      <c r="A98" s="145">
        <v>103</v>
      </c>
      <c r="B98" s="157"/>
      <c r="C98" s="147" t="s">
        <v>772</v>
      </c>
      <c r="D98" s="148" t="s">
        <v>157</v>
      </c>
      <c r="E98" s="152">
        <v>1500</v>
      </c>
      <c r="F98" s="148" t="s">
        <v>76</v>
      </c>
      <c r="H98" s="152">
        <v>1500</v>
      </c>
      <c r="I98" s="149">
        <v>1500</v>
      </c>
      <c r="J98" s="149"/>
      <c r="K98" s="147" t="s">
        <v>698</v>
      </c>
      <c r="L98" s="147"/>
    </row>
    <row r="99" spans="1:12" s="145" customFormat="1">
      <c r="A99" s="145">
        <v>104</v>
      </c>
      <c r="B99" s="157"/>
      <c r="C99" s="147" t="s">
        <v>318</v>
      </c>
      <c r="D99" s="148" t="s">
        <v>157</v>
      </c>
      <c r="E99" s="152">
        <v>1233</v>
      </c>
      <c r="F99" s="148" t="s">
        <v>76</v>
      </c>
      <c r="H99" s="152">
        <v>1233</v>
      </c>
      <c r="I99" s="149">
        <v>1233</v>
      </c>
      <c r="J99" s="149"/>
      <c r="K99" s="147" t="s">
        <v>698</v>
      </c>
      <c r="L99" s="147"/>
    </row>
    <row r="100" spans="1:12" s="145" customFormat="1">
      <c r="A100" s="145">
        <v>105</v>
      </c>
      <c r="B100" s="157"/>
      <c r="C100" s="150" t="s">
        <v>496</v>
      </c>
      <c r="D100" s="148"/>
      <c r="E100" s="152"/>
      <c r="F100" s="148"/>
      <c r="H100" s="152"/>
      <c r="I100" s="151">
        <f ca="1">SUM(I97:I99)/3</f>
        <v>1077.6666666666667</v>
      </c>
      <c r="J100" s="151"/>
      <c r="K100" s="147"/>
      <c r="L100" s="147"/>
    </row>
    <row r="101" spans="1:12" s="145" customFormat="1">
      <c r="A101" s="145">
        <v>106</v>
      </c>
      <c r="B101" s="157"/>
      <c r="C101" s="147"/>
      <c r="D101" s="148"/>
      <c r="E101" s="152"/>
      <c r="F101" s="148"/>
      <c r="H101" s="152"/>
      <c r="I101" s="149"/>
      <c r="J101" s="149"/>
      <c r="K101" s="147"/>
      <c r="L101" s="147"/>
    </row>
    <row r="102" spans="1:12" s="145" customFormat="1">
      <c r="A102" s="145">
        <v>109</v>
      </c>
      <c r="B102" s="157"/>
      <c r="C102" s="147" t="s">
        <v>767</v>
      </c>
      <c r="D102" s="148" t="s">
        <v>157</v>
      </c>
      <c r="E102" s="152">
        <v>1600</v>
      </c>
      <c r="F102" s="148" t="s">
        <v>76</v>
      </c>
      <c r="H102" s="152">
        <v>1600</v>
      </c>
      <c r="I102" s="149">
        <v>1600</v>
      </c>
      <c r="J102" s="149"/>
      <c r="K102" s="147" t="s">
        <v>698</v>
      </c>
      <c r="L102" s="147"/>
    </row>
    <row r="103" spans="1:12" s="145" customFormat="1">
      <c r="A103" s="145">
        <v>110</v>
      </c>
      <c r="B103" s="157"/>
      <c r="C103" s="147" t="s">
        <v>773</v>
      </c>
      <c r="D103" s="148" t="s">
        <v>157</v>
      </c>
      <c r="E103" s="152">
        <v>2250</v>
      </c>
      <c r="F103" s="148" t="s">
        <v>76</v>
      </c>
      <c r="H103" s="152">
        <v>2250</v>
      </c>
      <c r="I103" s="149">
        <v>2250</v>
      </c>
      <c r="J103" s="149"/>
      <c r="K103" s="147" t="s">
        <v>698</v>
      </c>
      <c r="L103" s="147"/>
    </row>
    <row r="104" spans="1:12" s="145" customFormat="1">
      <c r="A104" s="145">
        <v>111</v>
      </c>
      <c r="B104" s="157"/>
      <c r="C104" s="147" t="s">
        <v>319</v>
      </c>
      <c r="D104" s="148" t="s">
        <v>157</v>
      </c>
      <c r="E104" s="152">
        <v>1600</v>
      </c>
      <c r="F104" s="148" t="s">
        <v>76</v>
      </c>
      <c r="H104" s="152">
        <v>1600</v>
      </c>
      <c r="I104" s="149">
        <v>1600</v>
      </c>
      <c r="J104" s="149"/>
      <c r="K104" s="147" t="s">
        <v>698</v>
      </c>
      <c r="L104" s="147"/>
    </row>
    <row r="105" spans="1:12" s="145" customFormat="1">
      <c r="A105" s="145">
        <v>112</v>
      </c>
      <c r="B105" s="157"/>
      <c r="C105" s="150" t="s">
        <v>496</v>
      </c>
      <c r="D105" s="148"/>
      <c r="E105" s="152"/>
      <c r="F105" s="148"/>
      <c r="H105" s="152"/>
      <c r="I105" s="151">
        <f ca="1">SUM(I102:I104)/3</f>
        <v>1816.6666666666667</v>
      </c>
      <c r="J105" s="151"/>
      <c r="K105" s="147"/>
      <c r="L105" s="147"/>
    </row>
    <row r="106" spans="1:12" s="145" customFormat="1">
      <c r="A106" s="145">
        <v>113</v>
      </c>
      <c r="B106" s="157"/>
      <c r="C106" s="147"/>
      <c r="D106" s="148"/>
      <c r="E106" s="152"/>
      <c r="F106" s="148"/>
      <c r="H106" s="152"/>
      <c r="I106" s="149"/>
      <c r="J106" s="149"/>
      <c r="K106" s="147"/>
      <c r="L106" s="147"/>
    </row>
    <row r="107" spans="1:12" s="145" customFormat="1">
      <c r="A107" s="145">
        <v>118</v>
      </c>
      <c r="B107" s="157"/>
      <c r="C107" s="147" t="s">
        <v>768</v>
      </c>
      <c r="D107" s="148" t="s">
        <v>157</v>
      </c>
      <c r="E107" s="152">
        <v>2075</v>
      </c>
      <c r="F107" s="148" t="s">
        <v>76</v>
      </c>
      <c r="H107" s="152">
        <v>2075</v>
      </c>
      <c r="I107" s="149">
        <v>2075</v>
      </c>
      <c r="J107" s="149"/>
      <c r="K107" s="147" t="s">
        <v>698</v>
      </c>
      <c r="L107" s="147"/>
    </row>
    <row r="108" spans="1:12" s="145" customFormat="1">
      <c r="A108" s="145">
        <v>119</v>
      </c>
      <c r="B108" s="157"/>
      <c r="C108" s="147" t="s">
        <v>613</v>
      </c>
      <c r="D108" s="148" t="s">
        <v>157</v>
      </c>
      <c r="E108" s="152">
        <v>3633</v>
      </c>
      <c r="F108" s="148" t="s">
        <v>76</v>
      </c>
      <c r="H108" s="152">
        <v>3633</v>
      </c>
      <c r="I108" s="149">
        <v>3633</v>
      </c>
      <c r="J108" s="149"/>
      <c r="K108" s="147" t="s">
        <v>698</v>
      </c>
      <c r="L108" s="147"/>
    </row>
    <row r="109" spans="1:12" s="145" customFormat="1">
      <c r="A109" s="145">
        <v>120</v>
      </c>
      <c r="B109" s="157"/>
      <c r="C109" s="147" t="s">
        <v>317</v>
      </c>
      <c r="D109" s="148" t="s">
        <v>157</v>
      </c>
      <c r="E109" s="152">
        <v>2227</v>
      </c>
      <c r="F109" s="148"/>
      <c r="H109" s="152"/>
      <c r="I109" s="149">
        <v>2227</v>
      </c>
      <c r="J109" s="149"/>
      <c r="K109" s="147" t="s">
        <v>698</v>
      </c>
      <c r="L109" s="147"/>
    </row>
    <row r="110" spans="1:12" s="145" customFormat="1">
      <c r="A110" s="145">
        <v>121</v>
      </c>
      <c r="B110" s="157"/>
      <c r="C110" s="150" t="s">
        <v>496</v>
      </c>
      <c r="D110" s="148"/>
      <c r="E110" s="152"/>
      <c r="F110" s="148"/>
      <c r="H110" s="152"/>
      <c r="I110" s="151">
        <f ca="1">SUM(I107:I109)/3</f>
        <v>2645</v>
      </c>
      <c r="J110" s="151"/>
      <c r="K110" s="147"/>
      <c r="L110" s="147"/>
    </row>
    <row r="111" spans="1:12">
      <c r="A111">
        <v>122</v>
      </c>
      <c r="B111" s="157"/>
      <c r="C111" s="19"/>
      <c r="D111" s="16"/>
      <c r="E111" s="17"/>
      <c r="F111" s="16"/>
      <c r="H111" s="17"/>
      <c r="I111" s="23"/>
      <c r="J111" s="23"/>
      <c r="K111" s="19"/>
      <c r="L111" s="19"/>
    </row>
    <row r="112" spans="1:12">
      <c r="A112">
        <v>123</v>
      </c>
      <c r="B112" s="155"/>
      <c r="C112" s="19" t="s">
        <v>562</v>
      </c>
      <c r="D112" s="16" t="s">
        <v>157</v>
      </c>
      <c r="I112" s="15">
        <v>1523.67</v>
      </c>
      <c r="J112" s="124"/>
      <c r="K112" s="19" t="s">
        <v>902</v>
      </c>
      <c r="L112" s="19"/>
    </row>
    <row r="113" spans="1:12">
      <c r="A113">
        <v>124</v>
      </c>
      <c r="B113" s="155"/>
      <c r="C113" s="19"/>
      <c r="D113" s="16"/>
      <c r="E113" s="16"/>
      <c r="F113" s="16"/>
      <c r="H113" s="16"/>
      <c r="I113" s="23"/>
      <c r="J113" s="23"/>
      <c r="K113" s="19"/>
      <c r="L113" s="19"/>
    </row>
    <row r="114" spans="1:12">
      <c r="A114">
        <v>125</v>
      </c>
      <c r="B114" s="155" t="s">
        <v>355</v>
      </c>
      <c r="C114" s="19" t="s">
        <v>562</v>
      </c>
      <c r="D114" s="16" t="s">
        <v>157</v>
      </c>
      <c r="I114" s="15">
        <v>578.85</v>
      </c>
      <c r="J114" s="124"/>
      <c r="K114" s="19" t="s">
        <v>902</v>
      </c>
    </row>
    <row r="115" spans="1:12">
      <c r="A115">
        <v>126</v>
      </c>
      <c r="B115" s="146"/>
      <c r="C115" s="19"/>
      <c r="D115" s="16"/>
      <c r="E115" s="17"/>
      <c r="F115" s="16"/>
      <c r="H115" s="17"/>
      <c r="I115" s="23"/>
      <c r="J115" s="23"/>
      <c r="K115" s="19"/>
      <c r="L115" s="19"/>
    </row>
    <row r="116" spans="1:12">
      <c r="A116">
        <v>127</v>
      </c>
      <c r="B116" s="60" t="s">
        <v>67</v>
      </c>
      <c r="I116" s="24"/>
      <c r="J116" s="82"/>
      <c r="L116" s="3"/>
    </row>
    <row r="117" spans="1:12">
      <c r="A117">
        <v>128</v>
      </c>
      <c r="B117" s="61" t="s">
        <v>387</v>
      </c>
      <c r="C117" s="3" t="s">
        <v>74</v>
      </c>
      <c r="D117" s="2" t="s">
        <v>75</v>
      </c>
      <c r="E117" s="2">
        <v>0.93600000000000005</v>
      </c>
      <c r="F117" s="2" t="s">
        <v>76</v>
      </c>
      <c r="H117" s="2">
        <v>0.93600000000000005</v>
      </c>
      <c r="I117" s="23">
        <v>292.97000000000003</v>
      </c>
      <c r="J117" s="23"/>
      <c r="K117" s="3" t="s">
        <v>79</v>
      </c>
    </row>
    <row r="118" spans="1:12">
      <c r="A118">
        <v>129</v>
      </c>
      <c r="B118" s="89"/>
      <c r="C118" s="3" t="s">
        <v>74</v>
      </c>
      <c r="D118" s="12" t="s">
        <v>75</v>
      </c>
      <c r="E118" s="12">
        <v>1</v>
      </c>
      <c r="F118" s="12" t="s">
        <v>76</v>
      </c>
      <c r="H118" s="12">
        <v>1</v>
      </c>
      <c r="I118" s="23">
        <v>313</v>
      </c>
      <c r="J118" s="23"/>
      <c r="K118" s="3" t="s">
        <v>102</v>
      </c>
      <c r="L118" s="3"/>
    </row>
    <row r="119" spans="1:12">
      <c r="A119">
        <v>130</v>
      </c>
      <c r="B119" s="89"/>
      <c r="C119" s="19"/>
      <c r="D119" s="16"/>
      <c r="E119" s="16"/>
      <c r="F119" s="16"/>
      <c r="H119" s="16"/>
      <c r="I119" s="14">
        <f>SUM(I117:I118)/2</f>
        <v>302.98500000000001</v>
      </c>
      <c r="J119" s="14"/>
      <c r="K119" s="19"/>
      <c r="L119" s="19"/>
    </row>
    <row r="120" spans="1:12">
      <c r="A120">
        <v>131</v>
      </c>
      <c r="B120" s="89"/>
      <c r="C120" s="19"/>
      <c r="D120" s="16"/>
      <c r="E120" s="16"/>
      <c r="F120" s="16"/>
      <c r="H120" s="16"/>
      <c r="I120" s="14"/>
      <c r="J120" s="14"/>
      <c r="K120" s="19"/>
      <c r="L120" s="19"/>
    </row>
    <row r="121" spans="1:12">
      <c r="A121">
        <v>132</v>
      </c>
      <c r="B121" s="61" t="s">
        <v>688</v>
      </c>
      <c r="C121" t="s">
        <v>244</v>
      </c>
      <c r="D121" s="16" t="s">
        <v>201</v>
      </c>
      <c r="E121" s="16">
        <v>1.33</v>
      </c>
      <c r="F121" s="16" t="s">
        <v>245</v>
      </c>
      <c r="G121" s="16">
        <f>E121</f>
        <v>1.33</v>
      </c>
      <c r="H121" s="23">
        <f>E121+G121</f>
        <v>2.66</v>
      </c>
      <c r="I121" s="14">
        <v>138.32</v>
      </c>
      <c r="J121" s="14"/>
      <c r="K121" s="19" t="s">
        <v>246</v>
      </c>
    </row>
    <row r="122" spans="1:12">
      <c r="A122">
        <v>133</v>
      </c>
      <c r="B122" s="89"/>
      <c r="C122" s="19"/>
      <c r="D122" s="16"/>
      <c r="E122" s="16"/>
      <c r="F122" s="16"/>
      <c r="H122" s="16"/>
      <c r="K122" s="19"/>
      <c r="L122" s="19"/>
    </row>
    <row r="123" spans="1:12">
      <c r="A123">
        <v>134</v>
      </c>
      <c r="B123" s="61" t="s">
        <v>104</v>
      </c>
      <c r="C123" s="3" t="s">
        <v>104</v>
      </c>
      <c r="D123" s="12" t="s">
        <v>75</v>
      </c>
      <c r="E123" s="12">
        <v>1.75</v>
      </c>
      <c r="F123" s="12" t="s">
        <v>76</v>
      </c>
      <c r="H123" s="12">
        <v>1.75</v>
      </c>
      <c r="I123" s="14">
        <v>547.75</v>
      </c>
      <c r="J123" s="14"/>
      <c r="K123" s="3" t="s">
        <v>142</v>
      </c>
      <c r="L123" s="3"/>
    </row>
    <row r="124" spans="1:12">
      <c r="A124">
        <v>135</v>
      </c>
      <c r="B124" s="61"/>
      <c r="C124" s="19"/>
      <c r="D124" s="16"/>
      <c r="E124" s="16"/>
      <c r="F124" s="16"/>
      <c r="H124" s="16"/>
      <c r="I124" s="14"/>
      <c r="J124" s="14"/>
      <c r="K124" s="19"/>
      <c r="L124" s="19"/>
    </row>
    <row r="125" spans="1:12">
      <c r="A125">
        <v>136</v>
      </c>
      <c r="B125" s="61" t="s">
        <v>372</v>
      </c>
      <c r="C125" s="1"/>
      <c r="D125" s="1"/>
      <c r="E125" s="1"/>
      <c r="F125" s="1"/>
      <c r="G125" s="1"/>
      <c r="H125" s="1"/>
      <c r="I125" s="14">
        <v>508.31</v>
      </c>
      <c r="J125" s="14"/>
      <c r="K125" s="5" t="s">
        <v>877</v>
      </c>
      <c r="L125" s="1"/>
    </row>
    <row r="126" spans="1:12">
      <c r="A126">
        <v>137</v>
      </c>
      <c r="B126" s="61"/>
      <c r="C126" s="19"/>
      <c r="D126" s="16"/>
      <c r="E126" s="16"/>
      <c r="F126" s="16"/>
      <c r="H126" s="16"/>
      <c r="I126" s="14"/>
      <c r="J126" s="14"/>
      <c r="K126" s="19"/>
      <c r="L126" s="19"/>
    </row>
    <row r="127" spans="1:12">
      <c r="A127">
        <v>138</v>
      </c>
      <c r="B127" s="61" t="s">
        <v>373</v>
      </c>
      <c r="C127" s="39" t="s">
        <v>158</v>
      </c>
      <c r="D127" s="40" t="s">
        <v>157</v>
      </c>
      <c r="E127" s="23">
        <f>348.8*1.065</f>
        <v>371.47199999999998</v>
      </c>
      <c r="F127" s="40" t="s">
        <v>76</v>
      </c>
      <c r="H127" s="23">
        <f>E127</f>
        <v>371.47199999999998</v>
      </c>
      <c r="I127" s="23">
        <f>H127</f>
        <v>371.47199999999998</v>
      </c>
      <c r="J127" s="23"/>
      <c r="K127" s="39" t="s">
        <v>916</v>
      </c>
      <c r="L127" s="39"/>
    </row>
    <row r="128" spans="1:12">
      <c r="A128">
        <v>139</v>
      </c>
      <c r="B128" s="89"/>
      <c r="C128" s="5"/>
      <c r="D128" s="40"/>
      <c r="E128" s="40"/>
      <c r="F128" s="40"/>
      <c r="G128" s="40"/>
      <c r="H128" s="23"/>
      <c r="I128" s="23"/>
      <c r="J128" s="23"/>
    </row>
    <row r="129" spans="1:12">
      <c r="A129">
        <v>140</v>
      </c>
      <c r="B129" s="61"/>
      <c r="C129" s="5" t="s">
        <v>793</v>
      </c>
      <c r="D129" s="40" t="s">
        <v>157</v>
      </c>
      <c r="E129" s="23">
        <f>0.506*E127</f>
        <v>187.964832</v>
      </c>
      <c r="F129" s="40" t="s">
        <v>76</v>
      </c>
      <c r="G129" s="40"/>
      <c r="H129" s="23">
        <f>E129</f>
        <v>187.964832</v>
      </c>
      <c r="I129" s="23">
        <f>H129</f>
        <v>187.964832</v>
      </c>
      <c r="J129" s="23"/>
      <c r="K129" s="39" t="s">
        <v>937</v>
      </c>
    </row>
    <row r="130" spans="1:12">
      <c r="A130">
        <v>141</v>
      </c>
      <c r="B130" s="61"/>
      <c r="C130" s="39"/>
      <c r="D130" s="40"/>
      <c r="E130" s="40"/>
      <c r="F130" s="40"/>
      <c r="H130" s="40"/>
      <c r="I130" s="14"/>
      <c r="J130" s="14"/>
      <c r="K130" s="39"/>
      <c r="L130" s="39"/>
    </row>
    <row r="131" spans="1:12">
      <c r="A131">
        <v>142</v>
      </c>
      <c r="B131" s="61" t="s">
        <v>371</v>
      </c>
      <c r="C131" s="3" t="s">
        <v>145</v>
      </c>
      <c r="D131" s="12" t="s">
        <v>146</v>
      </c>
      <c r="E131" s="12">
        <v>53.34</v>
      </c>
      <c r="F131" s="12" t="s">
        <v>76</v>
      </c>
      <c r="H131" s="12">
        <v>53.34</v>
      </c>
      <c r="I131" s="23">
        <v>640.08000000000004</v>
      </c>
      <c r="J131" s="23"/>
      <c r="K131" s="3" t="s">
        <v>150</v>
      </c>
      <c r="L131" s="3"/>
    </row>
    <row r="132" spans="1:12">
      <c r="A132">
        <v>143</v>
      </c>
      <c r="B132" s="90"/>
      <c r="C132" s="3" t="s">
        <v>281</v>
      </c>
      <c r="D132" s="12" t="s">
        <v>157</v>
      </c>
      <c r="E132" s="12">
        <v>300</v>
      </c>
      <c r="F132" s="12" t="s">
        <v>76</v>
      </c>
      <c r="H132" s="12">
        <v>300</v>
      </c>
      <c r="I132" s="23">
        <v>300</v>
      </c>
      <c r="J132" s="23"/>
      <c r="K132" s="3" t="s">
        <v>698</v>
      </c>
      <c r="L132" s="3"/>
    </row>
    <row r="133" spans="1:12">
      <c r="A133">
        <v>144</v>
      </c>
      <c r="B133" s="90"/>
      <c r="C133" s="3" t="s">
        <v>287</v>
      </c>
      <c r="D133" s="12" t="s">
        <v>157</v>
      </c>
      <c r="E133" s="12">
        <v>300</v>
      </c>
      <c r="F133" s="12" t="s">
        <v>76</v>
      </c>
      <c r="H133" s="12">
        <v>300</v>
      </c>
      <c r="I133" s="23">
        <v>300</v>
      </c>
      <c r="J133" s="23"/>
      <c r="K133" s="3" t="s">
        <v>698</v>
      </c>
      <c r="L133" s="3"/>
    </row>
    <row r="134" spans="1:12">
      <c r="A134">
        <v>145</v>
      </c>
      <c r="B134" s="90"/>
      <c r="C134" s="3" t="s">
        <v>738</v>
      </c>
      <c r="D134" s="12" t="s">
        <v>157</v>
      </c>
      <c r="E134" s="12">
        <v>467</v>
      </c>
      <c r="F134" s="12" t="s">
        <v>76</v>
      </c>
      <c r="H134" s="12">
        <v>467</v>
      </c>
      <c r="I134" s="23">
        <v>467</v>
      </c>
      <c r="J134" s="23"/>
      <c r="K134" s="3" t="s">
        <v>698</v>
      </c>
      <c r="L134" s="3"/>
    </row>
    <row r="135" spans="1:12">
      <c r="A135">
        <v>146</v>
      </c>
      <c r="B135" s="90"/>
      <c r="C135" s="3" t="s">
        <v>467</v>
      </c>
      <c r="D135" s="12" t="s">
        <v>157</v>
      </c>
      <c r="E135" s="12">
        <v>300</v>
      </c>
      <c r="F135" s="12" t="s">
        <v>76</v>
      </c>
      <c r="H135" s="12">
        <v>300</v>
      </c>
      <c r="I135" s="23">
        <v>300</v>
      </c>
      <c r="J135" s="23"/>
      <c r="K135" s="3" t="s">
        <v>698</v>
      </c>
      <c r="L135" s="3"/>
    </row>
    <row r="136" spans="1:12">
      <c r="A136">
        <v>147</v>
      </c>
      <c r="B136" s="90"/>
      <c r="C136" s="19"/>
      <c r="D136" s="16"/>
      <c r="E136" s="16"/>
      <c r="F136" s="16"/>
      <c r="H136" s="16"/>
      <c r="I136" s="14">
        <f>SUM(I131:I135)/5</f>
        <v>401.416</v>
      </c>
      <c r="J136" s="14"/>
      <c r="K136" s="19"/>
      <c r="L136" s="19"/>
    </row>
    <row r="137" spans="1:12">
      <c r="A137">
        <v>148</v>
      </c>
      <c r="B137" s="90"/>
      <c r="C137" s="19"/>
      <c r="D137" s="16"/>
      <c r="E137" s="16"/>
      <c r="F137" s="16"/>
      <c r="H137" s="16"/>
      <c r="I137" s="23"/>
      <c r="J137" s="23"/>
      <c r="K137" s="19"/>
      <c r="L137" s="19"/>
    </row>
    <row r="138" spans="1:12">
      <c r="A138">
        <v>149</v>
      </c>
      <c r="B138" s="90"/>
      <c r="C138" s="3" t="s">
        <v>214</v>
      </c>
      <c r="D138" s="12" t="s">
        <v>157</v>
      </c>
      <c r="E138" s="12">
        <v>600</v>
      </c>
      <c r="F138" s="12" t="s">
        <v>76</v>
      </c>
      <c r="H138" s="12">
        <v>600</v>
      </c>
      <c r="I138" s="23">
        <v>600</v>
      </c>
      <c r="J138" s="23"/>
      <c r="K138" s="3" t="s">
        <v>216</v>
      </c>
      <c r="L138" s="3"/>
    </row>
    <row r="139" spans="1:12">
      <c r="A139">
        <v>150</v>
      </c>
      <c r="B139" s="62"/>
      <c r="C139" s="19" t="s">
        <v>505</v>
      </c>
      <c r="D139" s="16" t="s">
        <v>157</v>
      </c>
      <c r="E139" s="16">
        <v>500</v>
      </c>
      <c r="F139" s="16" t="s">
        <v>76</v>
      </c>
      <c r="H139" s="16">
        <v>500</v>
      </c>
      <c r="I139" s="23">
        <v>500</v>
      </c>
      <c r="J139" s="23"/>
      <c r="K139" s="19" t="s">
        <v>495</v>
      </c>
      <c r="L139" s="19"/>
    </row>
    <row r="140" spans="1:12">
      <c r="A140">
        <v>151</v>
      </c>
      <c r="B140" s="62"/>
      <c r="C140" s="19" t="s">
        <v>214</v>
      </c>
      <c r="D140" s="16" t="s">
        <v>157</v>
      </c>
      <c r="E140" s="16">
        <v>400</v>
      </c>
      <c r="F140" s="16" t="s">
        <v>76</v>
      </c>
      <c r="H140" s="16">
        <v>400</v>
      </c>
      <c r="I140" s="23">
        <v>400</v>
      </c>
      <c r="J140" s="23"/>
      <c r="K140" s="19" t="s">
        <v>216</v>
      </c>
      <c r="L140" s="19"/>
    </row>
    <row r="141" spans="1:12">
      <c r="A141">
        <v>152</v>
      </c>
      <c r="B141" s="62"/>
      <c r="C141" s="19"/>
      <c r="D141" s="16"/>
      <c r="E141" s="16"/>
      <c r="F141" s="16"/>
      <c r="H141" s="16"/>
      <c r="I141" s="14">
        <f>SUM(I138:I140)/3</f>
        <v>500</v>
      </c>
      <c r="J141" s="14"/>
      <c r="K141" s="19"/>
      <c r="L141" s="19"/>
    </row>
    <row r="142" spans="1:12">
      <c r="A142">
        <v>153</v>
      </c>
      <c r="B142" s="62"/>
      <c r="C142" s="19"/>
      <c r="D142" s="16"/>
      <c r="E142" s="16"/>
      <c r="F142" s="16"/>
      <c r="H142" s="16"/>
      <c r="I142" s="16"/>
      <c r="J142" s="125"/>
      <c r="K142" s="19"/>
      <c r="L142" s="19"/>
    </row>
    <row r="143" spans="1:12">
      <c r="A143">
        <v>154</v>
      </c>
      <c r="B143" s="90"/>
      <c r="C143" s="3" t="s">
        <v>276</v>
      </c>
      <c r="D143" s="12" t="s">
        <v>157</v>
      </c>
      <c r="E143" s="12">
        <v>1021</v>
      </c>
      <c r="F143" s="12" t="s">
        <v>76</v>
      </c>
      <c r="H143" s="12">
        <v>1021</v>
      </c>
      <c r="I143" s="23">
        <v>1021</v>
      </c>
      <c r="J143" s="23"/>
      <c r="K143" s="3" t="s">
        <v>698</v>
      </c>
      <c r="L143" s="3"/>
    </row>
    <row r="144" spans="1:12">
      <c r="A144">
        <v>155</v>
      </c>
      <c r="B144" s="90"/>
      <c r="C144" s="3" t="s">
        <v>282</v>
      </c>
      <c r="D144" s="12" t="s">
        <v>157</v>
      </c>
      <c r="E144" s="12">
        <v>1282</v>
      </c>
      <c r="F144" s="12" t="s">
        <v>76</v>
      </c>
      <c r="H144" s="12">
        <v>1282</v>
      </c>
      <c r="I144" s="23">
        <v>1282</v>
      </c>
      <c r="J144" s="23"/>
      <c r="K144" s="3" t="s">
        <v>698</v>
      </c>
      <c r="L144" s="3"/>
    </row>
    <row r="145" spans="1:12">
      <c r="A145">
        <v>156</v>
      </c>
      <c r="B145" s="90"/>
      <c r="C145" s="3" t="s">
        <v>734</v>
      </c>
      <c r="D145" s="12" t="s">
        <v>157</v>
      </c>
      <c r="E145" s="12">
        <v>1733</v>
      </c>
      <c r="F145" s="12" t="s">
        <v>76</v>
      </c>
      <c r="H145" s="12">
        <v>1733</v>
      </c>
      <c r="I145" s="23">
        <v>1733</v>
      </c>
      <c r="J145" s="23"/>
      <c r="K145" s="3" t="s">
        <v>698</v>
      </c>
      <c r="L145" s="3"/>
    </row>
    <row r="146" spans="1:12">
      <c r="A146">
        <v>157</v>
      </c>
      <c r="B146" s="90"/>
      <c r="C146" s="3" t="s">
        <v>469</v>
      </c>
      <c r="D146" s="12" t="s">
        <v>157</v>
      </c>
      <c r="E146" s="12">
        <v>1660</v>
      </c>
      <c r="F146" s="12" t="s">
        <v>76</v>
      </c>
      <c r="H146" s="12">
        <v>1660</v>
      </c>
      <c r="I146" s="23">
        <v>1660</v>
      </c>
      <c r="J146" s="23"/>
      <c r="K146" s="3" t="s">
        <v>698</v>
      </c>
      <c r="L146" s="3"/>
    </row>
    <row r="147" spans="1:12">
      <c r="A147">
        <v>158</v>
      </c>
      <c r="B147" s="90"/>
      <c r="C147" s="19"/>
      <c r="D147" s="16"/>
      <c r="E147" s="16"/>
      <c r="F147" s="16"/>
      <c r="H147" s="16"/>
      <c r="I147" s="14">
        <f>SUM(I143:I146)/4</f>
        <v>1424</v>
      </c>
      <c r="J147" s="14"/>
      <c r="K147" s="19"/>
      <c r="L147" s="19"/>
    </row>
    <row r="148" spans="1:12">
      <c r="A148">
        <v>159</v>
      </c>
      <c r="B148" s="90"/>
      <c r="C148" s="19"/>
      <c r="D148" s="16"/>
      <c r="E148" s="16"/>
      <c r="F148" s="16"/>
      <c r="H148" s="16"/>
      <c r="I148" s="23"/>
      <c r="J148" s="23"/>
      <c r="K148" s="19"/>
      <c r="L148" s="19"/>
    </row>
    <row r="149" spans="1:12">
      <c r="A149">
        <v>160</v>
      </c>
      <c r="B149" s="90"/>
      <c r="C149" s="3" t="s">
        <v>277</v>
      </c>
      <c r="D149" s="12" t="s">
        <v>157</v>
      </c>
      <c r="E149" s="12">
        <v>1000</v>
      </c>
      <c r="F149" s="12" t="s">
        <v>76</v>
      </c>
      <c r="H149" s="12">
        <v>1000</v>
      </c>
      <c r="I149" s="23">
        <v>1000</v>
      </c>
      <c r="J149" s="23"/>
      <c r="K149" s="3" t="s">
        <v>698</v>
      </c>
      <c r="L149" s="3"/>
    </row>
    <row r="150" spans="1:12">
      <c r="A150">
        <v>161</v>
      </c>
      <c r="B150" s="90"/>
      <c r="C150" s="3" t="s">
        <v>283</v>
      </c>
      <c r="D150" s="12" t="s">
        <v>157</v>
      </c>
      <c r="E150" s="12">
        <v>1000</v>
      </c>
      <c r="F150" s="12" t="s">
        <v>76</v>
      </c>
      <c r="H150" s="12">
        <v>1000</v>
      </c>
      <c r="I150" s="23">
        <v>1000</v>
      </c>
      <c r="J150" s="23"/>
      <c r="K150" s="3" t="s">
        <v>698</v>
      </c>
      <c r="L150" s="3"/>
    </row>
    <row r="151" spans="1:12">
      <c r="A151">
        <v>162</v>
      </c>
      <c r="B151" s="90"/>
      <c r="C151" s="3" t="s">
        <v>735</v>
      </c>
      <c r="D151" s="12" t="s">
        <v>157</v>
      </c>
      <c r="E151" s="12">
        <v>800</v>
      </c>
      <c r="F151" s="12" t="s">
        <v>76</v>
      </c>
      <c r="H151" s="12">
        <v>800</v>
      </c>
      <c r="I151" s="23">
        <v>800</v>
      </c>
      <c r="J151" s="23"/>
      <c r="K151" s="3" t="s">
        <v>698</v>
      </c>
      <c r="L151" s="3"/>
    </row>
    <row r="152" spans="1:12">
      <c r="A152">
        <v>163</v>
      </c>
      <c r="B152" s="90"/>
      <c r="C152" s="3" t="s">
        <v>470</v>
      </c>
      <c r="D152" s="12" t="s">
        <v>157</v>
      </c>
      <c r="E152" s="12">
        <v>1400</v>
      </c>
      <c r="F152" s="12" t="s">
        <v>76</v>
      </c>
      <c r="H152" s="12">
        <v>1400</v>
      </c>
      <c r="I152" s="23">
        <v>1400</v>
      </c>
      <c r="J152" s="23"/>
      <c r="K152" s="3" t="s">
        <v>698</v>
      </c>
      <c r="L152" s="3"/>
    </row>
    <row r="153" spans="1:12">
      <c r="A153">
        <v>164</v>
      </c>
      <c r="B153" s="90"/>
      <c r="C153" s="19"/>
      <c r="D153" s="16"/>
      <c r="E153" s="16"/>
      <c r="F153" s="16"/>
      <c r="H153" s="16"/>
      <c r="I153" s="14">
        <f>SUM(I149:I152)/4</f>
        <v>1050</v>
      </c>
      <c r="J153" s="14"/>
      <c r="K153" s="19"/>
      <c r="L153" s="19"/>
    </row>
    <row r="154" spans="1:12">
      <c r="A154">
        <v>165</v>
      </c>
      <c r="B154" s="90"/>
      <c r="C154" s="19"/>
      <c r="D154" s="16"/>
      <c r="E154" s="16"/>
      <c r="F154" s="16"/>
      <c r="H154" s="16"/>
      <c r="I154" s="23"/>
      <c r="J154" s="23"/>
      <c r="K154" s="19"/>
      <c r="L154" s="19"/>
    </row>
    <row r="155" spans="1:12">
      <c r="A155">
        <v>166</v>
      </c>
      <c r="B155" s="90"/>
      <c r="C155" s="3" t="s">
        <v>278</v>
      </c>
      <c r="D155" s="12" t="s">
        <v>157</v>
      </c>
      <c r="E155" s="12">
        <v>1433</v>
      </c>
      <c r="F155" s="12" t="s">
        <v>76</v>
      </c>
      <c r="H155" s="12">
        <v>1433</v>
      </c>
      <c r="I155" s="23">
        <v>1433</v>
      </c>
      <c r="J155" s="23"/>
      <c r="K155" s="3" t="s">
        <v>698</v>
      </c>
      <c r="L155" s="3"/>
    </row>
    <row r="156" spans="1:12">
      <c r="A156">
        <v>167</v>
      </c>
      <c r="B156" s="90"/>
      <c r="C156" s="3" t="s">
        <v>284</v>
      </c>
      <c r="D156" s="12" t="s">
        <v>157</v>
      </c>
      <c r="E156" s="12">
        <v>1433</v>
      </c>
      <c r="F156" s="12" t="s">
        <v>76</v>
      </c>
      <c r="H156" s="12">
        <v>1433</v>
      </c>
      <c r="I156" s="23">
        <v>1433</v>
      </c>
      <c r="J156" s="23"/>
      <c r="K156" s="3" t="s">
        <v>698</v>
      </c>
      <c r="L156" s="3"/>
    </row>
    <row r="157" spans="1:12">
      <c r="A157">
        <v>168</v>
      </c>
      <c r="B157" s="90"/>
      <c r="C157" s="3" t="s">
        <v>736</v>
      </c>
      <c r="D157" s="12" t="s">
        <v>157</v>
      </c>
      <c r="E157" s="12">
        <v>1000</v>
      </c>
      <c r="F157" s="12" t="s">
        <v>76</v>
      </c>
      <c r="H157" s="12">
        <v>1000</v>
      </c>
      <c r="I157" s="23">
        <v>1000</v>
      </c>
      <c r="J157" s="23"/>
      <c r="K157" s="3" t="s">
        <v>698</v>
      </c>
      <c r="L157" s="3"/>
    </row>
    <row r="158" spans="1:12">
      <c r="A158">
        <v>169</v>
      </c>
      <c r="B158" s="90"/>
      <c r="C158" s="3" t="s">
        <v>465</v>
      </c>
      <c r="D158" s="12" t="s">
        <v>157</v>
      </c>
      <c r="E158" s="12">
        <v>1433</v>
      </c>
      <c r="F158" s="12" t="s">
        <v>76</v>
      </c>
      <c r="H158" s="12">
        <v>1433</v>
      </c>
      <c r="I158" s="23">
        <v>1433</v>
      </c>
      <c r="J158" s="23"/>
      <c r="K158" s="3" t="s">
        <v>698</v>
      </c>
      <c r="L158" s="3"/>
    </row>
    <row r="159" spans="1:12">
      <c r="A159">
        <v>170</v>
      </c>
      <c r="B159" s="90"/>
      <c r="C159" s="19"/>
      <c r="D159" s="16"/>
      <c r="E159" s="16"/>
      <c r="F159" s="16"/>
      <c r="H159" s="16"/>
      <c r="I159" s="14">
        <f>SUM(I155:I158)/4</f>
        <v>1324.75</v>
      </c>
      <c r="J159" s="14"/>
      <c r="K159" s="19"/>
      <c r="L159" s="19"/>
    </row>
    <row r="160" spans="1:12">
      <c r="A160">
        <v>171</v>
      </c>
      <c r="B160" s="90"/>
      <c r="C160" s="19"/>
      <c r="D160" s="16"/>
      <c r="E160" s="16"/>
      <c r="F160" s="16"/>
      <c r="H160" s="16"/>
      <c r="I160" s="23"/>
      <c r="J160" s="23"/>
      <c r="K160" s="19"/>
      <c r="L160" s="19"/>
    </row>
    <row r="161" spans="1:12">
      <c r="A161">
        <v>172</v>
      </c>
      <c r="B161" s="90"/>
      <c r="C161" s="3" t="s">
        <v>279</v>
      </c>
      <c r="D161" s="12" t="s">
        <v>157</v>
      </c>
      <c r="E161" s="12">
        <v>1200</v>
      </c>
      <c r="F161" s="12" t="s">
        <v>76</v>
      </c>
      <c r="H161" s="12">
        <v>1200</v>
      </c>
      <c r="I161" s="23">
        <v>1200</v>
      </c>
      <c r="J161" s="23"/>
      <c r="K161" s="3" t="s">
        <v>698</v>
      </c>
      <c r="L161" s="3"/>
    </row>
    <row r="162" spans="1:12">
      <c r="A162">
        <v>173</v>
      </c>
      <c r="B162" s="90"/>
      <c r="C162" s="3" t="s">
        <v>285</v>
      </c>
      <c r="D162" s="12" t="s">
        <v>157</v>
      </c>
      <c r="E162" s="12">
        <v>1200</v>
      </c>
      <c r="F162" s="12" t="s">
        <v>76</v>
      </c>
      <c r="H162" s="12">
        <v>1200</v>
      </c>
      <c r="I162" s="23">
        <v>1200</v>
      </c>
      <c r="J162" s="23"/>
      <c r="K162" s="3" t="s">
        <v>698</v>
      </c>
      <c r="L162" s="3"/>
    </row>
    <row r="163" spans="1:12">
      <c r="A163">
        <v>174</v>
      </c>
      <c r="B163" s="90"/>
      <c r="C163" s="3" t="s">
        <v>737</v>
      </c>
      <c r="D163" s="12" t="s">
        <v>157</v>
      </c>
      <c r="E163" s="12">
        <v>1000</v>
      </c>
      <c r="F163" s="12" t="s">
        <v>76</v>
      </c>
      <c r="H163" s="12">
        <v>1000</v>
      </c>
      <c r="I163" s="23">
        <v>1000</v>
      </c>
      <c r="J163" s="23"/>
      <c r="K163" s="3" t="s">
        <v>698</v>
      </c>
      <c r="L163" s="3"/>
    </row>
    <row r="164" spans="1:12">
      <c r="A164">
        <v>175</v>
      </c>
      <c r="B164" s="90"/>
      <c r="C164" s="3" t="s">
        <v>464</v>
      </c>
      <c r="D164" s="12" t="s">
        <v>157</v>
      </c>
      <c r="E164" s="12">
        <v>1200</v>
      </c>
      <c r="F164" s="12" t="s">
        <v>76</v>
      </c>
      <c r="H164" s="12">
        <v>1200</v>
      </c>
      <c r="I164" s="23">
        <v>1200</v>
      </c>
      <c r="J164" s="23"/>
      <c r="K164" s="3" t="s">
        <v>698</v>
      </c>
      <c r="L164" s="3"/>
    </row>
    <row r="165" spans="1:12">
      <c r="A165">
        <v>176</v>
      </c>
      <c r="B165" s="90"/>
      <c r="C165" s="19"/>
      <c r="D165" s="16"/>
      <c r="E165" s="16"/>
      <c r="F165" s="16"/>
      <c r="H165" s="16"/>
      <c r="I165" s="14">
        <f>SUM(I161:I164)/4</f>
        <v>1150</v>
      </c>
      <c r="J165" s="14"/>
      <c r="K165" s="19"/>
      <c r="L165" s="19"/>
    </row>
    <row r="166" spans="1:12">
      <c r="A166">
        <v>177</v>
      </c>
      <c r="B166" s="90"/>
      <c r="C166" s="19"/>
      <c r="D166" s="16"/>
      <c r="E166" s="16"/>
      <c r="F166" s="16"/>
      <c r="H166" s="16"/>
      <c r="I166" s="23"/>
      <c r="J166" s="23"/>
      <c r="K166" s="19"/>
      <c r="L166" s="19"/>
    </row>
    <row r="167" spans="1:12">
      <c r="A167">
        <v>178</v>
      </c>
      <c r="B167" s="90"/>
      <c r="C167" s="3" t="s">
        <v>280</v>
      </c>
      <c r="D167" s="12" t="s">
        <v>157</v>
      </c>
      <c r="E167" s="12">
        <v>1500</v>
      </c>
      <c r="F167" s="12" t="s">
        <v>76</v>
      </c>
      <c r="H167" s="12">
        <v>1500</v>
      </c>
      <c r="I167" s="23">
        <v>1500</v>
      </c>
      <c r="J167" s="23"/>
      <c r="K167" s="3" t="s">
        <v>698</v>
      </c>
      <c r="L167" s="3"/>
    </row>
    <row r="168" spans="1:12">
      <c r="A168">
        <v>179</v>
      </c>
      <c r="B168" s="90"/>
      <c r="C168" s="3" t="s">
        <v>286</v>
      </c>
      <c r="D168" s="12" t="s">
        <v>157</v>
      </c>
      <c r="E168" s="12">
        <v>1500</v>
      </c>
      <c r="F168" s="12" t="s">
        <v>76</v>
      </c>
      <c r="H168" s="12">
        <v>1500</v>
      </c>
      <c r="I168" s="23">
        <v>1500</v>
      </c>
      <c r="J168" s="23"/>
      <c r="K168" s="3" t="s">
        <v>698</v>
      </c>
      <c r="L168" s="3"/>
    </row>
    <row r="169" spans="1:12">
      <c r="A169">
        <v>180</v>
      </c>
      <c r="B169" s="90"/>
      <c r="C169" s="3" t="s">
        <v>739</v>
      </c>
      <c r="D169" s="12" t="s">
        <v>157</v>
      </c>
      <c r="E169" s="12">
        <v>850</v>
      </c>
      <c r="F169" s="12" t="s">
        <v>76</v>
      </c>
      <c r="H169" s="12">
        <v>850</v>
      </c>
      <c r="I169" s="23">
        <v>850</v>
      </c>
      <c r="J169" s="23"/>
      <c r="K169" s="3" t="s">
        <v>698</v>
      </c>
      <c r="L169" s="3"/>
    </row>
    <row r="170" spans="1:12">
      <c r="A170">
        <v>181</v>
      </c>
      <c r="B170" s="90"/>
      <c r="C170" s="3" t="s">
        <v>466</v>
      </c>
      <c r="D170" s="12" t="s">
        <v>157</v>
      </c>
      <c r="E170" s="12">
        <v>1500</v>
      </c>
      <c r="F170" s="12" t="s">
        <v>76</v>
      </c>
      <c r="H170" s="12">
        <v>1500</v>
      </c>
      <c r="I170" s="23">
        <v>1500</v>
      </c>
      <c r="J170" s="23"/>
      <c r="K170" s="3" t="s">
        <v>698</v>
      </c>
      <c r="L170" s="3"/>
    </row>
    <row r="171" spans="1:12">
      <c r="A171">
        <v>182</v>
      </c>
      <c r="B171" s="89"/>
      <c r="I171" s="14">
        <f>SUM(I167:I170)/4</f>
        <v>1337.5</v>
      </c>
      <c r="J171" s="14"/>
    </row>
    <row r="172" spans="1:12">
      <c r="A172">
        <v>183</v>
      </c>
      <c r="B172" s="89"/>
      <c r="I172" s="14"/>
      <c r="J172" s="14"/>
    </row>
    <row r="173" spans="1:12">
      <c r="A173">
        <v>184</v>
      </c>
      <c r="B173" s="61"/>
      <c r="C173" s="19" t="s">
        <v>562</v>
      </c>
      <c r="D173" s="16" t="s">
        <v>157</v>
      </c>
      <c r="I173" s="15">
        <v>893.91</v>
      </c>
      <c r="J173" s="124"/>
      <c r="K173" s="19" t="s">
        <v>902</v>
      </c>
      <c r="L173" s="19"/>
    </row>
    <row r="174" spans="1:12">
      <c r="A174">
        <v>185</v>
      </c>
      <c r="B174" s="61"/>
      <c r="C174" s="19"/>
      <c r="D174" s="16"/>
      <c r="E174" s="16"/>
      <c r="F174" s="16"/>
      <c r="H174" s="16"/>
      <c r="I174" s="23"/>
      <c r="J174" s="23"/>
      <c r="K174" s="19"/>
      <c r="L174" s="19"/>
    </row>
    <row r="175" spans="1:12">
      <c r="A175">
        <v>186</v>
      </c>
      <c r="B175" s="61" t="s">
        <v>355</v>
      </c>
      <c r="C175" s="19" t="s">
        <v>562</v>
      </c>
      <c r="D175" s="16" t="s">
        <v>157</v>
      </c>
      <c r="I175" s="15">
        <v>353.47</v>
      </c>
      <c r="J175" s="124"/>
      <c r="K175" s="19" t="s">
        <v>902</v>
      </c>
    </row>
    <row r="176" spans="1:12">
      <c r="A176">
        <v>187</v>
      </c>
      <c r="B176" s="89"/>
      <c r="I176" s="14"/>
      <c r="J176" s="14"/>
    </row>
    <row r="177" spans="1:12">
      <c r="A177">
        <v>188</v>
      </c>
      <c r="B177" s="63" t="s">
        <v>68</v>
      </c>
      <c r="C177" s="3"/>
      <c r="D177" s="2"/>
      <c r="E177" s="2"/>
      <c r="F177" s="2"/>
      <c r="H177" s="2"/>
      <c r="I177" s="23"/>
      <c r="J177" s="23"/>
      <c r="K177" s="3"/>
    </row>
    <row r="178" spans="1:12">
      <c r="A178">
        <v>189</v>
      </c>
      <c r="B178" s="64" t="s">
        <v>387</v>
      </c>
      <c r="C178" s="3" t="s">
        <v>74</v>
      </c>
      <c r="D178" s="2" t="s">
        <v>75</v>
      </c>
      <c r="E178" s="2">
        <v>1.083</v>
      </c>
      <c r="F178" s="2" t="s">
        <v>76</v>
      </c>
      <c r="H178" s="2">
        <v>1.083</v>
      </c>
      <c r="I178" s="23">
        <v>338.98</v>
      </c>
      <c r="J178" s="23"/>
      <c r="K178" s="3" t="s">
        <v>58</v>
      </c>
    </row>
    <row r="179" spans="1:12">
      <c r="A179">
        <v>190</v>
      </c>
      <c r="B179" s="91"/>
      <c r="C179" s="3" t="s">
        <v>74</v>
      </c>
      <c r="D179" s="12" t="s">
        <v>75</v>
      </c>
      <c r="E179" s="12">
        <v>1</v>
      </c>
      <c r="F179" s="12" t="s">
        <v>76</v>
      </c>
      <c r="H179" s="12">
        <v>1</v>
      </c>
      <c r="I179" s="23">
        <v>313</v>
      </c>
      <c r="J179" s="23"/>
      <c r="K179" s="3" t="s">
        <v>102</v>
      </c>
      <c r="L179" s="3"/>
    </row>
    <row r="180" spans="1:12">
      <c r="A180">
        <v>191</v>
      </c>
      <c r="B180" s="91"/>
      <c r="C180" s="19"/>
      <c r="D180" s="16"/>
      <c r="E180" s="16"/>
      <c r="F180" s="16"/>
      <c r="H180" s="16"/>
      <c r="I180" s="14">
        <f>SUM(I178:I179)/2</f>
        <v>325.99</v>
      </c>
      <c r="J180" s="14"/>
      <c r="K180" s="19"/>
      <c r="L180" s="19"/>
    </row>
    <row r="181" spans="1:12">
      <c r="A181">
        <v>192</v>
      </c>
      <c r="B181" s="91"/>
      <c r="C181" s="19"/>
      <c r="D181" s="16"/>
      <c r="E181" s="16"/>
      <c r="F181" s="16"/>
      <c r="H181" s="16"/>
      <c r="I181" s="14"/>
      <c r="J181" s="14"/>
      <c r="K181" s="19"/>
      <c r="L181" s="19"/>
    </row>
    <row r="182" spans="1:12">
      <c r="A182">
        <v>193</v>
      </c>
      <c r="B182" s="64" t="s">
        <v>688</v>
      </c>
      <c r="C182" t="s">
        <v>244</v>
      </c>
      <c r="D182" s="16" t="s">
        <v>201</v>
      </c>
      <c r="E182" s="16">
        <v>1.44</v>
      </c>
      <c r="F182" s="16" t="s">
        <v>245</v>
      </c>
      <c r="G182" s="16">
        <f>E182</f>
        <v>1.44</v>
      </c>
      <c r="H182" s="23">
        <f>E182+G182</f>
        <v>2.88</v>
      </c>
      <c r="I182" s="14">
        <v>149.76</v>
      </c>
      <c r="J182" s="14"/>
      <c r="K182" s="19" t="s">
        <v>246</v>
      </c>
    </row>
    <row r="183" spans="1:12">
      <c r="A183">
        <v>194</v>
      </c>
      <c r="B183" s="91"/>
      <c r="C183" s="19"/>
      <c r="D183" s="16"/>
      <c r="E183" s="16"/>
      <c r="F183" s="16"/>
      <c r="H183" s="16"/>
      <c r="I183" s="23"/>
      <c r="J183" s="23"/>
      <c r="K183" s="19"/>
      <c r="L183" s="19"/>
    </row>
    <row r="184" spans="1:12">
      <c r="A184">
        <v>195</v>
      </c>
      <c r="B184" s="64" t="s">
        <v>104</v>
      </c>
      <c r="C184" s="3" t="s">
        <v>104</v>
      </c>
      <c r="D184" s="2" t="s">
        <v>75</v>
      </c>
      <c r="E184" s="2">
        <v>1.75</v>
      </c>
      <c r="F184" s="2" t="s">
        <v>76</v>
      </c>
      <c r="H184" s="2">
        <v>1.75</v>
      </c>
      <c r="I184" s="14">
        <v>547.75</v>
      </c>
      <c r="J184" s="14"/>
      <c r="K184" s="3" t="s">
        <v>142</v>
      </c>
      <c r="L184" s="3"/>
    </row>
    <row r="185" spans="1:12">
      <c r="A185">
        <v>196</v>
      </c>
      <c r="B185" s="64"/>
      <c r="C185" s="19"/>
      <c r="D185" s="16"/>
      <c r="E185" s="16"/>
      <c r="F185" s="16"/>
      <c r="H185" s="16"/>
      <c r="I185" s="14"/>
      <c r="J185" s="14"/>
      <c r="K185" s="19"/>
      <c r="L185" s="19"/>
    </row>
    <row r="186" spans="1:12">
      <c r="A186">
        <v>197</v>
      </c>
      <c r="B186" s="64" t="s">
        <v>372</v>
      </c>
      <c r="C186" s="1"/>
      <c r="D186" s="1"/>
      <c r="E186" s="1"/>
      <c r="F186" s="1"/>
      <c r="G186" s="1"/>
      <c r="H186" s="1"/>
      <c r="I186" s="14">
        <v>508.31</v>
      </c>
      <c r="J186" s="14"/>
      <c r="K186" s="5" t="s">
        <v>877</v>
      </c>
      <c r="L186" s="1"/>
    </row>
    <row r="187" spans="1:12">
      <c r="A187">
        <v>198</v>
      </c>
      <c r="B187" s="64"/>
      <c r="C187" s="1"/>
      <c r="D187" s="1"/>
      <c r="E187" s="1"/>
      <c r="F187" s="1"/>
      <c r="G187" s="1"/>
      <c r="H187" s="1"/>
      <c r="I187" s="14"/>
      <c r="J187" s="14"/>
      <c r="K187" s="5"/>
      <c r="L187" s="1"/>
    </row>
    <row r="188" spans="1:12">
      <c r="A188">
        <v>199</v>
      </c>
      <c r="B188" s="64" t="s">
        <v>373</v>
      </c>
      <c r="C188" s="39" t="s">
        <v>158</v>
      </c>
      <c r="D188" s="40" t="s">
        <v>157</v>
      </c>
      <c r="E188" s="23">
        <f>348.8*0.978</f>
        <v>341.12639999999999</v>
      </c>
      <c r="F188" s="40" t="s">
        <v>76</v>
      </c>
      <c r="H188" s="23">
        <f>E188</f>
        <v>341.12639999999999</v>
      </c>
      <c r="I188" s="23">
        <f>H188</f>
        <v>341.12639999999999</v>
      </c>
      <c r="J188" s="23"/>
      <c r="K188" s="39" t="s">
        <v>917</v>
      </c>
      <c r="L188" s="39"/>
    </row>
    <row r="189" spans="1:12">
      <c r="A189">
        <v>200</v>
      </c>
      <c r="B189" s="91"/>
      <c r="C189" s="5"/>
      <c r="D189" s="40"/>
      <c r="E189" s="40"/>
      <c r="F189" s="40"/>
      <c r="G189" s="40"/>
      <c r="H189" s="23"/>
      <c r="I189" s="23"/>
      <c r="J189" s="23"/>
    </row>
    <row r="190" spans="1:12">
      <c r="A190">
        <v>201</v>
      </c>
      <c r="B190" s="64"/>
      <c r="C190" s="5" t="s">
        <v>793</v>
      </c>
      <c r="D190" s="40" t="s">
        <v>157</v>
      </c>
      <c r="E190" s="23">
        <f>0.506*E188</f>
        <v>172.60995840000001</v>
      </c>
      <c r="F190" s="40" t="s">
        <v>76</v>
      </c>
      <c r="G190" s="40"/>
      <c r="H190" s="23">
        <f>E190</f>
        <v>172.60995840000001</v>
      </c>
      <c r="I190" s="23">
        <f>H190</f>
        <v>172.60995840000001</v>
      </c>
      <c r="J190" s="23"/>
      <c r="K190" s="39" t="s">
        <v>937</v>
      </c>
    </row>
    <row r="191" spans="1:12">
      <c r="A191">
        <v>202</v>
      </c>
      <c r="B191" s="64"/>
      <c r="C191" s="19"/>
      <c r="D191" s="16"/>
      <c r="E191" s="16"/>
      <c r="F191" s="16"/>
      <c r="H191" s="16"/>
      <c r="I191" s="23"/>
      <c r="J191" s="23"/>
      <c r="K191" s="19"/>
      <c r="L191" s="19"/>
    </row>
    <row r="192" spans="1:12">
      <c r="A192">
        <v>203</v>
      </c>
      <c r="B192" s="64" t="s">
        <v>371</v>
      </c>
      <c r="C192" s="3" t="s">
        <v>145</v>
      </c>
      <c r="D192" s="2" t="s">
        <v>146</v>
      </c>
      <c r="E192" s="2">
        <v>53.34</v>
      </c>
      <c r="F192" s="2" t="s">
        <v>76</v>
      </c>
      <c r="H192" s="2">
        <v>53.34</v>
      </c>
      <c r="I192" s="23">
        <v>640.08000000000004</v>
      </c>
      <c r="J192" s="23"/>
      <c r="K192" s="3" t="s">
        <v>150</v>
      </c>
      <c r="L192" s="3"/>
    </row>
    <row r="193" spans="1:12">
      <c r="A193">
        <v>204</v>
      </c>
      <c r="B193" s="91"/>
      <c r="C193" s="3" t="s">
        <v>292</v>
      </c>
      <c r="D193" s="12" t="s">
        <v>157</v>
      </c>
      <c r="E193" s="12">
        <v>400</v>
      </c>
      <c r="F193" s="12" t="s">
        <v>76</v>
      </c>
      <c r="H193" s="12">
        <v>400</v>
      </c>
      <c r="I193" s="23">
        <v>400</v>
      </c>
      <c r="J193" s="23"/>
      <c r="K193" s="3" t="s">
        <v>698</v>
      </c>
    </row>
    <row r="194" spans="1:12">
      <c r="A194">
        <v>205</v>
      </c>
      <c r="B194" s="91"/>
      <c r="C194" s="3" t="s">
        <v>744</v>
      </c>
      <c r="D194" s="12" t="s">
        <v>157</v>
      </c>
      <c r="E194" s="12">
        <v>800</v>
      </c>
      <c r="F194" s="12" t="s">
        <v>76</v>
      </c>
      <c r="H194" s="12">
        <v>800</v>
      </c>
      <c r="I194" s="23">
        <v>800</v>
      </c>
      <c r="J194" s="23"/>
      <c r="K194" s="3" t="s">
        <v>698</v>
      </c>
    </row>
    <row r="195" spans="1:12">
      <c r="A195">
        <v>206</v>
      </c>
      <c r="B195" s="87"/>
      <c r="C195" s="3" t="s">
        <v>758</v>
      </c>
      <c r="D195" s="12" t="s">
        <v>157</v>
      </c>
      <c r="E195" s="12">
        <v>200</v>
      </c>
      <c r="F195" s="12" t="s">
        <v>76</v>
      </c>
      <c r="H195" s="12">
        <v>200</v>
      </c>
      <c r="I195" s="23">
        <v>200</v>
      </c>
      <c r="J195" s="23"/>
      <c r="K195" s="3" t="s">
        <v>698</v>
      </c>
      <c r="L195" s="3"/>
    </row>
    <row r="196" spans="1:12">
      <c r="A196">
        <v>207</v>
      </c>
      <c r="B196" s="87"/>
      <c r="C196" s="3" t="s">
        <v>351</v>
      </c>
      <c r="D196" s="12" t="s">
        <v>157</v>
      </c>
      <c r="E196" s="12">
        <v>1100</v>
      </c>
      <c r="F196" s="12" t="s">
        <v>76</v>
      </c>
      <c r="H196" s="12">
        <v>1100</v>
      </c>
      <c r="I196" s="23">
        <v>1100</v>
      </c>
      <c r="J196" s="23"/>
      <c r="K196" s="3" t="s">
        <v>698</v>
      </c>
      <c r="L196" s="3"/>
    </row>
    <row r="197" spans="1:12">
      <c r="A197">
        <v>208</v>
      </c>
      <c r="B197" s="87"/>
      <c r="C197" s="19"/>
      <c r="D197" s="16"/>
      <c r="E197" s="16"/>
      <c r="F197" s="16"/>
      <c r="H197" s="16"/>
      <c r="I197" s="14">
        <f>SUM(I192:I196)/5</f>
        <v>628.01599999999996</v>
      </c>
      <c r="J197" s="14"/>
      <c r="K197" s="19"/>
      <c r="L197" s="19"/>
    </row>
    <row r="198" spans="1:12">
      <c r="A198">
        <v>209</v>
      </c>
      <c r="B198" s="87"/>
      <c r="C198" s="19"/>
      <c r="D198" s="16"/>
      <c r="E198" s="16"/>
      <c r="F198" s="16"/>
      <c r="H198" s="16"/>
      <c r="I198" s="23"/>
      <c r="J198" s="23"/>
      <c r="K198" s="19"/>
      <c r="L198" s="19"/>
    </row>
    <row r="199" spans="1:12">
      <c r="A199">
        <v>210</v>
      </c>
      <c r="B199" s="87"/>
      <c r="C199" s="3" t="s">
        <v>214</v>
      </c>
      <c r="D199" s="12" t="s">
        <v>157</v>
      </c>
      <c r="E199" s="12">
        <v>600</v>
      </c>
      <c r="F199" s="12" t="s">
        <v>76</v>
      </c>
      <c r="H199" s="12">
        <v>600</v>
      </c>
      <c r="I199" s="14">
        <v>600</v>
      </c>
      <c r="J199" s="14"/>
      <c r="K199" s="3" t="s">
        <v>216</v>
      </c>
      <c r="L199" s="3"/>
    </row>
    <row r="200" spans="1:12">
      <c r="A200">
        <v>211</v>
      </c>
      <c r="B200" s="87"/>
      <c r="C200" s="19"/>
      <c r="D200" s="16"/>
      <c r="E200" s="16"/>
      <c r="F200" s="16"/>
      <c r="H200" s="16"/>
      <c r="I200" s="23"/>
      <c r="J200" s="23"/>
      <c r="K200" s="19"/>
      <c r="L200" s="19"/>
    </row>
    <row r="201" spans="1:12">
      <c r="A201">
        <v>212</v>
      </c>
      <c r="B201" s="91"/>
      <c r="C201" s="3" t="s">
        <v>288</v>
      </c>
      <c r="D201" s="12" t="s">
        <v>157</v>
      </c>
      <c r="E201" s="12">
        <v>1371</v>
      </c>
      <c r="F201" s="12" t="s">
        <v>76</v>
      </c>
      <c r="H201" s="12">
        <v>1371</v>
      </c>
      <c r="I201" s="23">
        <v>1371</v>
      </c>
      <c r="J201" s="23"/>
      <c r="K201" s="3" t="s">
        <v>698</v>
      </c>
    </row>
    <row r="202" spans="1:12">
      <c r="A202">
        <v>213</v>
      </c>
      <c r="B202" s="91"/>
      <c r="C202" s="3" t="s">
        <v>740</v>
      </c>
      <c r="D202" s="12" t="s">
        <v>157</v>
      </c>
      <c r="E202" s="12">
        <v>2000</v>
      </c>
      <c r="F202" s="12" t="s">
        <v>76</v>
      </c>
      <c r="H202" s="12">
        <v>2000</v>
      </c>
      <c r="I202" s="23">
        <v>2000</v>
      </c>
      <c r="J202" s="23"/>
      <c r="K202" s="3" t="s">
        <v>698</v>
      </c>
    </row>
    <row r="203" spans="1:12">
      <c r="A203">
        <v>214</v>
      </c>
      <c r="B203" s="91"/>
      <c r="C203" s="3" t="s">
        <v>751</v>
      </c>
      <c r="D203" s="12" t="s">
        <v>157</v>
      </c>
      <c r="E203" s="12">
        <v>2000</v>
      </c>
      <c r="F203" s="12" t="s">
        <v>76</v>
      </c>
      <c r="H203" s="12">
        <v>2000</v>
      </c>
      <c r="I203" s="23">
        <v>2000</v>
      </c>
      <c r="J203" s="23"/>
      <c r="K203" s="3" t="s">
        <v>698</v>
      </c>
    </row>
    <row r="204" spans="1:12">
      <c r="A204">
        <v>215</v>
      </c>
      <c r="B204" s="91"/>
      <c r="C204" s="3" t="s">
        <v>347</v>
      </c>
      <c r="D204" s="12" t="s">
        <v>157</v>
      </c>
      <c r="E204" s="12">
        <v>2269</v>
      </c>
      <c r="F204" s="12" t="s">
        <v>76</v>
      </c>
      <c r="H204" s="12">
        <v>2269</v>
      </c>
      <c r="I204" s="23">
        <v>2269</v>
      </c>
      <c r="J204" s="23"/>
      <c r="K204" s="3" t="s">
        <v>698</v>
      </c>
    </row>
    <row r="205" spans="1:12">
      <c r="A205">
        <v>216</v>
      </c>
      <c r="B205" s="91"/>
      <c r="C205" s="3" t="s">
        <v>352</v>
      </c>
      <c r="D205" s="12" t="s">
        <v>157</v>
      </c>
      <c r="E205" s="12">
        <v>2000</v>
      </c>
      <c r="F205" s="12" t="s">
        <v>76</v>
      </c>
      <c r="H205" s="12">
        <v>2000</v>
      </c>
      <c r="I205" s="23">
        <v>2000</v>
      </c>
      <c r="J205" s="23"/>
      <c r="K205" s="3" t="s">
        <v>698</v>
      </c>
    </row>
    <row r="206" spans="1:12">
      <c r="A206">
        <v>217</v>
      </c>
      <c r="B206" s="91"/>
      <c r="C206" s="3" t="s">
        <v>353</v>
      </c>
      <c r="D206" s="12" t="s">
        <v>157</v>
      </c>
      <c r="E206" s="12">
        <v>2000</v>
      </c>
      <c r="F206" s="12" t="s">
        <v>76</v>
      </c>
      <c r="H206" s="12">
        <v>2000</v>
      </c>
      <c r="I206" s="23">
        <v>2000</v>
      </c>
      <c r="J206" s="23"/>
      <c r="K206" s="3" t="s">
        <v>698</v>
      </c>
    </row>
    <row r="207" spans="1:12">
      <c r="A207">
        <v>218</v>
      </c>
      <c r="B207" s="91"/>
      <c r="C207" s="19"/>
      <c r="D207" s="16"/>
      <c r="E207" s="16"/>
      <c r="F207" s="16"/>
      <c r="H207" s="16"/>
      <c r="I207" s="14">
        <f>SUM(I201:I206)/6</f>
        <v>1940</v>
      </c>
      <c r="J207" s="14"/>
      <c r="K207" s="19"/>
    </row>
    <row r="208" spans="1:12">
      <c r="A208">
        <v>219</v>
      </c>
      <c r="B208" s="91"/>
      <c r="C208" s="19"/>
      <c r="D208" s="16"/>
      <c r="E208" s="16"/>
      <c r="F208" s="16"/>
      <c r="H208" s="16"/>
      <c r="I208" s="23"/>
      <c r="J208" s="23"/>
      <c r="K208" s="19"/>
    </row>
    <row r="209" spans="1:11">
      <c r="A209">
        <v>220</v>
      </c>
      <c r="B209" s="91"/>
      <c r="C209" s="3" t="s">
        <v>289</v>
      </c>
      <c r="D209" s="12" t="s">
        <v>157</v>
      </c>
      <c r="E209" s="12">
        <v>800</v>
      </c>
      <c r="F209" s="12" t="s">
        <v>76</v>
      </c>
      <c r="H209" s="12">
        <v>800</v>
      </c>
      <c r="I209" s="23">
        <v>800</v>
      </c>
      <c r="J209" s="23"/>
      <c r="K209" s="3" t="s">
        <v>698</v>
      </c>
    </row>
    <row r="210" spans="1:11">
      <c r="A210">
        <v>221</v>
      </c>
      <c r="B210" s="91"/>
      <c r="C210" s="3" t="s">
        <v>741</v>
      </c>
      <c r="D210" s="12" t="s">
        <v>157</v>
      </c>
      <c r="E210" s="12">
        <v>1000</v>
      </c>
      <c r="F210" s="12" t="s">
        <v>76</v>
      </c>
      <c r="H210" s="12">
        <v>1000</v>
      </c>
      <c r="I210" s="23">
        <v>1000</v>
      </c>
      <c r="J210" s="23"/>
      <c r="K210" s="3" t="s">
        <v>698</v>
      </c>
    </row>
    <row r="211" spans="1:11">
      <c r="A211">
        <v>222</v>
      </c>
      <c r="B211" s="91"/>
      <c r="C211" s="3" t="s">
        <v>755</v>
      </c>
      <c r="D211" s="12" t="s">
        <v>157</v>
      </c>
      <c r="E211" s="12">
        <v>700</v>
      </c>
      <c r="F211" s="12" t="s">
        <v>76</v>
      </c>
      <c r="H211" s="12">
        <v>700</v>
      </c>
      <c r="I211" s="23">
        <v>700</v>
      </c>
      <c r="J211" s="23"/>
      <c r="K211" s="3" t="s">
        <v>698</v>
      </c>
    </row>
    <row r="212" spans="1:11">
      <c r="A212">
        <v>223</v>
      </c>
      <c r="B212" s="91"/>
      <c r="C212" s="3" t="s">
        <v>348</v>
      </c>
      <c r="D212" s="12" t="s">
        <v>157</v>
      </c>
      <c r="E212" s="12">
        <v>800</v>
      </c>
      <c r="F212" s="12" t="s">
        <v>76</v>
      </c>
      <c r="H212" s="12">
        <v>800</v>
      </c>
      <c r="I212" s="23">
        <v>800</v>
      </c>
      <c r="J212" s="23"/>
      <c r="K212" s="3" t="s">
        <v>698</v>
      </c>
    </row>
    <row r="213" spans="1:11">
      <c r="A213">
        <v>224</v>
      </c>
      <c r="B213" s="91"/>
      <c r="C213" s="19"/>
      <c r="D213" s="16"/>
      <c r="E213" s="16"/>
      <c r="F213" s="16"/>
      <c r="H213" s="16"/>
      <c r="I213" s="14">
        <f>SUM(I209:I212)/4</f>
        <v>825</v>
      </c>
      <c r="J213" s="14"/>
      <c r="K213" s="19"/>
    </row>
    <row r="214" spans="1:11">
      <c r="A214">
        <v>225</v>
      </c>
      <c r="B214" s="91"/>
      <c r="C214" s="19"/>
      <c r="D214" s="16"/>
      <c r="E214" s="16"/>
      <c r="F214" s="16"/>
      <c r="H214" s="16"/>
      <c r="I214" s="23"/>
      <c r="J214" s="23"/>
      <c r="K214" s="19"/>
    </row>
    <row r="215" spans="1:11">
      <c r="A215">
        <v>226</v>
      </c>
      <c r="B215" s="91"/>
      <c r="C215" s="3" t="s">
        <v>290</v>
      </c>
      <c r="D215" s="12" t="s">
        <v>157</v>
      </c>
      <c r="E215" s="12">
        <v>1333</v>
      </c>
      <c r="F215" s="12" t="s">
        <v>76</v>
      </c>
      <c r="H215" s="12">
        <v>1333</v>
      </c>
      <c r="I215" s="23">
        <v>1333</v>
      </c>
      <c r="J215" s="23"/>
      <c r="K215" s="3" t="s">
        <v>698</v>
      </c>
    </row>
    <row r="216" spans="1:11">
      <c r="A216">
        <v>227</v>
      </c>
      <c r="B216" s="91"/>
      <c r="C216" s="3" t="s">
        <v>742</v>
      </c>
      <c r="D216" s="12" t="s">
        <v>157</v>
      </c>
      <c r="E216" s="12">
        <v>1000</v>
      </c>
      <c r="F216" s="12" t="s">
        <v>76</v>
      </c>
      <c r="H216" s="12">
        <v>1000</v>
      </c>
      <c r="I216" s="23">
        <v>1000</v>
      </c>
      <c r="J216" s="23"/>
      <c r="K216" s="3" t="s">
        <v>698</v>
      </c>
    </row>
    <row r="217" spans="1:11">
      <c r="A217">
        <v>228</v>
      </c>
      <c r="B217" s="91"/>
      <c r="C217" s="3" t="s">
        <v>756</v>
      </c>
      <c r="D217" s="12" t="s">
        <v>157</v>
      </c>
      <c r="E217" s="12">
        <v>1675</v>
      </c>
      <c r="F217" s="12" t="s">
        <v>76</v>
      </c>
      <c r="H217" s="12">
        <v>1675</v>
      </c>
      <c r="I217" s="23">
        <v>1675</v>
      </c>
      <c r="J217" s="23"/>
      <c r="K217" s="3" t="s">
        <v>698</v>
      </c>
    </row>
    <row r="218" spans="1:11">
      <c r="A218">
        <v>229</v>
      </c>
      <c r="B218" s="91"/>
      <c r="C218" s="3" t="s">
        <v>350</v>
      </c>
      <c r="D218" s="12" t="s">
        <v>157</v>
      </c>
      <c r="E218" s="12">
        <v>1333</v>
      </c>
      <c r="F218" s="12" t="s">
        <v>76</v>
      </c>
      <c r="H218" s="12">
        <v>1333</v>
      </c>
      <c r="I218" s="23">
        <v>1333</v>
      </c>
      <c r="J218" s="23"/>
      <c r="K218" s="3" t="s">
        <v>698</v>
      </c>
    </row>
    <row r="219" spans="1:11">
      <c r="A219">
        <v>230</v>
      </c>
      <c r="B219" s="91"/>
      <c r="C219" s="19"/>
      <c r="D219" s="16"/>
      <c r="E219" s="16"/>
      <c r="F219" s="16"/>
      <c r="H219" s="16"/>
      <c r="I219" s="14">
        <f>SUM(I215:I218)/4</f>
        <v>1335.25</v>
      </c>
      <c r="J219" s="14"/>
      <c r="K219" s="19"/>
    </row>
    <row r="220" spans="1:11">
      <c r="A220">
        <v>231</v>
      </c>
      <c r="B220" s="91"/>
      <c r="C220" s="19"/>
      <c r="D220" s="16"/>
      <c r="E220" s="16"/>
      <c r="F220" s="16"/>
      <c r="H220" s="16"/>
      <c r="I220" s="23"/>
      <c r="J220" s="23"/>
      <c r="K220" s="19"/>
    </row>
    <row r="221" spans="1:11">
      <c r="A221">
        <v>232</v>
      </c>
      <c r="B221" s="91"/>
      <c r="C221" s="3" t="s">
        <v>291</v>
      </c>
      <c r="D221" s="12" t="s">
        <v>157</v>
      </c>
      <c r="E221" s="12">
        <v>1000</v>
      </c>
      <c r="F221" s="12" t="s">
        <v>76</v>
      </c>
      <c r="H221" s="12">
        <v>1000</v>
      </c>
      <c r="I221" s="23">
        <v>1000</v>
      </c>
      <c r="J221" s="23"/>
      <c r="K221" s="3" t="s">
        <v>698</v>
      </c>
    </row>
    <row r="222" spans="1:11">
      <c r="A222">
        <v>233</v>
      </c>
      <c r="B222" s="91"/>
      <c r="C222" s="3" t="s">
        <v>743</v>
      </c>
      <c r="D222" s="12" t="s">
        <v>157</v>
      </c>
      <c r="E222" s="12">
        <v>600</v>
      </c>
      <c r="F222" s="12" t="s">
        <v>76</v>
      </c>
      <c r="H222" s="12">
        <v>600</v>
      </c>
      <c r="I222" s="23">
        <v>600</v>
      </c>
      <c r="J222" s="23"/>
      <c r="K222" s="3" t="s">
        <v>698</v>
      </c>
    </row>
    <row r="223" spans="1:11">
      <c r="A223">
        <v>234</v>
      </c>
      <c r="B223" s="91"/>
      <c r="C223" s="3" t="s">
        <v>757</v>
      </c>
      <c r="D223" s="12" t="s">
        <v>157</v>
      </c>
      <c r="E223" s="12">
        <v>1500</v>
      </c>
      <c r="F223" s="12" t="s">
        <v>76</v>
      </c>
      <c r="H223" s="12">
        <v>1500</v>
      </c>
      <c r="I223" s="23">
        <v>1500</v>
      </c>
      <c r="J223" s="23"/>
      <c r="K223" s="3" t="s">
        <v>698</v>
      </c>
    </row>
    <row r="224" spans="1:11">
      <c r="A224">
        <v>235</v>
      </c>
      <c r="B224" s="91"/>
      <c r="C224" s="3" t="s">
        <v>349</v>
      </c>
      <c r="D224" s="12" t="s">
        <v>157</v>
      </c>
      <c r="E224" s="12">
        <v>1000</v>
      </c>
      <c r="F224" s="12" t="s">
        <v>76</v>
      </c>
      <c r="H224" s="12">
        <v>1000</v>
      </c>
      <c r="I224" s="23">
        <v>1000</v>
      </c>
      <c r="J224" s="23"/>
      <c r="K224" s="3" t="s">
        <v>698</v>
      </c>
    </row>
    <row r="225" spans="1:12">
      <c r="A225">
        <v>236</v>
      </c>
      <c r="B225" s="91"/>
      <c r="I225" s="14">
        <f>SUM(I221:I224)/4</f>
        <v>1025</v>
      </c>
      <c r="J225" s="14"/>
    </row>
    <row r="226" spans="1:12">
      <c r="A226">
        <v>237</v>
      </c>
      <c r="B226" s="91"/>
      <c r="I226" s="14"/>
      <c r="J226" s="14"/>
    </row>
    <row r="227" spans="1:12">
      <c r="A227">
        <v>238</v>
      </c>
      <c r="B227" s="64"/>
      <c r="C227" s="19" t="s">
        <v>562</v>
      </c>
      <c r="D227" s="16" t="s">
        <v>157</v>
      </c>
      <c r="I227" s="15">
        <v>788.99</v>
      </c>
      <c r="J227" s="124"/>
      <c r="K227" s="19" t="s">
        <v>902</v>
      </c>
      <c r="L227" s="19"/>
    </row>
    <row r="228" spans="1:12">
      <c r="A228">
        <v>239</v>
      </c>
      <c r="B228" s="64"/>
      <c r="C228" s="19"/>
      <c r="D228" s="16"/>
      <c r="E228" s="16"/>
      <c r="F228" s="16"/>
      <c r="H228" s="16"/>
      <c r="I228" s="23"/>
      <c r="J228" s="23"/>
      <c r="K228" s="19"/>
      <c r="L228" s="19"/>
    </row>
    <row r="229" spans="1:12">
      <c r="A229">
        <v>240</v>
      </c>
      <c r="B229" s="64" t="s">
        <v>355</v>
      </c>
      <c r="C229" s="19" t="s">
        <v>562</v>
      </c>
      <c r="D229" s="16" t="s">
        <v>157</v>
      </c>
      <c r="I229" s="15">
        <v>270.07</v>
      </c>
      <c r="J229" s="124"/>
      <c r="K229" s="19" t="s">
        <v>902</v>
      </c>
    </row>
    <row r="230" spans="1:12">
      <c r="A230">
        <v>241</v>
      </c>
      <c r="B230" s="91"/>
      <c r="I230" s="14"/>
      <c r="J230" s="14"/>
    </row>
    <row r="231" spans="1:12">
      <c r="A231">
        <v>242</v>
      </c>
      <c r="B231" s="70" t="s">
        <v>69</v>
      </c>
      <c r="C231" s="3"/>
      <c r="D231" s="2"/>
      <c r="E231" s="2"/>
      <c r="F231" s="2"/>
      <c r="H231" s="2"/>
      <c r="I231" s="23"/>
      <c r="J231" s="23"/>
      <c r="K231" s="3"/>
    </row>
    <row r="232" spans="1:12">
      <c r="A232">
        <v>243</v>
      </c>
      <c r="B232" s="71" t="s">
        <v>387</v>
      </c>
      <c r="C232" s="3" t="s">
        <v>74</v>
      </c>
      <c r="D232" s="2" t="s">
        <v>75</v>
      </c>
      <c r="E232" s="2">
        <v>0.82699999999999996</v>
      </c>
      <c r="F232" s="2" t="s">
        <v>76</v>
      </c>
      <c r="H232" s="2">
        <v>0.82699999999999996</v>
      </c>
      <c r="I232" s="23">
        <v>258.85000000000002</v>
      </c>
      <c r="J232" s="23"/>
      <c r="K232" s="3" t="s">
        <v>9</v>
      </c>
    </row>
    <row r="233" spans="1:12">
      <c r="A233">
        <v>244</v>
      </c>
      <c r="B233" s="71"/>
      <c r="C233" s="3" t="s">
        <v>74</v>
      </c>
      <c r="D233" s="12" t="s">
        <v>75</v>
      </c>
      <c r="E233" s="12">
        <v>1.1000000000000001</v>
      </c>
      <c r="F233" s="12" t="s">
        <v>76</v>
      </c>
      <c r="H233" s="12">
        <v>1.1000000000000001</v>
      </c>
      <c r="I233" s="23">
        <v>344.3</v>
      </c>
      <c r="J233" s="23"/>
      <c r="K233" s="3" t="s">
        <v>102</v>
      </c>
    </row>
    <row r="234" spans="1:12">
      <c r="A234">
        <v>245</v>
      </c>
      <c r="B234" s="71"/>
      <c r="C234" s="19"/>
      <c r="D234" s="16"/>
      <c r="E234" s="16"/>
      <c r="F234" s="16"/>
      <c r="H234" s="16"/>
      <c r="I234" s="14">
        <f>SUM(I232:I233)/2</f>
        <v>301.57500000000005</v>
      </c>
      <c r="J234" s="14"/>
      <c r="K234" s="19"/>
    </row>
    <row r="235" spans="1:12">
      <c r="A235">
        <v>246</v>
      </c>
      <c r="B235" s="71"/>
      <c r="C235" s="19" t="s">
        <v>627</v>
      </c>
      <c r="D235" s="16"/>
      <c r="E235" s="16"/>
      <c r="F235" s="16"/>
      <c r="H235" s="16"/>
      <c r="I235" s="14">
        <f>I234*0.6</f>
        <v>180.94500000000002</v>
      </c>
      <c r="J235" s="14"/>
      <c r="K235" s="19" t="s">
        <v>626</v>
      </c>
    </row>
    <row r="236" spans="1:12">
      <c r="A236">
        <v>247</v>
      </c>
      <c r="B236" s="71"/>
      <c r="C236" s="19"/>
      <c r="D236" s="16"/>
      <c r="E236" s="16"/>
      <c r="F236" s="16"/>
      <c r="H236" s="16"/>
      <c r="I236" s="14"/>
      <c r="J236" s="14"/>
      <c r="K236" s="19"/>
    </row>
    <row r="237" spans="1:12">
      <c r="A237">
        <v>248</v>
      </c>
      <c r="B237" s="71" t="s">
        <v>688</v>
      </c>
      <c r="C237" t="s">
        <v>244</v>
      </c>
      <c r="D237" s="16" t="s">
        <v>201</v>
      </c>
      <c r="E237" s="16">
        <v>1.63</v>
      </c>
      <c r="F237" s="16" t="s">
        <v>245</v>
      </c>
      <c r="G237" s="16">
        <f>E237</f>
        <v>1.63</v>
      </c>
      <c r="H237" s="23">
        <f>E237+G237</f>
        <v>3.26</v>
      </c>
      <c r="I237" s="14">
        <v>169.52</v>
      </c>
      <c r="J237" s="14"/>
      <c r="K237" s="19" t="s">
        <v>246</v>
      </c>
    </row>
    <row r="238" spans="1:12">
      <c r="A238">
        <v>249</v>
      </c>
      <c r="B238" s="71"/>
      <c r="C238" s="19" t="s">
        <v>628</v>
      </c>
      <c r="D238" s="16"/>
      <c r="E238" s="16"/>
      <c r="F238" s="16"/>
      <c r="G238" s="16"/>
      <c r="H238" s="23"/>
      <c r="I238" s="14">
        <f>I237*0.6</f>
        <v>101.712</v>
      </c>
      <c r="J238" s="14"/>
      <c r="K238" s="19" t="s">
        <v>626</v>
      </c>
    </row>
    <row r="239" spans="1:12">
      <c r="A239">
        <v>250</v>
      </c>
      <c r="B239" s="71"/>
      <c r="C239" s="19"/>
      <c r="D239" s="16"/>
      <c r="E239" s="16"/>
      <c r="F239" s="16"/>
      <c r="H239" s="16"/>
      <c r="I239" s="23"/>
      <c r="J239" s="23"/>
      <c r="K239" s="19"/>
    </row>
    <row r="240" spans="1:12">
      <c r="A240">
        <v>251</v>
      </c>
      <c r="B240" s="71" t="s">
        <v>104</v>
      </c>
      <c r="C240" s="3" t="s">
        <v>104</v>
      </c>
      <c r="D240" s="12" t="s">
        <v>75</v>
      </c>
      <c r="E240" s="12">
        <v>2.25</v>
      </c>
      <c r="F240" s="12" t="s">
        <v>76</v>
      </c>
      <c r="H240" s="12">
        <v>2.25</v>
      </c>
      <c r="I240" s="14">
        <v>704.25</v>
      </c>
      <c r="J240" s="14"/>
      <c r="K240" s="3" t="s">
        <v>144</v>
      </c>
    </row>
    <row r="241" spans="1:12">
      <c r="A241">
        <v>252</v>
      </c>
      <c r="B241" s="71"/>
      <c r="C241" s="19" t="s">
        <v>625</v>
      </c>
      <c r="D241" s="16"/>
      <c r="E241" s="16"/>
      <c r="F241" s="16"/>
      <c r="H241" s="16"/>
      <c r="I241" s="14">
        <f>I240*0.6</f>
        <v>422.55</v>
      </c>
      <c r="J241" s="14"/>
      <c r="K241" s="19" t="s">
        <v>626</v>
      </c>
    </row>
    <row r="242" spans="1:12">
      <c r="A242">
        <v>253</v>
      </c>
      <c r="B242" s="71"/>
      <c r="C242" s="19"/>
      <c r="D242" s="16"/>
      <c r="E242" s="16"/>
      <c r="F242" s="16"/>
      <c r="H242" s="16"/>
      <c r="I242" s="14"/>
      <c r="J242" s="14"/>
      <c r="K242" s="19"/>
    </row>
    <row r="243" spans="1:12">
      <c r="A243">
        <v>254</v>
      </c>
      <c r="B243" s="71" t="s">
        <v>372</v>
      </c>
      <c r="C243" s="1" t="s">
        <v>624</v>
      </c>
      <c r="D243" s="1"/>
      <c r="E243" s="1"/>
      <c r="F243" s="1"/>
      <c r="G243" s="1"/>
      <c r="H243" s="1"/>
      <c r="I243" s="14">
        <v>653.54</v>
      </c>
      <c r="J243" s="14"/>
      <c r="K243" s="5" t="s">
        <v>877</v>
      </c>
      <c r="L243" s="1"/>
    </row>
    <row r="244" spans="1:12">
      <c r="A244">
        <v>255</v>
      </c>
      <c r="B244" s="71"/>
      <c r="C244" s="19" t="s">
        <v>625</v>
      </c>
      <c r="D244" s="16"/>
      <c r="E244" s="16"/>
      <c r="F244" s="16"/>
      <c r="H244" s="16"/>
      <c r="I244" s="14">
        <f>I243*0.6</f>
        <v>392.12399999999997</v>
      </c>
      <c r="J244" s="14"/>
      <c r="K244" s="19" t="s">
        <v>626</v>
      </c>
    </row>
    <row r="245" spans="1:12">
      <c r="A245">
        <v>256</v>
      </c>
      <c r="B245" s="71"/>
      <c r="C245" s="39"/>
      <c r="D245" s="40"/>
      <c r="E245" s="40"/>
      <c r="F245" s="40"/>
      <c r="H245" s="40"/>
      <c r="I245" s="14"/>
      <c r="J245" s="14"/>
      <c r="K245" s="39"/>
    </row>
    <row r="246" spans="1:12">
      <c r="A246">
        <v>257</v>
      </c>
      <c r="B246" s="71" t="s">
        <v>373</v>
      </c>
      <c r="C246" s="39" t="s">
        <v>158</v>
      </c>
      <c r="D246" s="40" t="s">
        <v>157</v>
      </c>
      <c r="E246" s="23">
        <f>348.8*0.848</f>
        <v>295.7824</v>
      </c>
      <c r="F246" s="40" t="s">
        <v>76</v>
      </c>
      <c r="H246" s="23">
        <f>E246</f>
        <v>295.7824</v>
      </c>
      <c r="I246" s="23">
        <f>H246</f>
        <v>295.7824</v>
      </c>
      <c r="J246" s="23"/>
      <c r="K246" s="39" t="s">
        <v>863</v>
      </c>
      <c r="L246" s="39"/>
    </row>
    <row r="247" spans="1:12">
      <c r="A247">
        <v>258</v>
      </c>
      <c r="B247" s="92"/>
      <c r="C247" s="5"/>
      <c r="D247" s="40"/>
      <c r="E247" s="40"/>
      <c r="F247" s="40"/>
      <c r="G247" s="40"/>
      <c r="H247" s="23"/>
      <c r="I247" s="23"/>
      <c r="J247" s="23"/>
    </row>
    <row r="248" spans="1:12">
      <c r="A248">
        <v>259</v>
      </c>
      <c r="B248" s="71"/>
      <c r="C248" s="5" t="s">
        <v>793</v>
      </c>
      <c r="D248" s="40" t="s">
        <v>157</v>
      </c>
      <c r="E248" s="23">
        <f>0.506*E246</f>
        <v>149.66589440000001</v>
      </c>
      <c r="F248" s="40" t="s">
        <v>76</v>
      </c>
      <c r="G248" s="40"/>
      <c r="H248" s="23">
        <f>E248</f>
        <v>149.66589440000001</v>
      </c>
      <c r="I248" s="23">
        <f>H248</f>
        <v>149.66589440000001</v>
      </c>
      <c r="J248" s="23"/>
      <c r="K248" s="39" t="s">
        <v>937</v>
      </c>
    </row>
    <row r="249" spans="1:12">
      <c r="A249">
        <v>260</v>
      </c>
      <c r="B249" s="71"/>
      <c r="C249" s="19"/>
      <c r="D249" s="16"/>
      <c r="E249" s="16"/>
      <c r="F249" s="16"/>
      <c r="H249" s="16"/>
      <c r="I249" s="23"/>
      <c r="J249" s="23"/>
      <c r="K249" s="19"/>
    </row>
    <row r="250" spans="1:12">
      <c r="A250">
        <v>261</v>
      </c>
      <c r="B250" s="71" t="s">
        <v>371</v>
      </c>
      <c r="C250" s="3" t="s">
        <v>430</v>
      </c>
      <c r="D250" s="12" t="s">
        <v>157</v>
      </c>
      <c r="E250" s="12">
        <v>1871</v>
      </c>
      <c r="F250" s="12" t="s">
        <v>76</v>
      </c>
      <c r="H250" s="12">
        <v>1871</v>
      </c>
      <c r="I250" s="23">
        <v>1871</v>
      </c>
      <c r="J250" s="23"/>
      <c r="K250" s="3" t="s">
        <v>698</v>
      </c>
    </row>
    <row r="251" spans="1:12">
      <c r="A251">
        <v>262</v>
      </c>
      <c r="B251" s="71"/>
      <c r="C251" s="3" t="s">
        <v>329</v>
      </c>
      <c r="D251" s="12" t="s">
        <v>157</v>
      </c>
      <c r="E251" s="12">
        <v>2043</v>
      </c>
      <c r="F251" s="12" t="s">
        <v>76</v>
      </c>
      <c r="H251" s="12">
        <v>2043</v>
      </c>
      <c r="I251" s="23">
        <v>2043</v>
      </c>
      <c r="J251" s="23"/>
      <c r="K251" s="3" t="s">
        <v>698</v>
      </c>
    </row>
    <row r="252" spans="1:12">
      <c r="A252">
        <v>263</v>
      </c>
      <c r="B252" s="93"/>
      <c r="C252" s="3" t="s">
        <v>259</v>
      </c>
      <c r="D252" s="12" t="s">
        <v>157</v>
      </c>
      <c r="E252" s="12">
        <v>2214</v>
      </c>
      <c r="F252" s="12" t="s">
        <v>76</v>
      </c>
      <c r="H252" s="12">
        <v>2214</v>
      </c>
      <c r="I252" s="23">
        <v>2214</v>
      </c>
      <c r="J252" s="23"/>
      <c r="K252" s="3" t="s">
        <v>698</v>
      </c>
      <c r="L252" s="3"/>
    </row>
    <row r="253" spans="1:12">
      <c r="A253">
        <v>264</v>
      </c>
      <c r="B253" s="93"/>
      <c r="C253" s="3" t="s">
        <v>745</v>
      </c>
      <c r="D253" s="12" t="s">
        <v>157</v>
      </c>
      <c r="E253" s="12">
        <v>3000</v>
      </c>
      <c r="F253" s="12" t="s">
        <v>76</v>
      </c>
      <c r="H253" s="12">
        <v>3000</v>
      </c>
      <c r="I253" s="23">
        <v>3000</v>
      </c>
      <c r="J253" s="23"/>
      <c r="K253" s="3" t="s">
        <v>698</v>
      </c>
      <c r="L253" s="3"/>
    </row>
    <row r="254" spans="1:12">
      <c r="A254">
        <v>265</v>
      </c>
      <c r="B254" s="93"/>
      <c r="C254" s="19"/>
      <c r="D254" s="16"/>
      <c r="E254" s="16"/>
      <c r="F254" s="16"/>
      <c r="H254" s="16"/>
      <c r="I254" s="14">
        <f>SUM(I250:I253)/4</f>
        <v>2282</v>
      </c>
      <c r="J254" s="14"/>
      <c r="K254" s="19"/>
      <c r="L254" s="19"/>
    </row>
    <row r="255" spans="1:12">
      <c r="A255">
        <v>266</v>
      </c>
      <c r="B255" s="93"/>
      <c r="C255" s="19"/>
      <c r="D255" s="16"/>
      <c r="E255" s="16"/>
      <c r="F255" s="16"/>
      <c r="H255" s="16"/>
      <c r="I255" s="23"/>
      <c r="J255" s="23"/>
      <c r="K255" s="19"/>
      <c r="L255" s="19"/>
    </row>
    <row r="256" spans="1:12">
      <c r="A256">
        <v>267</v>
      </c>
      <c r="B256" s="71"/>
      <c r="C256" s="3" t="s">
        <v>431</v>
      </c>
      <c r="D256" s="12" t="s">
        <v>157</v>
      </c>
      <c r="E256" s="12">
        <v>1000</v>
      </c>
      <c r="F256" s="12" t="s">
        <v>76</v>
      </c>
      <c r="H256" s="12">
        <v>1000</v>
      </c>
      <c r="I256" s="23">
        <v>1000</v>
      </c>
      <c r="J256" s="23"/>
      <c r="K256" s="3" t="s">
        <v>698</v>
      </c>
    </row>
    <row r="257" spans="1:12">
      <c r="A257">
        <v>268</v>
      </c>
      <c r="B257" s="93"/>
      <c r="C257" s="3" t="s">
        <v>258</v>
      </c>
      <c r="D257" s="12" t="s">
        <v>157</v>
      </c>
      <c r="E257" s="12">
        <v>700</v>
      </c>
      <c r="F257" s="12" t="s">
        <v>76</v>
      </c>
      <c r="H257" s="12">
        <v>700</v>
      </c>
      <c r="I257" s="23">
        <v>700</v>
      </c>
      <c r="J257" s="23"/>
      <c r="K257" s="3" t="s">
        <v>698</v>
      </c>
      <c r="L257" s="3"/>
    </row>
    <row r="258" spans="1:12">
      <c r="A258">
        <v>269</v>
      </c>
      <c r="B258" s="93"/>
      <c r="C258" s="3" t="s">
        <v>746</v>
      </c>
      <c r="D258" s="12" t="s">
        <v>157</v>
      </c>
      <c r="E258" s="12">
        <v>1200</v>
      </c>
      <c r="F258" s="12" t="s">
        <v>76</v>
      </c>
      <c r="H258" s="12">
        <v>1200</v>
      </c>
      <c r="I258" s="23">
        <v>1200</v>
      </c>
      <c r="J258" s="23"/>
      <c r="K258" s="3" t="s">
        <v>698</v>
      </c>
      <c r="L258" s="3"/>
    </row>
    <row r="259" spans="1:12">
      <c r="A259">
        <v>270</v>
      </c>
      <c r="B259" s="93"/>
      <c r="C259" s="19"/>
      <c r="D259" s="16"/>
      <c r="E259" s="16"/>
      <c r="F259" s="16"/>
      <c r="H259" s="16"/>
      <c r="I259" s="14">
        <f>SUM(I256:I258)/3</f>
        <v>966.66666666666663</v>
      </c>
      <c r="J259" s="14"/>
      <c r="K259" s="19"/>
      <c r="L259" s="19"/>
    </row>
    <row r="260" spans="1:12">
      <c r="A260">
        <v>271</v>
      </c>
      <c r="B260" s="93"/>
      <c r="C260" s="19"/>
      <c r="D260" s="16"/>
      <c r="E260" s="16"/>
      <c r="F260" s="16"/>
      <c r="H260" s="16"/>
      <c r="I260" s="23"/>
      <c r="J260" s="23"/>
      <c r="K260" s="19"/>
      <c r="L260" s="19"/>
    </row>
    <row r="261" spans="1:12">
      <c r="A261">
        <v>272</v>
      </c>
      <c r="B261" s="71"/>
      <c r="C261" s="3" t="s">
        <v>432</v>
      </c>
      <c r="D261" s="12" t="s">
        <v>157</v>
      </c>
      <c r="E261" s="12">
        <v>1850</v>
      </c>
      <c r="F261" s="12" t="s">
        <v>76</v>
      </c>
      <c r="H261" s="12">
        <v>1850</v>
      </c>
      <c r="I261" s="23">
        <v>1850</v>
      </c>
      <c r="J261" s="23"/>
      <c r="K261" s="3" t="s">
        <v>698</v>
      </c>
    </row>
    <row r="262" spans="1:12">
      <c r="A262">
        <v>273</v>
      </c>
      <c r="B262" s="71"/>
      <c r="C262" s="3" t="s">
        <v>747</v>
      </c>
      <c r="D262" s="12" t="s">
        <v>157</v>
      </c>
      <c r="E262" s="12">
        <v>1500</v>
      </c>
      <c r="F262" s="12" t="s">
        <v>76</v>
      </c>
      <c r="H262" s="12">
        <v>1500</v>
      </c>
      <c r="I262" s="23">
        <v>1500</v>
      </c>
      <c r="J262" s="23"/>
      <c r="K262" s="3" t="s">
        <v>698</v>
      </c>
      <c r="L262" s="3"/>
    </row>
    <row r="263" spans="1:12">
      <c r="A263">
        <v>274</v>
      </c>
      <c r="B263" s="71"/>
      <c r="C263" s="19"/>
      <c r="D263" s="16"/>
      <c r="E263" s="16"/>
      <c r="F263" s="16"/>
      <c r="H263" s="16"/>
      <c r="I263" s="14">
        <f>SUM(I261:I262)/2</f>
        <v>1675</v>
      </c>
      <c r="J263" s="14"/>
      <c r="K263" s="19"/>
      <c r="L263" s="19"/>
    </row>
    <row r="264" spans="1:12">
      <c r="A264">
        <v>275</v>
      </c>
      <c r="B264" s="71"/>
      <c r="C264" s="19"/>
      <c r="D264" s="16"/>
      <c r="E264" s="16"/>
      <c r="F264" s="16"/>
      <c r="H264" s="16"/>
      <c r="I264" s="23"/>
      <c r="J264" s="23"/>
      <c r="K264" s="19"/>
      <c r="L264" s="19"/>
    </row>
    <row r="265" spans="1:12">
      <c r="A265">
        <v>276</v>
      </c>
      <c r="B265" s="71"/>
      <c r="C265" s="3" t="s">
        <v>433</v>
      </c>
      <c r="D265" s="12" t="s">
        <v>157</v>
      </c>
      <c r="E265" s="12">
        <v>1500</v>
      </c>
      <c r="F265" s="12" t="s">
        <v>76</v>
      </c>
      <c r="H265" s="12">
        <v>1500</v>
      </c>
      <c r="I265" s="23">
        <v>1500</v>
      </c>
      <c r="J265" s="23"/>
      <c r="K265" s="3" t="s">
        <v>698</v>
      </c>
    </row>
    <row r="266" spans="1:12">
      <c r="A266">
        <v>277</v>
      </c>
      <c r="B266" s="71"/>
      <c r="C266" s="3" t="s">
        <v>750</v>
      </c>
      <c r="D266" s="12" t="s">
        <v>157</v>
      </c>
      <c r="E266" s="12">
        <v>1800</v>
      </c>
      <c r="F266" s="12" t="s">
        <v>76</v>
      </c>
      <c r="H266" s="12">
        <v>1800</v>
      </c>
      <c r="I266" s="23">
        <v>1800</v>
      </c>
      <c r="J266" s="23"/>
      <c r="K266" s="3" t="s">
        <v>698</v>
      </c>
      <c r="L266" s="3"/>
    </row>
    <row r="267" spans="1:12">
      <c r="A267">
        <v>278</v>
      </c>
      <c r="B267" s="71"/>
      <c r="C267" s="19"/>
      <c r="D267" s="16"/>
      <c r="E267" s="16"/>
      <c r="F267" s="16"/>
      <c r="H267" s="16"/>
      <c r="I267" s="14">
        <f>SUM(I265:I266)/2</f>
        <v>1650</v>
      </c>
      <c r="J267" s="14"/>
      <c r="K267" s="19"/>
      <c r="L267" s="19"/>
    </row>
    <row r="268" spans="1:12">
      <c r="A268">
        <v>279</v>
      </c>
      <c r="B268" s="71"/>
      <c r="C268" s="19"/>
      <c r="D268" s="16"/>
      <c r="E268" s="16"/>
      <c r="F268" s="16"/>
      <c r="H268" s="16"/>
      <c r="I268" s="23"/>
      <c r="J268" s="23"/>
      <c r="K268" s="19"/>
      <c r="L268" s="19"/>
    </row>
    <row r="269" spans="1:12">
      <c r="A269">
        <v>280</v>
      </c>
      <c r="B269" s="71"/>
      <c r="C269" s="3" t="s">
        <v>434</v>
      </c>
      <c r="D269" s="12" t="s">
        <v>157</v>
      </c>
      <c r="E269" s="12">
        <v>1000</v>
      </c>
      <c r="F269" s="12" t="s">
        <v>76</v>
      </c>
      <c r="H269" s="12">
        <v>1000</v>
      </c>
      <c r="I269" s="23">
        <v>1000</v>
      </c>
      <c r="J269" s="23"/>
      <c r="K269" s="3" t="s">
        <v>698</v>
      </c>
    </row>
    <row r="270" spans="1:12">
      <c r="A270">
        <v>281</v>
      </c>
      <c r="B270" s="71"/>
      <c r="C270" s="3" t="s">
        <v>330</v>
      </c>
      <c r="D270" s="12" t="s">
        <v>157</v>
      </c>
      <c r="E270" s="12">
        <v>1000</v>
      </c>
      <c r="F270" s="12" t="s">
        <v>76</v>
      </c>
      <c r="H270" s="12">
        <v>1000</v>
      </c>
      <c r="I270" s="23">
        <v>1000</v>
      </c>
      <c r="J270" s="23"/>
      <c r="K270" s="3" t="s">
        <v>698</v>
      </c>
    </row>
    <row r="271" spans="1:12">
      <c r="A271">
        <v>282</v>
      </c>
      <c r="B271" s="71"/>
      <c r="C271" s="3" t="s">
        <v>748</v>
      </c>
      <c r="D271" s="12" t="s">
        <v>157</v>
      </c>
      <c r="E271" s="12">
        <v>1500</v>
      </c>
      <c r="F271" s="12" t="s">
        <v>76</v>
      </c>
      <c r="H271" s="12">
        <v>1500</v>
      </c>
      <c r="I271" s="23">
        <v>1500</v>
      </c>
      <c r="J271" s="23"/>
      <c r="K271" s="3" t="s">
        <v>698</v>
      </c>
      <c r="L271" s="3"/>
    </row>
    <row r="272" spans="1:12">
      <c r="A272">
        <v>283</v>
      </c>
      <c r="B272" s="71"/>
      <c r="C272" s="19"/>
      <c r="D272" s="16"/>
      <c r="E272" s="16"/>
      <c r="F272" s="16"/>
      <c r="H272" s="16"/>
      <c r="I272" s="14">
        <f>SUM(I269:I271)/3</f>
        <v>1166.6666666666667</v>
      </c>
      <c r="J272" s="14"/>
      <c r="K272" s="19"/>
      <c r="L272" s="19"/>
    </row>
    <row r="273" spans="1:12">
      <c r="A273">
        <v>284</v>
      </c>
      <c r="B273" s="71"/>
      <c r="C273" s="19"/>
      <c r="D273" s="16"/>
      <c r="E273" s="16"/>
      <c r="F273" s="16"/>
      <c r="H273" s="16"/>
      <c r="I273" s="23"/>
      <c r="J273" s="23"/>
      <c r="K273" s="19"/>
      <c r="L273" s="19"/>
    </row>
    <row r="274" spans="1:12">
      <c r="A274">
        <v>285</v>
      </c>
      <c r="B274" s="71"/>
      <c r="C274" s="3" t="s">
        <v>435</v>
      </c>
      <c r="D274" s="12" t="s">
        <v>157</v>
      </c>
      <c r="E274" s="12">
        <v>825</v>
      </c>
      <c r="F274" s="12" t="s">
        <v>76</v>
      </c>
      <c r="H274" s="12">
        <v>825</v>
      </c>
      <c r="I274" s="23">
        <v>825</v>
      </c>
      <c r="J274" s="23"/>
      <c r="K274" s="3" t="s">
        <v>698</v>
      </c>
    </row>
    <row r="275" spans="1:12">
      <c r="A275">
        <v>286</v>
      </c>
      <c r="B275" s="71"/>
      <c r="C275" s="3" t="s">
        <v>331</v>
      </c>
      <c r="D275" s="12" t="s">
        <v>157</v>
      </c>
      <c r="E275" s="12">
        <v>825</v>
      </c>
      <c r="F275" s="12" t="s">
        <v>76</v>
      </c>
      <c r="H275" s="12">
        <v>825</v>
      </c>
      <c r="I275" s="23">
        <v>825</v>
      </c>
      <c r="J275" s="23"/>
      <c r="K275" s="3" t="s">
        <v>698</v>
      </c>
    </row>
    <row r="276" spans="1:12">
      <c r="A276">
        <v>287</v>
      </c>
      <c r="B276" s="93"/>
      <c r="C276" s="3" t="s">
        <v>257</v>
      </c>
      <c r="D276" s="12" t="s">
        <v>157</v>
      </c>
      <c r="E276" s="12">
        <v>800</v>
      </c>
      <c r="F276" s="12" t="s">
        <v>76</v>
      </c>
      <c r="H276" s="12">
        <v>800</v>
      </c>
      <c r="I276" s="23">
        <v>800</v>
      </c>
      <c r="J276" s="23"/>
      <c r="K276" s="3" t="s">
        <v>698</v>
      </c>
      <c r="L276" s="3"/>
    </row>
    <row r="277" spans="1:12">
      <c r="A277">
        <v>288</v>
      </c>
      <c r="B277" s="71"/>
      <c r="C277" s="3" t="s">
        <v>749</v>
      </c>
      <c r="D277" s="12" t="s">
        <v>157</v>
      </c>
      <c r="E277" s="12">
        <v>500</v>
      </c>
      <c r="F277" s="12" t="s">
        <v>76</v>
      </c>
      <c r="H277" s="12">
        <v>500</v>
      </c>
      <c r="I277" s="23">
        <v>500</v>
      </c>
      <c r="J277" s="23"/>
      <c r="K277" s="3" t="s">
        <v>698</v>
      </c>
      <c r="L277" s="3"/>
    </row>
    <row r="278" spans="1:12">
      <c r="A278">
        <v>289</v>
      </c>
      <c r="B278" s="71"/>
      <c r="C278" s="3" t="s">
        <v>145</v>
      </c>
      <c r="D278" s="12" t="s">
        <v>146</v>
      </c>
      <c r="E278" s="12">
        <v>69.61</v>
      </c>
      <c r="F278" s="12" t="s">
        <v>76</v>
      </c>
      <c r="H278" s="12">
        <v>69.61</v>
      </c>
      <c r="I278" s="23">
        <v>835.32</v>
      </c>
      <c r="J278" s="23"/>
      <c r="K278" s="3" t="s">
        <v>152</v>
      </c>
    </row>
    <row r="279" spans="1:12">
      <c r="A279">
        <v>290</v>
      </c>
      <c r="B279" s="71"/>
      <c r="C279" s="19"/>
      <c r="D279" s="16"/>
      <c r="E279" s="16"/>
      <c r="F279" s="16"/>
      <c r="H279" s="16"/>
      <c r="I279" s="14">
        <f>SUM(I274:I278)/5</f>
        <v>757.06400000000008</v>
      </c>
      <c r="J279" s="14"/>
      <c r="K279" s="19"/>
    </row>
    <row r="280" spans="1:12">
      <c r="A280">
        <v>291</v>
      </c>
      <c r="B280" s="71"/>
      <c r="C280" s="19"/>
      <c r="D280" s="16"/>
      <c r="E280" s="16"/>
      <c r="F280" s="16"/>
      <c r="H280" s="16"/>
      <c r="I280" s="14"/>
      <c r="J280" s="14"/>
      <c r="K280" s="19"/>
    </row>
    <row r="281" spans="1:12">
      <c r="A281">
        <v>292</v>
      </c>
      <c r="B281" s="71"/>
      <c r="C281" s="19" t="s">
        <v>562</v>
      </c>
      <c r="D281" s="16" t="s">
        <v>157</v>
      </c>
      <c r="I281" s="15">
        <v>744.78</v>
      </c>
      <c r="J281" s="124"/>
      <c r="K281" s="19" t="s">
        <v>902</v>
      </c>
      <c r="L281" s="19"/>
    </row>
    <row r="282" spans="1:12">
      <c r="A282">
        <v>293</v>
      </c>
      <c r="B282" s="71"/>
      <c r="C282" s="19"/>
      <c r="D282" s="16"/>
      <c r="E282" s="16"/>
      <c r="F282" s="16"/>
      <c r="H282" s="16"/>
      <c r="I282" s="23"/>
      <c r="J282" s="23"/>
      <c r="K282" s="19"/>
      <c r="L282" s="19"/>
    </row>
    <row r="283" spans="1:12">
      <c r="A283">
        <v>294</v>
      </c>
      <c r="B283" s="71" t="s">
        <v>355</v>
      </c>
      <c r="C283" s="19" t="s">
        <v>562</v>
      </c>
      <c r="D283" s="16" t="s">
        <v>157</v>
      </c>
      <c r="I283" s="15">
        <v>305.38</v>
      </c>
      <c r="J283" s="124"/>
      <c r="K283" s="19" t="s">
        <v>902</v>
      </c>
    </row>
    <row r="284" spans="1:12">
      <c r="A284">
        <v>295</v>
      </c>
      <c r="B284" s="71"/>
      <c r="C284" s="19"/>
      <c r="D284" s="16"/>
      <c r="E284" s="16"/>
      <c r="F284" s="16"/>
      <c r="H284" s="16"/>
      <c r="I284" s="14"/>
      <c r="J284" s="14"/>
      <c r="K284" s="19"/>
    </row>
    <row r="285" spans="1:12">
      <c r="A285">
        <v>296</v>
      </c>
      <c r="B285" s="94" t="s">
        <v>71</v>
      </c>
      <c r="C285" s="3"/>
      <c r="D285" s="2"/>
      <c r="E285" s="2"/>
      <c r="F285" s="2"/>
      <c r="H285" s="2"/>
      <c r="I285" s="23"/>
      <c r="J285" s="23"/>
      <c r="K285" s="3"/>
    </row>
    <row r="286" spans="1:12">
      <c r="A286">
        <v>297</v>
      </c>
      <c r="B286" s="77" t="s">
        <v>387</v>
      </c>
      <c r="C286" s="3" t="s">
        <v>74</v>
      </c>
      <c r="D286" s="2" t="s">
        <v>75</v>
      </c>
      <c r="E286" s="2">
        <v>1.1000000000000001</v>
      </c>
      <c r="F286" s="2" t="s">
        <v>76</v>
      </c>
      <c r="H286" s="2">
        <v>1.1000000000000001</v>
      </c>
      <c r="I286" s="14">
        <v>344.3</v>
      </c>
      <c r="J286" s="14"/>
      <c r="K286" s="3" t="s">
        <v>102</v>
      </c>
      <c r="L286" s="3"/>
    </row>
    <row r="287" spans="1:12">
      <c r="A287">
        <v>298</v>
      </c>
      <c r="B287" s="77"/>
      <c r="C287" s="19" t="s">
        <v>628</v>
      </c>
      <c r="D287" s="16"/>
      <c r="E287" s="16"/>
      <c r="F287" s="16"/>
      <c r="G287" s="16"/>
      <c r="H287" s="23"/>
      <c r="I287" s="14">
        <f>I286*0.6</f>
        <v>206.58</v>
      </c>
      <c r="J287" s="14"/>
      <c r="K287" s="19" t="s">
        <v>626</v>
      </c>
    </row>
    <row r="288" spans="1:12">
      <c r="A288">
        <v>299</v>
      </c>
      <c r="B288" s="77"/>
      <c r="C288" s="19"/>
      <c r="D288" s="16"/>
      <c r="E288" s="16"/>
      <c r="F288" s="16"/>
      <c r="H288" s="16"/>
      <c r="I288" s="14"/>
      <c r="J288" s="14"/>
      <c r="K288" s="19"/>
      <c r="L288" s="19"/>
    </row>
    <row r="289" spans="1:12">
      <c r="A289">
        <v>300</v>
      </c>
      <c r="B289" s="77" t="s">
        <v>688</v>
      </c>
      <c r="C289" t="s">
        <v>244</v>
      </c>
      <c r="D289" s="16" t="s">
        <v>201</v>
      </c>
      <c r="E289" s="16">
        <v>2.95</v>
      </c>
      <c r="F289" s="16" t="s">
        <v>245</v>
      </c>
      <c r="G289" s="16">
        <f>E289</f>
        <v>2.95</v>
      </c>
      <c r="H289" s="23">
        <f>E289+G289</f>
        <v>5.9</v>
      </c>
      <c r="I289" s="14">
        <v>306.8</v>
      </c>
      <c r="J289" s="14"/>
      <c r="K289" s="19" t="s">
        <v>246</v>
      </c>
    </row>
    <row r="290" spans="1:12">
      <c r="A290">
        <v>301</v>
      </c>
      <c r="B290" s="77"/>
      <c r="C290" s="19" t="s">
        <v>627</v>
      </c>
      <c r="D290" s="16"/>
      <c r="E290" s="16"/>
      <c r="F290" s="16"/>
      <c r="H290" s="16"/>
      <c r="I290" s="14">
        <f>I289*0.6</f>
        <v>184.08</v>
      </c>
      <c r="J290" s="14"/>
      <c r="K290" s="19" t="s">
        <v>626</v>
      </c>
    </row>
    <row r="291" spans="1:12">
      <c r="A291">
        <v>302</v>
      </c>
      <c r="B291" s="77"/>
      <c r="C291" s="19"/>
      <c r="D291" s="16"/>
      <c r="E291" s="16"/>
      <c r="F291" s="16"/>
      <c r="H291" s="16"/>
      <c r="I291" s="23"/>
      <c r="J291" s="23"/>
      <c r="K291" s="19"/>
      <c r="L291" s="19"/>
    </row>
    <row r="292" spans="1:12">
      <c r="A292">
        <v>303</v>
      </c>
      <c r="B292" s="77" t="s">
        <v>104</v>
      </c>
      <c r="C292" s="3" t="s">
        <v>624</v>
      </c>
      <c r="D292" s="2" t="s">
        <v>75</v>
      </c>
      <c r="E292" s="2">
        <v>2.25</v>
      </c>
      <c r="F292" s="2" t="s">
        <v>76</v>
      </c>
      <c r="H292" s="2">
        <v>2.25</v>
      </c>
      <c r="I292" s="14">
        <v>704.25</v>
      </c>
      <c r="J292" s="14"/>
      <c r="K292" s="3" t="s">
        <v>144</v>
      </c>
    </row>
    <row r="293" spans="1:12">
      <c r="A293">
        <v>304</v>
      </c>
      <c r="B293" s="77"/>
      <c r="C293" s="19" t="s">
        <v>625</v>
      </c>
      <c r="D293" s="16"/>
      <c r="E293" s="16"/>
      <c r="F293" s="16"/>
      <c r="H293" s="16"/>
      <c r="I293" s="14">
        <f>I292*0.6</f>
        <v>422.55</v>
      </c>
      <c r="J293" s="14"/>
      <c r="K293" s="19" t="s">
        <v>626</v>
      </c>
    </row>
    <row r="294" spans="1:12">
      <c r="A294">
        <v>305</v>
      </c>
      <c r="B294" s="77"/>
      <c r="C294" s="19"/>
      <c r="D294" s="16"/>
      <c r="E294" s="16"/>
      <c r="F294" s="16"/>
      <c r="H294" s="16"/>
      <c r="I294" s="14"/>
      <c r="J294" s="14"/>
      <c r="K294" s="19"/>
    </row>
    <row r="295" spans="1:12">
      <c r="A295">
        <v>306</v>
      </c>
      <c r="B295" s="77" t="s">
        <v>372</v>
      </c>
      <c r="C295" s="1" t="s">
        <v>624</v>
      </c>
      <c r="D295" s="1"/>
      <c r="E295" s="1"/>
      <c r="F295" s="1"/>
      <c r="G295" s="1"/>
      <c r="H295" s="1"/>
      <c r="I295" s="14">
        <v>653.54</v>
      </c>
      <c r="J295" s="14"/>
      <c r="K295" s="5" t="s">
        <v>877</v>
      </c>
      <c r="L295" s="1"/>
    </row>
    <row r="296" spans="1:12">
      <c r="A296">
        <v>307</v>
      </c>
      <c r="B296" s="77"/>
      <c r="C296" s="19" t="s">
        <v>625</v>
      </c>
      <c r="D296" s="16"/>
      <c r="E296" s="16"/>
      <c r="F296" s="16"/>
      <c r="H296" s="16"/>
      <c r="I296" s="14">
        <f>I295*0.6</f>
        <v>392.12399999999997</v>
      </c>
      <c r="J296" s="14"/>
      <c r="K296" s="19" t="s">
        <v>626</v>
      </c>
    </row>
    <row r="297" spans="1:12">
      <c r="A297">
        <v>308</v>
      </c>
      <c r="B297" s="77"/>
      <c r="C297" s="39"/>
      <c r="D297" s="40"/>
      <c r="E297" s="40"/>
      <c r="F297" s="40"/>
      <c r="H297" s="40"/>
      <c r="I297" s="14"/>
      <c r="J297" s="14"/>
      <c r="K297" s="39"/>
    </row>
    <row r="298" spans="1:12">
      <c r="A298">
        <v>309</v>
      </c>
      <c r="B298" s="77" t="s">
        <v>373</v>
      </c>
      <c r="C298" s="39" t="s">
        <v>158</v>
      </c>
      <c r="D298" s="40" t="s">
        <v>157</v>
      </c>
      <c r="E298" s="23">
        <f>348.8*1.041</f>
        <v>363.10079999999999</v>
      </c>
      <c r="F298" s="40" t="s">
        <v>76</v>
      </c>
      <c r="H298" s="23">
        <f>E298</f>
        <v>363.10079999999999</v>
      </c>
      <c r="I298" s="23">
        <f>H298</f>
        <v>363.10079999999999</v>
      </c>
      <c r="J298" s="23"/>
      <c r="K298" s="39" t="s">
        <v>962</v>
      </c>
      <c r="L298" s="39"/>
    </row>
    <row r="299" spans="1:12">
      <c r="A299">
        <v>310</v>
      </c>
      <c r="B299" s="95"/>
      <c r="C299" s="5"/>
      <c r="D299" s="40"/>
      <c r="E299" s="40"/>
      <c r="F299" s="40"/>
      <c r="G299" s="40"/>
      <c r="H299" s="23"/>
      <c r="I299" s="23"/>
      <c r="J299" s="23"/>
    </row>
    <row r="300" spans="1:12">
      <c r="A300">
        <v>311</v>
      </c>
      <c r="B300" s="77"/>
      <c r="C300" s="5">
        <v>0</v>
      </c>
      <c r="D300" s="40" t="s">
        <v>157</v>
      </c>
      <c r="E300" s="23">
        <f>0.506*E298</f>
        <v>183.72900479999998</v>
      </c>
      <c r="F300" s="40" t="s">
        <v>76</v>
      </c>
      <c r="G300" s="40"/>
      <c r="H300" s="23">
        <f>E300</f>
        <v>183.72900479999998</v>
      </c>
      <c r="I300" s="23">
        <f>H300</f>
        <v>183.72900479999998</v>
      </c>
      <c r="J300" s="23"/>
      <c r="K300" s="39" t="s">
        <v>937</v>
      </c>
    </row>
    <row r="301" spans="1:12">
      <c r="A301">
        <v>312</v>
      </c>
      <c r="B301" s="77"/>
      <c r="C301" s="19"/>
      <c r="D301" s="16"/>
      <c r="E301" s="16"/>
      <c r="F301" s="16"/>
      <c r="H301" s="16"/>
      <c r="I301" s="23"/>
      <c r="J301" s="23"/>
      <c r="K301" s="19"/>
    </row>
    <row r="302" spans="1:12">
      <c r="A302">
        <v>313</v>
      </c>
      <c r="B302" s="77" t="s">
        <v>371</v>
      </c>
      <c r="C302" s="3" t="s">
        <v>264</v>
      </c>
      <c r="D302" s="12" t="s">
        <v>157</v>
      </c>
      <c r="E302" s="17">
        <v>1543</v>
      </c>
      <c r="F302" s="12" t="s">
        <v>76</v>
      </c>
      <c r="H302" s="17">
        <v>1543</v>
      </c>
      <c r="I302" s="23">
        <v>1543</v>
      </c>
      <c r="J302" s="23"/>
      <c r="K302" s="3" t="s">
        <v>698</v>
      </c>
    </row>
    <row r="303" spans="1:12">
      <c r="A303">
        <v>314</v>
      </c>
      <c r="B303" s="77"/>
      <c r="C303" s="3" t="s">
        <v>436</v>
      </c>
      <c r="D303" s="12" t="s">
        <v>157</v>
      </c>
      <c r="E303" s="17">
        <v>3552</v>
      </c>
      <c r="F303" s="16" t="s">
        <v>76</v>
      </c>
      <c r="H303" s="17">
        <v>3552</v>
      </c>
      <c r="I303" s="28">
        <v>3552</v>
      </c>
      <c r="J303" s="28"/>
      <c r="K303" s="19" t="s">
        <v>698</v>
      </c>
    </row>
    <row r="304" spans="1:12">
      <c r="A304">
        <v>315</v>
      </c>
      <c r="B304" s="77"/>
      <c r="C304" s="3" t="s">
        <v>332</v>
      </c>
      <c r="D304" s="12" t="s">
        <v>157</v>
      </c>
      <c r="E304" s="17">
        <v>2348</v>
      </c>
      <c r="F304" s="16" t="s">
        <v>76</v>
      </c>
      <c r="H304" s="17">
        <v>2348</v>
      </c>
      <c r="I304" s="28">
        <v>2348</v>
      </c>
      <c r="J304" s="28"/>
      <c r="K304" s="19" t="s">
        <v>698</v>
      </c>
    </row>
    <row r="305" spans="1:11">
      <c r="A305">
        <v>316</v>
      </c>
      <c r="B305" s="77"/>
      <c r="C305" s="19"/>
      <c r="D305" s="16"/>
      <c r="E305" s="17"/>
      <c r="F305" s="16"/>
      <c r="H305" s="17"/>
      <c r="I305" s="29">
        <f>SUM(I302:I304)/3</f>
        <v>2481</v>
      </c>
      <c r="J305" s="29"/>
      <c r="K305" s="19"/>
    </row>
    <row r="306" spans="1:11">
      <c r="A306">
        <v>317</v>
      </c>
      <c r="B306" s="77"/>
      <c r="C306" s="19"/>
      <c r="D306" s="16"/>
      <c r="E306" s="17"/>
      <c r="F306" s="16"/>
      <c r="H306" s="17"/>
      <c r="I306" s="28"/>
      <c r="J306" s="28"/>
      <c r="K306" s="19"/>
    </row>
    <row r="307" spans="1:11">
      <c r="A307">
        <v>318</v>
      </c>
      <c r="B307" s="77"/>
      <c r="C307" s="3" t="s">
        <v>265</v>
      </c>
      <c r="D307" s="12" t="s">
        <v>157</v>
      </c>
      <c r="E307" s="12">
        <v>700</v>
      </c>
      <c r="F307" s="12" t="s">
        <v>76</v>
      </c>
      <c r="H307" s="12">
        <v>700</v>
      </c>
      <c r="I307" s="23">
        <v>700</v>
      </c>
      <c r="J307" s="23"/>
      <c r="K307" s="19" t="s">
        <v>698</v>
      </c>
    </row>
    <row r="308" spans="1:11">
      <c r="A308">
        <v>319</v>
      </c>
      <c r="B308" s="77"/>
      <c r="C308" s="3" t="s">
        <v>437</v>
      </c>
      <c r="D308" s="12" t="s">
        <v>157</v>
      </c>
      <c r="E308" s="12">
        <v>995</v>
      </c>
      <c r="F308" s="12" t="s">
        <v>76</v>
      </c>
      <c r="H308" s="12">
        <v>995</v>
      </c>
      <c r="I308" s="23">
        <v>995</v>
      </c>
      <c r="J308" s="23"/>
      <c r="K308" s="19" t="s">
        <v>698</v>
      </c>
    </row>
    <row r="309" spans="1:11">
      <c r="A309">
        <v>320</v>
      </c>
      <c r="B309" s="77"/>
      <c r="C309" s="3" t="s">
        <v>333</v>
      </c>
      <c r="D309" s="12" t="s">
        <v>157</v>
      </c>
      <c r="E309" s="12">
        <v>1800</v>
      </c>
      <c r="F309" s="16" t="s">
        <v>76</v>
      </c>
      <c r="H309" s="16">
        <v>1800</v>
      </c>
      <c r="I309" s="23">
        <v>1800</v>
      </c>
      <c r="J309" s="23"/>
      <c r="K309" s="19" t="s">
        <v>698</v>
      </c>
    </row>
    <row r="310" spans="1:11">
      <c r="A310">
        <v>321</v>
      </c>
      <c r="B310" s="77"/>
      <c r="C310" s="19"/>
      <c r="D310" s="16"/>
      <c r="E310" s="16"/>
      <c r="F310" s="16"/>
      <c r="H310" s="16"/>
      <c r="I310" s="14">
        <f>SUM(I307:I309)/3</f>
        <v>1165</v>
      </c>
      <c r="J310" s="14"/>
      <c r="K310" s="19"/>
    </row>
    <row r="311" spans="1:11">
      <c r="A311">
        <v>322</v>
      </c>
      <c r="B311" s="77"/>
      <c r="C311" s="19"/>
      <c r="D311" s="16"/>
      <c r="E311" s="16"/>
      <c r="F311" s="16"/>
      <c r="H311" s="16"/>
      <c r="I311" s="23"/>
      <c r="J311" s="23"/>
      <c r="K311" s="19"/>
    </row>
    <row r="312" spans="1:11">
      <c r="A312">
        <v>323</v>
      </c>
      <c r="B312" s="77"/>
      <c r="C312" s="3" t="s">
        <v>425</v>
      </c>
      <c r="D312" s="12" t="s">
        <v>157</v>
      </c>
      <c r="E312" s="12">
        <v>3000</v>
      </c>
      <c r="F312" s="16" t="s">
        <v>76</v>
      </c>
      <c r="H312" s="16">
        <v>3000</v>
      </c>
      <c r="I312" s="23">
        <v>3000</v>
      </c>
      <c r="J312" s="23"/>
      <c r="K312" s="19" t="s">
        <v>698</v>
      </c>
    </row>
    <row r="313" spans="1:11">
      <c r="A313">
        <v>324</v>
      </c>
      <c r="B313" s="77"/>
      <c r="C313" s="3" t="s">
        <v>335</v>
      </c>
      <c r="D313" s="12" t="s">
        <v>157</v>
      </c>
      <c r="E313" s="12">
        <v>1800</v>
      </c>
      <c r="F313" s="16" t="s">
        <v>76</v>
      </c>
      <c r="H313" s="16">
        <v>1800</v>
      </c>
      <c r="I313" s="23">
        <v>1800</v>
      </c>
      <c r="J313" s="23"/>
      <c r="K313" s="19" t="s">
        <v>698</v>
      </c>
    </row>
    <row r="314" spans="1:11">
      <c r="A314">
        <v>325</v>
      </c>
      <c r="B314" s="77"/>
      <c r="C314" s="19"/>
      <c r="D314" s="16"/>
      <c r="E314" s="16"/>
      <c r="F314" s="16"/>
      <c r="H314" s="16"/>
      <c r="I314" s="14">
        <f>SUM(I312:I313)/2</f>
        <v>2400</v>
      </c>
      <c r="J314" s="14"/>
      <c r="K314" s="19"/>
    </row>
    <row r="315" spans="1:11">
      <c r="A315">
        <v>326</v>
      </c>
      <c r="B315" s="77"/>
      <c r="C315" s="19"/>
      <c r="D315" s="16"/>
      <c r="E315" s="16"/>
      <c r="F315" s="16"/>
      <c r="H315" s="16"/>
      <c r="I315" s="23"/>
      <c r="J315" s="23"/>
      <c r="K315" s="19"/>
    </row>
    <row r="316" spans="1:11">
      <c r="A316">
        <v>327</v>
      </c>
      <c r="B316" s="77"/>
      <c r="C316" s="3" t="s">
        <v>426</v>
      </c>
      <c r="D316" s="12" t="s">
        <v>157</v>
      </c>
      <c r="E316" s="12">
        <v>1800</v>
      </c>
      <c r="F316" s="16" t="s">
        <v>76</v>
      </c>
      <c r="H316" s="16">
        <v>1800</v>
      </c>
      <c r="I316" s="23">
        <v>1800</v>
      </c>
      <c r="J316" s="23"/>
      <c r="K316" s="19" t="s">
        <v>698</v>
      </c>
    </row>
    <row r="317" spans="1:11">
      <c r="A317">
        <v>328</v>
      </c>
      <c r="B317" s="77"/>
      <c r="C317" s="3" t="s">
        <v>336</v>
      </c>
      <c r="D317" s="12" t="s">
        <v>157</v>
      </c>
      <c r="E317" s="12">
        <v>3000</v>
      </c>
      <c r="F317" s="16" t="s">
        <v>76</v>
      </c>
      <c r="H317" s="16">
        <v>3000</v>
      </c>
      <c r="I317" s="23">
        <v>3000</v>
      </c>
      <c r="J317" s="23"/>
      <c r="K317" s="19" t="s">
        <v>698</v>
      </c>
    </row>
    <row r="318" spans="1:11">
      <c r="A318">
        <v>329</v>
      </c>
      <c r="B318" s="77"/>
      <c r="C318" s="19"/>
      <c r="D318" s="16"/>
      <c r="E318" s="16"/>
      <c r="F318" s="16"/>
      <c r="H318" s="16"/>
      <c r="I318" s="14">
        <f>SUM(I316:I317)/2</f>
        <v>2400</v>
      </c>
      <c r="J318" s="14"/>
      <c r="K318" s="19"/>
    </row>
    <row r="319" spans="1:11">
      <c r="A319">
        <v>330</v>
      </c>
      <c r="B319" s="77"/>
      <c r="C319" s="19"/>
      <c r="D319" s="16"/>
      <c r="E319" s="16"/>
      <c r="F319" s="16"/>
      <c r="H319" s="16"/>
      <c r="I319" s="23"/>
      <c r="J319" s="23"/>
      <c r="K319" s="19"/>
    </row>
    <row r="320" spans="1:11">
      <c r="A320">
        <v>331</v>
      </c>
      <c r="B320" s="77"/>
      <c r="C320" s="3" t="s">
        <v>427</v>
      </c>
      <c r="D320" s="12" t="s">
        <v>157</v>
      </c>
      <c r="E320" s="12">
        <v>1500</v>
      </c>
      <c r="F320" s="16" t="s">
        <v>76</v>
      </c>
      <c r="H320" s="16">
        <v>1500</v>
      </c>
      <c r="I320" s="23">
        <v>1500</v>
      </c>
      <c r="J320" s="23"/>
      <c r="K320" s="19" t="s">
        <v>698</v>
      </c>
    </row>
    <row r="321" spans="1:12">
      <c r="A321">
        <v>332</v>
      </c>
      <c r="B321" s="77"/>
      <c r="C321" s="3" t="s">
        <v>334</v>
      </c>
      <c r="D321" s="12" t="s">
        <v>157</v>
      </c>
      <c r="E321" s="12">
        <v>2000</v>
      </c>
      <c r="F321" s="16" t="s">
        <v>76</v>
      </c>
      <c r="H321" s="16">
        <v>2000</v>
      </c>
      <c r="I321" s="23">
        <v>2000</v>
      </c>
      <c r="J321" s="23"/>
      <c r="K321" s="19" t="s">
        <v>698</v>
      </c>
    </row>
    <row r="322" spans="1:12">
      <c r="A322">
        <v>333</v>
      </c>
      <c r="B322" s="77"/>
      <c r="C322" s="19"/>
      <c r="D322" s="16"/>
      <c r="E322" s="16"/>
      <c r="F322" s="16"/>
      <c r="H322" s="16"/>
      <c r="I322" s="14">
        <f>SUM(I320:I321)/2</f>
        <v>1750</v>
      </c>
      <c r="J322" s="14"/>
      <c r="K322" s="19"/>
    </row>
    <row r="323" spans="1:12">
      <c r="A323">
        <v>334</v>
      </c>
      <c r="B323" s="77"/>
      <c r="C323" s="19"/>
      <c r="D323" s="16"/>
      <c r="E323" s="16"/>
      <c r="F323" s="16"/>
      <c r="H323" s="16"/>
      <c r="I323" s="23"/>
      <c r="J323" s="23"/>
      <c r="K323" s="19"/>
    </row>
    <row r="324" spans="1:12">
      <c r="A324">
        <v>335</v>
      </c>
      <c r="B324" s="77"/>
      <c r="C324" s="3" t="s">
        <v>266</v>
      </c>
      <c r="D324" s="12" t="s">
        <v>157</v>
      </c>
      <c r="E324" s="12">
        <v>200</v>
      </c>
      <c r="F324" s="12" t="s">
        <v>76</v>
      </c>
      <c r="H324" s="12">
        <v>200</v>
      </c>
      <c r="I324" s="23">
        <v>200</v>
      </c>
      <c r="J324" s="23"/>
      <c r="K324" s="19" t="s">
        <v>698</v>
      </c>
    </row>
    <row r="325" spans="1:12">
      <c r="A325">
        <v>336</v>
      </c>
      <c r="B325" s="77"/>
      <c r="C325" s="3" t="s">
        <v>428</v>
      </c>
      <c r="D325" s="12" t="s">
        <v>157</v>
      </c>
      <c r="E325" s="12">
        <v>2100</v>
      </c>
      <c r="F325" s="12" t="s">
        <v>76</v>
      </c>
      <c r="H325" s="12">
        <v>2100</v>
      </c>
      <c r="I325" s="23">
        <v>2100</v>
      </c>
      <c r="J325" s="23"/>
      <c r="K325" s="19" t="s">
        <v>698</v>
      </c>
    </row>
    <row r="326" spans="1:12">
      <c r="A326">
        <v>337</v>
      </c>
      <c r="B326" s="77"/>
      <c r="C326" s="3" t="s">
        <v>145</v>
      </c>
      <c r="D326" s="2" t="s">
        <v>146</v>
      </c>
      <c r="E326" s="2">
        <v>69.61</v>
      </c>
      <c r="F326" s="2" t="s">
        <v>76</v>
      </c>
      <c r="H326" s="2">
        <v>69.61</v>
      </c>
      <c r="I326" s="23">
        <v>838.92</v>
      </c>
      <c r="J326" s="23"/>
      <c r="K326" s="3" t="s">
        <v>152</v>
      </c>
    </row>
    <row r="327" spans="1:12">
      <c r="A327">
        <v>338</v>
      </c>
      <c r="B327" s="77"/>
      <c r="C327" s="19"/>
      <c r="D327" s="16"/>
      <c r="E327" s="16"/>
      <c r="F327" s="16"/>
      <c r="H327" s="16"/>
      <c r="I327" s="14">
        <f>SUM(I324:I326)/3</f>
        <v>1046.3066666666666</v>
      </c>
      <c r="J327" s="14"/>
      <c r="K327" s="19"/>
    </row>
    <row r="328" spans="1:12">
      <c r="A328">
        <v>339</v>
      </c>
      <c r="B328" s="77"/>
      <c r="C328" s="19"/>
      <c r="D328" s="16"/>
      <c r="E328" s="16"/>
      <c r="F328" s="16"/>
      <c r="H328" s="16"/>
      <c r="I328" s="14"/>
      <c r="J328" s="14"/>
      <c r="K328" s="19"/>
    </row>
    <row r="329" spans="1:12">
      <c r="A329">
        <v>340</v>
      </c>
      <c r="B329" s="77"/>
      <c r="C329" s="19" t="s">
        <v>562</v>
      </c>
      <c r="D329" s="16" t="s">
        <v>157</v>
      </c>
      <c r="I329" s="15">
        <v>798.06</v>
      </c>
      <c r="J329" s="124"/>
      <c r="K329" s="19" t="s">
        <v>902</v>
      </c>
      <c r="L329" s="19"/>
    </row>
    <row r="330" spans="1:12">
      <c r="A330">
        <v>341</v>
      </c>
      <c r="B330" s="77"/>
      <c r="C330" s="19"/>
      <c r="D330" s="16"/>
      <c r="E330" s="16"/>
      <c r="F330" s="16"/>
      <c r="H330" s="16"/>
      <c r="I330" s="23"/>
      <c r="J330" s="23"/>
      <c r="K330" s="19"/>
      <c r="L330" s="19"/>
    </row>
    <row r="331" spans="1:12">
      <c r="A331">
        <v>342</v>
      </c>
      <c r="B331" s="77" t="s">
        <v>355</v>
      </c>
      <c r="C331" s="19" t="s">
        <v>562</v>
      </c>
      <c r="D331" s="16" t="s">
        <v>157</v>
      </c>
      <c r="I331" s="15">
        <v>441.51</v>
      </c>
      <c r="J331" s="124"/>
      <c r="K331" s="19" t="s">
        <v>902</v>
      </c>
    </row>
    <row r="332" spans="1:12">
      <c r="A332">
        <v>343</v>
      </c>
      <c r="B332" s="150"/>
      <c r="C332" s="19"/>
      <c r="D332" s="16"/>
      <c r="E332" s="16"/>
      <c r="F332" s="16"/>
      <c r="H332" s="16"/>
      <c r="I332" s="14"/>
      <c r="J332" s="14"/>
      <c r="K332" s="19"/>
    </row>
    <row r="333" spans="1:12">
      <c r="A333">
        <v>344</v>
      </c>
      <c r="B333" s="96" t="s">
        <v>70</v>
      </c>
      <c r="C333" s="3"/>
      <c r="D333" s="2"/>
      <c r="E333" s="2"/>
      <c r="F333" s="2"/>
      <c r="H333" s="2"/>
      <c r="I333" s="23"/>
      <c r="J333" s="23"/>
    </row>
    <row r="334" spans="1:12">
      <c r="A334">
        <v>345</v>
      </c>
      <c r="B334" s="67" t="s">
        <v>387</v>
      </c>
      <c r="C334" s="3" t="s">
        <v>74</v>
      </c>
      <c r="D334" s="2" t="s">
        <v>75</v>
      </c>
      <c r="E334" s="2">
        <v>0.68300000000000005</v>
      </c>
      <c r="F334" s="2" t="s">
        <v>76</v>
      </c>
      <c r="H334" s="2">
        <v>0.68300000000000005</v>
      </c>
      <c r="I334" s="23">
        <f>313*H334</f>
        <v>213.77900000000002</v>
      </c>
      <c r="J334" s="23"/>
      <c r="K334" s="3" t="s">
        <v>59</v>
      </c>
    </row>
    <row r="335" spans="1:12">
      <c r="A335">
        <v>346</v>
      </c>
      <c r="B335" s="96"/>
      <c r="C335" s="3" t="s">
        <v>74</v>
      </c>
      <c r="D335" s="2" t="s">
        <v>75</v>
      </c>
      <c r="E335" s="2">
        <v>0.88</v>
      </c>
      <c r="F335" s="2" t="s">
        <v>76</v>
      </c>
      <c r="H335" s="2">
        <v>0.88</v>
      </c>
      <c r="I335" s="23">
        <f>313*H335</f>
        <v>275.44</v>
      </c>
      <c r="J335" s="23"/>
      <c r="K335" s="3" t="s">
        <v>103</v>
      </c>
      <c r="L335" s="3"/>
    </row>
    <row r="336" spans="1:12">
      <c r="A336">
        <v>347</v>
      </c>
      <c r="B336" s="96"/>
      <c r="C336" s="19"/>
      <c r="D336" s="16"/>
      <c r="E336" s="16"/>
      <c r="F336" s="16"/>
      <c r="H336" s="16"/>
      <c r="I336" s="14">
        <f>SUM(I334:I335)/2</f>
        <v>244.60950000000003</v>
      </c>
      <c r="J336" s="14"/>
      <c r="K336" s="19"/>
      <c r="L336" s="19"/>
    </row>
    <row r="337" spans="1:12">
      <c r="A337">
        <v>348</v>
      </c>
      <c r="B337" s="67"/>
      <c r="C337" s="19" t="s">
        <v>628</v>
      </c>
      <c r="D337" s="16"/>
      <c r="E337" s="16"/>
      <c r="F337" s="16"/>
      <c r="G337" s="16"/>
      <c r="H337" s="23"/>
      <c r="I337" s="14">
        <f>I336*0.6</f>
        <v>146.76570000000001</v>
      </c>
      <c r="J337" s="14"/>
      <c r="K337" s="19" t="s">
        <v>626</v>
      </c>
    </row>
    <row r="338" spans="1:12">
      <c r="A338">
        <v>349</v>
      </c>
      <c r="B338" s="96"/>
      <c r="C338" s="19"/>
      <c r="D338" s="16"/>
      <c r="E338" s="16"/>
      <c r="F338" s="16"/>
      <c r="H338" s="16"/>
      <c r="I338" s="14"/>
      <c r="J338" s="14"/>
      <c r="K338" s="19"/>
      <c r="L338" s="19"/>
    </row>
    <row r="339" spans="1:12">
      <c r="A339">
        <v>350</v>
      </c>
      <c r="B339" s="67" t="s">
        <v>688</v>
      </c>
      <c r="C339" t="s">
        <v>244</v>
      </c>
      <c r="D339" s="16" t="s">
        <v>201</v>
      </c>
      <c r="E339" s="16">
        <v>1.2</v>
      </c>
      <c r="F339" s="16" t="s">
        <v>245</v>
      </c>
      <c r="G339" s="16">
        <f>E339</f>
        <v>1.2</v>
      </c>
      <c r="H339" s="23">
        <f>E339+G339</f>
        <v>2.4</v>
      </c>
      <c r="I339" s="14">
        <v>124.8</v>
      </c>
      <c r="J339" s="14"/>
      <c r="K339" s="19" t="s">
        <v>246</v>
      </c>
    </row>
    <row r="340" spans="1:12">
      <c r="A340">
        <v>351</v>
      </c>
      <c r="B340" s="67"/>
      <c r="C340" s="19" t="s">
        <v>627</v>
      </c>
      <c r="D340" s="16"/>
      <c r="E340" s="16"/>
      <c r="F340" s="16"/>
      <c r="H340" s="16"/>
      <c r="I340" s="14">
        <f>I339*0.6</f>
        <v>74.88</v>
      </c>
      <c r="J340" s="14"/>
      <c r="K340" s="19" t="s">
        <v>626</v>
      </c>
    </row>
    <row r="341" spans="1:12">
      <c r="A341">
        <v>352</v>
      </c>
      <c r="B341" s="96"/>
      <c r="C341" s="19"/>
      <c r="D341" s="16"/>
      <c r="E341" s="16"/>
      <c r="F341" s="16"/>
      <c r="H341" s="16"/>
      <c r="I341" s="23"/>
      <c r="J341" s="23"/>
      <c r="K341" s="19"/>
      <c r="L341" s="19"/>
    </row>
    <row r="342" spans="1:12">
      <c r="A342">
        <v>353</v>
      </c>
      <c r="B342" s="67" t="s">
        <v>104</v>
      </c>
      <c r="C342" s="3" t="s">
        <v>624</v>
      </c>
      <c r="D342" s="2" t="s">
        <v>75</v>
      </c>
      <c r="E342" s="2">
        <v>1.85</v>
      </c>
      <c r="F342" s="2" t="s">
        <v>76</v>
      </c>
      <c r="H342" s="2">
        <v>1.85</v>
      </c>
      <c r="I342" s="14">
        <f>313*H342</f>
        <v>579.05000000000007</v>
      </c>
      <c r="J342" s="14"/>
      <c r="K342" s="3" t="s">
        <v>143</v>
      </c>
      <c r="L342" s="3"/>
    </row>
    <row r="343" spans="1:12">
      <c r="A343">
        <v>354</v>
      </c>
      <c r="B343" s="67"/>
      <c r="C343" s="19" t="s">
        <v>625</v>
      </c>
      <c r="D343" s="16"/>
      <c r="E343" s="16"/>
      <c r="F343" s="16"/>
      <c r="H343" s="16"/>
      <c r="I343" s="14">
        <f>I342*0.6</f>
        <v>347.43</v>
      </c>
      <c r="J343" s="14"/>
      <c r="K343" s="19" t="s">
        <v>626</v>
      </c>
    </row>
    <row r="344" spans="1:12">
      <c r="A344">
        <v>355</v>
      </c>
      <c r="B344" s="67"/>
      <c r="C344" s="19"/>
      <c r="D344" s="16"/>
      <c r="E344" s="16"/>
      <c r="F344" s="16"/>
      <c r="H344" s="16"/>
      <c r="I344" s="14"/>
      <c r="J344" s="14"/>
      <c r="K344" s="19"/>
      <c r="L344" s="19"/>
    </row>
    <row r="345" spans="1:12">
      <c r="A345">
        <v>356</v>
      </c>
      <c r="B345" s="67" t="s">
        <v>372</v>
      </c>
      <c r="C345" s="1" t="s">
        <v>624</v>
      </c>
      <c r="D345" s="1"/>
      <c r="E345" s="1"/>
      <c r="F345" s="1"/>
      <c r="G345" s="1"/>
      <c r="H345" s="1"/>
      <c r="I345" s="14">
        <v>537.36</v>
      </c>
      <c r="J345" s="14"/>
      <c r="K345" s="5" t="s">
        <v>877</v>
      </c>
      <c r="L345" s="1"/>
    </row>
    <row r="346" spans="1:12">
      <c r="A346">
        <v>357</v>
      </c>
      <c r="B346" s="67"/>
      <c r="C346" s="19" t="s">
        <v>625</v>
      </c>
      <c r="D346" s="16"/>
      <c r="E346" s="16"/>
      <c r="F346" s="16"/>
      <c r="H346" s="16"/>
      <c r="I346" s="14">
        <f>I345*0.6</f>
        <v>322.416</v>
      </c>
      <c r="J346" s="14"/>
      <c r="K346" s="19" t="s">
        <v>626</v>
      </c>
    </row>
    <row r="347" spans="1:12">
      <c r="A347">
        <v>358</v>
      </c>
      <c r="B347" s="67"/>
      <c r="C347" s="39"/>
      <c r="D347" s="40"/>
      <c r="E347" s="40"/>
      <c r="F347" s="40"/>
      <c r="H347" s="40"/>
      <c r="I347" s="14"/>
      <c r="J347" s="14"/>
      <c r="K347" s="39"/>
    </row>
    <row r="348" spans="1:12">
      <c r="A348">
        <v>359</v>
      </c>
      <c r="B348" s="67" t="s">
        <v>373</v>
      </c>
      <c r="C348" s="39" t="s">
        <v>158</v>
      </c>
      <c r="D348" s="40" t="s">
        <v>157</v>
      </c>
      <c r="E348" s="23">
        <f>348.8*0.913</f>
        <v>318.45440000000002</v>
      </c>
      <c r="F348" s="40" t="s">
        <v>76</v>
      </c>
      <c r="H348" s="23">
        <f>E348</f>
        <v>318.45440000000002</v>
      </c>
      <c r="I348" s="23">
        <f>H348</f>
        <v>318.45440000000002</v>
      </c>
      <c r="J348" s="23"/>
      <c r="K348" s="39" t="s">
        <v>961</v>
      </c>
      <c r="L348" s="39"/>
    </row>
    <row r="349" spans="1:12">
      <c r="A349">
        <v>360</v>
      </c>
      <c r="B349" s="68"/>
      <c r="C349" s="5"/>
      <c r="D349" s="40"/>
      <c r="E349" s="40"/>
      <c r="F349" s="40"/>
      <c r="G349" s="40"/>
      <c r="H349" s="23"/>
      <c r="I349" s="23"/>
      <c r="J349" s="23"/>
    </row>
    <row r="350" spans="1:12">
      <c r="A350">
        <v>361</v>
      </c>
      <c r="B350" s="67"/>
      <c r="C350" s="5" t="s">
        <v>793</v>
      </c>
      <c r="D350" s="40" t="s">
        <v>157</v>
      </c>
      <c r="E350" s="23">
        <f>0.506*E348</f>
        <v>161.13792640000003</v>
      </c>
      <c r="F350" s="40" t="s">
        <v>76</v>
      </c>
      <c r="G350" s="40"/>
      <c r="H350" s="23">
        <f>E350</f>
        <v>161.13792640000003</v>
      </c>
      <c r="I350" s="23">
        <f>H350</f>
        <v>161.13792640000003</v>
      </c>
      <c r="J350" s="23"/>
      <c r="K350" s="39" t="s">
        <v>937</v>
      </c>
    </row>
    <row r="351" spans="1:12">
      <c r="A351">
        <v>362</v>
      </c>
      <c r="B351" s="67"/>
      <c r="C351" s="19"/>
      <c r="D351" s="16"/>
      <c r="E351" s="16"/>
      <c r="F351" s="16"/>
      <c r="H351" s="16"/>
      <c r="I351" s="23"/>
      <c r="J351" s="23"/>
      <c r="K351" s="19"/>
      <c r="L351" s="19"/>
    </row>
    <row r="352" spans="1:12">
      <c r="A352">
        <v>363</v>
      </c>
      <c r="B352" s="67" t="s">
        <v>371</v>
      </c>
      <c r="C352" s="3" t="s">
        <v>145</v>
      </c>
      <c r="D352" s="2" t="s">
        <v>146</v>
      </c>
      <c r="E352" s="2">
        <v>43.76</v>
      </c>
      <c r="F352" s="2" t="s">
        <v>76</v>
      </c>
      <c r="H352" s="2">
        <v>43.76</v>
      </c>
      <c r="I352" s="23">
        <v>525.12</v>
      </c>
      <c r="J352" s="23"/>
      <c r="K352" s="3" t="s">
        <v>151</v>
      </c>
      <c r="L352" s="3"/>
    </row>
    <row r="353" spans="1:12">
      <c r="A353">
        <v>364</v>
      </c>
      <c r="B353" s="67"/>
      <c r="C353" s="19" t="s">
        <v>274</v>
      </c>
      <c r="D353" s="16" t="s">
        <v>157</v>
      </c>
      <c r="E353" s="16">
        <v>750</v>
      </c>
      <c r="F353" s="16" t="s">
        <v>76</v>
      </c>
      <c r="H353" s="16">
        <v>750</v>
      </c>
      <c r="I353" s="23">
        <v>750</v>
      </c>
      <c r="J353" s="23"/>
      <c r="K353" s="19" t="s">
        <v>698</v>
      </c>
      <c r="L353" s="19"/>
    </row>
    <row r="354" spans="1:12">
      <c r="A354">
        <v>365</v>
      </c>
      <c r="B354" s="159"/>
      <c r="C354" s="19" t="s">
        <v>261</v>
      </c>
      <c r="D354" s="16" t="s">
        <v>157</v>
      </c>
      <c r="E354" s="16">
        <v>500</v>
      </c>
      <c r="F354" s="16" t="s">
        <v>76</v>
      </c>
      <c r="H354" s="16">
        <v>500</v>
      </c>
      <c r="I354" s="23">
        <v>500</v>
      </c>
      <c r="J354" s="23"/>
      <c r="K354" s="19" t="s">
        <v>698</v>
      </c>
      <c r="L354" s="19"/>
    </row>
    <row r="355" spans="1:12">
      <c r="A355">
        <v>366</v>
      </c>
      <c r="B355" s="160"/>
      <c r="C355" s="19" t="s">
        <v>612</v>
      </c>
      <c r="D355" s="16" t="s">
        <v>157</v>
      </c>
      <c r="E355" s="16">
        <v>750</v>
      </c>
      <c r="F355" s="16" t="s">
        <v>76</v>
      </c>
      <c r="H355" s="16">
        <v>750</v>
      </c>
      <c r="I355" s="23">
        <v>750</v>
      </c>
      <c r="J355" s="23"/>
      <c r="K355" s="19" t="s">
        <v>698</v>
      </c>
      <c r="L355" s="19"/>
    </row>
    <row r="356" spans="1:12">
      <c r="A356">
        <v>367</v>
      </c>
      <c r="B356" s="160"/>
      <c r="C356" s="19" t="s">
        <v>328</v>
      </c>
      <c r="D356" s="16" t="s">
        <v>157</v>
      </c>
      <c r="E356" s="16">
        <v>1500</v>
      </c>
      <c r="F356" s="16" t="s">
        <v>76</v>
      </c>
      <c r="H356" s="16">
        <v>1500</v>
      </c>
      <c r="I356" s="23">
        <v>1500</v>
      </c>
      <c r="J356" s="23"/>
      <c r="K356" s="19" t="s">
        <v>698</v>
      </c>
      <c r="L356" s="19"/>
    </row>
    <row r="357" spans="1:12">
      <c r="A357">
        <v>368</v>
      </c>
      <c r="B357" s="160"/>
      <c r="C357" s="19" t="s">
        <v>346</v>
      </c>
      <c r="D357" s="16" t="s">
        <v>157</v>
      </c>
      <c r="E357" s="16">
        <v>2000</v>
      </c>
      <c r="F357" s="16" t="s">
        <v>76</v>
      </c>
      <c r="H357" s="16">
        <v>2000</v>
      </c>
      <c r="I357" s="23">
        <v>2000</v>
      </c>
      <c r="J357" s="23"/>
      <c r="K357" s="19" t="s">
        <v>698</v>
      </c>
      <c r="L357" s="19"/>
    </row>
    <row r="358" spans="1:12" s="145" customFormat="1">
      <c r="A358" s="145">
        <v>81</v>
      </c>
      <c r="B358" s="161"/>
      <c r="C358" s="147" t="s">
        <v>683</v>
      </c>
      <c r="D358" s="148" t="s">
        <v>157</v>
      </c>
      <c r="E358" s="148">
        <v>1817</v>
      </c>
      <c r="F358" s="148" t="s">
        <v>76</v>
      </c>
      <c r="H358" s="148">
        <v>1817</v>
      </c>
      <c r="I358" s="149">
        <v>1817</v>
      </c>
      <c r="J358" s="149"/>
      <c r="K358" s="147" t="s">
        <v>698</v>
      </c>
      <c r="L358" s="147"/>
    </row>
    <row r="359" spans="1:12" s="145" customFormat="1">
      <c r="A359" s="145">
        <v>82</v>
      </c>
      <c r="B359" s="161"/>
      <c r="C359" s="147" t="s">
        <v>269</v>
      </c>
      <c r="D359" s="148" t="s">
        <v>157</v>
      </c>
      <c r="E359" s="148">
        <v>1100</v>
      </c>
      <c r="F359" s="148" t="s">
        <v>76</v>
      </c>
      <c r="H359" s="148">
        <v>1100</v>
      </c>
      <c r="I359" s="149">
        <v>1100</v>
      </c>
      <c r="J359" s="149"/>
      <c r="K359" s="147" t="s">
        <v>698</v>
      </c>
      <c r="L359" s="147"/>
    </row>
    <row r="360" spans="1:12" s="145" customFormat="1">
      <c r="A360" s="145">
        <v>83</v>
      </c>
      <c r="B360" s="161"/>
      <c r="C360" s="147" t="s">
        <v>728</v>
      </c>
      <c r="D360" s="148" t="s">
        <v>157</v>
      </c>
      <c r="E360" s="148">
        <v>1100</v>
      </c>
      <c r="F360" s="148" t="s">
        <v>76</v>
      </c>
      <c r="H360" s="148">
        <v>1100</v>
      </c>
      <c r="I360" s="149">
        <v>1100</v>
      </c>
      <c r="J360" s="149"/>
      <c r="K360" s="147" t="s">
        <v>698</v>
      </c>
      <c r="L360" s="147"/>
    </row>
    <row r="361" spans="1:12" s="145" customFormat="1">
      <c r="A361" s="145">
        <v>369</v>
      </c>
      <c r="B361" s="160"/>
      <c r="C361" s="150" t="s">
        <v>496</v>
      </c>
      <c r="D361" s="148"/>
      <c r="E361" s="148"/>
      <c r="F361" s="148"/>
      <c r="H361" s="148"/>
      <c r="I361" s="151">
        <f ca="1">SUM(I352:I360)/9</f>
        <v>1115.7911111111109</v>
      </c>
      <c r="J361" s="151"/>
      <c r="K361" s="147"/>
      <c r="L361" s="147"/>
    </row>
    <row r="362" spans="1:12" s="145" customFormat="1">
      <c r="A362" s="145">
        <v>370</v>
      </c>
      <c r="B362" s="160"/>
      <c r="C362" s="147"/>
      <c r="D362" s="148"/>
      <c r="E362" s="148"/>
      <c r="F362" s="148"/>
      <c r="H362" s="148"/>
      <c r="I362" s="149"/>
      <c r="J362" s="149"/>
      <c r="K362" s="147"/>
      <c r="L362" s="147"/>
    </row>
    <row r="363" spans="1:12" s="145" customFormat="1">
      <c r="A363" s="145">
        <v>371</v>
      </c>
      <c r="B363" s="160"/>
      <c r="C363" s="147" t="s">
        <v>270</v>
      </c>
      <c r="D363" s="148" t="s">
        <v>157</v>
      </c>
      <c r="E363" s="148">
        <v>2804</v>
      </c>
      <c r="F363" s="148" t="s">
        <v>76</v>
      </c>
      <c r="H363" s="148">
        <v>2804</v>
      </c>
      <c r="I363" s="149">
        <v>2804</v>
      </c>
      <c r="J363" s="149"/>
      <c r="K363" s="147" t="s">
        <v>698</v>
      </c>
      <c r="L363" s="147"/>
    </row>
    <row r="364" spans="1:12" s="145" customFormat="1">
      <c r="A364" s="145">
        <v>372</v>
      </c>
      <c r="B364" s="159"/>
      <c r="C364" s="147" t="s">
        <v>260</v>
      </c>
      <c r="D364" s="148" t="s">
        <v>157</v>
      </c>
      <c r="E364" s="148">
        <v>2500</v>
      </c>
      <c r="F364" s="148" t="s">
        <v>76</v>
      </c>
      <c r="H364" s="148">
        <v>2500</v>
      </c>
      <c r="I364" s="149">
        <v>2500</v>
      </c>
      <c r="J364" s="149"/>
      <c r="K364" s="147" t="s">
        <v>698</v>
      </c>
      <c r="L364" s="147"/>
    </row>
    <row r="365" spans="1:12" s="145" customFormat="1">
      <c r="A365" s="145">
        <v>373</v>
      </c>
      <c r="B365" s="159"/>
      <c r="C365" s="147" t="s">
        <v>614</v>
      </c>
      <c r="D365" s="148" t="s">
        <v>157</v>
      </c>
      <c r="E365" s="148">
        <v>2115</v>
      </c>
      <c r="F365" s="148" t="s">
        <v>76</v>
      </c>
      <c r="H365" s="148">
        <v>2115</v>
      </c>
      <c r="I365" s="149">
        <v>2115</v>
      </c>
      <c r="J365" s="149"/>
      <c r="K365" s="147" t="s">
        <v>698</v>
      </c>
      <c r="L365" s="147"/>
    </row>
    <row r="366" spans="1:12" s="145" customFormat="1">
      <c r="A366" s="145">
        <v>374</v>
      </c>
      <c r="B366" s="159"/>
      <c r="C366" s="147" t="s">
        <v>326</v>
      </c>
      <c r="D366" s="148" t="s">
        <v>157</v>
      </c>
      <c r="E366" s="148">
        <v>3045</v>
      </c>
      <c r="F366" s="148" t="s">
        <v>76</v>
      </c>
      <c r="H366" s="148">
        <v>3045</v>
      </c>
      <c r="I366" s="149">
        <v>3045</v>
      </c>
      <c r="J366" s="149"/>
      <c r="K366" s="147" t="s">
        <v>698</v>
      </c>
      <c r="L366" s="147"/>
    </row>
    <row r="367" spans="1:12" s="145" customFormat="1">
      <c r="A367" s="145">
        <v>375</v>
      </c>
      <c r="B367" s="159"/>
      <c r="C367" s="147" t="s">
        <v>342</v>
      </c>
      <c r="D367" s="148" t="s">
        <v>157</v>
      </c>
      <c r="E367" s="148">
        <v>2300</v>
      </c>
      <c r="F367" s="148" t="s">
        <v>76</v>
      </c>
      <c r="H367" s="148">
        <v>2300</v>
      </c>
      <c r="I367" s="149">
        <v>2300</v>
      </c>
      <c r="J367" s="149"/>
      <c r="K367" s="147" t="s">
        <v>698</v>
      </c>
      <c r="L367" s="147"/>
    </row>
    <row r="368" spans="1:12" s="145" customFormat="1">
      <c r="A368" s="145">
        <v>114</v>
      </c>
      <c r="B368" s="161"/>
      <c r="C368" s="147" t="s">
        <v>686</v>
      </c>
      <c r="D368" s="148" t="s">
        <v>157</v>
      </c>
      <c r="E368" s="152">
        <v>5542</v>
      </c>
      <c r="F368" s="148" t="s">
        <v>76</v>
      </c>
      <c r="H368" s="152">
        <v>5542</v>
      </c>
      <c r="I368" s="149">
        <v>5542</v>
      </c>
      <c r="J368" s="149"/>
      <c r="K368" s="147" t="s">
        <v>698</v>
      </c>
      <c r="L368" s="147"/>
    </row>
    <row r="369" spans="1:12" s="145" customFormat="1">
      <c r="A369" s="145">
        <v>115</v>
      </c>
      <c r="B369" s="161"/>
      <c r="C369" s="147" t="s">
        <v>686</v>
      </c>
      <c r="D369" s="148" t="s">
        <v>157</v>
      </c>
      <c r="E369" s="152">
        <v>2240</v>
      </c>
      <c r="F369" s="148" t="s">
        <v>76</v>
      </c>
      <c r="H369" s="152">
        <v>2240</v>
      </c>
      <c r="I369" s="149">
        <v>2240</v>
      </c>
      <c r="J369" s="149"/>
      <c r="K369" s="147" t="s">
        <v>698</v>
      </c>
      <c r="L369" s="147"/>
    </row>
    <row r="370" spans="1:12" s="145" customFormat="1">
      <c r="A370" s="145">
        <v>116</v>
      </c>
      <c r="B370" s="161"/>
      <c r="C370" s="147" t="s">
        <v>268</v>
      </c>
      <c r="D370" s="148" t="s">
        <v>157</v>
      </c>
      <c r="E370" s="152">
        <v>1100</v>
      </c>
      <c r="F370" s="148" t="s">
        <v>76</v>
      </c>
      <c r="H370" s="152">
        <v>1100</v>
      </c>
      <c r="I370" s="149">
        <v>1100</v>
      </c>
      <c r="J370" s="149"/>
      <c r="K370" s="147" t="s">
        <v>698</v>
      </c>
      <c r="L370" s="147"/>
    </row>
    <row r="371" spans="1:12" s="145" customFormat="1">
      <c r="A371" s="145">
        <v>117</v>
      </c>
      <c r="B371" s="161"/>
      <c r="C371" s="147" t="s">
        <v>567</v>
      </c>
      <c r="D371" s="148" t="s">
        <v>157</v>
      </c>
      <c r="E371" s="152">
        <v>2219</v>
      </c>
      <c r="F371" s="148" t="s">
        <v>76</v>
      </c>
      <c r="H371" s="152">
        <v>2219</v>
      </c>
      <c r="I371" s="149">
        <v>2219</v>
      </c>
      <c r="J371" s="149"/>
      <c r="K371" s="147" t="s">
        <v>698</v>
      </c>
      <c r="L371" s="147"/>
    </row>
    <row r="372" spans="1:12" s="145" customFormat="1">
      <c r="A372" s="145">
        <v>376</v>
      </c>
      <c r="B372" s="159"/>
      <c r="C372" s="150" t="s">
        <v>496</v>
      </c>
      <c r="D372" s="148"/>
      <c r="E372" s="148"/>
      <c r="F372" s="148"/>
      <c r="H372" s="148"/>
      <c r="I372" s="151">
        <f ca="1">SUM(I363:I371)/9</f>
        <v>2651.6666666666665</v>
      </c>
      <c r="J372" s="151"/>
      <c r="K372" s="147"/>
      <c r="L372" s="147"/>
    </row>
    <row r="373" spans="1:12" s="145" customFormat="1">
      <c r="A373" s="145">
        <v>377</v>
      </c>
      <c r="B373" s="159"/>
      <c r="C373" s="147"/>
      <c r="D373" s="148"/>
      <c r="E373" s="148"/>
      <c r="F373" s="148"/>
      <c r="H373" s="148"/>
      <c r="I373" s="149"/>
      <c r="J373" s="149"/>
      <c r="K373" s="147"/>
      <c r="L373" s="147"/>
    </row>
    <row r="374" spans="1:12" s="145" customFormat="1">
      <c r="A374" s="145">
        <v>378</v>
      </c>
      <c r="B374" s="160"/>
      <c r="C374" s="147" t="s">
        <v>271</v>
      </c>
      <c r="D374" s="148" t="s">
        <v>157</v>
      </c>
      <c r="E374" s="148">
        <v>225</v>
      </c>
      <c r="F374" s="148" t="s">
        <v>76</v>
      </c>
      <c r="H374" s="148">
        <v>225</v>
      </c>
      <c r="I374" s="149">
        <v>225</v>
      </c>
      <c r="J374" s="149"/>
      <c r="K374" s="147" t="s">
        <v>698</v>
      </c>
      <c r="L374" s="147"/>
    </row>
    <row r="375" spans="1:12" s="145" customFormat="1">
      <c r="A375" s="145">
        <v>379</v>
      </c>
      <c r="B375" s="159"/>
      <c r="C375" s="147" t="s">
        <v>262</v>
      </c>
      <c r="D375" s="148" t="s">
        <v>157</v>
      </c>
      <c r="E375" s="148">
        <v>800</v>
      </c>
      <c r="F375" s="148" t="s">
        <v>76</v>
      </c>
      <c r="H375" s="148">
        <v>800</v>
      </c>
      <c r="I375" s="149">
        <v>800</v>
      </c>
      <c r="J375" s="149"/>
      <c r="K375" s="147" t="s">
        <v>698</v>
      </c>
      <c r="L375" s="147"/>
    </row>
    <row r="376" spans="1:12" s="145" customFormat="1">
      <c r="A376" s="145">
        <v>380</v>
      </c>
      <c r="B376" s="159"/>
      <c r="C376" s="147" t="s">
        <v>343</v>
      </c>
      <c r="D376" s="148" t="s">
        <v>157</v>
      </c>
      <c r="E376" s="148">
        <v>1500</v>
      </c>
      <c r="F376" s="148" t="s">
        <v>76</v>
      </c>
      <c r="H376" s="148">
        <v>1500</v>
      </c>
      <c r="I376" s="149">
        <v>1500</v>
      </c>
      <c r="J376" s="149"/>
      <c r="K376" s="147" t="s">
        <v>698</v>
      </c>
      <c r="L376" s="147"/>
    </row>
    <row r="377" spans="1:12" s="145" customFormat="1">
      <c r="A377" s="145">
        <v>94</v>
      </c>
      <c r="B377" s="161"/>
      <c r="C377" s="147" t="s">
        <v>684</v>
      </c>
      <c r="D377" s="148" t="s">
        <v>157</v>
      </c>
      <c r="E377" s="152">
        <v>3200</v>
      </c>
      <c r="F377" s="148" t="s">
        <v>76</v>
      </c>
      <c r="H377" s="152">
        <v>3200</v>
      </c>
      <c r="I377" s="149">
        <v>3200</v>
      </c>
      <c r="J377" s="149"/>
      <c r="K377" s="147" t="s">
        <v>698</v>
      </c>
      <c r="L377" s="147"/>
    </row>
    <row r="378" spans="1:12" s="145" customFormat="1">
      <c r="A378" s="145">
        <v>95</v>
      </c>
      <c r="B378" s="161"/>
      <c r="C378" s="147" t="s">
        <v>568</v>
      </c>
      <c r="D378" s="148" t="s">
        <v>157</v>
      </c>
      <c r="E378" s="152">
        <v>1500</v>
      </c>
      <c r="F378" s="148" t="s">
        <v>76</v>
      </c>
      <c r="H378" s="152">
        <v>1500</v>
      </c>
      <c r="I378" s="149">
        <v>1500</v>
      </c>
      <c r="J378" s="149"/>
      <c r="K378" s="147" t="s">
        <v>698</v>
      </c>
      <c r="L378" s="147"/>
    </row>
    <row r="379" spans="1:12" s="145" customFormat="1">
      <c r="A379" s="145">
        <v>381</v>
      </c>
      <c r="B379" s="159"/>
      <c r="C379" s="150" t="s">
        <v>496</v>
      </c>
      <c r="D379" s="148"/>
      <c r="E379" s="148"/>
      <c r="F379" s="148"/>
      <c r="H379" s="148"/>
      <c r="I379" s="151">
        <f ca="1">SUM(I374:I378)/5</f>
        <v>1445</v>
      </c>
      <c r="J379" s="151"/>
      <c r="K379" s="147"/>
      <c r="L379" s="147"/>
    </row>
    <row r="380" spans="1:12" s="145" customFormat="1">
      <c r="A380" s="145">
        <v>382</v>
      </c>
      <c r="B380" s="159"/>
      <c r="C380" s="147"/>
      <c r="D380" s="148"/>
      <c r="E380" s="148"/>
      <c r="F380" s="148"/>
      <c r="H380" s="148"/>
      <c r="I380" s="149"/>
      <c r="J380" s="149"/>
      <c r="K380" s="147"/>
      <c r="L380" s="147"/>
    </row>
    <row r="381" spans="1:12" s="145" customFormat="1">
      <c r="A381" s="145">
        <v>383</v>
      </c>
      <c r="B381" s="160"/>
      <c r="C381" s="147" t="s">
        <v>272</v>
      </c>
      <c r="D381" s="148" t="s">
        <v>157</v>
      </c>
      <c r="E381" s="148">
        <v>2000</v>
      </c>
      <c r="F381" s="148" t="s">
        <v>76</v>
      </c>
      <c r="H381" s="148">
        <v>2000</v>
      </c>
      <c r="I381" s="149">
        <v>2000</v>
      </c>
      <c r="J381" s="149"/>
      <c r="K381" s="147" t="s">
        <v>698</v>
      </c>
      <c r="L381" s="147"/>
    </row>
    <row r="382" spans="1:12" s="145" customFormat="1">
      <c r="A382" s="145">
        <v>384</v>
      </c>
      <c r="B382" s="160"/>
      <c r="C382" s="147" t="s">
        <v>616</v>
      </c>
      <c r="D382" s="148" t="s">
        <v>157</v>
      </c>
      <c r="E382" s="148">
        <v>2000</v>
      </c>
      <c r="F382" s="148" t="s">
        <v>76</v>
      </c>
      <c r="H382" s="148">
        <v>2000</v>
      </c>
      <c r="I382" s="149">
        <v>2000</v>
      </c>
      <c r="J382" s="149"/>
      <c r="K382" s="147" t="s">
        <v>698</v>
      </c>
      <c r="L382" s="147"/>
    </row>
    <row r="383" spans="1:12" s="145" customFormat="1">
      <c r="A383" s="145">
        <v>385</v>
      </c>
      <c r="B383" s="160"/>
      <c r="C383" s="147" t="s">
        <v>327</v>
      </c>
      <c r="D383" s="148" t="s">
        <v>157</v>
      </c>
      <c r="E383" s="148">
        <v>2600</v>
      </c>
      <c r="F383" s="148" t="s">
        <v>76</v>
      </c>
      <c r="H383" s="148">
        <v>2600</v>
      </c>
      <c r="I383" s="149">
        <v>2600</v>
      </c>
      <c r="J383" s="149"/>
      <c r="K383" s="147" t="s">
        <v>698</v>
      </c>
      <c r="L383" s="147"/>
    </row>
    <row r="384" spans="1:12" s="145" customFormat="1">
      <c r="A384" s="145">
        <v>386</v>
      </c>
      <c r="B384" s="160"/>
      <c r="C384" s="147" t="s">
        <v>345</v>
      </c>
      <c r="D384" s="148" t="s">
        <v>157</v>
      </c>
      <c r="E384" s="148">
        <v>2000</v>
      </c>
      <c r="F384" s="148" t="s">
        <v>76</v>
      </c>
      <c r="H384" s="148">
        <v>2000</v>
      </c>
      <c r="I384" s="149">
        <v>2000</v>
      </c>
      <c r="J384" s="149"/>
      <c r="K384" s="147" t="s">
        <v>698</v>
      </c>
      <c r="L384" s="147"/>
    </row>
    <row r="385" spans="1:12" s="145" customFormat="1">
      <c r="A385" s="145">
        <v>89</v>
      </c>
      <c r="B385" s="161"/>
      <c r="C385" s="147" t="s">
        <v>256</v>
      </c>
      <c r="D385" s="148" t="s">
        <v>157</v>
      </c>
      <c r="E385" s="152">
        <v>2397</v>
      </c>
      <c r="F385" s="148" t="s">
        <v>76</v>
      </c>
      <c r="H385" s="152">
        <v>2397</v>
      </c>
      <c r="I385" s="149">
        <v>2397</v>
      </c>
      <c r="J385" s="149"/>
      <c r="K385" s="147" t="s">
        <v>698</v>
      </c>
      <c r="L385" s="147"/>
    </row>
    <row r="386" spans="1:12" s="145" customFormat="1">
      <c r="A386" s="145">
        <v>90</v>
      </c>
      <c r="B386" s="161"/>
      <c r="C386" s="147" t="s">
        <v>569</v>
      </c>
      <c r="D386" s="148" t="s">
        <v>157</v>
      </c>
      <c r="E386" s="152">
        <v>2500</v>
      </c>
      <c r="F386" s="148" t="s">
        <v>76</v>
      </c>
      <c r="H386" s="152">
        <v>2500</v>
      </c>
      <c r="I386" s="149">
        <v>2500</v>
      </c>
      <c r="J386" s="149"/>
      <c r="K386" s="147" t="s">
        <v>698</v>
      </c>
      <c r="L386" s="147"/>
    </row>
    <row r="387" spans="1:12" s="145" customFormat="1">
      <c r="A387" s="145">
        <v>387</v>
      </c>
      <c r="B387" s="160"/>
      <c r="C387" s="150" t="s">
        <v>496</v>
      </c>
      <c r="D387" s="148"/>
      <c r="E387" s="148"/>
      <c r="F387" s="148"/>
      <c r="H387" s="148"/>
      <c r="I387" s="151">
        <f ca="1">SUM(I381:I386)/6</f>
        <v>2249.5</v>
      </c>
      <c r="J387" s="151"/>
      <c r="K387" s="147"/>
      <c r="L387" s="147"/>
    </row>
    <row r="388" spans="1:12" s="145" customFormat="1">
      <c r="A388" s="145">
        <v>388</v>
      </c>
      <c r="B388" s="160"/>
      <c r="C388" s="147"/>
      <c r="D388" s="148"/>
      <c r="E388" s="148"/>
      <c r="F388" s="148"/>
      <c r="H388" s="148"/>
      <c r="I388" s="149"/>
      <c r="J388" s="149"/>
      <c r="K388" s="147"/>
      <c r="L388" s="147"/>
    </row>
    <row r="389" spans="1:12" s="145" customFormat="1">
      <c r="A389" s="145">
        <v>389</v>
      </c>
      <c r="B389" s="160"/>
      <c r="C389" s="147" t="s">
        <v>273</v>
      </c>
      <c r="D389" s="148" t="s">
        <v>157</v>
      </c>
      <c r="E389" s="148">
        <v>900</v>
      </c>
      <c r="F389" s="148" t="s">
        <v>76</v>
      </c>
      <c r="H389" s="148">
        <v>900</v>
      </c>
      <c r="I389" s="149">
        <v>900</v>
      </c>
      <c r="J389" s="149"/>
      <c r="K389" s="147" t="s">
        <v>698</v>
      </c>
      <c r="L389" s="147"/>
    </row>
    <row r="390" spans="1:12" s="145" customFormat="1">
      <c r="A390" s="145">
        <v>390</v>
      </c>
      <c r="B390" s="160"/>
      <c r="C390" s="147" t="s">
        <v>615</v>
      </c>
      <c r="D390" s="148" t="s">
        <v>157</v>
      </c>
      <c r="E390" s="148">
        <v>900</v>
      </c>
      <c r="F390" s="148" t="s">
        <v>76</v>
      </c>
      <c r="H390" s="148">
        <v>900</v>
      </c>
      <c r="I390" s="149">
        <v>900</v>
      </c>
      <c r="J390" s="149"/>
      <c r="K390" s="147" t="s">
        <v>698</v>
      </c>
      <c r="L390" s="147"/>
    </row>
    <row r="391" spans="1:12" s="145" customFormat="1">
      <c r="A391" s="145">
        <v>391</v>
      </c>
      <c r="B391" s="160"/>
      <c r="C391" s="147" t="s">
        <v>344</v>
      </c>
      <c r="D391" s="148" t="s">
        <v>157</v>
      </c>
      <c r="E391" s="148">
        <v>1603</v>
      </c>
      <c r="F391" s="148" t="s">
        <v>76</v>
      </c>
      <c r="H391" s="148">
        <v>1603</v>
      </c>
      <c r="I391" s="149">
        <v>1603</v>
      </c>
      <c r="J391" s="149"/>
      <c r="K391" s="147" t="s">
        <v>698</v>
      </c>
      <c r="L391" s="147"/>
    </row>
    <row r="392" spans="1:12" s="145" customFormat="1" ht="15">
      <c r="A392" s="145">
        <v>100</v>
      </c>
      <c r="B392" s="161"/>
      <c r="C392" s="158" t="s">
        <v>727</v>
      </c>
      <c r="D392" s="148" t="s">
        <v>157</v>
      </c>
      <c r="E392" s="152">
        <v>3187</v>
      </c>
      <c r="F392" s="148" t="s">
        <v>76</v>
      </c>
      <c r="H392" s="152">
        <v>3187</v>
      </c>
      <c r="I392" s="149">
        <v>3187</v>
      </c>
      <c r="J392" s="149"/>
      <c r="K392" s="147" t="s">
        <v>698</v>
      </c>
      <c r="L392" s="147"/>
    </row>
    <row r="393" spans="1:12" s="145" customFormat="1" ht="15">
      <c r="A393" s="145">
        <v>101</v>
      </c>
      <c r="B393" s="161"/>
      <c r="C393" s="158" t="s">
        <v>726</v>
      </c>
      <c r="D393" s="148" t="s">
        <v>157</v>
      </c>
      <c r="E393" s="152">
        <v>1603</v>
      </c>
      <c r="F393" s="148" t="s">
        <v>76</v>
      </c>
      <c r="H393" s="152">
        <v>1603</v>
      </c>
      <c r="I393" s="149">
        <v>1603</v>
      </c>
      <c r="J393" s="149"/>
      <c r="K393" s="147" t="s">
        <v>698</v>
      </c>
      <c r="L393" s="147"/>
    </row>
    <row r="394" spans="1:12" s="145" customFormat="1">
      <c r="A394" s="145">
        <v>392</v>
      </c>
      <c r="B394" s="160"/>
      <c r="C394" s="150" t="s">
        <v>496</v>
      </c>
      <c r="D394" s="148"/>
      <c r="E394" s="148"/>
      <c r="F394" s="148"/>
      <c r="H394" s="148"/>
      <c r="I394" s="151">
        <f ca="1">SUM(I389:I393)/5</f>
        <v>1638.6</v>
      </c>
      <c r="J394" s="151"/>
      <c r="K394" s="147"/>
      <c r="L394" s="147"/>
    </row>
    <row r="395" spans="1:12" s="145" customFormat="1">
      <c r="A395" s="145">
        <v>393</v>
      </c>
      <c r="B395" s="160"/>
      <c r="C395" s="147"/>
      <c r="D395" s="148"/>
      <c r="E395" s="148"/>
      <c r="F395" s="148"/>
      <c r="H395" s="148"/>
      <c r="I395" s="149"/>
      <c r="J395" s="149"/>
      <c r="K395" s="147"/>
      <c r="L395" s="147"/>
    </row>
    <row r="396" spans="1:12" s="145" customFormat="1">
      <c r="A396" s="145">
        <v>394</v>
      </c>
      <c r="B396" s="160"/>
      <c r="C396" s="147" t="s">
        <v>275</v>
      </c>
      <c r="D396" s="148" t="s">
        <v>157</v>
      </c>
      <c r="E396" s="148">
        <v>2500</v>
      </c>
      <c r="F396" s="148" t="s">
        <v>76</v>
      </c>
      <c r="H396" s="148">
        <v>2500</v>
      </c>
      <c r="I396" s="149">
        <v>2500</v>
      </c>
      <c r="J396" s="149"/>
      <c r="K396" s="147" t="s">
        <v>698</v>
      </c>
      <c r="L396" s="147"/>
    </row>
    <row r="397" spans="1:12" s="145" customFormat="1">
      <c r="A397" s="145">
        <v>395</v>
      </c>
      <c r="B397" s="160"/>
      <c r="C397" s="147" t="s">
        <v>617</v>
      </c>
      <c r="D397" s="148" t="s">
        <v>157</v>
      </c>
      <c r="E397" s="148">
        <v>2500</v>
      </c>
      <c r="F397" s="148" t="s">
        <v>76</v>
      </c>
      <c r="H397" s="148">
        <v>2500</v>
      </c>
      <c r="I397" s="149">
        <v>2500</v>
      </c>
      <c r="J397" s="149"/>
      <c r="K397" s="147" t="s">
        <v>698</v>
      </c>
      <c r="L397" s="147"/>
    </row>
    <row r="398" spans="1:12" s="145" customFormat="1">
      <c r="A398" s="145">
        <v>107</v>
      </c>
      <c r="B398" s="161"/>
      <c r="C398" s="147" t="s">
        <v>685</v>
      </c>
      <c r="D398" s="148" t="s">
        <v>157</v>
      </c>
      <c r="E398" s="152">
        <v>1780</v>
      </c>
      <c r="F398" s="148" t="s">
        <v>76</v>
      </c>
      <c r="H398" s="152">
        <v>1780</v>
      </c>
      <c r="I398" s="149">
        <v>1780</v>
      </c>
      <c r="J398" s="149"/>
      <c r="K398" s="147" t="s">
        <v>698</v>
      </c>
      <c r="L398" s="147"/>
    </row>
    <row r="399" spans="1:12" s="145" customFormat="1">
      <c r="A399" s="145">
        <v>108</v>
      </c>
      <c r="B399" s="161"/>
      <c r="C399" s="147" t="s">
        <v>729</v>
      </c>
      <c r="D399" s="148" t="s">
        <v>157</v>
      </c>
      <c r="E399" s="152">
        <v>2000</v>
      </c>
      <c r="F399" s="148" t="s">
        <v>76</v>
      </c>
      <c r="H399" s="152">
        <v>2000</v>
      </c>
      <c r="I399" s="149">
        <v>2000</v>
      </c>
      <c r="J399" s="149"/>
      <c r="K399" s="147" t="s">
        <v>698</v>
      </c>
      <c r="L399" s="147"/>
    </row>
    <row r="400" spans="1:12" s="145" customFormat="1">
      <c r="A400" s="145">
        <v>396</v>
      </c>
      <c r="B400" s="160"/>
      <c r="C400" s="150" t="s">
        <v>496</v>
      </c>
      <c r="D400" s="148"/>
      <c r="E400" s="148"/>
      <c r="F400" s="148"/>
      <c r="H400" s="148"/>
      <c r="I400" s="151">
        <f ca="1">SUM(I396:I399)/4</f>
        <v>2195</v>
      </c>
      <c r="J400" s="151"/>
      <c r="K400" s="147"/>
      <c r="L400" s="147"/>
    </row>
    <row r="401" spans="1:12">
      <c r="A401">
        <v>397</v>
      </c>
      <c r="B401" s="160"/>
      <c r="C401" s="19"/>
      <c r="D401" s="16"/>
      <c r="E401" s="16"/>
      <c r="F401" s="16"/>
      <c r="H401" s="16"/>
      <c r="I401" s="23"/>
      <c r="J401" s="23"/>
      <c r="K401" s="19"/>
      <c r="L401" s="19"/>
    </row>
    <row r="402" spans="1:12">
      <c r="A402">
        <v>405</v>
      </c>
      <c r="B402" s="160"/>
      <c r="C402" s="19" t="s">
        <v>562</v>
      </c>
      <c r="D402" s="16" t="s">
        <v>157</v>
      </c>
      <c r="I402" s="15">
        <v>682.87</v>
      </c>
      <c r="J402" s="124"/>
      <c r="K402" s="19" t="s">
        <v>902</v>
      </c>
      <c r="L402" s="19"/>
    </row>
    <row r="403" spans="1:12">
      <c r="A403">
        <v>406</v>
      </c>
      <c r="B403" s="160"/>
      <c r="C403" s="19"/>
      <c r="D403" s="16"/>
      <c r="E403" s="16"/>
      <c r="F403" s="16"/>
      <c r="H403" s="16"/>
      <c r="I403" s="23"/>
      <c r="J403" s="23"/>
      <c r="K403" s="19"/>
      <c r="L403" s="19"/>
    </row>
    <row r="404" spans="1:12">
      <c r="A404">
        <v>407</v>
      </c>
      <c r="B404" s="160" t="s">
        <v>355</v>
      </c>
      <c r="C404" s="19" t="s">
        <v>562</v>
      </c>
      <c r="D404" s="16" t="s">
        <v>157</v>
      </c>
      <c r="I404" s="15">
        <v>261.04000000000002</v>
      </c>
      <c r="J404" s="124"/>
      <c r="K404" s="19" t="s">
        <v>902</v>
      </c>
    </row>
    <row r="405" spans="1:12">
      <c r="A405">
        <v>408</v>
      </c>
      <c r="B405" s="150"/>
      <c r="C405" s="19"/>
      <c r="D405" s="16"/>
      <c r="E405" s="16"/>
      <c r="F405" s="16"/>
      <c r="H405" s="16"/>
      <c r="I405" s="14"/>
      <c r="J405" s="14"/>
      <c r="K405" s="19"/>
      <c r="L405" s="19"/>
    </row>
    <row r="406" spans="1:12">
      <c r="A406">
        <v>409</v>
      </c>
      <c r="B406" s="76" t="s">
        <v>72</v>
      </c>
      <c r="C406" s="3"/>
      <c r="D406" s="2"/>
      <c r="E406" s="2"/>
      <c r="F406" s="2"/>
      <c r="H406" s="2"/>
      <c r="I406" s="23"/>
      <c r="J406" s="23"/>
      <c r="K406" s="3"/>
      <c r="L406" s="3"/>
    </row>
    <row r="407" spans="1:12">
      <c r="A407">
        <v>410</v>
      </c>
      <c r="B407" s="77"/>
      <c r="C407" s="5" t="s">
        <v>498</v>
      </c>
      <c r="D407" s="12" t="s">
        <v>157</v>
      </c>
      <c r="E407" s="12">
        <v>2500</v>
      </c>
      <c r="F407" s="12" t="s">
        <v>76</v>
      </c>
      <c r="H407" s="12">
        <f>E407</f>
        <v>2500</v>
      </c>
      <c r="I407" s="23">
        <v>2500</v>
      </c>
      <c r="J407" s="23"/>
      <c r="K407" s="3" t="s">
        <v>698</v>
      </c>
    </row>
    <row r="408" spans="1:12">
      <c r="A408">
        <v>411</v>
      </c>
      <c r="B408" s="77"/>
      <c r="C408" s="10" t="s">
        <v>499</v>
      </c>
      <c r="D408" s="12" t="s">
        <v>157</v>
      </c>
      <c r="E408" s="12">
        <v>2500</v>
      </c>
      <c r="F408" s="12" t="s">
        <v>76</v>
      </c>
      <c r="H408" s="12">
        <v>2500</v>
      </c>
      <c r="I408" s="23">
        <v>2500</v>
      </c>
      <c r="J408" s="23"/>
      <c r="K408" s="3" t="s">
        <v>698</v>
      </c>
    </row>
    <row r="409" spans="1:12">
      <c r="A409">
        <v>412</v>
      </c>
      <c r="B409" s="77"/>
      <c r="C409" s="18"/>
      <c r="D409" s="16"/>
      <c r="E409" s="16"/>
      <c r="F409" s="16"/>
      <c r="H409" s="16"/>
      <c r="I409" s="14">
        <f>SUM(I407:I408)/2</f>
        <v>2500</v>
      </c>
      <c r="J409" s="14"/>
      <c r="K409" s="19"/>
    </row>
    <row r="410" spans="1:12">
      <c r="A410">
        <v>413</v>
      </c>
      <c r="B410" s="79" t="s">
        <v>73</v>
      </c>
      <c r="C410" s="3"/>
      <c r="D410" s="2"/>
      <c r="E410" s="2"/>
      <c r="F410" s="2"/>
      <c r="H410" s="2"/>
      <c r="I410" s="23"/>
      <c r="J410" s="23"/>
    </row>
    <row r="411" spans="1:12">
      <c r="A411">
        <v>414</v>
      </c>
      <c r="B411" s="80" t="s">
        <v>387</v>
      </c>
      <c r="C411" s="3" t="s">
        <v>502</v>
      </c>
      <c r="D411" s="2" t="s">
        <v>75</v>
      </c>
      <c r="E411" s="2">
        <v>2.62</v>
      </c>
      <c r="F411" s="2" t="s">
        <v>76</v>
      </c>
      <c r="H411" s="2">
        <v>2.62</v>
      </c>
      <c r="I411" s="14">
        <v>820.06</v>
      </c>
      <c r="J411" s="14"/>
      <c r="K411" s="3" t="s">
        <v>155</v>
      </c>
    </row>
    <row r="412" spans="1:12">
      <c r="A412">
        <v>415</v>
      </c>
      <c r="B412" s="80"/>
      <c r="C412" s="19"/>
      <c r="D412" s="16"/>
      <c r="E412" s="16"/>
      <c r="F412" s="16"/>
      <c r="H412" s="16"/>
      <c r="I412" s="14"/>
      <c r="J412" s="14"/>
      <c r="K412" s="19"/>
    </row>
    <row r="413" spans="1:12">
      <c r="A413">
        <v>416</v>
      </c>
      <c r="B413" s="80" t="s">
        <v>688</v>
      </c>
      <c r="C413" t="s">
        <v>362</v>
      </c>
      <c r="D413" s="16" t="s">
        <v>201</v>
      </c>
      <c r="E413" s="16">
        <v>7.45</v>
      </c>
      <c r="F413" s="16" t="s">
        <v>245</v>
      </c>
      <c r="G413" s="16">
        <f>E413</f>
        <v>7.45</v>
      </c>
      <c r="H413" s="23">
        <f>E413+G413</f>
        <v>14.9</v>
      </c>
      <c r="I413" s="14">
        <v>774.8</v>
      </c>
      <c r="J413" s="14"/>
      <c r="K413" s="19" t="s">
        <v>246</v>
      </c>
    </row>
    <row r="414" spans="1:12">
      <c r="A414">
        <v>417</v>
      </c>
      <c r="B414" s="80"/>
      <c r="C414" s="19"/>
      <c r="D414" s="16"/>
      <c r="E414" s="16"/>
      <c r="F414" s="16"/>
      <c r="H414" s="16"/>
      <c r="I414" s="23"/>
      <c r="J414" s="23"/>
      <c r="K414" s="19"/>
    </row>
    <row r="415" spans="1:12">
      <c r="A415">
        <v>418</v>
      </c>
      <c r="B415" s="80" t="s">
        <v>104</v>
      </c>
      <c r="C415" s="3" t="s">
        <v>504</v>
      </c>
      <c r="D415" s="2" t="s">
        <v>75</v>
      </c>
      <c r="E415" s="2">
        <v>4.08</v>
      </c>
      <c r="F415" s="2" t="s">
        <v>76</v>
      </c>
      <c r="H415" s="2">
        <v>4.08</v>
      </c>
      <c r="I415" s="14">
        <v>1277.04</v>
      </c>
      <c r="J415" s="14"/>
      <c r="K415" s="3" t="s">
        <v>154</v>
      </c>
    </row>
    <row r="416" spans="1:12">
      <c r="A416">
        <v>419</v>
      </c>
      <c r="B416" s="80"/>
      <c r="C416" s="19"/>
      <c r="D416" s="16"/>
      <c r="E416" s="16"/>
      <c r="F416" s="16"/>
      <c r="H416" s="16"/>
      <c r="I416" s="14"/>
      <c r="J416" s="14"/>
      <c r="K416" s="19"/>
    </row>
    <row r="417" spans="1:12">
      <c r="A417">
        <v>420</v>
      </c>
      <c r="B417" s="80" t="s">
        <v>372</v>
      </c>
      <c r="C417" s="1"/>
      <c r="D417" s="1"/>
      <c r="E417" s="1"/>
      <c r="F417" s="1"/>
      <c r="G417" s="1"/>
      <c r="H417" s="1"/>
      <c r="I417" s="14">
        <v>1185.0899999999999</v>
      </c>
      <c r="J417" s="14"/>
      <c r="K417" s="5" t="s">
        <v>877</v>
      </c>
      <c r="L417" s="1"/>
    </row>
    <row r="418" spans="1:12">
      <c r="A418">
        <v>421</v>
      </c>
      <c r="B418" s="80"/>
      <c r="C418" s="19"/>
      <c r="D418" s="16"/>
      <c r="E418" s="16"/>
      <c r="F418" s="16"/>
      <c r="H418" s="16"/>
      <c r="I418" s="23"/>
      <c r="J418" s="23"/>
      <c r="K418" s="19"/>
    </row>
    <row r="419" spans="1:12">
      <c r="A419">
        <v>422</v>
      </c>
      <c r="B419" s="80" t="s">
        <v>371</v>
      </c>
      <c r="C419" s="3" t="s">
        <v>503</v>
      </c>
      <c r="D419" s="2" t="s">
        <v>146</v>
      </c>
      <c r="E419" s="2">
        <v>121.11</v>
      </c>
      <c r="F419" s="2" t="s">
        <v>76</v>
      </c>
      <c r="H419" s="2">
        <v>121.11</v>
      </c>
      <c r="I419" s="14">
        <v>1453.32</v>
      </c>
      <c r="J419" s="14"/>
      <c r="K419" s="3" t="s">
        <v>153</v>
      </c>
    </row>
    <row r="420" spans="1:12">
      <c r="A420">
        <v>423</v>
      </c>
      <c r="B420" s="80"/>
      <c r="C420" s="19"/>
      <c r="D420" s="16"/>
      <c r="E420" s="16"/>
      <c r="F420" s="16"/>
      <c r="H420" s="16"/>
      <c r="I420" s="14"/>
      <c r="J420" s="14"/>
      <c r="K420" s="19"/>
    </row>
    <row r="421" spans="1:12">
      <c r="A421">
        <v>424</v>
      </c>
      <c r="B421" s="80"/>
      <c r="C421" s="3" t="s">
        <v>316</v>
      </c>
      <c r="D421" s="12" t="s">
        <v>157</v>
      </c>
      <c r="E421" s="12">
        <v>1150</v>
      </c>
      <c r="F421" s="12" t="s">
        <v>76</v>
      </c>
      <c r="H421" s="12">
        <v>1150</v>
      </c>
      <c r="I421" s="14">
        <v>1150</v>
      </c>
      <c r="J421" s="14"/>
      <c r="K421" s="3" t="s">
        <v>698</v>
      </c>
    </row>
    <row r="422" spans="1:12">
      <c r="A422">
        <v>425</v>
      </c>
      <c r="B422" s="80"/>
      <c r="C422" s="19"/>
      <c r="D422" s="16"/>
      <c r="E422" s="16"/>
      <c r="F422" s="16"/>
      <c r="H422" s="16"/>
      <c r="I422" s="23"/>
      <c r="J422" s="23"/>
      <c r="K422" s="19"/>
    </row>
    <row r="423" spans="1:12">
      <c r="A423">
        <v>426</v>
      </c>
      <c r="B423" s="80"/>
      <c r="C423" s="3" t="s">
        <v>263</v>
      </c>
      <c r="D423" s="12" t="s">
        <v>157</v>
      </c>
      <c r="E423" s="12">
        <v>5361</v>
      </c>
      <c r="F423" s="12" t="s">
        <v>76</v>
      </c>
      <c r="H423" s="12">
        <v>5361</v>
      </c>
      <c r="I423" s="23">
        <v>5361</v>
      </c>
      <c r="J423" s="23"/>
      <c r="K423" s="3" t="s">
        <v>698</v>
      </c>
    </row>
    <row r="424" spans="1:12">
      <c r="A424">
        <v>427</v>
      </c>
      <c r="B424" s="80"/>
      <c r="C424" s="3" t="s">
        <v>468</v>
      </c>
      <c r="D424" s="12" t="s">
        <v>157</v>
      </c>
      <c r="E424" s="12">
        <v>2000</v>
      </c>
      <c r="F424" s="12" t="s">
        <v>76</v>
      </c>
      <c r="H424" s="12">
        <v>2000</v>
      </c>
      <c r="I424" s="23">
        <v>2000</v>
      </c>
      <c r="J424" s="23"/>
      <c r="K424" s="3" t="s">
        <v>698</v>
      </c>
    </row>
    <row r="425" spans="1:12">
      <c r="A425">
        <v>428</v>
      </c>
      <c r="B425" s="80"/>
      <c r="C425" s="3" t="s">
        <v>500</v>
      </c>
      <c r="D425" s="12" t="s">
        <v>157</v>
      </c>
      <c r="E425" s="12">
        <v>2500</v>
      </c>
      <c r="F425" s="12" t="s">
        <v>76</v>
      </c>
      <c r="H425" s="12">
        <v>2500</v>
      </c>
      <c r="I425" s="13">
        <v>2500</v>
      </c>
      <c r="J425" s="13"/>
      <c r="K425" s="3" t="s">
        <v>698</v>
      </c>
    </row>
    <row r="426" spans="1:12">
      <c r="A426">
        <v>429</v>
      </c>
      <c r="B426" s="80"/>
      <c r="C426" s="19"/>
      <c r="D426" s="16"/>
      <c r="E426" s="16"/>
      <c r="F426" s="16"/>
      <c r="H426" s="16"/>
      <c r="I426" s="14">
        <f>SUM(I423:I425)/3</f>
        <v>3287</v>
      </c>
      <c r="J426" s="14"/>
      <c r="K426" s="19"/>
    </row>
    <row r="427" spans="1:12">
      <c r="A427">
        <v>430</v>
      </c>
      <c r="B427" s="80"/>
      <c r="C427" s="19"/>
      <c r="D427" s="16"/>
      <c r="E427" s="16"/>
      <c r="F427" s="16"/>
      <c r="H427" s="16"/>
      <c r="I427" s="14"/>
      <c r="J427" s="14"/>
      <c r="K427" s="19"/>
    </row>
    <row r="428" spans="1:12">
      <c r="A428">
        <v>431</v>
      </c>
      <c r="B428" s="80"/>
      <c r="C428" s="19" t="s">
        <v>562</v>
      </c>
      <c r="D428" s="16" t="s">
        <v>157</v>
      </c>
      <c r="I428" s="15">
        <v>7184.25</v>
      </c>
      <c r="J428" s="124"/>
      <c r="K428" s="19" t="s">
        <v>902</v>
      </c>
      <c r="L428" s="19"/>
    </row>
    <row r="429" spans="1:12">
      <c r="A429">
        <v>432</v>
      </c>
      <c r="B429" s="80"/>
      <c r="C429" s="19"/>
      <c r="D429" s="16"/>
      <c r="E429" s="16"/>
      <c r="F429" s="16"/>
      <c r="H429" s="16"/>
      <c r="I429" s="23"/>
      <c r="J429" s="23"/>
      <c r="K429" s="19"/>
      <c r="L429" s="19"/>
    </row>
    <row r="430" spans="1:12">
      <c r="A430">
        <v>433</v>
      </c>
      <c r="B430" s="80" t="s">
        <v>355</v>
      </c>
      <c r="C430" s="19" t="s">
        <v>562</v>
      </c>
      <c r="D430" s="16" t="s">
        <v>157</v>
      </c>
      <c r="I430" s="15">
        <v>2923.01</v>
      </c>
      <c r="J430" s="124"/>
      <c r="K430" s="19" t="s">
        <v>902</v>
      </c>
    </row>
    <row r="433" spans="2:11">
      <c r="B433" s="164" t="s">
        <v>699</v>
      </c>
      <c r="C433" s="165"/>
      <c r="D433" s="165"/>
      <c r="E433" s="165"/>
      <c r="F433" s="165"/>
      <c r="G433" s="165"/>
      <c r="H433" s="165"/>
      <c r="I433" s="165"/>
      <c r="J433" s="165"/>
      <c r="K433" s="165"/>
    </row>
    <row r="434" spans="2:11">
      <c r="B434" t="s">
        <v>700</v>
      </c>
    </row>
    <row r="435" spans="2:11">
      <c r="B435" t="s">
        <v>550</v>
      </c>
    </row>
    <row r="436" spans="2:11">
      <c r="B436" t="s">
        <v>546</v>
      </c>
    </row>
  </sheetData>
  <mergeCells count="1">
    <mergeCell ref="B433:K433"/>
  </mergeCells>
  <phoneticPr fontId="14" type="noConversion"/>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1"/>
  <sheetViews>
    <sheetView topLeftCell="A22" workbookViewId="0">
      <selection activeCell="B40" sqref="B40"/>
    </sheetView>
  </sheetViews>
  <sheetFormatPr baseColWidth="10" defaultColWidth="8.83203125" defaultRowHeight="14" x14ac:dyDescent="0"/>
  <cols>
    <col min="1" max="1" width="23.6640625" customWidth="1"/>
    <col min="2" max="2" width="24.5" customWidth="1"/>
    <col min="4" max="4" width="13.5" customWidth="1"/>
    <col min="5" max="5" width="25.6640625" customWidth="1"/>
    <col min="6" max="6" width="9.83203125" customWidth="1"/>
    <col min="7" max="7" width="14.5" customWidth="1"/>
    <col min="8" max="8" width="15.6640625" customWidth="1"/>
    <col min="9" max="9" width="38.1640625" customWidth="1"/>
  </cols>
  <sheetData>
    <row r="1" spans="1:10" ht="20">
      <c r="A1" s="45" t="s">
        <v>824</v>
      </c>
      <c r="B1" s="45"/>
    </row>
    <row r="2" spans="1:10">
      <c r="A2" s="1" t="s">
        <v>506</v>
      </c>
      <c r="B2" s="1" t="s">
        <v>61</v>
      </c>
      <c r="C2" s="1" t="s">
        <v>62</v>
      </c>
      <c r="D2" s="1" t="s">
        <v>202</v>
      </c>
      <c r="E2" s="1" t="s">
        <v>77</v>
      </c>
      <c r="F2" s="1" t="s">
        <v>65</v>
      </c>
      <c r="G2" s="1" t="s">
        <v>203</v>
      </c>
      <c r="H2" s="1" t="s">
        <v>687</v>
      </c>
      <c r="I2" s="1" t="s">
        <v>64</v>
      </c>
      <c r="J2" s="1" t="s">
        <v>10</v>
      </c>
    </row>
    <row r="3" spans="1:10">
      <c r="A3" s="1"/>
      <c r="B3" s="1"/>
      <c r="C3" s="1"/>
      <c r="D3" s="1"/>
      <c r="E3" s="1"/>
      <c r="F3" s="1"/>
      <c r="G3" s="1"/>
      <c r="H3" s="1"/>
      <c r="I3" s="1"/>
      <c r="J3" s="1"/>
    </row>
    <row r="4" spans="1:10">
      <c r="A4" s="54" t="s">
        <v>34</v>
      </c>
      <c r="B4" s="1"/>
      <c r="C4" s="1"/>
      <c r="D4" s="1"/>
      <c r="E4" s="1"/>
      <c r="F4" s="1"/>
      <c r="G4" s="1"/>
      <c r="H4" s="1"/>
      <c r="I4" s="1"/>
      <c r="J4" s="1"/>
    </row>
    <row r="5" spans="1:10">
      <c r="A5" s="55" t="s">
        <v>387</v>
      </c>
      <c r="B5" s="5" t="s">
        <v>517</v>
      </c>
      <c r="C5" s="16" t="s">
        <v>75</v>
      </c>
      <c r="D5" s="16">
        <v>1.05</v>
      </c>
      <c r="E5" s="16" t="s">
        <v>76</v>
      </c>
      <c r="G5" s="23">
        <v>1.05</v>
      </c>
      <c r="H5" s="23">
        <v>328.65</v>
      </c>
      <c r="I5" s="19" t="s">
        <v>243</v>
      </c>
    </row>
    <row r="6" spans="1:10">
      <c r="A6" s="56"/>
      <c r="B6" s="5" t="s">
        <v>518</v>
      </c>
      <c r="C6" s="16" t="s">
        <v>75</v>
      </c>
      <c r="D6" s="16">
        <v>0.94</v>
      </c>
      <c r="E6" s="16" t="s">
        <v>76</v>
      </c>
      <c r="G6" s="23">
        <v>0.94</v>
      </c>
      <c r="H6" s="23">
        <v>294.22000000000003</v>
      </c>
      <c r="I6" s="19" t="s">
        <v>243</v>
      </c>
    </row>
    <row r="7" spans="1:10">
      <c r="A7" s="56"/>
      <c r="B7" s="5" t="s">
        <v>519</v>
      </c>
      <c r="C7" s="16" t="s">
        <v>75</v>
      </c>
      <c r="D7" s="16">
        <v>1.04</v>
      </c>
      <c r="E7" s="16" t="s">
        <v>76</v>
      </c>
      <c r="G7" s="23">
        <v>1.04</v>
      </c>
      <c r="H7" s="23">
        <v>325.52</v>
      </c>
      <c r="I7" s="19" t="s">
        <v>243</v>
      </c>
    </row>
    <row r="8" spans="1:10">
      <c r="A8" s="56"/>
      <c r="B8" s="5"/>
      <c r="C8" s="16"/>
      <c r="D8" s="16"/>
      <c r="E8" s="16"/>
      <c r="G8" s="23"/>
      <c r="H8" s="14">
        <f>SUM(H5:H7)/3</f>
        <v>316.13</v>
      </c>
      <c r="I8" s="19"/>
    </row>
    <row r="9" spans="1:10">
      <c r="A9" s="56"/>
      <c r="B9" s="5"/>
      <c r="C9" s="16"/>
      <c r="D9" s="16"/>
      <c r="E9" s="16"/>
      <c r="G9" s="23"/>
      <c r="H9" s="14"/>
      <c r="I9" s="19"/>
    </row>
    <row r="10" spans="1:10">
      <c r="A10" s="55" t="s">
        <v>688</v>
      </c>
      <c r="B10" t="s">
        <v>510</v>
      </c>
      <c r="C10" s="16" t="s">
        <v>201</v>
      </c>
      <c r="D10" s="16">
        <v>1.32</v>
      </c>
      <c r="E10" s="16" t="s">
        <v>245</v>
      </c>
      <c r="F10" s="16">
        <f>D10</f>
        <v>1.32</v>
      </c>
      <c r="G10" s="23">
        <f>D10+F10</f>
        <v>2.64</v>
      </c>
      <c r="H10" s="23">
        <v>137.28</v>
      </c>
      <c r="I10" s="19" t="s">
        <v>246</v>
      </c>
    </row>
    <row r="11" spans="1:10">
      <c r="A11" s="56"/>
      <c r="B11" t="s">
        <v>511</v>
      </c>
      <c r="C11" s="16" t="s">
        <v>201</v>
      </c>
      <c r="D11" s="16">
        <v>1.63</v>
      </c>
      <c r="E11" s="16" t="s">
        <v>245</v>
      </c>
      <c r="F11" s="16">
        <f>D11</f>
        <v>1.63</v>
      </c>
      <c r="G11" s="23">
        <f>D11+F11</f>
        <v>3.26</v>
      </c>
      <c r="H11" s="23">
        <v>169.52</v>
      </c>
      <c r="I11" s="19" t="s">
        <v>246</v>
      </c>
    </row>
    <row r="12" spans="1:10">
      <c r="A12" s="56"/>
      <c r="B12" t="s">
        <v>512</v>
      </c>
      <c r="C12" s="16" t="s">
        <v>201</v>
      </c>
      <c r="D12" s="16">
        <v>1.31</v>
      </c>
      <c r="E12" s="16" t="s">
        <v>245</v>
      </c>
      <c r="F12" s="16">
        <f>D12</f>
        <v>1.31</v>
      </c>
      <c r="G12" s="23">
        <f>D12+F12</f>
        <v>2.62</v>
      </c>
      <c r="H12" s="23">
        <v>136.24</v>
      </c>
      <c r="I12" s="19" t="s">
        <v>246</v>
      </c>
    </row>
    <row r="13" spans="1:10">
      <c r="A13" s="54"/>
      <c r="B13" s="1"/>
      <c r="C13" s="1"/>
      <c r="D13" s="1"/>
      <c r="E13" s="1"/>
      <c r="F13" s="1"/>
      <c r="G13" s="1"/>
      <c r="H13" s="14">
        <f>SUM(H10:H12)/3</f>
        <v>147.68</v>
      </c>
      <c r="I13" s="1"/>
      <c r="J13" s="1"/>
    </row>
    <row r="14" spans="1:10">
      <c r="A14" s="54"/>
      <c r="B14" s="1"/>
      <c r="C14" s="1"/>
      <c r="D14" s="1"/>
      <c r="E14" s="1"/>
      <c r="F14" s="1"/>
      <c r="G14" s="1"/>
      <c r="H14" s="14"/>
      <c r="I14" s="1"/>
      <c r="J14" s="1"/>
    </row>
    <row r="15" spans="1:10">
      <c r="A15" s="55" t="s">
        <v>104</v>
      </c>
      <c r="B15" s="1"/>
      <c r="C15" s="1"/>
      <c r="D15" s="1"/>
      <c r="E15" s="1"/>
      <c r="F15" s="1"/>
      <c r="G15" s="1"/>
      <c r="H15" s="14">
        <v>538.37</v>
      </c>
      <c r="I15" s="5" t="s">
        <v>864</v>
      </c>
      <c r="J15" s="1"/>
    </row>
    <row r="16" spans="1:10">
      <c r="A16" s="55"/>
      <c r="B16" s="1"/>
      <c r="C16" s="1"/>
      <c r="D16" s="1"/>
      <c r="E16" s="1"/>
      <c r="F16" s="1"/>
      <c r="G16" s="1"/>
      <c r="H16" s="14"/>
      <c r="I16" s="5"/>
      <c r="J16" s="1"/>
    </row>
    <row r="17" spans="1:10">
      <c r="A17" s="55" t="s">
        <v>372</v>
      </c>
      <c r="B17" s="1"/>
      <c r="C17" s="1"/>
      <c r="D17" s="1"/>
      <c r="E17" s="1"/>
      <c r="F17" s="1"/>
      <c r="G17" s="1"/>
      <c r="H17" s="14">
        <v>499.61</v>
      </c>
      <c r="I17" s="5" t="s">
        <v>877</v>
      </c>
      <c r="J17" s="1"/>
    </row>
    <row r="18" spans="1:10">
      <c r="A18" s="54"/>
      <c r="B18" s="1"/>
      <c r="C18" s="1"/>
      <c r="D18" s="1"/>
      <c r="E18" s="1"/>
      <c r="F18" s="1"/>
      <c r="G18" s="1"/>
      <c r="H18" s="14"/>
      <c r="I18" s="1"/>
      <c r="J18" s="1"/>
    </row>
    <row r="19" spans="1:10">
      <c r="A19" s="55" t="s">
        <v>373</v>
      </c>
      <c r="B19" s="39" t="s">
        <v>156</v>
      </c>
      <c r="C19" s="40" t="s">
        <v>157</v>
      </c>
      <c r="D19" s="40">
        <v>351.9</v>
      </c>
      <c r="E19" s="40" t="s">
        <v>76</v>
      </c>
      <c r="G19" s="40">
        <f>D19</f>
        <v>351.9</v>
      </c>
      <c r="H19" s="23">
        <f>G19</f>
        <v>351.9</v>
      </c>
      <c r="I19" s="39" t="s">
        <v>968</v>
      </c>
      <c r="J19" s="39" t="s">
        <v>32</v>
      </c>
    </row>
    <row r="20" spans="1:10">
      <c r="A20" s="55"/>
      <c r="B20" s="39"/>
      <c r="C20" s="40"/>
      <c r="D20" s="40"/>
      <c r="E20" s="40"/>
      <c r="G20" s="40"/>
      <c r="H20" s="14"/>
      <c r="I20" s="39"/>
      <c r="J20" s="39"/>
    </row>
    <row r="21" spans="1:10">
      <c r="A21" s="55"/>
      <c r="B21" s="39" t="s">
        <v>497</v>
      </c>
      <c r="C21" s="40" t="s">
        <v>157</v>
      </c>
      <c r="D21" s="23">
        <f>0.506*D19</f>
        <v>178.06139999999999</v>
      </c>
      <c r="E21" s="40" t="s">
        <v>76</v>
      </c>
      <c r="G21" s="23">
        <f>D21</f>
        <v>178.06139999999999</v>
      </c>
      <c r="H21" s="23">
        <f>G21</f>
        <v>178.06139999999999</v>
      </c>
      <c r="I21" s="39" t="s">
        <v>937</v>
      </c>
      <c r="J21" s="39"/>
    </row>
    <row r="22" spans="1:10">
      <c r="A22" s="55"/>
      <c r="B22" s="5"/>
      <c r="C22" s="16"/>
      <c r="D22" s="16"/>
      <c r="E22" s="16"/>
      <c r="F22" s="16"/>
      <c r="G22" s="23"/>
      <c r="H22" s="14"/>
    </row>
    <row r="23" spans="1:10">
      <c r="A23" s="55" t="s">
        <v>371</v>
      </c>
      <c r="B23" s="5" t="s">
        <v>792</v>
      </c>
      <c r="C23" s="16" t="s">
        <v>157</v>
      </c>
      <c r="D23" s="16"/>
      <c r="E23" s="16"/>
      <c r="F23" s="16"/>
      <c r="G23" s="23"/>
      <c r="H23" s="14">
        <v>433.33</v>
      </c>
      <c r="I23" t="s">
        <v>865</v>
      </c>
    </row>
    <row r="24" spans="1:10">
      <c r="A24" s="55"/>
      <c r="B24" s="5" t="s">
        <v>899</v>
      </c>
      <c r="C24" s="16"/>
      <c r="D24" s="16"/>
      <c r="E24" s="16"/>
      <c r="F24" s="16"/>
      <c r="G24" s="23"/>
      <c r="H24" s="14">
        <v>315.26</v>
      </c>
      <c r="I24" t="s">
        <v>901</v>
      </c>
    </row>
    <row r="25" spans="1:10">
      <c r="A25" s="55"/>
      <c r="B25" s="5"/>
      <c r="C25" s="16"/>
      <c r="D25" s="16"/>
      <c r="E25" s="16"/>
      <c r="F25" s="16"/>
      <c r="G25" s="23"/>
      <c r="H25" s="14"/>
    </row>
    <row r="26" spans="1:10">
      <c r="A26" s="55" t="s">
        <v>900</v>
      </c>
      <c r="B26" s="5" t="s">
        <v>899</v>
      </c>
      <c r="C26" s="16"/>
      <c r="D26" s="16"/>
      <c r="E26" s="16"/>
      <c r="F26" s="16"/>
      <c r="G26" s="23"/>
      <c r="H26" s="14">
        <v>196.5</v>
      </c>
      <c r="I26" t="s">
        <v>901</v>
      </c>
    </row>
    <row r="27" spans="1:10">
      <c r="A27" s="55"/>
      <c r="B27" s="5"/>
      <c r="C27" s="16"/>
      <c r="D27" s="16"/>
      <c r="E27" s="16"/>
      <c r="F27" s="16"/>
      <c r="G27" s="23"/>
      <c r="H27" s="14"/>
    </row>
    <row r="28" spans="1:10">
      <c r="A28" s="88" t="s">
        <v>66</v>
      </c>
      <c r="B28" s="3"/>
      <c r="C28" s="2"/>
      <c r="D28" s="2"/>
      <c r="E28" s="2"/>
      <c r="G28" s="2"/>
      <c r="H28" s="12"/>
      <c r="I28" s="3"/>
    </row>
    <row r="29" spans="1:10">
      <c r="A29" s="58" t="s">
        <v>387</v>
      </c>
      <c r="B29" s="5" t="s">
        <v>163</v>
      </c>
      <c r="C29" s="119" t="s">
        <v>75</v>
      </c>
      <c r="D29" s="119">
        <v>0.98299999999999998</v>
      </c>
      <c r="E29" s="119" t="s">
        <v>957</v>
      </c>
      <c r="F29" s="120"/>
      <c r="G29" s="121">
        <f>D29</f>
        <v>0.98299999999999998</v>
      </c>
      <c r="H29" s="122">
        <f>G29*313</f>
        <v>307.67899999999997</v>
      </c>
      <c r="I29" s="123" t="s">
        <v>960</v>
      </c>
    </row>
    <row r="30" spans="1:10">
      <c r="A30" s="58"/>
      <c r="B30" s="5" t="s">
        <v>163</v>
      </c>
      <c r="C30" s="16" t="s">
        <v>75</v>
      </c>
      <c r="D30" s="16">
        <v>1.06</v>
      </c>
      <c r="E30" s="16" t="s">
        <v>76</v>
      </c>
      <c r="G30" s="23">
        <v>1.06</v>
      </c>
      <c r="H30" s="14">
        <v>331.78</v>
      </c>
      <c r="I30" s="19" t="s">
        <v>243</v>
      </c>
    </row>
    <row r="31" spans="1:10">
      <c r="A31" s="58"/>
      <c r="B31" s="5" t="s">
        <v>628</v>
      </c>
      <c r="C31" s="16"/>
      <c r="D31" s="16"/>
      <c r="E31" s="16"/>
      <c r="G31" s="23"/>
      <c r="H31" s="14">
        <f>0.53*H30</f>
        <v>175.8434</v>
      </c>
      <c r="I31" s="19" t="s">
        <v>626</v>
      </c>
    </row>
    <row r="32" spans="1:10">
      <c r="A32" s="88"/>
      <c r="B32" s="19"/>
      <c r="C32" s="16"/>
      <c r="D32" s="16"/>
      <c r="E32" s="16"/>
      <c r="G32" s="16"/>
      <c r="H32" s="16"/>
      <c r="I32" s="19"/>
    </row>
    <row r="33" spans="1:10">
      <c r="A33" s="58" t="s">
        <v>688</v>
      </c>
      <c r="B33" t="s">
        <v>244</v>
      </c>
      <c r="C33" s="16" t="s">
        <v>201</v>
      </c>
      <c r="D33" s="16">
        <v>1.24</v>
      </c>
      <c r="E33" s="16" t="s">
        <v>245</v>
      </c>
      <c r="F33" s="16">
        <f>D33</f>
        <v>1.24</v>
      </c>
      <c r="G33" s="23">
        <f>D33+F33</f>
        <v>2.48</v>
      </c>
      <c r="H33" s="14">
        <v>128.96</v>
      </c>
      <c r="I33" s="19" t="s">
        <v>246</v>
      </c>
    </row>
    <row r="34" spans="1:10">
      <c r="A34" s="58"/>
      <c r="B34" s="5" t="s">
        <v>628</v>
      </c>
      <c r="C34" s="16"/>
      <c r="D34" s="16"/>
      <c r="E34" s="16"/>
      <c r="G34" s="23"/>
      <c r="H34" s="14">
        <f>0.53*H33</f>
        <v>68.348800000000011</v>
      </c>
      <c r="I34" s="19" t="s">
        <v>626</v>
      </c>
    </row>
    <row r="35" spans="1:10">
      <c r="A35" s="58"/>
      <c r="C35" s="16"/>
      <c r="D35" s="16"/>
      <c r="E35" s="16"/>
      <c r="F35" s="16"/>
      <c r="G35" s="23"/>
      <c r="H35" s="14"/>
      <c r="I35" s="19"/>
    </row>
    <row r="36" spans="1:10">
      <c r="A36" s="58" t="s">
        <v>104</v>
      </c>
      <c r="B36" s="1" t="s">
        <v>624</v>
      </c>
      <c r="C36" s="1"/>
      <c r="D36" s="1"/>
      <c r="E36" s="1"/>
      <c r="F36" s="1"/>
      <c r="G36" s="1"/>
      <c r="H36" s="14">
        <v>565.02</v>
      </c>
      <c r="I36" s="5" t="s">
        <v>864</v>
      </c>
      <c r="J36" s="1"/>
    </row>
    <row r="37" spans="1:10">
      <c r="A37" s="58"/>
      <c r="B37" s="144" t="s">
        <v>625</v>
      </c>
      <c r="C37" s="1"/>
      <c r="D37" s="1"/>
      <c r="E37" s="1"/>
      <c r="F37" s="1"/>
      <c r="G37" s="1"/>
      <c r="H37" s="14">
        <f>0.53*H36</f>
        <v>299.4606</v>
      </c>
      <c r="I37" s="19" t="s">
        <v>626</v>
      </c>
      <c r="J37" s="1"/>
    </row>
    <row r="38" spans="1:10">
      <c r="A38" s="58"/>
      <c r="B38" s="1"/>
      <c r="C38" s="1"/>
      <c r="D38" s="1"/>
      <c r="E38" s="1"/>
      <c r="F38" s="1"/>
      <c r="G38" s="1"/>
      <c r="H38" s="14"/>
      <c r="I38" s="5"/>
      <c r="J38" s="1"/>
    </row>
    <row r="39" spans="1:10">
      <c r="A39" s="58" t="s">
        <v>372</v>
      </c>
      <c r="B39" s="1" t="s">
        <v>624</v>
      </c>
      <c r="C39" s="1"/>
      <c r="D39" s="1"/>
      <c r="E39" s="1"/>
      <c r="F39" s="1"/>
      <c r="G39" s="1"/>
      <c r="H39" s="14">
        <v>524.34</v>
      </c>
      <c r="I39" s="5" t="s">
        <v>877</v>
      </c>
      <c r="J39" s="1"/>
    </row>
    <row r="40" spans="1:10">
      <c r="A40" s="58"/>
      <c r="B40" s="144" t="s">
        <v>625</v>
      </c>
      <c r="C40" s="1"/>
      <c r="D40" s="1"/>
      <c r="E40" s="1"/>
      <c r="F40" s="1"/>
      <c r="G40" s="1"/>
      <c r="H40" s="14">
        <f>0.53*H39</f>
        <v>277.90020000000004</v>
      </c>
      <c r="I40" s="19" t="s">
        <v>626</v>
      </c>
      <c r="J40" s="1"/>
    </row>
    <row r="41" spans="1:10">
      <c r="A41" s="88"/>
      <c r="B41" s="19"/>
      <c r="C41" s="16"/>
      <c r="D41" s="16"/>
      <c r="E41" s="16"/>
      <c r="G41" s="16"/>
      <c r="H41" s="16"/>
      <c r="I41" s="19"/>
    </row>
    <row r="42" spans="1:10">
      <c r="A42" s="58" t="s">
        <v>373</v>
      </c>
      <c r="B42" s="39" t="s">
        <v>156</v>
      </c>
      <c r="C42" s="40" t="s">
        <v>157</v>
      </c>
      <c r="D42" s="40">
        <v>374.7</v>
      </c>
      <c r="E42" s="40" t="s">
        <v>76</v>
      </c>
      <c r="G42" s="40">
        <f>D42</f>
        <v>374.7</v>
      </c>
      <c r="H42" s="23">
        <f>G42</f>
        <v>374.7</v>
      </c>
      <c r="I42" s="39" t="s">
        <v>968</v>
      </c>
      <c r="J42" s="39" t="s">
        <v>32</v>
      </c>
    </row>
    <row r="43" spans="1:10">
      <c r="A43" s="58"/>
      <c r="B43" s="39"/>
      <c r="C43" s="40"/>
      <c r="D43" s="40"/>
      <c r="E43" s="40"/>
      <c r="G43" s="40"/>
      <c r="H43" s="14"/>
      <c r="I43" s="39"/>
      <c r="J43" s="39"/>
    </row>
    <row r="44" spans="1:10">
      <c r="A44" s="58"/>
      <c r="B44" s="39" t="s">
        <v>497</v>
      </c>
      <c r="C44" s="40" t="s">
        <v>157</v>
      </c>
      <c r="D44" s="23">
        <f>0.506*D42</f>
        <v>189.59819999999999</v>
      </c>
      <c r="E44" s="40" t="s">
        <v>76</v>
      </c>
      <c r="G44" s="23">
        <f>D44</f>
        <v>189.59819999999999</v>
      </c>
      <c r="H44" s="23">
        <f>G44</f>
        <v>189.59819999999999</v>
      </c>
      <c r="I44" s="39" t="s">
        <v>937</v>
      </c>
      <c r="J44" s="39"/>
    </row>
    <row r="45" spans="1:10">
      <c r="A45" s="59"/>
      <c r="B45" s="19"/>
      <c r="C45" s="16"/>
      <c r="D45" s="16"/>
      <c r="E45" s="16"/>
      <c r="G45" s="16"/>
      <c r="H45" s="14"/>
      <c r="I45" s="19"/>
      <c r="J45" s="19"/>
    </row>
    <row r="46" spans="1:10">
      <c r="A46" s="58" t="s">
        <v>371</v>
      </c>
      <c r="B46" s="5" t="s">
        <v>792</v>
      </c>
      <c r="C46" s="16" t="s">
        <v>157</v>
      </c>
      <c r="D46" s="16"/>
      <c r="E46" s="16"/>
      <c r="F46" s="16"/>
      <c r="G46" s="23"/>
      <c r="H46" s="14">
        <v>433.33</v>
      </c>
      <c r="I46" t="s">
        <v>865</v>
      </c>
    </row>
    <row r="47" spans="1:10">
      <c r="A47" s="58"/>
      <c r="B47" s="5" t="s">
        <v>899</v>
      </c>
      <c r="C47" s="16"/>
      <c r="D47" s="16"/>
      <c r="E47" s="16"/>
      <c r="F47" s="16"/>
      <c r="G47" s="23"/>
      <c r="H47" s="14">
        <v>530.55999999999995</v>
      </c>
      <c r="I47" t="s">
        <v>901</v>
      </c>
    </row>
    <row r="48" spans="1:10">
      <c r="A48" s="58"/>
      <c r="B48" s="5"/>
      <c r="C48" s="16"/>
      <c r="D48" s="16"/>
      <c r="E48" s="16"/>
      <c r="F48" s="16"/>
      <c r="G48" s="23"/>
      <c r="H48" s="14"/>
    </row>
    <row r="49" spans="1:10">
      <c r="A49" s="58" t="s">
        <v>900</v>
      </c>
      <c r="B49" s="5" t="s">
        <v>899</v>
      </c>
      <c r="C49" s="16"/>
      <c r="D49" s="16"/>
      <c r="E49" s="16"/>
      <c r="F49" s="16"/>
      <c r="G49" s="23"/>
      <c r="H49" s="14">
        <v>340.27</v>
      </c>
      <c r="I49" t="s">
        <v>901</v>
      </c>
    </row>
    <row r="50" spans="1:10">
      <c r="A50" s="58"/>
      <c r="B50" s="5"/>
      <c r="C50" s="16"/>
      <c r="D50" s="16"/>
      <c r="E50" s="16"/>
      <c r="F50" s="16"/>
      <c r="G50" s="23"/>
      <c r="H50" s="14"/>
    </row>
    <row r="51" spans="1:10">
      <c r="A51" s="58"/>
      <c r="B51" s="5"/>
      <c r="C51" s="16"/>
      <c r="D51" s="16"/>
      <c r="E51" s="16"/>
      <c r="F51" s="16"/>
      <c r="G51" s="23"/>
      <c r="H51" s="14"/>
    </row>
    <row r="52" spans="1:10">
      <c r="A52" s="58" t="s">
        <v>374</v>
      </c>
      <c r="B52" s="5" t="s">
        <v>181</v>
      </c>
      <c r="C52" s="16" t="s">
        <v>94</v>
      </c>
      <c r="D52" s="16">
        <v>1.1499999999999999</v>
      </c>
      <c r="E52" s="16" t="s">
        <v>76</v>
      </c>
      <c r="F52" s="16"/>
      <c r="G52" s="23">
        <v>1.1499999999999999</v>
      </c>
      <c r="H52" s="14">
        <v>359.95</v>
      </c>
      <c r="I52" t="s">
        <v>592</v>
      </c>
    </row>
    <row r="53" spans="1:10">
      <c r="A53" s="58"/>
      <c r="B53" s="5" t="s">
        <v>639</v>
      </c>
      <c r="C53" s="37" t="s">
        <v>157</v>
      </c>
      <c r="D53" s="37">
        <v>284</v>
      </c>
      <c r="E53" s="37" t="s">
        <v>76</v>
      </c>
      <c r="F53" s="37"/>
      <c r="G53" s="23">
        <v>284</v>
      </c>
      <c r="H53" s="14">
        <v>284</v>
      </c>
      <c r="I53" t="s">
        <v>453</v>
      </c>
    </row>
    <row r="54" spans="1:10">
      <c r="A54" s="58"/>
      <c r="B54" s="5" t="s">
        <v>786</v>
      </c>
      <c r="C54" s="37" t="s">
        <v>157</v>
      </c>
      <c r="D54" s="37">
        <v>284</v>
      </c>
      <c r="E54" s="37" t="s">
        <v>76</v>
      </c>
      <c r="F54" s="37"/>
      <c r="G54" s="23">
        <v>284</v>
      </c>
      <c r="H54" s="14">
        <v>284</v>
      </c>
      <c r="I54" t="s">
        <v>453</v>
      </c>
    </row>
    <row r="55" spans="1:10">
      <c r="A55" s="60" t="s">
        <v>67</v>
      </c>
      <c r="B55" s="3"/>
      <c r="C55" s="12"/>
      <c r="D55" s="12"/>
      <c r="E55" s="12"/>
      <c r="G55" s="12"/>
      <c r="H55" s="23"/>
      <c r="I55" s="3"/>
      <c r="J55" s="3"/>
    </row>
    <row r="56" spans="1:10">
      <c r="A56" s="61" t="s">
        <v>387</v>
      </c>
      <c r="B56" s="3" t="s">
        <v>640</v>
      </c>
      <c r="C56" s="12" t="s">
        <v>157</v>
      </c>
      <c r="D56" s="12">
        <v>150</v>
      </c>
      <c r="E56" s="12" t="s">
        <v>641</v>
      </c>
      <c r="F56">
        <v>75</v>
      </c>
      <c r="G56" s="12">
        <v>225</v>
      </c>
      <c r="H56" s="23">
        <v>225</v>
      </c>
      <c r="I56" s="20" t="s">
        <v>643</v>
      </c>
      <c r="J56" s="3" t="s">
        <v>794</v>
      </c>
    </row>
    <row r="57" spans="1:10">
      <c r="A57" s="89"/>
      <c r="B57" s="3" t="s">
        <v>163</v>
      </c>
      <c r="C57" s="2" t="s">
        <v>75</v>
      </c>
      <c r="D57" s="2">
        <v>0.875</v>
      </c>
      <c r="E57" s="2" t="s">
        <v>76</v>
      </c>
      <c r="G57" s="2">
        <v>0.875</v>
      </c>
      <c r="H57" s="23">
        <v>273.88</v>
      </c>
      <c r="I57" s="3" t="s">
        <v>164</v>
      </c>
      <c r="J57" s="3"/>
    </row>
    <row r="58" spans="1:10">
      <c r="A58" s="62"/>
      <c r="B58" s="5" t="s">
        <v>211</v>
      </c>
      <c r="C58" s="16" t="s">
        <v>94</v>
      </c>
      <c r="D58" s="16">
        <v>1</v>
      </c>
      <c r="E58" s="16" t="s">
        <v>76</v>
      </c>
      <c r="F58" s="16"/>
      <c r="G58" s="23">
        <v>1</v>
      </c>
      <c r="H58" s="23">
        <v>313</v>
      </c>
      <c r="I58" s="19" t="s">
        <v>212</v>
      </c>
    </row>
    <row r="59" spans="1:10">
      <c r="A59" s="62"/>
      <c r="B59" s="5"/>
      <c r="C59" s="16"/>
      <c r="D59" s="16"/>
      <c r="E59" s="16"/>
      <c r="F59" s="16"/>
      <c r="G59" s="23"/>
      <c r="H59" s="14">
        <f>SUM(H56:H58)/3</f>
        <v>270.62666666666667</v>
      </c>
      <c r="I59" s="19"/>
    </row>
    <row r="60" spans="1:10">
      <c r="A60" s="62"/>
      <c r="B60" s="5"/>
      <c r="C60" s="16"/>
      <c r="D60" s="16"/>
      <c r="E60" s="16"/>
      <c r="F60" s="16"/>
      <c r="G60" s="23"/>
      <c r="H60" s="14"/>
      <c r="I60" s="19"/>
    </row>
    <row r="61" spans="1:10">
      <c r="A61" s="61" t="s">
        <v>688</v>
      </c>
      <c r="B61" t="s">
        <v>244</v>
      </c>
      <c r="C61" s="16" t="s">
        <v>201</v>
      </c>
      <c r="D61" s="16">
        <v>1.33</v>
      </c>
      <c r="E61" s="16" t="s">
        <v>245</v>
      </c>
      <c r="F61" s="16">
        <f>D61</f>
        <v>1.33</v>
      </c>
      <c r="G61" s="23">
        <f>D61+F61</f>
        <v>2.66</v>
      </c>
      <c r="H61" s="14">
        <v>138.32</v>
      </c>
      <c r="I61" s="19" t="s">
        <v>246</v>
      </c>
    </row>
    <row r="62" spans="1:10">
      <c r="A62" s="61"/>
      <c r="B62" s="5"/>
      <c r="C62" s="16"/>
      <c r="D62" s="16"/>
      <c r="E62" s="16"/>
      <c r="G62" s="23"/>
      <c r="H62" s="14"/>
      <c r="I62" s="19"/>
    </row>
    <row r="63" spans="1:10">
      <c r="A63" s="61" t="s">
        <v>104</v>
      </c>
      <c r="B63" s="1" t="s">
        <v>624</v>
      </c>
      <c r="C63" s="1"/>
      <c r="D63" s="1"/>
      <c r="E63" s="1"/>
      <c r="F63" s="1"/>
      <c r="G63" s="1"/>
      <c r="H63" s="14">
        <v>460.88</v>
      </c>
      <c r="I63" s="5" t="s">
        <v>864</v>
      </c>
      <c r="J63" s="1"/>
    </row>
    <row r="64" spans="1:10">
      <c r="A64" s="61"/>
      <c r="B64" s="1"/>
      <c r="C64" s="1"/>
      <c r="D64" s="1"/>
      <c r="E64" s="1"/>
      <c r="F64" s="1"/>
      <c r="G64" s="1"/>
      <c r="H64" s="14"/>
      <c r="I64" s="5"/>
      <c r="J64" s="1"/>
    </row>
    <row r="65" spans="1:10">
      <c r="A65" s="61" t="s">
        <v>372</v>
      </c>
      <c r="B65" s="1"/>
      <c r="C65" s="1"/>
      <c r="D65" s="1"/>
      <c r="E65" s="1"/>
      <c r="F65" s="1"/>
      <c r="G65" s="1"/>
      <c r="H65" s="14">
        <v>427.7</v>
      </c>
      <c r="I65" s="5" t="s">
        <v>877</v>
      </c>
      <c r="J65" s="1"/>
    </row>
    <row r="66" spans="1:10">
      <c r="A66" s="61"/>
      <c r="C66" s="16"/>
      <c r="D66" s="16"/>
      <c r="E66" s="16"/>
      <c r="F66" s="16"/>
      <c r="G66" s="23"/>
      <c r="H66" s="23"/>
      <c r="I66" s="19"/>
    </row>
    <row r="67" spans="1:10">
      <c r="A67" s="61" t="s">
        <v>371</v>
      </c>
      <c r="B67" s="3" t="s">
        <v>505</v>
      </c>
      <c r="C67" s="2" t="s">
        <v>157</v>
      </c>
      <c r="D67" s="2">
        <v>500</v>
      </c>
      <c r="E67" s="2" t="s">
        <v>76</v>
      </c>
      <c r="G67" s="2">
        <v>500</v>
      </c>
      <c r="H67" s="23">
        <v>500</v>
      </c>
      <c r="I67" s="3" t="s">
        <v>213</v>
      </c>
      <c r="J67" s="3"/>
    </row>
    <row r="68" spans="1:10">
      <c r="A68" s="62"/>
      <c r="B68" s="3" t="s">
        <v>214</v>
      </c>
      <c r="C68" s="2" t="s">
        <v>157</v>
      </c>
      <c r="D68" s="2">
        <v>250</v>
      </c>
      <c r="E68" s="2" t="s">
        <v>35</v>
      </c>
      <c r="G68" s="2">
        <v>200</v>
      </c>
      <c r="H68" s="23">
        <v>450</v>
      </c>
      <c r="I68" s="3" t="s">
        <v>790</v>
      </c>
      <c r="J68" s="3"/>
    </row>
    <row r="69" spans="1:10">
      <c r="A69" s="62"/>
      <c r="B69" s="19" t="s">
        <v>214</v>
      </c>
      <c r="C69" s="16" t="s">
        <v>157</v>
      </c>
      <c r="D69" s="16">
        <v>250</v>
      </c>
      <c r="E69" s="16" t="s">
        <v>35</v>
      </c>
      <c r="G69" s="16">
        <v>100</v>
      </c>
      <c r="H69" s="23">
        <v>350</v>
      </c>
      <c r="I69" s="19" t="s">
        <v>791</v>
      </c>
      <c r="J69" s="19"/>
    </row>
    <row r="70" spans="1:10">
      <c r="A70" s="62"/>
      <c r="B70" s="19"/>
      <c r="C70" s="16"/>
      <c r="D70" s="16"/>
      <c r="E70" s="16"/>
      <c r="G70" s="16"/>
      <c r="H70" s="14">
        <f>SUM(H67:H69)/3</f>
        <v>433.33333333333331</v>
      </c>
      <c r="I70" s="19"/>
      <c r="J70" s="19"/>
    </row>
    <row r="71" spans="1:10">
      <c r="A71" s="61"/>
      <c r="B71" s="5" t="s">
        <v>899</v>
      </c>
      <c r="C71" s="16"/>
      <c r="D71" s="16"/>
      <c r="E71" s="16"/>
      <c r="F71" s="16"/>
      <c r="G71" s="23"/>
      <c r="H71" s="14">
        <v>311.27</v>
      </c>
      <c r="I71" t="s">
        <v>901</v>
      </c>
    </row>
    <row r="72" spans="1:10">
      <c r="A72" s="61"/>
      <c r="B72" s="5"/>
      <c r="C72" s="16"/>
      <c r="D72" s="16"/>
      <c r="E72" s="16"/>
      <c r="F72" s="16"/>
      <c r="G72" s="23"/>
      <c r="H72" s="14"/>
    </row>
    <row r="73" spans="1:10">
      <c r="A73" s="61" t="s">
        <v>900</v>
      </c>
      <c r="B73" s="5" t="s">
        <v>899</v>
      </c>
      <c r="C73" s="16"/>
      <c r="D73" s="16"/>
      <c r="E73" s="16"/>
      <c r="F73" s="16"/>
      <c r="G73" s="23"/>
      <c r="H73" s="14">
        <v>207.78</v>
      </c>
      <c r="I73" t="s">
        <v>901</v>
      </c>
    </row>
    <row r="74" spans="1:10">
      <c r="A74" s="62"/>
      <c r="B74" s="19"/>
      <c r="C74" s="16"/>
      <c r="D74" s="16"/>
      <c r="E74" s="16"/>
      <c r="G74" s="16"/>
      <c r="H74" s="14"/>
      <c r="J74" s="19"/>
    </row>
    <row r="75" spans="1:10">
      <c r="A75" s="61" t="s">
        <v>373</v>
      </c>
      <c r="B75" s="3" t="s">
        <v>158</v>
      </c>
      <c r="C75" s="2" t="s">
        <v>157</v>
      </c>
      <c r="D75" s="23">
        <f>374.7*1.065</f>
        <v>399.05549999999999</v>
      </c>
      <c r="E75" s="2" t="s">
        <v>76</v>
      </c>
      <c r="G75" s="23">
        <f>D75</f>
        <v>399.05549999999999</v>
      </c>
      <c r="H75" s="23">
        <f>G75</f>
        <v>399.05549999999999</v>
      </c>
      <c r="I75" s="3" t="s">
        <v>958</v>
      </c>
      <c r="J75" s="3"/>
    </row>
    <row r="76" spans="1:10">
      <c r="A76" s="89"/>
      <c r="B76" s="5"/>
      <c r="C76" s="16"/>
      <c r="D76" s="40"/>
      <c r="E76" s="16"/>
      <c r="F76" s="16"/>
      <c r="G76" s="23"/>
      <c r="H76" s="23"/>
    </row>
    <row r="77" spans="1:10">
      <c r="A77" s="61"/>
      <c r="B77" s="5" t="s">
        <v>793</v>
      </c>
      <c r="C77" s="16" t="s">
        <v>157</v>
      </c>
      <c r="D77" s="23">
        <f>0.506*D75</f>
        <v>201.92208299999999</v>
      </c>
      <c r="E77" s="16" t="s">
        <v>76</v>
      </c>
      <c r="F77" s="16"/>
      <c r="G77" s="23">
        <f>D77</f>
        <v>201.92208299999999</v>
      </c>
      <c r="H77" s="23">
        <f>G77</f>
        <v>201.92208299999999</v>
      </c>
      <c r="I77" s="39" t="s">
        <v>937</v>
      </c>
    </row>
    <row r="78" spans="1:10">
      <c r="A78" s="61"/>
      <c r="B78" s="5"/>
      <c r="C78" s="40"/>
      <c r="D78" s="40"/>
      <c r="E78" s="40"/>
      <c r="F78" s="40"/>
      <c r="G78" s="23"/>
      <c r="H78" s="14"/>
    </row>
    <row r="79" spans="1:10">
      <c r="A79" s="61" t="s">
        <v>374</v>
      </c>
      <c r="B79" s="5" t="s">
        <v>632</v>
      </c>
      <c r="C79" s="16" t="s">
        <v>157</v>
      </c>
      <c r="D79" s="16">
        <v>284</v>
      </c>
      <c r="E79" s="16" t="s">
        <v>76</v>
      </c>
      <c r="F79" s="16"/>
      <c r="G79" s="23">
        <v>284</v>
      </c>
      <c r="H79" s="14">
        <v>284</v>
      </c>
      <c r="I79" t="s">
        <v>453</v>
      </c>
    </row>
    <row r="80" spans="1:10">
      <c r="A80" s="61"/>
      <c r="B80" s="5" t="s">
        <v>633</v>
      </c>
      <c r="C80" s="37" t="s">
        <v>157</v>
      </c>
      <c r="D80" s="37">
        <v>284</v>
      </c>
      <c r="E80" s="37" t="s">
        <v>76</v>
      </c>
      <c r="F80" s="37"/>
      <c r="G80" s="23">
        <v>284</v>
      </c>
      <c r="H80" s="14">
        <v>284</v>
      </c>
      <c r="I80" t="s">
        <v>453</v>
      </c>
    </row>
    <row r="81" spans="1:10">
      <c r="A81" s="61"/>
      <c r="B81" s="5" t="s">
        <v>298</v>
      </c>
      <c r="C81" s="37" t="s">
        <v>157</v>
      </c>
      <c r="D81" s="37">
        <v>352</v>
      </c>
      <c r="E81" s="37" t="s">
        <v>76</v>
      </c>
      <c r="F81" s="37"/>
      <c r="G81" s="23">
        <v>352</v>
      </c>
      <c r="H81" s="14">
        <v>284</v>
      </c>
      <c r="I81" t="s">
        <v>453</v>
      </c>
    </row>
    <row r="82" spans="1:10">
      <c r="A82" s="61"/>
      <c r="B82" s="5" t="s">
        <v>638</v>
      </c>
      <c r="C82" s="37" t="s">
        <v>157</v>
      </c>
      <c r="D82" s="37">
        <v>352</v>
      </c>
      <c r="E82" s="37" t="s">
        <v>76</v>
      </c>
      <c r="F82" s="37"/>
      <c r="G82" s="23">
        <v>352</v>
      </c>
      <c r="H82" s="14">
        <v>284</v>
      </c>
      <c r="I82" t="s">
        <v>453</v>
      </c>
    </row>
    <row r="83" spans="1:10">
      <c r="A83" s="87" t="s">
        <v>68</v>
      </c>
      <c r="B83" s="3"/>
      <c r="C83" s="12"/>
      <c r="D83" s="12"/>
      <c r="E83" s="12"/>
      <c r="G83" s="12"/>
      <c r="H83" s="23"/>
      <c r="I83" s="3"/>
      <c r="J83" s="3"/>
    </row>
    <row r="84" spans="1:10">
      <c r="A84" s="64" t="s">
        <v>387</v>
      </c>
      <c r="B84" s="5" t="s">
        <v>163</v>
      </c>
      <c r="C84" s="16" t="s">
        <v>75</v>
      </c>
      <c r="D84" s="16">
        <v>0.98</v>
      </c>
      <c r="E84" s="16" t="s">
        <v>76</v>
      </c>
      <c r="G84" s="23">
        <v>0.98</v>
      </c>
      <c r="H84" s="14">
        <v>306.74</v>
      </c>
      <c r="I84" s="19" t="s">
        <v>243</v>
      </c>
    </row>
    <row r="85" spans="1:10">
      <c r="A85" s="64"/>
      <c r="B85" s="5"/>
      <c r="C85" s="16"/>
      <c r="D85" s="16"/>
      <c r="E85" s="16"/>
      <c r="G85" s="23"/>
      <c r="H85" s="14"/>
      <c r="I85" s="19"/>
    </row>
    <row r="86" spans="1:10">
      <c r="A86" s="64" t="s">
        <v>688</v>
      </c>
      <c r="B86" t="s">
        <v>244</v>
      </c>
      <c r="C86" s="16" t="s">
        <v>201</v>
      </c>
      <c r="D86" s="16">
        <v>1.44</v>
      </c>
      <c r="E86" s="16" t="s">
        <v>245</v>
      </c>
      <c r="F86" s="16">
        <f>D86</f>
        <v>1.44</v>
      </c>
      <c r="G86" s="23">
        <f>D86+F86</f>
        <v>2.88</v>
      </c>
      <c r="H86" s="14">
        <v>149.76</v>
      </c>
      <c r="I86" s="19" t="s">
        <v>246</v>
      </c>
    </row>
    <row r="87" spans="1:10">
      <c r="A87" s="64"/>
      <c r="C87" s="16"/>
      <c r="D87" s="16"/>
      <c r="E87" s="16"/>
      <c r="F87" s="16"/>
      <c r="G87" s="23"/>
      <c r="H87" s="14"/>
      <c r="I87" s="19"/>
    </row>
    <row r="88" spans="1:10">
      <c r="A88" s="64" t="s">
        <v>104</v>
      </c>
      <c r="B88" s="1"/>
      <c r="C88" s="1"/>
      <c r="D88" s="1"/>
      <c r="E88" s="1"/>
      <c r="F88" s="1"/>
      <c r="G88" s="1"/>
      <c r="H88" s="14">
        <v>522.38</v>
      </c>
      <c r="I88" s="5" t="s">
        <v>864</v>
      </c>
      <c r="J88" s="1"/>
    </row>
    <row r="89" spans="1:10">
      <c r="A89" s="64"/>
      <c r="B89" s="1"/>
      <c r="C89" s="1"/>
      <c r="D89" s="1"/>
      <c r="E89" s="1"/>
      <c r="F89" s="1"/>
      <c r="G89" s="1"/>
      <c r="H89" s="14"/>
      <c r="I89" s="5"/>
      <c r="J89" s="1"/>
    </row>
    <row r="90" spans="1:10">
      <c r="A90" s="64" t="s">
        <v>372</v>
      </c>
      <c r="B90" s="1"/>
      <c r="C90" s="1"/>
      <c r="D90" s="1"/>
      <c r="E90" s="1"/>
      <c r="F90" s="1"/>
      <c r="G90" s="1"/>
      <c r="H90" s="14">
        <v>484.77</v>
      </c>
      <c r="I90" s="5" t="s">
        <v>877</v>
      </c>
      <c r="J90" s="1"/>
    </row>
    <row r="91" spans="1:10">
      <c r="A91" s="64"/>
      <c r="B91" s="1"/>
      <c r="C91" s="1"/>
      <c r="D91" s="1"/>
      <c r="E91" s="1"/>
      <c r="F91" s="1"/>
      <c r="G91" s="1"/>
      <c r="H91" s="14"/>
      <c r="I91" s="5"/>
      <c r="J91" s="1"/>
    </row>
    <row r="92" spans="1:10">
      <c r="A92" s="64" t="s">
        <v>371</v>
      </c>
      <c r="B92" s="5" t="s">
        <v>792</v>
      </c>
      <c r="C92" s="16" t="s">
        <v>157</v>
      </c>
      <c r="D92" s="16"/>
      <c r="E92" s="16"/>
      <c r="F92" s="16"/>
      <c r="G92" s="23"/>
      <c r="H92" s="14">
        <v>433.33</v>
      </c>
      <c r="I92" t="s">
        <v>866</v>
      </c>
    </row>
    <row r="93" spans="1:10">
      <c r="A93" s="64"/>
      <c r="B93" s="5" t="s">
        <v>899</v>
      </c>
      <c r="C93" s="16"/>
      <c r="D93" s="16"/>
      <c r="E93" s="16"/>
      <c r="F93" s="16"/>
      <c r="G93" s="23"/>
      <c r="H93" s="14">
        <v>274.74</v>
      </c>
      <c r="I93" t="s">
        <v>901</v>
      </c>
    </row>
    <row r="94" spans="1:10">
      <c r="A94" s="64"/>
      <c r="B94" s="5"/>
      <c r="C94" s="16"/>
      <c r="D94" s="16"/>
      <c r="E94" s="16"/>
      <c r="F94" s="16"/>
      <c r="G94" s="23"/>
      <c r="H94" s="14"/>
    </row>
    <row r="95" spans="1:10">
      <c r="A95" s="64" t="s">
        <v>900</v>
      </c>
      <c r="B95" s="5" t="s">
        <v>899</v>
      </c>
      <c r="C95" s="16"/>
      <c r="D95" s="16"/>
      <c r="E95" s="16"/>
      <c r="F95" s="16"/>
      <c r="G95" s="23"/>
      <c r="H95" s="14">
        <v>158.76</v>
      </c>
      <c r="I95" t="s">
        <v>901</v>
      </c>
    </row>
    <row r="96" spans="1:10">
      <c r="A96" s="64"/>
      <c r="B96" s="5"/>
      <c r="C96" s="16"/>
      <c r="D96" s="16"/>
      <c r="E96" s="16"/>
      <c r="F96" s="16"/>
      <c r="G96" s="23"/>
      <c r="H96" s="14"/>
    </row>
    <row r="97" spans="1:10">
      <c r="A97" s="64" t="s">
        <v>373</v>
      </c>
      <c r="B97" s="39" t="s">
        <v>158</v>
      </c>
      <c r="C97" s="40" t="s">
        <v>157</v>
      </c>
      <c r="D97" s="23">
        <f>374.7*0.978</f>
        <v>366.45659999999998</v>
      </c>
      <c r="E97" s="40" t="s">
        <v>76</v>
      </c>
      <c r="G97" s="23">
        <f>D97</f>
        <v>366.45659999999998</v>
      </c>
      <c r="H97" s="23">
        <f>G97</f>
        <v>366.45659999999998</v>
      </c>
      <c r="I97" s="39" t="s">
        <v>952</v>
      </c>
      <c r="J97" s="39"/>
    </row>
    <row r="98" spans="1:10">
      <c r="A98" s="91"/>
      <c r="B98" s="5"/>
      <c r="C98" s="40"/>
      <c r="D98" s="40"/>
      <c r="E98" s="40"/>
      <c r="F98" s="40"/>
      <c r="G98" s="23"/>
      <c r="H98" s="23"/>
    </row>
    <row r="99" spans="1:10">
      <c r="A99" s="64"/>
      <c r="B99" s="5" t="s">
        <v>793</v>
      </c>
      <c r="C99" s="40" t="s">
        <v>157</v>
      </c>
      <c r="D99" s="23">
        <f>0.506*D97</f>
        <v>185.4270396</v>
      </c>
      <c r="E99" s="40" t="s">
        <v>76</v>
      </c>
      <c r="F99" s="40"/>
      <c r="G99" s="23">
        <f>D99</f>
        <v>185.4270396</v>
      </c>
      <c r="H99" s="23">
        <f>G99</f>
        <v>185.4270396</v>
      </c>
      <c r="I99" s="39" t="s">
        <v>937</v>
      </c>
    </row>
    <row r="100" spans="1:10">
      <c r="A100" s="64"/>
      <c r="B100" s="5"/>
      <c r="C100" s="40"/>
      <c r="D100" s="40"/>
      <c r="E100" s="40"/>
      <c r="F100" s="40"/>
      <c r="G100" s="23"/>
      <c r="H100" s="14"/>
    </row>
    <row r="101" spans="1:10">
      <c r="A101" s="64" t="s">
        <v>374</v>
      </c>
      <c r="B101" s="5" t="s">
        <v>634</v>
      </c>
      <c r="C101" s="16" t="s">
        <v>157</v>
      </c>
      <c r="D101" s="16">
        <v>284</v>
      </c>
      <c r="E101" s="16" t="s">
        <v>76</v>
      </c>
      <c r="F101" s="16"/>
      <c r="G101" s="23">
        <v>284</v>
      </c>
      <c r="H101" s="14">
        <v>284</v>
      </c>
      <c r="I101" t="s">
        <v>453</v>
      </c>
    </row>
    <row r="102" spans="1:10">
      <c r="A102" s="96" t="s">
        <v>70</v>
      </c>
      <c r="H102" s="24"/>
    </row>
    <row r="103" spans="1:10">
      <c r="A103" s="67" t="s">
        <v>387</v>
      </c>
      <c r="B103" s="5" t="s">
        <v>163</v>
      </c>
      <c r="C103" s="16" t="s">
        <v>75</v>
      </c>
      <c r="D103" s="16">
        <v>0.84</v>
      </c>
      <c r="E103" s="16" t="s">
        <v>76</v>
      </c>
      <c r="G103" s="23">
        <v>0.84</v>
      </c>
      <c r="H103" s="14">
        <v>262.92</v>
      </c>
      <c r="I103" s="19" t="s">
        <v>243</v>
      </c>
    </row>
    <row r="104" spans="1:10">
      <c r="A104" s="67"/>
      <c r="B104" s="5" t="s">
        <v>628</v>
      </c>
      <c r="C104" s="16"/>
      <c r="D104" s="16"/>
      <c r="E104" s="16"/>
      <c r="G104" s="23"/>
      <c r="H104" s="14">
        <f>0.53*H103</f>
        <v>139.34760000000003</v>
      </c>
      <c r="I104" s="19" t="s">
        <v>626</v>
      </c>
    </row>
    <row r="105" spans="1:10">
      <c r="A105" s="96"/>
      <c r="H105" s="24"/>
    </row>
    <row r="106" spans="1:10">
      <c r="A106" s="67" t="s">
        <v>688</v>
      </c>
      <c r="B106" t="s">
        <v>244</v>
      </c>
      <c r="C106" s="16" t="s">
        <v>201</v>
      </c>
      <c r="D106" s="16">
        <v>1.2</v>
      </c>
      <c r="E106" s="16" t="s">
        <v>245</v>
      </c>
      <c r="F106" s="16">
        <f>D106</f>
        <v>1.2</v>
      </c>
      <c r="G106" s="23">
        <f>D106+F106</f>
        <v>2.4</v>
      </c>
      <c r="H106" s="14">
        <v>124.8</v>
      </c>
      <c r="I106" s="19" t="s">
        <v>246</v>
      </c>
    </row>
    <row r="107" spans="1:10">
      <c r="A107" s="67"/>
      <c r="B107" s="5" t="s">
        <v>628</v>
      </c>
      <c r="C107" s="16"/>
      <c r="D107" s="16"/>
      <c r="E107" s="16"/>
      <c r="G107" s="23"/>
      <c r="H107" s="14">
        <f>0.53*H106</f>
        <v>66.144000000000005</v>
      </c>
      <c r="I107" s="19" t="s">
        <v>626</v>
      </c>
    </row>
    <row r="108" spans="1:10">
      <c r="A108" s="67"/>
      <c r="C108" s="16"/>
      <c r="D108" s="16"/>
      <c r="E108" s="16"/>
      <c r="F108" s="16"/>
      <c r="G108" s="23"/>
      <c r="H108" s="14"/>
      <c r="I108" s="19"/>
    </row>
    <row r="109" spans="1:10">
      <c r="A109" s="67" t="s">
        <v>104</v>
      </c>
      <c r="B109" s="5" t="s">
        <v>624</v>
      </c>
      <c r="C109" s="1"/>
      <c r="D109" s="1"/>
      <c r="E109" s="1"/>
      <c r="F109" s="1"/>
      <c r="G109" s="1"/>
      <c r="H109" s="14">
        <v>447.75</v>
      </c>
      <c r="I109" s="5" t="s">
        <v>864</v>
      </c>
      <c r="J109" s="1"/>
    </row>
    <row r="110" spans="1:10">
      <c r="A110" s="67"/>
      <c r="B110" s="5" t="s">
        <v>625</v>
      </c>
      <c r="C110" s="1"/>
      <c r="D110" s="1"/>
      <c r="E110" s="1"/>
      <c r="F110" s="1"/>
      <c r="G110" s="1"/>
      <c r="H110" s="14">
        <f>0.53*H109</f>
        <v>237.3075</v>
      </c>
      <c r="I110" s="19" t="s">
        <v>626</v>
      </c>
      <c r="J110" s="1"/>
    </row>
    <row r="111" spans="1:10">
      <c r="A111" s="67"/>
      <c r="B111" s="1"/>
      <c r="C111" s="1"/>
      <c r="D111" s="1"/>
      <c r="E111" s="1"/>
      <c r="F111" s="1"/>
      <c r="G111" s="1"/>
      <c r="H111" s="14"/>
      <c r="I111" s="5"/>
      <c r="J111" s="1"/>
    </row>
    <row r="112" spans="1:10">
      <c r="A112" s="67" t="s">
        <v>372</v>
      </c>
      <c r="B112" s="5" t="s">
        <v>624</v>
      </c>
      <c r="C112" s="1"/>
      <c r="D112" s="1"/>
      <c r="E112" s="1"/>
      <c r="F112" s="1"/>
      <c r="G112" s="1"/>
      <c r="H112" s="14">
        <v>415.51</v>
      </c>
      <c r="I112" s="5" t="s">
        <v>877</v>
      </c>
      <c r="J112" s="1"/>
    </row>
    <row r="113" spans="1:10">
      <c r="A113" s="67"/>
      <c r="B113" s="5" t="s">
        <v>625</v>
      </c>
      <c r="C113" s="1"/>
      <c r="D113" s="1"/>
      <c r="E113" s="1"/>
      <c r="F113" s="1"/>
      <c r="G113" s="1"/>
      <c r="H113" s="14">
        <f>0.53*H112</f>
        <v>220.22030000000001</v>
      </c>
      <c r="I113" s="19" t="s">
        <v>626</v>
      </c>
      <c r="J113" s="1"/>
    </row>
    <row r="114" spans="1:10">
      <c r="A114" s="67"/>
      <c r="B114" s="1"/>
      <c r="C114" s="1"/>
      <c r="D114" s="1"/>
      <c r="E114" s="1"/>
      <c r="F114" s="1"/>
      <c r="G114" s="1"/>
      <c r="H114" s="14"/>
      <c r="I114" s="5"/>
      <c r="J114" s="1"/>
    </row>
    <row r="115" spans="1:10">
      <c r="A115" s="67" t="s">
        <v>371</v>
      </c>
      <c r="B115" s="5" t="s">
        <v>792</v>
      </c>
      <c r="C115" s="16" t="s">
        <v>157</v>
      </c>
      <c r="D115" s="16"/>
      <c r="E115" s="16"/>
      <c r="F115" s="16"/>
      <c r="G115" s="23"/>
      <c r="H115" s="14">
        <v>433.33</v>
      </c>
      <c r="I115" t="s">
        <v>866</v>
      </c>
    </row>
    <row r="116" spans="1:10">
      <c r="A116" s="67"/>
      <c r="B116" s="5" t="s">
        <v>899</v>
      </c>
      <c r="C116" s="16"/>
      <c r="D116" s="16"/>
      <c r="E116" s="16"/>
      <c r="F116" s="16"/>
      <c r="G116" s="23"/>
      <c r="H116" s="14">
        <v>237.79</v>
      </c>
      <c r="I116" t="s">
        <v>901</v>
      </c>
    </row>
    <row r="117" spans="1:10">
      <c r="A117" s="67"/>
      <c r="B117" s="5"/>
      <c r="C117" s="16"/>
      <c r="D117" s="16"/>
      <c r="E117" s="16"/>
      <c r="F117" s="16"/>
      <c r="G117" s="23"/>
      <c r="H117" s="14"/>
    </row>
    <row r="118" spans="1:10">
      <c r="A118" s="67" t="s">
        <v>900</v>
      </c>
      <c r="B118" s="5" t="s">
        <v>899</v>
      </c>
      <c r="C118" s="16"/>
      <c r="D118" s="16"/>
      <c r="E118" s="16"/>
      <c r="F118" s="16"/>
      <c r="G118" s="23"/>
      <c r="H118" s="14">
        <v>153.44999999999999</v>
      </c>
      <c r="I118" t="s">
        <v>901</v>
      </c>
    </row>
    <row r="119" spans="1:10">
      <c r="A119" s="96"/>
      <c r="H119" s="24"/>
    </row>
    <row r="120" spans="1:10">
      <c r="A120" s="67" t="s">
        <v>373</v>
      </c>
      <c r="B120" s="39" t="s">
        <v>158</v>
      </c>
      <c r="C120" s="40" t="s">
        <v>157</v>
      </c>
      <c r="D120" s="23">
        <f>374.7*0.913</f>
        <v>342.10109999999997</v>
      </c>
      <c r="E120" s="40" t="s">
        <v>76</v>
      </c>
      <c r="G120" s="23">
        <f>D120</f>
        <v>342.10109999999997</v>
      </c>
      <c r="H120" s="23">
        <f>G120</f>
        <v>342.10109999999997</v>
      </c>
      <c r="I120" s="39" t="s">
        <v>953</v>
      </c>
      <c r="J120" s="39"/>
    </row>
    <row r="121" spans="1:10">
      <c r="A121" s="68"/>
      <c r="B121" s="5"/>
      <c r="C121" s="40"/>
      <c r="D121" s="40"/>
      <c r="E121" s="40"/>
      <c r="F121" s="40"/>
      <c r="G121" s="23"/>
      <c r="H121" s="23"/>
    </row>
    <row r="122" spans="1:10">
      <c r="A122" s="67"/>
      <c r="B122" s="5" t="s">
        <v>793</v>
      </c>
      <c r="C122" s="40" t="s">
        <v>157</v>
      </c>
      <c r="D122" s="23">
        <f>0.506*D120</f>
        <v>173.10315659999998</v>
      </c>
      <c r="E122" s="40" t="s">
        <v>76</v>
      </c>
      <c r="F122" s="40"/>
      <c r="G122" s="23">
        <f>D122</f>
        <v>173.10315659999998</v>
      </c>
      <c r="H122" s="23">
        <f>G122</f>
        <v>173.10315659999998</v>
      </c>
      <c r="I122" s="39" t="s">
        <v>937</v>
      </c>
    </row>
    <row r="123" spans="1:10">
      <c r="A123" s="67"/>
      <c r="B123" s="5"/>
      <c r="C123" s="40"/>
      <c r="D123" s="40"/>
      <c r="E123" s="40"/>
      <c r="F123" s="40"/>
      <c r="G123" s="23"/>
      <c r="H123" s="14"/>
    </row>
    <row r="124" spans="1:10">
      <c r="A124" s="67" t="s">
        <v>374</v>
      </c>
      <c r="B124" s="5" t="s">
        <v>637</v>
      </c>
      <c r="C124" s="37" t="s">
        <v>94</v>
      </c>
      <c r="D124" s="37">
        <v>1.1499999999999999</v>
      </c>
      <c r="E124" s="37" t="s">
        <v>76</v>
      </c>
      <c r="F124" s="37"/>
      <c r="G124" s="23">
        <v>1.1499999999999999</v>
      </c>
      <c r="H124" s="14">
        <v>359.95</v>
      </c>
      <c r="I124" t="s">
        <v>592</v>
      </c>
    </row>
    <row r="125" spans="1:10">
      <c r="A125" s="93" t="s">
        <v>69</v>
      </c>
      <c r="H125" s="24"/>
    </row>
    <row r="126" spans="1:10">
      <c r="A126" s="71" t="s">
        <v>387</v>
      </c>
      <c r="B126" s="5" t="s">
        <v>163</v>
      </c>
      <c r="C126" s="16" t="s">
        <v>75</v>
      </c>
      <c r="D126" s="16">
        <v>0.92</v>
      </c>
      <c r="E126" s="16" t="s">
        <v>76</v>
      </c>
      <c r="G126" s="23">
        <v>0.92</v>
      </c>
      <c r="H126" s="14">
        <v>287.95999999999998</v>
      </c>
      <c r="I126" s="19" t="s">
        <v>243</v>
      </c>
    </row>
    <row r="127" spans="1:10">
      <c r="A127" s="71"/>
      <c r="B127" s="5" t="s">
        <v>628</v>
      </c>
      <c r="C127" s="16"/>
      <c r="D127" s="16"/>
      <c r="E127" s="16"/>
      <c r="G127" s="23"/>
      <c r="H127" s="14">
        <f>0.53*H126</f>
        <v>152.61879999999999</v>
      </c>
      <c r="I127" s="19" t="s">
        <v>626</v>
      </c>
    </row>
    <row r="128" spans="1:10">
      <c r="A128" s="93"/>
      <c r="H128" s="24"/>
    </row>
    <row r="129" spans="1:10">
      <c r="A129" s="71" t="s">
        <v>688</v>
      </c>
      <c r="B129" t="s">
        <v>244</v>
      </c>
      <c r="C129" s="16" t="s">
        <v>201</v>
      </c>
      <c r="D129" s="16">
        <v>1.63</v>
      </c>
      <c r="E129" s="16" t="s">
        <v>245</v>
      </c>
      <c r="F129" s="16">
        <f>D129</f>
        <v>1.63</v>
      </c>
      <c r="G129" s="23">
        <f>D129+F129</f>
        <v>3.26</v>
      </c>
      <c r="H129" s="14">
        <v>169.52</v>
      </c>
      <c r="I129" s="19" t="s">
        <v>246</v>
      </c>
    </row>
    <row r="130" spans="1:10">
      <c r="A130" s="71"/>
      <c r="B130" s="5" t="s">
        <v>628</v>
      </c>
      <c r="C130" s="16"/>
      <c r="D130" s="16"/>
      <c r="E130" s="16"/>
      <c r="G130" s="23"/>
      <c r="H130" s="14">
        <f>0.53*H129</f>
        <v>89.845600000000005</v>
      </c>
      <c r="I130" s="19" t="s">
        <v>626</v>
      </c>
    </row>
    <row r="131" spans="1:10">
      <c r="A131" s="71"/>
      <c r="C131" s="16"/>
      <c r="D131" s="16"/>
      <c r="E131" s="16"/>
      <c r="F131" s="16"/>
      <c r="G131" s="23"/>
      <c r="H131" s="14"/>
      <c r="I131" s="19"/>
    </row>
    <row r="132" spans="1:10">
      <c r="A132" s="71" t="s">
        <v>104</v>
      </c>
      <c r="B132" s="5" t="s">
        <v>624</v>
      </c>
      <c r="C132" s="1"/>
      <c r="D132" s="1"/>
      <c r="E132" s="1"/>
      <c r="F132" s="1"/>
      <c r="G132" s="1"/>
      <c r="H132" s="14">
        <v>405.25</v>
      </c>
      <c r="I132" s="5" t="s">
        <v>864</v>
      </c>
      <c r="J132" s="1"/>
    </row>
    <row r="133" spans="1:10">
      <c r="A133" s="71"/>
      <c r="B133" s="5" t="s">
        <v>625</v>
      </c>
      <c r="C133" s="1"/>
      <c r="D133" s="1"/>
      <c r="E133" s="1"/>
      <c r="F133" s="1"/>
      <c r="G133" s="1"/>
      <c r="H133" s="14">
        <f>0.53*H132</f>
        <v>214.7825</v>
      </c>
      <c r="I133" s="19" t="s">
        <v>626</v>
      </c>
      <c r="J133" s="1"/>
    </row>
    <row r="134" spans="1:10">
      <c r="A134" s="71"/>
      <c r="B134" s="1"/>
      <c r="C134" s="1"/>
      <c r="D134" s="1"/>
      <c r="E134" s="1"/>
      <c r="F134" s="1"/>
      <c r="G134" s="1"/>
      <c r="H134" s="14"/>
      <c r="I134" s="5"/>
      <c r="J134" s="1"/>
    </row>
    <row r="135" spans="1:10">
      <c r="A135" s="71" t="s">
        <v>372</v>
      </c>
      <c r="B135" s="1" t="s">
        <v>624</v>
      </c>
      <c r="C135" s="1"/>
      <c r="D135" s="1"/>
      <c r="E135" s="1"/>
      <c r="F135" s="1"/>
      <c r="G135" s="1"/>
      <c r="H135" s="14">
        <v>376.07</v>
      </c>
      <c r="I135" s="5" t="s">
        <v>877</v>
      </c>
      <c r="J135" s="1"/>
    </row>
    <row r="136" spans="1:10">
      <c r="A136" s="71"/>
      <c r="B136" s="5" t="s">
        <v>625</v>
      </c>
      <c r="C136" s="1"/>
      <c r="D136" s="1"/>
      <c r="E136" s="1"/>
      <c r="F136" s="1"/>
      <c r="G136" s="1"/>
      <c r="H136" s="14">
        <f>0.53*H135</f>
        <v>199.31710000000001</v>
      </c>
      <c r="I136" s="19" t="s">
        <v>626</v>
      </c>
      <c r="J136" s="1"/>
    </row>
    <row r="137" spans="1:10">
      <c r="A137" s="71"/>
      <c r="B137" s="5"/>
      <c r="C137" s="1"/>
      <c r="D137" s="1"/>
      <c r="E137" s="1"/>
      <c r="F137" s="1"/>
      <c r="G137" s="1"/>
      <c r="H137" s="14"/>
      <c r="I137" s="39"/>
      <c r="J137" s="1"/>
    </row>
    <row r="138" spans="1:10">
      <c r="A138" s="71" t="s">
        <v>373</v>
      </c>
      <c r="B138" s="39" t="s">
        <v>158</v>
      </c>
      <c r="C138" s="40" t="s">
        <v>157</v>
      </c>
      <c r="D138" s="23">
        <f>374.7*0.848</f>
        <v>317.74559999999997</v>
      </c>
      <c r="E138" s="40" t="s">
        <v>76</v>
      </c>
      <c r="G138" s="23">
        <f>D138</f>
        <v>317.74559999999997</v>
      </c>
      <c r="H138" s="23">
        <f>G138</f>
        <v>317.74559999999997</v>
      </c>
      <c r="I138" s="39" t="s">
        <v>942</v>
      </c>
      <c r="J138" s="39"/>
    </row>
    <row r="139" spans="1:10">
      <c r="A139" s="92"/>
      <c r="B139" s="5"/>
      <c r="C139" s="40"/>
      <c r="D139" s="40"/>
      <c r="E139" s="40"/>
      <c r="F139" s="40"/>
      <c r="G139" s="23"/>
      <c r="H139" s="23"/>
    </row>
    <row r="140" spans="1:10">
      <c r="A140" s="71"/>
      <c r="B140" s="5" t="s">
        <v>793</v>
      </c>
      <c r="C140" s="40" t="s">
        <v>157</v>
      </c>
      <c r="D140" s="23">
        <f>0.506*D138</f>
        <v>160.77927359999998</v>
      </c>
      <c r="E140" s="40" t="s">
        <v>76</v>
      </c>
      <c r="F140" s="40"/>
      <c r="G140" s="23">
        <f>D140</f>
        <v>160.77927359999998</v>
      </c>
      <c r="H140" s="23">
        <f>G140</f>
        <v>160.77927359999998</v>
      </c>
      <c r="I140" s="39" t="s">
        <v>937</v>
      </c>
    </row>
    <row r="141" spans="1:10">
      <c r="A141" s="71"/>
      <c r="B141" s="19"/>
      <c r="C141" s="16"/>
      <c r="D141" s="16"/>
      <c r="E141" s="16"/>
      <c r="G141" s="23"/>
      <c r="H141" s="14"/>
    </row>
    <row r="142" spans="1:10">
      <c r="A142" s="71" t="s">
        <v>374</v>
      </c>
      <c r="B142" s="5" t="s">
        <v>635</v>
      </c>
      <c r="C142" s="16" t="s">
        <v>157</v>
      </c>
      <c r="D142" s="16">
        <v>284</v>
      </c>
      <c r="E142" s="16" t="s">
        <v>76</v>
      </c>
      <c r="F142" s="16"/>
      <c r="G142" s="23">
        <v>284</v>
      </c>
      <c r="H142" s="14">
        <v>284</v>
      </c>
      <c r="I142" t="s">
        <v>453</v>
      </c>
    </row>
    <row r="143" spans="1:10">
      <c r="A143" s="71"/>
      <c r="B143" s="5" t="s">
        <v>636</v>
      </c>
      <c r="C143" s="37" t="s">
        <v>157</v>
      </c>
      <c r="D143" s="37">
        <v>284</v>
      </c>
      <c r="E143" s="37" t="s">
        <v>76</v>
      </c>
      <c r="F143" s="37"/>
      <c r="G143" s="23">
        <v>284</v>
      </c>
      <c r="H143" s="14">
        <v>284</v>
      </c>
      <c r="I143" t="s">
        <v>453</v>
      </c>
    </row>
    <row r="144" spans="1:10">
      <c r="A144" s="71" t="s">
        <v>371</v>
      </c>
      <c r="B144" s="5" t="s">
        <v>899</v>
      </c>
      <c r="C144" s="16"/>
      <c r="D144" s="16"/>
      <c r="E144" s="16"/>
      <c r="F144" s="16"/>
      <c r="G144" s="23"/>
      <c r="H144" s="14">
        <v>259.33999999999997</v>
      </c>
      <c r="I144" t="s">
        <v>901</v>
      </c>
    </row>
    <row r="145" spans="1:10">
      <c r="A145" s="71"/>
      <c r="B145" s="5"/>
      <c r="C145" s="16"/>
      <c r="D145" s="16"/>
      <c r="E145" s="16"/>
      <c r="F145" s="16"/>
      <c r="G145" s="23"/>
      <c r="H145" s="14"/>
    </row>
    <row r="146" spans="1:10">
      <c r="A146" s="71" t="s">
        <v>900</v>
      </c>
      <c r="B146" s="5" t="s">
        <v>899</v>
      </c>
      <c r="C146" s="16"/>
      <c r="D146" s="16"/>
      <c r="E146" s="16"/>
      <c r="F146" s="16"/>
      <c r="G146" s="23"/>
      <c r="H146" s="14">
        <v>179.51</v>
      </c>
      <c r="I146" t="s">
        <v>901</v>
      </c>
    </row>
    <row r="147" spans="1:10">
      <c r="A147" s="100" t="s">
        <v>71</v>
      </c>
      <c r="B147" s="2"/>
      <c r="C147" s="2"/>
      <c r="D147" s="2"/>
      <c r="E147" s="2"/>
      <c r="F147" s="2"/>
      <c r="G147" s="2"/>
      <c r="H147" s="23"/>
      <c r="I147" s="3"/>
    </row>
    <row r="148" spans="1:10">
      <c r="A148" s="74" t="s">
        <v>387</v>
      </c>
      <c r="B148" s="5" t="s">
        <v>163</v>
      </c>
      <c r="C148" s="16" t="s">
        <v>75</v>
      </c>
      <c r="D148" s="16">
        <v>1.27</v>
      </c>
      <c r="E148" s="16" t="s">
        <v>76</v>
      </c>
      <c r="G148" s="23">
        <v>1.27</v>
      </c>
      <c r="H148" s="14">
        <v>397.51</v>
      </c>
      <c r="I148" s="19" t="s">
        <v>243</v>
      </c>
    </row>
    <row r="149" spans="1:10">
      <c r="A149" s="74"/>
      <c r="B149" s="5" t="s">
        <v>628</v>
      </c>
      <c r="C149" s="16"/>
      <c r="D149" s="16"/>
      <c r="E149" s="16"/>
      <c r="G149" s="23"/>
      <c r="H149" s="14">
        <f>0.53*H148</f>
        <v>210.68030000000002</v>
      </c>
      <c r="I149" s="19" t="s">
        <v>626</v>
      </c>
    </row>
    <row r="150" spans="1:10">
      <c r="A150" s="100"/>
      <c r="B150" s="16"/>
      <c r="C150" s="16"/>
      <c r="D150" s="16"/>
      <c r="E150" s="16"/>
      <c r="F150" s="16"/>
      <c r="G150" s="16"/>
      <c r="H150" s="23"/>
      <c r="I150" s="19"/>
    </row>
    <row r="151" spans="1:10">
      <c r="A151" s="74" t="s">
        <v>688</v>
      </c>
      <c r="B151" t="s">
        <v>244</v>
      </c>
      <c r="C151" s="16" t="s">
        <v>201</v>
      </c>
      <c r="D151" s="16">
        <v>2.95</v>
      </c>
      <c r="E151" s="16" t="s">
        <v>245</v>
      </c>
      <c r="F151" s="16">
        <f>D151</f>
        <v>2.95</v>
      </c>
      <c r="G151" s="23">
        <f>D151+F151</f>
        <v>5.9</v>
      </c>
      <c r="H151" s="14">
        <v>306.8</v>
      </c>
      <c r="I151" s="19" t="s">
        <v>246</v>
      </c>
    </row>
    <row r="152" spans="1:10">
      <c r="A152" s="74"/>
      <c r="B152" s="5" t="s">
        <v>628</v>
      </c>
      <c r="C152" s="16"/>
      <c r="D152" s="16"/>
      <c r="E152" s="16"/>
      <c r="G152" s="23"/>
      <c r="H152" s="14">
        <f>0.53*H151</f>
        <v>162.60400000000001</v>
      </c>
      <c r="I152" s="19" t="s">
        <v>626</v>
      </c>
    </row>
    <row r="153" spans="1:10">
      <c r="A153" s="74"/>
      <c r="C153" s="16"/>
      <c r="D153" s="16"/>
      <c r="E153" s="16"/>
      <c r="F153" s="16"/>
      <c r="G153" s="23"/>
      <c r="H153" s="14"/>
      <c r="I153" s="19"/>
    </row>
    <row r="154" spans="1:10">
      <c r="A154" s="74" t="s">
        <v>104</v>
      </c>
      <c r="B154" s="5" t="s">
        <v>624</v>
      </c>
      <c r="C154" s="1"/>
      <c r="D154" s="1"/>
      <c r="E154" s="1"/>
      <c r="F154" s="1"/>
      <c r="G154" s="1"/>
      <c r="H154" s="14">
        <v>676.96</v>
      </c>
      <c r="I154" s="5" t="s">
        <v>864</v>
      </c>
      <c r="J154" s="1"/>
    </row>
    <row r="155" spans="1:10">
      <c r="A155" s="74"/>
      <c r="B155" s="5" t="s">
        <v>625</v>
      </c>
      <c r="C155" s="1"/>
      <c r="D155" s="1"/>
      <c r="E155" s="1"/>
      <c r="F155" s="1"/>
      <c r="G155" s="1"/>
      <c r="H155" s="14">
        <f>0.53*H154</f>
        <v>358.78880000000004</v>
      </c>
      <c r="I155" s="19" t="s">
        <v>626</v>
      </c>
      <c r="J155" s="1"/>
    </row>
    <row r="156" spans="1:10">
      <c r="A156" s="74"/>
      <c r="B156" s="1"/>
      <c r="C156" s="1"/>
      <c r="D156" s="1"/>
      <c r="E156" s="1"/>
      <c r="F156" s="1"/>
      <c r="G156" s="1"/>
      <c r="H156" s="14"/>
      <c r="I156" s="5"/>
      <c r="J156" s="1"/>
    </row>
    <row r="157" spans="1:10">
      <c r="A157" s="74" t="s">
        <v>372</v>
      </c>
      <c r="B157" s="1" t="s">
        <v>624</v>
      </c>
      <c r="C157" s="1"/>
      <c r="D157" s="1"/>
      <c r="E157" s="1"/>
      <c r="F157" s="1"/>
      <c r="G157" s="1"/>
      <c r="H157" s="14">
        <v>628.22</v>
      </c>
      <c r="I157" s="5" t="s">
        <v>877</v>
      </c>
      <c r="J157" s="1"/>
    </row>
    <row r="158" spans="1:10">
      <c r="A158" s="74"/>
      <c r="B158" s="5" t="s">
        <v>625</v>
      </c>
      <c r="C158" s="1"/>
      <c r="D158" s="1"/>
      <c r="E158" s="1"/>
      <c r="F158" s="1"/>
      <c r="G158" s="1"/>
      <c r="H158" s="14">
        <f>0.53*H157</f>
        <v>332.95660000000004</v>
      </c>
      <c r="I158" s="19" t="s">
        <v>626</v>
      </c>
      <c r="J158" s="1"/>
    </row>
    <row r="159" spans="1:10">
      <c r="A159" s="74"/>
      <c r="B159" s="5"/>
      <c r="C159" s="1"/>
      <c r="D159" s="1"/>
      <c r="E159" s="1"/>
      <c r="F159" s="1"/>
      <c r="G159" s="1"/>
      <c r="H159" s="14"/>
      <c r="I159" s="39"/>
      <c r="J159" s="1"/>
    </row>
    <row r="160" spans="1:10">
      <c r="A160" s="74" t="s">
        <v>373</v>
      </c>
      <c r="B160" s="39" t="s">
        <v>158</v>
      </c>
      <c r="C160" s="40" t="s">
        <v>157</v>
      </c>
      <c r="D160" s="23">
        <f>374.7*1.041</f>
        <v>390.06269999999995</v>
      </c>
      <c r="E160" s="40" t="s">
        <v>76</v>
      </c>
      <c r="G160" s="23">
        <f>D160</f>
        <v>390.06269999999995</v>
      </c>
      <c r="H160" s="23">
        <f>G160</f>
        <v>390.06269999999995</v>
      </c>
      <c r="I160" s="39" t="s">
        <v>931</v>
      </c>
      <c r="J160" s="39"/>
    </row>
    <row r="161" spans="1:10">
      <c r="A161" s="101"/>
      <c r="B161" s="5"/>
      <c r="C161" s="40"/>
      <c r="D161" s="40"/>
      <c r="E161" s="40"/>
      <c r="F161" s="40"/>
      <c r="G161" s="23"/>
      <c r="H161" s="23"/>
    </row>
    <row r="162" spans="1:10">
      <c r="A162" s="74"/>
      <c r="B162" s="5" t="s">
        <v>793</v>
      </c>
      <c r="C162" s="40" t="s">
        <v>157</v>
      </c>
      <c r="D162" s="23">
        <f>0.506*D160</f>
        <v>197.37172619999998</v>
      </c>
      <c r="E162" s="40" t="s">
        <v>76</v>
      </c>
      <c r="F162" s="40"/>
      <c r="G162" s="23">
        <f>D162</f>
        <v>197.37172619999998</v>
      </c>
      <c r="H162" s="23">
        <f>G162</f>
        <v>197.37172619999998</v>
      </c>
      <c r="I162" s="39" t="s">
        <v>937</v>
      </c>
    </row>
    <row r="163" spans="1:10">
      <c r="A163" s="74"/>
      <c r="B163" s="1"/>
      <c r="C163" s="1"/>
      <c r="D163" s="1"/>
      <c r="E163" s="1"/>
      <c r="F163" s="1"/>
      <c r="G163" s="1"/>
      <c r="H163" s="14"/>
      <c r="I163" s="5"/>
      <c r="J163" s="1"/>
    </row>
    <row r="164" spans="1:10">
      <c r="A164" s="74" t="s">
        <v>371</v>
      </c>
      <c r="B164" s="5" t="s">
        <v>899</v>
      </c>
      <c r="C164" s="16"/>
      <c r="D164" s="16"/>
      <c r="E164" s="16"/>
      <c r="F164" s="16"/>
      <c r="G164" s="23"/>
      <c r="H164" s="14">
        <v>277.89999999999998</v>
      </c>
      <c r="I164" t="s">
        <v>901</v>
      </c>
    </row>
    <row r="165" spans="1:10">
      <c r="A165" s="74"/>
      <c r="B165" s="5"/>
      <c r="C165" s="16"/>
      <c r="D165" s="16"/>
      <c r="E165" s="16"/>
      <c r="F165" s="16"/>
      <c r="G165" s="23"/>
      <c r="H165" s="14"/>
    </row>
    <row r="166" spans="1:10">
      <c r="A166" s="74" t="s">
        <v>900</v>
      </c>
      <c r="B166" s="5" t="s">
        <v>899</v>
      </c>
      <c r="C166" s="16"/>
      <c r="D166" s="16"/>
      <c r="E166" s="16"/>
      <c r="F166" s="16"/>
      <c r="G166" s="23"/>
      <c r="H166" s="14">
        <v>259.52999999999997</v>
      </c>
      <c r="I166" t="s">
        <v>901</v>
      </c>
    </row>
    <row r="167" spans="1:10">
      <c r="A167" s="76" t="s">
        <v>72</v>
      </c>
      <c r="B167" s="2"/>
      <c r="C167" s="2"/>
      <c r="D167" s="2"/>
      <c r="E167" s="2"/>
      <c r="F167" s="2"/>
      <c r="G167" s="2"/>
      <c r="H167" s="23"/>
      <c r="I167" s="3"/>
    </row>
    <row r="168" spans="1:10">
      <c r="A168" s="77" t="s">
        <v>387</v>
      </c>
      <c r="B168" s="5" t="s">
        <v>163</v>
      </c>
      <c r="C168" s="16" t="s">
        <v>75</v>
      </c>
      <c r="D168" s="16">
        <v>2</v>
      </c>
      <c r="E168" s="16" t="s">
        <v>76</v>
      </c>
      <c r="G168" s="23">
        <f>D168</f>
        <v>2</v>
      </c>
      <c r="H168" s="14">
        <v>626</v>
      </c>
      <c r="I168" s="19" t="s">
        <v>243</v>
      </c>
    </row>
    <row r="169" spans="1:10">
      <c r="A169" s="77"/>
      <c r="B169" s="5"/>
      <c r="C169" s="16"/>
      <c r="D169" s="16"/>
      <c r="E169" s="16"/>
      <c r="G169" s="23"/>
      <c r="H169" s="14"/>
      <c r="I169" s="19"/>
    </row>
    <row r="170" spans="1:10">
      <c r="A170" s="77" t="s">
        <v>104</v>
      </c>
      <c r="B170" s="1"/>
      <c r="C170" s="1"/>
      <c r="D170" s="1"/>
      <c r="E170" s="1"/>
      <c r="F170" s="1"/>
      <c r="G170" s="1"/>
      <c r="H170" s="14">
        <v>1066.08</v>
      </c>
      <c r="I170" s="5" t="s">
        <v>864</v>
      </c>
      <c r="J170" s="1"/>
    </row>
    <row r="171" spans="1:10">
      <c r="A171" s="77"/>
      <c r="B171" s="1"/>
      <c r="C171" s="1"/>
      <c r="D171" s="1"/>
      <c r="E171" s="1"/>
      <c r="F171" s="1"/>
      <c r="G171" s="1"/>
      <c r="H171" s="14"/>
      <c r="I171" s="5"/>
      <c r="J171" s="1"/>
    </row>
    <row r="172" spans="1:10">
      <c r="A172" s="77" t="s">
        <v>372</v>
      </c>
      <c r="B172" s="1"/>
      <c r="C172" s="1"/>
      <c r="D172" s="1"/>
      <c r="E172" s="1"/>
      <c r="F172" s="1"/>
      <c r="G172" s="1"/>
      <c r="H172" s="14">
        <v>989.32</v>
      </c>
      <c r="I172" s="5" t="s">
        <v>877</v>
      </c>
      <c r="J172" s="1"/>
    </row>
    <row r="173" spans="1:10">
      <c r="A173" s="79" t="s">
        <v>73</v>
      </c>
      <c r="B173" s="2"/>
      <c r="C173" s="2"/>
      <c r="D173" s="2"/>
      <c r="E173" s="2"/>
      <c r="F173" s="2"/>
      <c r="G173" s="2"/>
      <c r="H173" s="12"/>
      <c r="I173" s="3"/>
    </row>
    <row r="174" spans="1:10">
      <c r="A174" s="80" t="s">
        <v>387</v>
      </c>
      <c r="B174" s="5" t="s">
        <v>163</v>
      </c>
      <c r="C174" s="16" t="s">
        <v>75</v>
      </c>
      <c r="D174" s="16">
        <v>2.65</v>
      </c>
      <c r="E174" s="16" t="s">
        <v>76</v>
      </c>
      <c r="G174" s="23">
        <f>D174</f>
        <v>2.65</v>
      </c>
      <c r="H174" s="14">
        <v>829.45</v>
      </c>
      <c r="I174" s="19" t="s">
        <v>243</v>
      </c>
    </row>
    <row r="175" spans="1:10">
      <c r="A175" s="79"/>
      <c r="B175" s="16"/>
      <c r="C175" s="16"/>
      <c r="D175" s="16"/>
      <c r="E175" s="16"/>
      <c r="F175" s="16"/>
      <c r="G175" s="16"/>
      <c r="H175" s="16"/>
      <c r="I175" s="19"/>
    </row>
    <row r="176" spans="1:10">
      <c r="A176" s="80" t="s">
        <v>688</v>
      </c>
      <c r="B176" t="s">
        <v>362</v>
      </c>
      <c r="C176" s="16" t="s">
        <v>201</v>
      </c>
      <c r="D176" s="16">
        <v>7.45</v>
      </c>
      <c r="E176" s="16" t="s">
        <v>245</v>
      </c>
      <c r="F176" s="16">
        <f>D176</f>
        <v>7.45</v>
      </c>
      <c r="G176" s="23">
        <f>D176+F176</f>
        <v>14.9</v>
      </c>
      <c r="H176" s="23">
        <v>774.8</v>
      </c>
      <c r="I176" s="19" t="s">
        <v>246</v>
      </c>
    </row>
    <row r="177" spans="1:10">
      <c r="A177" s="81"/>
      <c r="B177" t="s">
        <v>363</v>
      </c>
      <c r="C177" s="16" t="s">
        <v>201</v>
      </c>
      <c r="D177" s="16">
        <v>5.4</v>
      </c>
      <c r="E177" s="16" t="s">
        <v>245</v>
      </c>
      <c r="F177" s="16">
        <f>D177</f>
        <v>5.4</v>
      </c>
      <c r="G177" s="23">
        <f>D177+F177</f>
        <v>10.8</v>
      </c>
      <c r="H177" s="23">
        <v>561.6</v>
      </c>
      <c r="I177" s="19" t="s">
        <v>246</v>
      </c>
    </row>
    <row r="178" spans="1:10">
      <c r="A178" s="79"/>
      <c r="B178" s="16"/>
      <c r="C178" s="16"/>
      <c r="D178" s="16"/>
      <c r="E178" s="16"/>
      <c r="F178" s="16"/>
      <c r="G178" s="16"/>
      <c r="H178" s="14">
        <f>SUM(H176:H177)/2</f>
        <v>668.2</v>
      </c>
      <c r="I178" s="19"/>
    </row>
    <row r="179" spans="1:10">
      <c r="A179" s="79"/>
      <c r="B179" s="16"/>
      <c r="C179" s="16"/>
      <c r="D179" s="16"/>
      <c r="E179" s="16"/>
      <c r="F179" s="16"/>
      <c r="G179" s="16"/>
      <c r="H179" s="14"/>
      <c r="I179" s="19"/>
    </row>
    <row r="180" spans="1:10">
      <c r="A180" s="80" t="s">
        <v>104</v>
      </c>
      <c r="B180" s="1"/>
      <c r="C180" s="1"/>
      <c r="D180" s="1"/>
      <c r="E180" s="1"/>
      <c r="F180" s="1"/>
      <c r="G180" s="1"/>
      <c r="H180" s="14">
        <v>1412.55</v>
      </c>
      <c r="I180" s="5" t="s">
        <v>864</v>
      </c>
      <c r="J180" s="1"/>
    </row>
    <row r="181" spans="1:10">
      <c r="A181" s="80"/>
      <c r="B181" s="1"/>
      <c r="C181" s="1"/>
      <c r="D181" s="1"/>
      <c r="E181" s="1"/>
      <c r="F181" s="1"/>
      <c r="G181" s="1"/>
      <c r="H181" s="14"/>
      <c r="I181" s="5"/>
      <c r="J181" s="1"/>
    </row>
    <row r="182" spans="1:10">
      <c r="A182" s="80" t="s">
        <v>372</v>
      </c>
      <c r="B182" s="1"/>
      <c r="C182" s="1"/>
      <c r="D182" s="1"/>
      <c r="E182" s="1"/>
      <c r="F182" s="1"/>
      <c r="G182" s="1"/>
      <c r="H182" s="14">
        <v>1310.85</v>
      </c>
      <c r="I182" s="5" t="s">
        <v>877</v>
      </c>
      <c r="J182" s="1"/>
    </row>
    <row r="183" spans="1:10">
      <c r="A183" s="80"/>
      <c r="B183" s="1"/>
      <c r="C183" s="1"/>
      <c r="D183" s="1"/>
      <c r="E183" s="1"/>
      <c r="F183" s="1"/>
      <c r="G183" s="1"/>
      <c r="H183" s="14"/>
      <c r="I183" s="5"/>
      <c r="J183" s="1"/>
    </row>
    <row r="184" spans="1:10">
      <c r="A184" s="80" t="s">
        <v>371</v>
      </c>
      <c r="B184" s="5" t="s">
        <v>899</v>
      </c>
      <c r="C184" s="16"/>
      <c r="D184" s="16"/>
      <c r="E184" s="16"/>
      <c r="F184" s="16"/>
      <c r="G184" s="23"/>
      <c r="H184" s="14">
        <v>2501.66</v>
      </c>
      <c r="I184" t="s">
        <v>901</v>
      </c>
    </row>
    <row r="185" spans="1:10">
      <c r="A185" s="80"/>
      <c r="B185" s="5"/>
      <c r="C185" s="16"/>
      <c r="D185" s="16"/>
      <c r="E185" s="16"/>
      <c r="F185" s="16"/>
      <c r="G185" s="23"/>
      <c r="H185" s="14"/>
    </row>
    <row r="186" spans="1:10">
      <c r="A186" s="80" t="s">
        <v>900</v>
      </c>
      <c r="B186" s="5" t="s">
        <v>899</v>
      </c>
      <c r="C186" s="16"/>
      <c r="D186" s="16"/>
      <c r="E186" s="16"/>
      <c r="F186" s="16"/>
      <c r="G186" s="23"/>
      <c r="H186" s="14">
        <v>1718.25</v>
      </c>
      <c r="I186" t="s">
        <v>901</v>
      </c>
    </row>
    <row r="187" spans="1:10">
      <c r="A187" s="7"/>
      <c r="B187" s="1"/>
      <c r="C187" s="1"/>
      <c r="D187" s="1"/>
      <c r="E187" s="1"/>
      <c r="F187" s="1"/>
      <c r="G187" s="1"/>
      <c r="H187" s="14"/>
      <c r="I187" s="5"/>
      <c r="J187" s="1"/>
    </row>
    <row r="188" spans="1:10">
      <c r="A188" s="1"/>
      <c r="B188" s="2"/>
      <c r="C188" s="2"/>
      <c r="D188" s="2"/>
      <c r="E188" s="2"/>
      <c r="I188" s="3"/>
    </row>
    <row r="189" spans="1:10">
      <c r="A189" s="3" t="s">
        <v>642</v>
      </c>
      <c r="E189" s="2"/>
      <c r="I189" s="3"/>
    </row>
    <row r="190" spans="1:10">
      <c r="A190" s="5" t="s">
        <v>789</v>
      </c>
      <c r="B190" s="2"/>
      <c r="C190" s="2"/>
      <c r="D190" s="2"/>
      <c r="E190" s="2"/>
      <c r="I190" s="3"/>
    </row>
    <row r="191" spans="1:10">
      <c r="B191" s="2"/>
      <c r="C191" s="2"/>
      <c r="D191" s="2"/>
      <c r="E191" s="2"/>
      <c r="I191" s="3"/>
    </row>
  </sheetData>
  <phoneticPr fontId="14" type="noConversion"/>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5"/>
  <sheetViews>
    <sheetView topLeftCell="C1" workbookViewId="0">
      <selection activeCell="L29" sqref="L29"/>
    </sheetView>
  </sheetViews>
  <sheetFormatPr baseColWidth="10" defaultColWidth="11.5" defaultRowHeight="14" x14ac:dyDescent="0"/>
  <cols>
    <col min="3" max="3" width="11.5" style="82"/>
    <col min="4" max="4" width="11.33203125" style="82" customWidth="1"/>
    <col min="5" max="10" width="11.5" style="82"/>
    <col min="11" max="11" width="13" style="82" customWidth="1"/>
  </cols>
  <sheetData>
    <row r="2" spans="1:12" ht="18">
      <c r="B2" s="116" t="s">
        <v>125</v>
      </c>
    </row>
    <row r="4" spans="1:12" ht="15">
      <c r="A4" s="86" t="s">
        <v>929</v>
      </c>
    </row>
    <row r="5" spans="1:12" ht="15" thickBot="1">
      <c r="C5" s="83" t="s">
        <v>893</v>
      </c>
      <c r="D5" s="83" t="s">
        <v>894</v>
      </c>
      <c r="E5" s="83" t="s">
        <v>944</v>
      </c>
      <c r="F5" s="83" t="s">
        <v>945</v>
      </c>
      <c r="G5" s="83" t="s">
        <v>943</v>
      </c>
      <c r="H5" s="83" t="s">
        <v>946</v>
      </c>
      <c r="I5" s="83" t="s">
        <v>947</v>
      </c>
      <c r="J5" s="83" t="s">
        <v>948</v>
      </c>
      <c r="K5" s="83" t="s">
        <v>949</v>
      </c>
      <c r="L5" t="s">
        <v>950</v>
      </c>
    </row>
    <row r="6" spans="1:12">
      <c r="A6" t="s">
        <v>890</v>
      </c>
      <c r="C6" s="22">
        <v>322.39</v>
      </c>
      <c r="D6" s="97">
        <v>331.78</v>
      </c>
      <c r="E6" s="22">
        <v>316.13</v>
      </c>
      <c r="F6" s="22">
        <v>306.74</v>
      </c>
      <c r="G6" s="22">
        <v>262.92</v>
      </c>
      <c r="H6" s="22">
        <v>287.95999999999998</v>
      </c>
      <c r="I6" s="22">
        <v>397.51</v>
      </c>
      <c r="J6" s="22">
        <v>626</v>
      </c>
      <c r="K6" s="102">
        <v>829.45</v>
      </c>
      <c r="L6" s="47" t="s">
        <v>936</v>
      </c>
    </row>
    <row r="7" spans="1:12">
      <c r="A7" t="s">
        <v>891</v>
      </c>
      <c r="C7" s="83">
        <v>348.37</v>
      </c>
      <c r="D7" s="98">
        <v>331.78</v>
      </c>
      <c r="E7" s="83">
        <v>302.98500000000001</v>
      </c>
      <c r="F7" s="83">
        <v>325.99</v>
      </c>
      <c r="G7" s="83">
        <v>244.60950000000003</v>
      </c>
      <c r="H7" s="83">
        <v>301.57500000000005</v>
      </c>
      <c r="I7" s="82">
        <v>344.3</v>
      </c>
      <c r="J7" s="83" t="s">
        <v>930</v>
      </c>
      <c r="K7" s="103">
        <v>820.06</v>
      </c>
      <c r="L7" s="107" t="s">
        <v>954</v>
      </c>
    </row>
    <row r="8" spans="1:12" ht="15" thickBot="1">
      <c r="A8" t="s">
        <v>892</v>
      </c>
      <c r="C8" s="83">
        <v>316.13</v>
      </c>
      <c r="D8" s="99">
        <v>331.78</v>
      </c>
      <c r="E8" s="83">
        <v>270.62666666666667</v>
      </c>
      <c r="F8" s="83">
        <v>306.74</v>
      </c>
      <c r="G8" s="83">
        <v>262.92</v>
      </c>
      <c r="H8" s="83">
        <v>287.95999999999998</v>
      </c>
      <c r="I8" s="83">
        <v>397.51</v>
      </c>
      <c r="J8" s="22">
        <v>626</v>
      </c>
      <c r="K8" s="102">
        <v>829.45</v>
      </c>
      <c r="L8" s="47" t="s">
        <v>964</v>
      </c>
    </row>
    <row r="9" spans="1:12">
      <c r="A9" s="4" t="s">
        <v>965</v>
      </c>
      <c r="D9" s="108" t="s">
        <v>27</v>
      </c>
      <c r="E9" s="109" t="s">
        <v>28</v>
      </c>
      <c r="F9" s="117" t="s">
        <v>120</v>
      </c>
      <c r="G9" s="104"/>
      <c r="H9" s="104"/>
      <c r="I9" s="105"/>
      <c r="J9" s="105"/>
      <c r="K9" s="106"/>
    </row>
    <row r="11" spans="1:12" ht="15">
      <c r="A11" s="86" t="s">
        <v>40</v>
      </c>
    </row>
    <row r="12" spans="1:12">
      <c r="C12" s="83" t="s">
        <v>893</v>
      </c>
      <c r="D12" s="83" t="s">
        <v>894</v>
      </c>
      <c r="E12" s="83" t="s">
        <v>944</v>
      </c>
      <c r="F12" s="83" t="s">
        <v>945</v>
      </c>
      <c r="G12" s="83" t="s">
        <v>943</v>
      </c>
      <c r="H12" s="83" t="s">
        <v>946</v>
      </c>
      <c r="I12" s="83" t="s">
        <v>947</v>
      </c>
      <c r="J12" s="83" t="s">
        <v>948</v>
      </c>
      <c r="K12" s="83" t="s">
        <v>949</v>
      </c>
      <c r="L12" t="s">
        <v>950</v>
      </c>
    </row>
    <row r="13" spans="1:12" ht="15" thickBot="1">
      <c r="A13" t="s">
        <v>890</v>
      </c>
      <c r="C13" s="110" t="s">
        <v>85</v>
      </c>
      <c r="D13" s="111"/>
      <c r="E13" s="105"/>
      <c r="F13" s="105"/>
      <c r="G13" s="105"/>
      <c r="H13" s="111"/>
      <c r="I13" s="111"/>
      <c r="J13" s="105"/>
      <c r="K13" s="106"/>
      <c r="L13" t="s">
        <v>60</v>
      </c>
    </row>
    <row r="14" spans="1:12" ht="15" thickBot="1">
      <c r="A14" t="s">
        <v>891</v>
      </c>
      <c r="C14" s="82">
        <v>522.84</v>
      </c>
      <c r="D14" s="112">
        <v>524.34</v>
      </c>
      <c r="E14" s="82">
        <v>508.31</v>
      </c>
      <c r="F14" s="82">
        <v>508.31</v>
      </c>
      <c r="G14" s="82">
        <v>537.36</v>
      </c>
      <c r="H14" s="114">
        <v>653.54</v>
      </c>
      <c r="I14" s="115">
        <v>653.54</v>
      </c>
      <c r="J14" s="83" t="s">
        <v>930</v>
      </c>
      <c r="K14" s="82">
        <v>1185.0899999999999</v>
      </c>
      <c r="L14" t="s">
        <v>86</v>
      </c>
    </row>
    <row r="15" spans="1:12" ht="15" thickBot="1">
      <c r="A15" t="s">
        <v>892</v>
      </c>
      <c r="C15" s="82">
        <v>499.61</v>
      </c>
      <c r="D15" s="113">
        <v>524.34</v>
      </c>
      <c r="E15" s="82">
        <v>427.7</v>
      </c>
      <c r="F15" s="82">
        <v>484.77</v>
      </c>
      <c r="G15" s="82">
        <v>415.51</v>
      </c>
      <c r="H15" s="82">
        <v>376.07</v>
      </c>
      <c r="I15" s="82">
        <v>628.22</v>
      </c>
      <c r="J15" s="82">
        <v>989.32</v>
      </c>
      <c r="K15" s="82">
        <v>1310.85</v>
      </c>
      <c r="L15" t="s">
        <v>83</v>
      </c>
    </row>
    <row r="16" spans="1:12">
      <c r="D16" s="109" t="s">
        <v>84</v>
      </c>
    </row>
    <row r="18" spans="1:12" ht="15">
      <c r="A18" s="86" t="s">
        <v>41</v>
      </c>
    </row>
    <row r="19" spans="1:12">
      <c r="C19" s="83" t="s">
        <v>893</v>
      </c>
      <c r="D19" s="83" t="s">
        <v>894</v>
      </c>
      <c r="E19" s="83" t="s">
        <v>944</v>
      </c>
      <c r="F19" s="83" t="s">
        <v>945</v>
      </c>
      <c r="G19" s="83" t="s">
        <v>943</v>
      </c>
      <c r="H19" s="83" t="s">
        <v>946</v>
      </c>
      <c r="I19" s="83" t="s">
        <v>947</v>
      </c>
      <c r="J19" s="83" t="s">
        <v>948</v>
      </c>
      <c r="K19" s="83" t="s">
        <v>949</v>
      </c>
      <c r="L19" t="s">
        <v>950</v>
      </c>
    </row>
    <row r="20" spans="1:12">
      <c r="A20" t="s">
        <v>890</v>
      </c>
      <c r="C20" s="110" t="s">
        <v>127</v>
      </c>
      <c r="D20" s="105"/>
      <c r="E20" s="105"/>
      <c r="F20" s="105"/>
      <c r="G20" s="105"/>
      <c r="H20" s="105"/>
      <c r="I20" s="105"/>
      <c r="J20" s="105"/>
      <c r="K20" s="106"/>
      <c r="L20" t="s">
        <v>126</v>
      </c>
    </row>
    <row r="21" spans="1:12">
      <c r="A21" t="s">
        <v>891</v>
      </c>
      <c r="C21" s="82">
        <v>372.7</v>
      </c>
      <c r="D21" s="82">
        <v>348.8</v>
      </c>
      <c r="E21" s="82">
        <f ca="1">'1860 Urban'!I127</f>
        <v>371.47199999999998</v>
      </c>
      <c r="F21" s="82">
        <f ca="1">'1860 Urban'!I188</f>
        <v>341.12639999999999</v>
      </c>
      <c r="G21" s="82">
        <f ca="1">'1860 Urban'!I348</f>
        <v>318.45440000000002</v>
      </c>
      <c r="H21" s="82">
        <f ca="1">'1860 Urban'!I246</f>
        <v>295.7824</v>
      </c>
      <c r="I21" s="82">
        <f ca="1">'1860 Urban'!I298</f>
        <v>363.10079999999999</v>
      </c>
      <c r="J21" s="83" t="s">
        <v>930</v>
      </c>
      <c r="K21" s="83" t="s">
        <v>930</v>
      </c>
      <c r="L21" t="s">
        <v>121</v>
      </c>
    </row>
    <row r="22" spans="1:12">
      <c r="A22" t="s">
        <v>892</v>
      </c>
      <c r="C22" s="82">
        <f>'1860 Rural Non-Farm'!H19</f>
        <v>351.9</v>
      </c>
      <c r="D22" s="82">
        <f>'1860 Rural Non-Farm'!H42</f>
        <v>374.7</v>
      </c>
      <c r="E22" s="82">
        <f>'1860 Rural Non-Farm'!H75</f>
        <v>399.05549999999999</v>
      </c>
      <c r="F22" s="82">
        <f>'1860 Rural Non-Farm'!H97</f>
        <v>366.45659999999998</v>
      </c>
      <c r="G22" s="82">
        <f>'1860 Rural Non-Farm'!H120</f>
        <v>342.10109999999997</v>
      </c>
      <c r="H22" s="82">
        <f>'1860 Rural Non-Farm'!H138</f>
        <v>317.74559999999997</v>
      </c>
      <c r="I22" s="82">
        <f>'1860 Rural Non-Farm'!H160</f>
        <v>390.06269999999995</v>
      </c>
      <c r="J22" s="83" t="s">
        <v>930</v>
      </c>
      <c r="K22" s="83" t="s">
        <v>930</v>
      </c>
      <c r="L22" t="s">
        <v>122</v>
      </c>
    </row>
    <row r="23" spans="1:12">
      <c r="D23" s="109" t="s">
        <v>128</v>
      </c>
      <c r="E23" s="109" t="s">
        <v>128</v>
      </c>
      <c r="F23" s="109" t="s">
        <v>128</v>
      </c>
      <c r="G23" s="109" t="s">
        <v>128</v>
      </c>
      <c r="H23" s="109" t="s">
        <v>128</v>
      </c>
      <c r="I23" s="109" t="s">
        <v>128</v>
      </c>
    </row>
    <row r="24" spans="1:12">
      <c r="A24" s="53" t="s">
        <v>124</v>
      </c>
      <c r="D24" s="109"/>
      <c r="E24" s="109"/>
      <c r="F24" s="109" t="s">
        <v>107</v>
      </c>
      <c r="G24" s="109"/>
      <c r="H24" s="109"/>
      <c r="I24" s="109"/>
    </row>
    <row r="25" spans="1:12">
      <c r="A25" t="s">
        <v>123</v>
      </c>
    </row>
  </sheetData>
  <phoneticPr fontId="14" type="noConversion"/>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5"/>
  <sheetViews>
    <sheetView topLeftCell="A22" workbookViewId="0">
      <selection activeCell="E46" sqref="E46"/>
    </sheetView>
  </sheetViews>
  <sheetFormatPr baseColWidth="10" defaultColWidth="8.83203125" defaultRowHeight="14" x14ac:dyDescent="0"/>
  <cols>
    <col min="1" max="1" width="18.6640625" customWidth="1"/>
    <col min="2" max="2" width="18.83203125" customWidth="1"/>
    <col min="5" max="5" width="18.6640625" customWidth="1"/>
    <col min="6" max="8" width="10.1640625" customWidth="1"/>
    <col min="9" max="9" width="31.6640625" customWidth="1"/>
  </cols>
  <sheetData>
    <row r="1" spans="1:10">
      <c r="A1" s="1" t="s">
        <v>165</v>
      </c>
      <c r="B1" s="1" t="s">
        <v>61</v>
      </c>
      <c r="C1" s="1" t="s">
        <v>62</v>
      </c>
      <c r="D1" s="1" t="s">
        <v>63</v>
      </c>
      <c r="E1" s="1" t="s">
        <v>77</v>
      </c>
      <c r="F1" s="1" t="s">
        <v>65</v>
      </c>
      <c r="G1" s="166" t="s">
        <v>178</v>
      </c>
      <c r="H1" s="167"/>
      <c r="I1" s="1" t="s">
        <v>64</v>
      </c>
      <c r="J1" s="1" t="s">
        <v>10</v>
      </c>
    </row>
    <row r="2" spans="1:10">
      <c r="B2" s="1"/>
      <c r="C2" s="1"/>
      <c r="D2" s="1"/>
      <c r="E2" s="1"/>
      <c r="F2" s="1"/>
      <c r="G2" s="1" t="s">
        <v>679</v>
      </c>
      <c r="H2" s="1" t="s">
        <v>680</v>
      </c>
      <c r="I2" s="1"/>
      <c r="J2" s="1"/>
    </row>
    <row r="3" spans="1:10">
      <c r="A3" s="1" t="s">
        <v>33</v>
      </c>
      <c r="B3" s="10" t="s">
        <v>629</v>
      </c>
      <c r="C3" s="6" t="s">
        <v>146</v>
      </c>
      <c r="D3" s="6">
        <v>13.66</v>
      </c>
      <c r="E3" s="6" t="s">
        <v>457</v>
      </c>
      <c r="F3" s="6">
        <f>D3*0.5</f>
        <v>6.83</v>
      </c>
      <c r="G3" s="6">
        <f>D3+F3</f>
        <v>20.490000000000002</v>
      </c>
      <c r="H3" s="6">
        <f>G3*12</f>
        <v>245.88000000000002</v>
      </c>
      <c r="I3" s="5" t="s">
        <v>458</v>
      </c>
      <c r="J3" s="3" t="s">
        <v>180</v>
      </c>
    </row>
    <row r="4" spans="1:10">
      <c r="A4" s="1"/>
      <c r="B4" s="10"/>
      <c r="C4" s="6"/>
      <c r="D4" s="6"/>
      <c r="E4" s="6"/>
      <c r="F4" s="6"/>
      <c r="G4" s="6"/>
      <c r="H4" s="6"/>
      <c r="I4" s="5"/>
      <c r="J4" s="3"/>
    </row>
    <row r="5" spans="1:10">
      <c r="A5" s="1" t="s">
        <v>36</v>
      </c>
      <c r="B5" s="3" t="s">
        <v>169</v>
      </c>
      <c r="C5" s="2" t="s">
        <v>146</v>
      </c>
      <c r="D5" s="2">
        <v>14.73</v>
      </c>
      <c r="E5" s="2" t="s">
        <v>108</v>
      </c>
      <c r="F5" s="2">
        <v>7.37</v>
      </c>
      <c r="G5" s="2">
        <v>22.1</v>
      </c>
      <c r="H5" s="13">
        <f t="shared" ref="H5:H74" si="0">G5*12</f>
        <v>265.20000000000005</v>
      </c>
      <c r="I5" s="5" t="s">
        <v>458</v>
      </c>
      <c r="J5" s="3" t="s">
        <v>180</v>
      </c>
    </row>
    <row r="6" spans="1:10">
      <c r="A6" s="9" t="s">
        <v>508</v>
      </c>
      <c r="B6" s="10" t="s">
        <v>169</v>
      </c>
      <c r="C6" s="6" t="s">
        <v>146</v>
      </c>
      <c r="D6" s="6">
        <v>14.34</v>
      </c>
      <c r="E6" s="6" t="s">
        <v>457</v>
      </c>
      <c r="F6" s="6">
        <f t="shared" ref="F6:F12" si="1">D6*0.5</f>
        <v>7.17</v>
      </c>
      <c r="G6" s="6">
        <f>D6+F6</f>
        <v>21.509999999999998</v>
      </c>
      <c r="H6" s="13">
        <f t="shared" si="0"/>
        <v>258.12</v>
      </c>
      <c r="I6" s="5" t="s">
        <v>458</v>
      </c>
      <c r="J6" s="3" t="s">
        <v>180</v>
      </c>
    </row>
    <row r="7" spans="1:10">
      <c r="A7" s="9" t="s">
        <v>509</v>
      </c>
      <c r="B7" s="10" t="s">
        <v>169</v>
      </c>
      <c r="C7" s="6" t="s">
        <v>146</v>
      </c>
      <c r="D7" s="6">
        <v>14.34</v>
      </c>
      <c r="E7" s="6" t="s">
        <v>457</v>
      </c>
      <c r="F7" s="6">
        <f t="shared" si="1"/>
        <v>7.17</v>
      </c>
      <c r="G7" s="6">
        <f>D6+F7</f>
        <v>21.509999999999998</v>
      </c>
      <c r="H7" s="13">
        <f t="shared" si="0"/>
        <v>258.12</v>
      </c>
      <c r="I7" s="5" t="s">
        <v>458</v>
      </c>
      <c r="J7" s="3" t="s">
        <v>180</v>
      </c>
    </row>
    <row r="8" spans="1:10">
      <c r="A8" s="9" t="s">
        <v>644</v>
      </c>
      <c r="B8" s="10" t="s">
        <v>169</v>
      </c>
      <c r="C8" s="6" t="s">
        <v>146</v>
      </c>
      <c r="D8" s="6">
        <v>14.14</v>
      </c>
      <c r="E8" s="6" t="s">
        <v>457</v>
      </c>
      <c r="F8" s="6">
        <f t="shared" si="1"/>
        <v>7.07</v>
      </c>
      <c r="G8" s="6">
        <f>D7+F8</f>
        <v>21.41</v>
      </c>
      <c r="H8" s="13">
        <f t="shared" si="0"/>
        <v>256.92</v>
      </c>
      <c r="I8" s="5" t="s">
        <v>458</v>
      </c>
      <c r="J8" s="3" t="s">
        <v>180</v>
      </c>
    </row>
    <row r="9" spans="1:10">
      <c r="A9" s="9" t="s">
        <v>645</v>
      </c>
      <c r="B9" s="10" t="s">
        <v>169</v>
      </c>
      <c r="C9" s="6" t="s">
        <v>146</v>
      </c>
      <c r="D9" s="6">
        <v>15.34</v>
      </c>
      <c r="E9" s="6" t="s">
        <v>457</v>
      </c>
      <c r="F9" s="6">
        <f t="shared" si="1"/>
        <v>7.67</v>
      </c>
      <c r="G9" s="6">
        <f>D8+F9</f>
        <v>21.810000000000002</v>
      </c>
      <c r="H9" s="13">
        <f t="shared" si="0"/>
        <v>261.72000000000003</v>
      </c>
      <c r="I9" s="5" t="s">
        <v>458</v>
      </c>
      <c r="J9" s="3" t="s">
        <v>180</v>
      </c>
    </row>
    <row r="10" spans="1:10">
      <c r="A10" s="9" t="s">
        <v>645</v>
      </c>
      <c r="B10" s="3" t="s">
        <v>169</v>
      </c>
      <c r="C10" s="2" t="s">
        <v>146</v>
      </c>
      <c r="D10" s="2">
        <v>11.6</v>
      </c>
      <c r="E10" s="2" t="s">
        <v>177</v>
      </c>
      <c r="F10" s="2">
        <v>5.8</v>
      </c>
      <c r="G10" s="2">
        <v>17.399999999999999</v>
      </c>
      <c r="H10" s="13">
        <f t="shared" si="0"/>
        <v>208.79999999999998</v>
      </c>
      <c r="I10" s="3" t="s">
        <v>179</v>
      </c>
    </row>
    <row r="11" spans="1:10">
      <c r="A11" s="9" t="s">
        <v>646</v>
      </c>
      <c r="B11" s="10" t="s">
        <v>169</v>
      </c>
      <c r="C11" s="6" t="s">
        <v>146</v>
      </c>
      <c r="D11" s="6">
        <v>16.04</v>
      </c>
      <c r="E11" s="6" t="s">
        <v>457</v>
      </c>
      <c r="F11" s="6">
        <f t="shared" si="1"/>
        <v>8.02</v>
      </c>
      <c r="G11" s="6">
        <f>D9+F11</f>
        <v>23.36</v>
      </c>
      <c r="H11" s="13">
        <f t="shared" si="0"/>
        <v>280.32</v>
      </c>
      <c r="I11" s="5" t="s">
        <v>458</v>
      </c>
      <c r="J11" s="3" t="s">
        <v>180</v>
      </c>
    </row>
    <row r="12" spans="1:10">
      <c r="A12" s="9" t="s">
        <v>647</v>
      </c>
      <c r="B12" s="10" t="s">
        <v>169</v>
      </c>
      <c r="C12" s="6" t="s">
        <v>146</v>
      </c>
      <c r="D12" s="6">
        <v>15.11</v>
      </c>
      <c r="E12" s="6" t="s">
        <v>457</v>
      </c>
      <c r="F12" s="6">
        <f t="shared" si="1"/>
        <v>7.5549999999999997</v>
      </c>
      <c r="G12" s="6">
        <f>D11+F12</f>
        <v>23.594999999999999</v>
      </c>
      <c r="H12" s="13">
        <f t="shared" si="0"/>
        <v>283.14</v>
      </c>
      <c r="I12" s="5" t="s">
        <v>458</v>
      </c>
      <c r="J12" s="3" t="s">
        <v>180</v>
      </c>
    </row>
    <row r="13" spans="1:10">
      <c r="A13" s="7" t="s">
        <v>681</v>
      </c>
      <c r="B13" s="18" t="s">
        <v>629</v>
      </c>
      <c r="C13" s="6"/>
      <c r="D13" s="6"/>
      <c r="E13" s="6"/>
      <c r="F13" s="6"/>
      <c r="G13" s="6"/>
      <c r="H13" s="14">
        <f>SUM(H5:H12)/8</f>
        <v>259.04250000000002</v>
      </c>
      <c r="I13" s="5"/>
      <c r="J13" s="3"/>
    </row>
    <row r="14" spans="1:10">
      <c r="A14" s="7"/>
      <c r="B14" s="10"/>
      <c r="C14" s="6"/>
      <c r="D14" s="6"/>
      <c r="E14" s="6"/>
      <c r="F14" s="6"/>
      <c r="G14" s="6"/>
      <c r="H14" s="13"/>
      <c r="I14" s="5"/>
      <c r="J14" s="3"/>
    </row>
    <row r="15" spans="1:10">
      <c r="A15" s="1" t="s">
        <v>66</v>
      </c>
      <c r="B15" s="3" t="s">
        <v>169</v>
      </c>
      <c r="C15" s="2" t="s">
        <v>146</v>
      </c>
      <c r="D15" s="2">
        <v>12.75</v>
      </c>
      <c r="E15" s="2" t="s">
        <v>108</v>
      </c>
      <c r="F15" s="2">
        <v>6.38</v>
      </c>
      <c r="G15" s="2">
        <v>19.13</v>
      </c>
      <c r="H15" s="13">
        <f t="shared" si="0"/>
        <v>229.56</v>
      </c>
      <c r="I15" s="5" t="s">
        <v>458</v>
      </c>
      <c r="J15" s="3" t="s">
        <v>180</v>
      </c>
    </row>
    <row r="16" spans="1:10">
      <c r="A16" s="9" t="s">
        <v>507</v>
      </c>
      <c r="B16" s="3" t="s">
        <v>169</v>
      </c>
      <c r="C16" s="2" t="s">
        <v>146</v>
      </c>
      <c r="D16" s="2">
        <v>20.25</v>
      </c>
      <c r="E16" s="2" t="s">
        <v>108</v>
      </c>
      <c r="F16" s="2">
        <v>10.130000000000001</v>
      </c>
      <c r="G16" s="2">
        <v>30.38</v>
      </c>
      <c r="H16" s="13">
        <f t="shared" si="0"/>
        <v>364.56</v>
      </c>
      <c r="I16" s="3" t="s">
        <v>25</v>
      </c>
      <c r="J16" s="3" t="s">
        <v>254</v>
      </c>
    </row>
    <row r="17" spans="1:10">
      <c r="A17" s="9" t="s">
        <v>648</v>
      </c>
      <c r="B17" s="10" t="s">
        <v>169</v>
      </c>
      <c r="C17" s="6" t="s">
        <v>146</v>
      </c>
      <c r="D17" s="6">
        <v>13.19</v>
      </c>
      <c r="E17" s="6" t="s">
        <v>457</v>
      </c>
      <c r="F17" s="6">
        <f>D17*0.5</f>
        <v>6.5949999999999998</v>
      </c>
      <c r="G17" s="6">
        <f t="shared" ref="G17:G28" si="2">D17+F17</f>
        <v>19.785</v>
      </c>
      <c r="H17" s="13">
        <f t="shared" si="0"/>
        <v>237.42000000000002</v>
      </c>
      <c r="I17" s="5" t="s">
        <v>458</v>
      </c>
      <c r="J17" s="3" t="s">
        <v>180</v>
      </c>
    </row>
    <row r="18" spans="1:10">
      <c r="A18" s="9" t="s">
        <v>649</v>
      </c>
      <c r="B18" s="10" t="s">
        <v>169</v>
      </c>
      <c r="C18" s="6" t="s">
        <v>146</v>
      </c>
      <c r="D18" s="6">
        <v>11.91</v>
      </c>
      <c r="E18" s="6" t="s">
        <v>457</v>
      </c>
      <c r="F18" s="6">
        <f>D18*0.5</f>
        <v>5.9550000000000001</v>
      </c>
      <c r="G18" s="6">
        <f t="shared" si="2"/>
        <v>17.865000000000002</v>
      </c>
      <c r="H18" s="13">
        <f t="shared" si="0"/>
        <v>214.38000000000002</v>
      </c>
      <c r="I18" s="5" t="s">
        <v>458</v>
      </c>
      <c r="J18" s="3" t="s">
        <v>180</v>
      </c>
    </row>
    <row r="19" spans="1:10">
      <c r="A19" s="9" t="s">
        <v>650</v>
      </c>
      <c r="B19" s="10" t="s">
        <v>169</v>
      </c>
      <c r="C19" s="6" t="s">
        <v>146</v>
      </c>
      <c r="D19" s="6">
        <v>12.24</v>
      </c>
      <c r="E19" s="6" t="s">
        <v>457</v>
      </c>
      <c r="F19" s="6">
        <f>D19*0.5</f>
        <v>6.12</v>
      </c>
      <c r="G19" s="6">
        <f t="shared" si="2"/>
        <v>18.36</v>
      </c>
      <c r="H19" s="13">
        <f t="shared" si="0"/>
        <v>220.32</v>
      </c>
      <c r="I19" s="5" t="s">
        <v>458</v>
      </c>
      <c r="J19" s="3" t="s">
        <v>180</v>
      </c>
    </row>
    <row r="20" spans="1:10">
      <c r="A20" s="7" t="s">
        <v>681</v>
      </c>
      <c r="B20" s="10" t="s">
        <v>629</v>
      </c>
      <c r="C20" s="6"/>
      <c r="D20" s="6"/>
      <c r="E20" s="6"/>
      <c r="F20" s="6"/>
      <c r="G20" s="6"/>
      <c r="H20" s="14">
        <f>SUM(H15:H19)/5</f>
        <v>253.24799999999999</v>
      </c>
      <c r="I20" s="5"/>
      <c r="J20" s="3"/>
    </row>
    <row r="21" spans="1:10">
      <c r="A21" s="7"/>
      <c r="B21" s="18" t="s">
        <v>630</v>
      </c>
      <c r="C21" s="6"/>
      <c r="D21" s="6"/>
      <c r="E21" s="6"/>
      <c r="F21" s="6"/>
      <c r="G21" s="6"/>
      <c r="H21" s="14">
        <f>0.5*H20</f>
        <v>126.624</v>
      </c>
      <c r="I21" s="19" t="s">
        <v>626</v>
      </c>
      <c r="J21" s="19"/>
    </row>
    <row r="22" spans="1:10">
      <c r="A22" s="9"/>
      <c r="B22" s="10"/>
      <c r="C22" s="6"/>
      <c r="D22" s="6"/>
      <c r="E22" s="6"/>
      <c r="F22" s="6"/>
      <c r="G22" s="6"/>
      <c r="H22" s="13"/>
      <c r="I22" s="5"/>
      <c r="J22" s="3"/>
    </row>
    <row r="23" spans="1:10">
      <c r="A23" s="1" t="s">
        <v>67</v>
      </c>
      <c r="B23" s="3" t="s">
        <v>169</v>
      </c>
      <c r="C23" s="2" t="s">
        <v>146</v>
      </c>
      <c r="D23" s="2">
        <v>13.79</v>
      </c>
      <c r="E23" s="2" t="s">
        <v>108</v>
      </c>
      <c r="F23" s="2">
        <f>0.5*D23</f>
        <v>6.8949999999999996</v>
      </c>
      <c r="G23" s="2">
        <f t="shared" si="2"/>
        <v>20.684999999999999</v>
      </c>
      <c r="H23" s="13">
        <f t="shared" si="0"/>
        <v>248.21999999999997</v>
      </c>
      <c r="I23" s="5" t="s">
        <v>458</v>
      </c>
      <c r="J23" s="3" t="s">
        <v>180</v>
      </c>
    </row>
    <row r="24" spans="1:10">
      <c r="A24" s="9" t="s">
        <v>651</v>
      </c>
      <c r="B24" s="10" t="s">
        <v>169</v>
      </c>
      <c r="C24" s="6" t="s">
        <v>146</v>
      </c>
      <c r="D24" s="6">
        <v>13.11</v>
      </c>
      <c r="E24" s="6" t="s">
        <v>457</v>
      </c>
      <c r="F24" s="6">
        <f>D24*0.5</f>
        <v>6.5549999999999997</v>
      </c>
      <c r="G24" s="6">
        <f t="shared" si="2"/>
        <v>19.664999999999999</v>
      </c>
      <c r="H24" s="13">
        <f t="shared" si="0"/>
        <v>235.98</v>
      </c>
      <c r="I24" s="5" t="s">
        <v>458</v>
      </c>
      <c r="J24" s="3" t="s">
        <v>180</v>
      </c>
    </row>
    <row r="25" spans="1:10">
      <c r="A25" s="9" t="s">
        <v>652</v>
      </c>
      <c r="B25" s="10" t="s">
        <v>169</v>
      </c>
      <c r="C25" s="6" t="s">
        <v>146</v>
      </c>
      <c r="D25" s="6">
        <v>13.71</v>
      </c>
      <c r="E25" s="6" t="s">
        <v>457</v>
      </c>
      <c r="F25" s="6">
        <f>D25*0.5</f>
        <v>6.8550000000000004</v>
      </c>
      <c r="G25" s="6">
        <f t="shared" si="2"/>
        <v>20.565000000000001</v>
      </c>
      <c r="H25" s="13">
        <f t="shared" si="0"/>
        <v>246.78000000000003</v>
      </c>
      <c r="I25" s="5" t="s">
        <v>458</v>
      </c>
      <c r="J25" s="3" t="s">
        <v>180</v>
      </c>
    </row>
    <row r="26" spans="1:10">
      <c r="A26" s="9" t="s">
        <v>653</v>
      </c>
      <c r="B26" s="10" t="s">
        <v>169</v>
      </c>
      <c r="C26" s="6" t="s">
        <v>146</v>
      </c>
      <c r="D26" s="6">
        <v>13.72</v>
      </c>
      <c r="E26" s="6" t="s">
        <v>457</v>
      </c>
      <c r="F26" s="6">
        <f>D26*0.5</f>
        <v>6.86</v>
      </c>
      <c r="G26" s="6">
        <f t="shared" si="2"/>
        <v>20.580000000000002</v>
      </c>
      <c r="H26" s="13">
        <f t="shared" si="0"/>
        <v>246.96000000000004</v>
      </c>
      <c r="I26" s="5" t="s">
        <v>458</v>
      </c>
      <c r="J26" s="3" t="s">
        <v>180</v>
      </c>
    </row>
    <row r="27" spans="1:10">
      <c r="A27" s="9" t="s">
        <v>654</v>
      </c>
      <c r="B27" s="10" t="s">
        <v>169</v>
      </c>
      <c r="C27" s="6" t="s">
        <v>146</v>
      </c>
      <c r="D27" s="6">
        <v>15.27</v>
      </c>
      <c r="E27" s="6" t="s">
        <v>457</v>
      </c>
      <c r="F27" s="6">
        <f>D27*0.5</f>
        <v>7.6349999999999998</v>
      </c>
      <c r="G27" s="6">
        <f t="shared" si="2"/>
        <v>22.905000000000001</v>
      </c>
      <c r="H27" s="13">
        <f t="shared" si="0"/>
        <v>274.86</v>
      </c>
      <c r="I27" s="5" t="s">
        <v>458</v>
      </c>
      <c r="J27" s="3" t="s">
        <v>180</v>
      </c>
    </row>
    <row r="28" spans="1:10">
      <c r="A28" s="9" t="s">
        <v>655</v>
      </c>
      <c r="B28" s="10" t="s">
        <v>169</v>
      </c>
      <c r="C28" s="6" t="s">
        <v>146</v>
      </c>
      <c r="D28" s="6">
        <v>13.96</v>
      </c>
      <c r="E28" s="6" t="s">
        <v>457</v>
      </c>
      <c r="F28" s="6">
        <f>D28*0.5</f>
        <v>6.98</v>
      </c>
      <c r="G28" s="6">
        <f t="shared" si="2"/>
        <v>20.94</v>
      </c>
      <c r="H28" s="13">
        <f t="shared" si="0"/>
        <v>251.28000000000003</v>
      </c>
      <c r="I28" s="5" t="s">
        <v>458</v>
      </c>
      <c r="J28" s="3" t="s">
        <v>180</v>
      </c>
    </row>
    <row r="29" spans="1:10">
      <c r="A29" s="7" t="s">
        <v>681</v>
      </c>
      <c r="B29" s="18" t="s">
        <v>629</v>
      </c>
      <c r="C29" s="6"/>
      <c r="D29" s="6"/>
      <c r="E29" s="6"/>
      <c r="F29" s="6"/>
      <c r="G29" s="6"/>
      <c r="H29" s="14">
        <f>SUM(H23:H28)/6</f>
        <v>250.68000000000004</v>
      </c>
      <c r="I29" s="5"/>
      <c r="J29" s="3"/>
    </row>
    <row r="30" spans="1:10">
      <c r="A30" s="9"/>
      <c r="B30" s="10"/>
      <c r="C30" s="6"/>
      <c r="D30" s="6"/>
      <c r="E30" s="6"/>
      <c r="F30" s="6"/>
      <c r="G30" s="6"/>
      <c r="H30" s="13"/>
      <c r="I30" s="5"/>
      <c r="J30" s="3"/>
    </row>
    <row r="31" spans="1:10">
      <c r="A31" s="1" t="s">
        <v>68</v>
      </c>
      <c r="B31" s="3" t="s">
        <v>169</v>
      </c>
      <c r="C31" s="2" t="s">
        <v>146</v>
      </c>
      <c r="D31" s="2">
        <v>13.76</v>
      </c>
      <c r="E31" s="2" t="s">
        <v>108</v>
      </c>
      <c r="F31" s="2">
        <f>0.5*D31</f>
        <v>6.88</v>
      </c>
      <c r="G31" s="2">
        <f t="shared" ref="G31:G72" si="3">D31+F31</f>
        <v>20.64</v>
      </c>
      <c r="H31" s="13">
        <f t="shared" si="0"/>
        <v>247.68</v>
      </c>
      <c r="I31" s="5" t="s">
        <v>458</v>
      </c>
      <c r="J31" s="3" t="s">
        <v>180</v>
      </c>
    </row>
    <row r="32" spans="1:10">
      <c r="A32" s="9" t="s">
        <v>656</v>
      </c>
      <c r="B32" s="10" t="s">
        <v>169</v>
      </c>
      <c r="C32" s="6" t="s">
        <v>146</v>
      </c>
      <c r="D32" s="6">
        <v>14.1</v>
      </c>
      <c r="E32" s="6" t="s">
        <v>457</v>
      </c>
      <c r="F32" s="6">
        <f>D32*0.5</f>
        <v>7.05</v>
      </c>
      <c r="G32" s="6">
        <f t="shared" si="3"/>
        <v>21.15</v>
      </c>
      <c r="H32" s="13">
        <f t="shared" si="0"/>
        <v>253.79999999999998</v>
      </c>
      <c r="I32" s="5" t="s">
        <v>458</v>
      </c>
      <c r="J32" s="3" t="s">
        <v>180</v>
      </c>
    </row>
    <row r="33" spans="1:10">
      <c r="A33" s="9" t="s">
        <v>657</v>
      </c>
      <c r="B33" s="10" t="s">
        <v>169</v>
      </c>
      <c r="C33" s="6" t="s">
        <v>146</v>
      </c>
      <c r="D33" s="6">
        <v>13.18</v>
      </c>
      <c r="E33" s="6" t="s">
        <v>457</v>
      </c>
      <c r="F33" s="6">
        <f>D33*0.5</f>
        <v>6.59</v>
      </c>
      <c r="G33" s="6">
        <f t="shared" si="3"/>
        <v>19.77</v>
      </c>
      <c r="H33" s="13">
        <f t="shared" si="0"/>
        <v>237.24</v>
      </c>
      <c r="I33" s="5" t="s">
        <v>458</v>
      </c>
      <c r="J33" s="3" t="s">
        <v>180</v>
      </c>
    </row>
    <row r="34" spans="1:10">
      <c r="A34" s="9" t="s">
        <v>658</v>
      </c>
      <c r="B34" s="10" t="s">
        <v>169</v>
      </c>
      <c r="C34" s="6" t="s">
        <v>146</v>
      </c>
      <c r="D34" s="6">
        <v>13.63</v>
      </c>
      <c r="E34" s="6" t="s">
        <v>457</v>
      </c>
      <c r="F34" s="6">
        <f>D34*0.5</f>
        <v>6.8150000000000004</v>
      </c>
      <c r="G34" s="6">
        <f t="shared" si="3"/>
        <v>20.445</v>
      </c>
      <c r="H34" s="13">
        <f t="shared" si="0"/>
        <v>245.34</v>
      </c>
      <c r="I34" s="5" t="s">
        <v>458</v>
      </c>
      <c r="J34" s="3" t="s">
        <v>180</v>
      </c>
    </row>
    <row r="35" spans="1:10">
      <c r="A35" s="9" t="s">
        <v>659</v>
      </c>
      <c r="B35" s="10" t="s">
        <v>169</v>
      </c>
      <c r="C35" s="6" t="s">
        <v>146</v>
      </c>
      <c r="D35" s="6">
        <v>17.45</v>
      </c>
      <c r="E35" s="6" t="s">
        <v>457</v>
      </c>
      <c r="F35" s="6">
        <f>D35*0.5</f>
        <v>8.7249999999999996</v>
      </c>
      <c r="G35" s="6">
        <f t="shared" si="3"/>
        <v>26.174999999999997</v>
      </c>
      <c r="H35" s="13">
        <f t="shared" si="0"/>
        <v>314.09999999999997</v>
      </c>
      <c r="I35" s="5" t="s">
        <v>458</v>
      </c>
      <c r="J35" s="3" t="s">
        <v>180</v>
      </c>
    </row>
    <row r="36" spans="1:10">
      <c r="A36" s="9" t="s">
        <v>660</v>
      </c>
      <c r="B36" s="10" t="s">
        <v>169</v>
      </c>
      <c r="C36" s="6" t="s">
        <v>146</v>
      </c>
      <c r="D36" s="6">
        <v>16.12</v>
      </c>
      <c r="E36" s="6" t="s">
        <v>457</v>
      </c>
      <c r="F36" s="6">
        <f>D36*0.5</f>
        <v>8.06</v>
      </c>
      <c r="G36" s="6">
        <f t="shared" si="3"/>
        <v>24.18</v>
      </c>
      <c r="H36" s="13">
        <f t="shared" si="0"/>
        <v>290.15999999999997</v>
      </c>
      <c r="I36" s="5" t="s">
        <v>458</v>
      </c>
      <c r="J36" s="3" t="s">
        <v>180</v>
      </c>
    </row>
    <row r="37" spans="1:10">
      <c r="A37" s="7" t="s">
        <v>681</v>
      </c>
      <c r="B37" s="18" t="s">
        <v>629</v>
      </c>
      <c r="C37" s="6"/>
      <c r="D37" s="6"/>
      <c r="E37" s="6"/>
      <c r="F37" s="6"/>
      <c r="G37" s="6"/>
      <c r="H37" s="14">
        <f>SUM(H31:H36)/6</f>
        <v>264.72000000000003</v>
      </c>
      <c r="I37" s="5"/>
      <c r="J37" s="3"/>
    </row>
    <row r="38" spans="1:10">
      <c r="A38" s="9"/>
      <c r="B38" s="10"/>
      <c r="C38" s="6"/>
      <c r="D38" s="6"/>
      <c r="E38" s="6"/>
      <c r="F38" s="6"/>
      <c r="G38" s="6"/>
      <c r="H38" s="13"/>
      <c r="I38" s="5"/>
      <c r="J38" s="3"/>
    </row>
    <row r="39" spans="1:10">
      <c r="A39" s="1" t="s">
        <v>69</v>
      </c>
      <c r="B39" s="3" t="s">
        <v>169</v>
      </c>
      <c r="C39" s="2" t="s">
        <v>146</v>
      </c>
      <c r="D39" s="2">
        <v>14.06</v>
      </c>
      <c r="E39" s="2" t="s">
        <v>108</v>
      </c>
      <c r="F39" s="2">
        <f>0.5*D39</f>
        <v>7.03</v>
      </c>
      <c r="G39" s="2">
        <f t="shared" si="3"/>
        <v>21.09</v>
      </c>
      <c r="H39" s="13">
        <f t="shared" si="0"/>
        <v>253.07999999999998</v>
      </c>
      <c r="I39" s="5" t="s">
        <v>458</v>
      </c>
      <c r="J39" s="3" t="s">
        <v>180</v>
      </c>
    </row>
    <row r="40" spans="1:10">
      <c r="A40" s="9" t="s">
        <v>661</v>
      </c>
      <c r="B40" s="10" t="s">
        <v>169</v>
      </c>
      <c r="C40" s="6" t="s">
        <v>146</v>
      </c>
      <c r="D40" s="6">
        <v>13.57</v>
      </c>
      <c r="E40" s="6" t="s">
        <v>457</v>
      </c>
      <c r="F40" s="6">
        <f>D40*0.5</f>
        <v>6.7850000000000001</v>
      </c>
      <c r="G40" s="6">
        <f>D40+F40</f>
        <v>20.355</v>
      </c>
      <c r="H40" s="13">
        <f t="shared" si="0"/>
        <v>244.26</v>
      </c>
      <c r="I40" s="5" t="s">
        <v>458</v>
      </c>
      <c r="J40" s="3" t="s">
        <v>180</v>
      </c>
    </row>
    <row r="41" spans="1:10">
      <c r="A41" s="9" t="s">
        <v>662</v>
      </c>
      <c r="B41" s="10" t="s">
        <v>169</v>
      </c>
      <c r="C41" s="6" t="s">
        <v>146</v>
      </c>
      <c r="D41" s="6">
        <v>11.94</v>
      </c>
      <c r="E41" s="6" t="s">
        <v>457</v>
      </c>
      <c r="F41" s="6">
        <f>D41*0.5</f>
        <v>5.97</v>
      </c>
      <c r="G41" s="6">
        <f>D41+F41</f>
        <v>17.91</v>
      </c>
      <c r="H41" s="13">
        <f t="shared" si="0"/>
        <v>214.92000000000002</v>
      </c>
      <c r="I41" s="5" t="s">
        <v>458</v>
      </c>
      <c r="J41" s="3" t="s">
        <v>180</v>
      </c>
    </row>
    <row r="42" spans="1:10">
      <c r="A42" s="9" t="s">
        <v>663</v>
      </c>
      <c r="B42" s="10" t="s">
        <v>169</v>
      </c>
      <c r="C42" s="6" t="s">
        <v>146</v>
      </c>
      <c r="D42" s="6">
        <v>12.41</v>
      </c>
      <c r="E42" s="6" t="s">
        <v>457</v>
      </c>
      <c r="F42" s="6">
        <f>D42*0.5</f>
        <v>6.2050000000000001</v>
      </c>
      <c r="G42" s="6">
        <f>D42+F42</f>
        <v>18.615000000000002</v>
      </c>
      <c r="H42" s="13">
        <f t="shared" si="0"/>
        <v>223.38000000000002</v>
      </c>
      <c r="I42" s="5" t="s">
        <v>458</v>
      </c>
      <c r="J42" s="3" t="s">
        <v>180</v>
      </c>
    </row>
    <row r="43" spans="1:10">
      <c r="A43" s="9" t="s">
        <v>664</v>
      </c>
      <c r="B43" s="10" t="s">
        <v>169</v>
      </c>
      <c r="C43" s="6" t="s">
        <v>146</v>
      </c>
      <c r="D43" s="6">
        <v>16.66</v>
      </c>
      <c r="E43" s="6" t="s">
        <v>457</v>
      </c>
      <c r="F43" s="6">
        <f>D43*0.5</f>
        <v>8.33</v>
      </c>
      <c r="G43" s="6">
        <f>D43+F43</f>
        <v>24.990000000000002</v>
      </c>
      <c r="H43" s="13">
        <f t="shared" si="0"/>
        <v>299.88</v>
      </c>
      <c r="I43" s="5" t="s">
        <v>458</v>
      </c>
      <c r="J43" s="3" t="s">
        <v>180</v>
      </c>
    </row>
    <row r="44" spans="1:10">
      <c r="A44" s="7" t="s">
        <v>681</v>
      </c>
      <c r="B44" s="18" t="s">
        <v>629</v>
      </c>
      <c r="C44" s="6"/>
      <c r="D44" s="6"/>
      <c r="E44" s="6"/>
      <c r="F44" s="6"/>
      <c r="G44" s="6"/>
      <c r="H44" s="14">
        <f>SUM(H39:H43)/5</f>
        <v>247.10399999999998</v>
      </c>
      <c r="I44" s="5"/>
      <c r="J44" s="3"/>
    </row>
    <row r="45" spans="1:10">
      <c r="A45" s="7"/>
      <c r="B45" s="18" t="s">
        <v>630</v>
      </c>
      <c r="C45" s="6"/>
      <c r="D45" s="6"/>
      <c r="E45" s="6"/>
      <c r="F45" s="6"/>
      <c r="G45" s="6"/>
      <c r="H45" s="14">
        <f>0.5*H44</f>
        <v>123.55199999999999</v>
      </c>
      <c r="I45" s="19" t="s">
        <v>626</v>
      </c>
      <c r="J45" s="19"/>
    </row>
    <row r="46" spans="1:10">
      <c r="A46" s="7"/>
      <c r="B46" s="18"/>
      <c r="C46" s="6"/>
      <c r="D46" s="6"/>
      <c r="E46" s="6"/>
      <c r="F46" s="6"/>
      <c r="G46" s="6"/>
      <c r="H46" s="14"/>
      <c r="I46" s="19"/>
      <c r="J46" s="19"/>
    </row>
    <row r="47" spans="1:10">
      <c r="A47" s="1" t="s">
        <v>70</v>
      </c>
      <c r="B47" s="3" t="s">
        <v>169</v>
      </c>
      <c r="C47" s="2" t="s">
        <v>146</v>
      </c>
      <c r="D47" s="2">
        <v>11.08</v>
      </c>
      <c r="E47" s="2" t="s">
        <v>108</v>
      </c>
      <c r="F47" s="2">
        <f>0.5*D47</f>
        <v>5.54</v>
      </c>
      <c r="G47" s="2">
        <f t="shared" si="3"/>
        <v>16.62</v>
      </c>
      <c r="H47" s="13">
        <f t="shared" si="0"/>
        <v>199.44</v>
      </c>
      <c r="I47" s="5" t="s">
        <v>458</v>
      </c>
      <c r="J47" s="3" t="s">
        <v>180</v>
      </c>
    </row>
    <row r="48" spans="1:10">
      <c r="A48" s="9" t="s">
        <v>665</v>
      </c>
      <c r="B48" s="10" t="s">
        <v>169</v>
      </c>
      <c r="C48" s="6" t="s">
        <v>146</v>
      </c>
      <c r="D48" s="6">
        <v>10.66</v>
      </c>
      <c r="E48" s="6" t="s">
        <v>457</v>
      </c>
      <c r="F48" s="6">
        <f t="shared" ref="F48:F56" si="4">D48*0.5</f>
        <v>5.33</v>
      </c>
      <c r="G48" s="6">
        <f t="shared" si="3"/>
        <v>15.99</v>
      </c>
      <c r="H48" s="13">
        <f t="shared" si="0"/>
        <v>191.88</v>
      </c>
      <c r="I48" s="5" t="s">
        <v>458</v>
      </c>
      <c r="J48" s="3" t="s">
        <v>180</v>
      </c>
    </row>
    <row r="49" spans="1:10">
      <c r="A49" s="9" t="s">
        <v>666</v>
      </c>
      <c r="B49" s="10" t="s">
        <v>169</v>
      </c>
      <c r="C49" s="6" t="s">
        <v>146</v>
      </c>
      <c r="D49" s="6">
        <v>9.7100000000000009</v>
      </c>
      <c r="E49" s="6" t="s">
        <v>457</v>
      </c>
      <c r="F49" s="6">
        <f t="shared" si="4"/>
        <v>4.8550000000000004</v>
      </c>
      <c r="G49" s="6">
        <f t="shared" si="3"/>
        <v>14.565000000000001</v>
      </c>
      <c r="H49" s="13">
        <f t="shared" si="0"/>
        <v>174.78000000000003</v>
      </c>
      <c r="I49" s="5" t="s">
        <v>458</v>
      </c>
      <c r="J49" s="3" t="s">
        <v>180</v>
      </c>
    </row>
    <row r="50" spans="1:10">
      <c r="A50" s="9" t="s">
        <v>666</v>
      </c>
      <c r="B50" s="3" t="s">
        <v>200</v>
      </c>
      <c r="C50" s="2" t="s">
        <v>146</v>
      </c>
      <c r="D50" s="2">
        <f>0.6*D49</f>
        <v>5.8260000000000005</v>
      </c>
      <c r="E50" s="2" t="s">
        <v>108</v>
      </c>
      <c r="F50" s="2">
        <f>0.5*D50</f>
        <v>2.9130000000000003</v>
      </c>
      <c r="G50" s="2">
        <f>D50+F50</f>
        <v>8.7390000000000008</v>
      </c>
      <c r="H50" s="13">
        <f t="shared" si="0"/>
        <v>104.86800000000001</v>
      </c>
      <c r="I50" s="3" t="s">
        <v>459</v>
      </c>
      <c r="J50" s="3" t="s">
        <v>242</v>
      </c>
    </row>
    <row r="51" spans="1:10">
      <c r="A51" s="9" t="s">
        <v>666</v>
      </c>
      <c r="B51" s="130" t="s">
        <v>199</v>
      </c>
      <c r="C51" s="2" t="s">
        <v>146</v>
      </c>
      <c r="D51" s="2">
        <f>0.6*D49</f>
        <v>5.8260000000000005</v>
      </c>
      <c r="E51" s="2" t="s">
        <v>108</v>
      </c>
      <c r="F51" s="2">
        <f>0.5*D51</f>
        <v>2.9130000000000003</v>
      </c>
      <c r="G51" s="2">
        <f>D51+F51</f>
        <v>8.7390000000000008</v>
      </c>
      <c r="H51" s="13">
        <f t="shared" si="0"/>
        <v>104.86800000000001</v>
      </c>
      <c r="I51" s="3" t="s">
        <v>459</v>
      </c>
      <c r="J51" s="3" t="s">
        <v>242</v>
      </c>
    </row>
    <row r="52" spans="1:10">
      <c r="A52" s="9" t="s">
        <v>667</v>
      </c>
      <c r="B52" s="10" t="s">
        <v>169</v>
      </c>
      <c r="C52" s="6" t="s">
        <v>146</v>
      </c>
      <c r="D52" s="6">
        <v>11.43</v>
      </c>
      <c r="E52" s="6" t="s">
        <v>457</v>
      </c>
      <c r="F52" s="6">
        <f t="shared" si="4"/>
        <v>5.7149999999999999</v>
      </c>
      <c r="G52" s="6">
        <f t="shared" si="3"/>
        <v>17.145</v>
      </c>
      <c r="H52" s="13">
        <f t="shared" si="0"/>
        <v>205.74</v>
      </c>
      <c r="I52" s="5" t="s">
        <v>458</v>
      </c>
      <c r="J52" s="3" t="s">
        <v>180</v>
      </c>
    </row>
    <row r="53" spans="1:10">
      <c r="A53" s="9" t="s">
        <v>668</v>
      </c>
      <c r="B53" s="10" t="s">
        <v>169</v>
      </c>
      <c r="C53" s="6" t="s">
        <v>146</v>
      </c>
      <c r="D53" s="6">
        <v>10.37</v>
      </c>
      <c r="E53" s="6" t="s">
        <v>457</v>
      </c>
      <c r="F53" s="6">
        <f t="shared" si="4"/>
        <v>5.1849999999999996</v>
      </c>
      <c r="G53" s="6">
        <f t="shared" si="3"/>
        <v>15.555</v>
      </c>
      <c r="H53" s="13">
        <f t="shared" si="0"/>
        <v>186.66</v>
      </c>
      <c r="I53" s="5" t="s">
        <v>458</v>
      </c>
      <c r="J53" s="3" t="s">
        <v>180</v>
      </c>
    </row>
    <row r="54" spans="1:10">
      <c r="A54" s="9" t="s">
        <v>669</v>
      </c>
      <c r="B54" s="10" t="s">
        <v>169</v>
      </c>
      <c r="C54" s="6" t="s">
        <v>146</v>
      </c>
      <c r="D54" s="6">
        <v>11.37</v>
      </c>
      <c r="E54" s="6" t="s">
        <v>457</v>
      </c>
      <c r="F54" s="6">
        <f t="shared" si="4"/>
        <v>5.6849999999999996</v>
      </c>
      <c r="G54" s="6">
        <f t="shared" si="3"/>
        <v>17.055</v>
      </c>
      <c r="H54" s="13">
        <f t="shared" si="0"/>
        <v>204.66</v>
      </c>
      <c r="I54" s="5" t="s">
        <v>458</v>
      </c>
      <c r="J54" s="3" t="s">
        <v>180</v>
      </c>
    </row>
    <row r="55" spans="1:10">
      <c r="A55" s="9" t="s">
        <v>670</v>
      </c>
      <c r="B55" s="10" t="s">
        <v>169</v>
      </c>
      <c r="C55" s="6" t="s">
        <v>146</v>
      </c>
      <c r="D55" s="6">
        <v>11.95</v>
      </c>
      <c r="E55" s="6" t="s">
        <v>457</v>
      </c>
      <c r="F55" s="6">
        <f t="shared" si="4"/>
        <v>5.9749999999999996</v>
      </c>
      <c r="G55" s="6">
        <f t="shared" si="3"/>
        <v>17.924999999999997</v>
      </c>
      <c r="H55" s="13">
        <f t="shared" si="0"/>
        <v>215.09999999999997</v>
      </c>
      <c r="I55" s="5" t="s">
        <v>458</v>
      </c>
      <c r="J55" s="3" t="s">
        <v>180</v>
      </c>
    </row>
    <row r="56" spans="1:10">
      <c r="A56" s="9" t="s">
        <v>671</v>
      </c>
      <c r="B56" s="10" t="s">
        <v>169</v>
      </c>
      <c r="C56" s="6" t="s">
        <v>146</v>
      </c>
      <c r="D56" s="6">
        <v>14.29</v>
      </c>
      <c r="E56" s="6" t="s">
        <v>457</v>
      </c>
      <c r="F56" s="6">
        <f t="shared" si="4"/>
        <v>7.1449999999999996</v>
      </c>
      <c r="G56" s="6">
        <f t="shared" si="3"/>
        <v>21.434999999999999</v>
      </c>
      <c r="H56" s="13">
        <f t="shared" si="0"/>
        <v>257.21999999999997</v>
      </c>
      <c r="I56" s="5" t="s">
        <v>458</v>
      </c>
      <c r="J56" s="3" t="s">
        <v>180</v>
      </c>
    </row>
    <row r="57" spans="1:10">
      <c r="A57" s="7" t="s">
        <v>681</v>
      </c>
      <c r="B57" s="10" t="s">
        <v>629</v>
      </c>
      <c r="C57" s="6"/>
      <c r="D57" s="6"/>
      <c r="E57" s="6"/>
      <c r="F57" s="6"/>
      <c r="G57" s="6"/>
      <c r="H57" s="14">
        <f>SUM(H47:H56)/10</f>
        <v>184.52160000000001</v>
      </c>
      <c r="I57" s="5"/>
      <c r="J57" s="3"/>
    </row>
    <row r="58" spans="1:10">
      <c r="A58" s="7"/>
      <c r="B58" s="18" t="s">
        <v>630</v>
      </c>
      <c r="C58" s="6"/>
      <c r="D58" s="6"/>
      <c r="E58" s="6"/>
      <c r="F58" s="6"/>
      <c r="G58" s="6"/>
      <c r="H58" s="14">
        <f>0.5*H57</f>
        <v>92.260800000000003</v>
      </c>
      <c r="I58" s="19" t="s">
        <v>626</v>
      </c>
      <c r="J58" s="19"/>
    </row>
    <row r="59" spans="1:10">
      <c r="A59" s="7"/>
      <c r="B59" s="18"/>
      <c r="C59" s="6"/>
      <c r="D59" s="6"/>
      <c r="E59" s="6"/>
      <c r="F59" s="6"/>
      <c r="G59" s="6"/>
      <c r="H59" s="14"/>
      <c r="I59" s="19"/>
      <c r="J59" s="19"/>
    </row>
    <row r="60" spans="1:10">
      <c r="A60" s="1" t="s">
        <v>71</v>
      </c>
      <c r="B60" s="3" t="s">
        <v>169</v>
      </c>
      <c r="C60" s="2" t="s">
        <v>146</v>
      </c>
      <c r="D60" s="2">
        <v>15.53</v>
      </c>
      <c r="E60" s="2" t="s">
        <v>108</v>
      </c>
      <c r="F60" s="2">
        <f>0.5*D60</f>
        <v>7.7649999999999997</v>
      </c>
      <c r="G60" s="2">
        <f t="shared" si="3"/>
        <v>23.294999999999998</v>
      </c>
      <c r="H60" s="13">
        <f t="shared" si="0"/>
        <v>279.53999999999996</v>
      </c>
      <c r="I60" s="5" t="s">
        <v>458</v>
      </c>
      <c r="J60" s="3" t="s">
        <v>180</v>
      </c>
    </row>
    <row r="61" spans="1:10">
      <c r="A61" s="9" t="s">
        <v>672</v>
      </c>
      <c r="B61" s="10" t="s">
        <v>169</v>
      </c>
      <c r="C61" s="6" t="s">
        <v>146</v>
      </c>
      <c r="D61" s="6">
        <v>14.25</v>
      </c>
      <c r="E61" s="6" t="s">
        <v>457</v>
      </c>
      <c r="F61" s="6">
        <f>D61*0.5</f>
        <v>7.125</v>
      </c>
      <c r="G61" s="6">
        <f t="shared" si="3"/>
        <v>21.375</v>
      </c>
      <c r="H61" s="13">
        <f t="shared" si="0"/>
        <v>256.5</v>
      </c>
      <c r="I61" s="5" t="s">
        <v>458</v>
      </c>
      <c r="J61" s="3" t="s">
        <v>180</v>
      </c>
    </row>
    <row r="62" spans="1:10">
      <c r="A62" s="9" t="s">
        <v>673</v>
      </c>
      <c r="B62" s="10" t="s">
        <v>169</v>
      </c>
      <c r="C62" s="6" t="s">
        <v>146</v>
      </c>
      <c r="D62" s="6">
        <v>17</v>
      </c>
      <c r="E62" s="6" t="s">
        <v>457</v>
      </c>
      <c r="F62" s="6">
        <f>D62*0.5</f>
        <v>8.5</v>
      </c>
      <c r="G62" s="6">
        <f t="shared" si="3"/>
        <v>25.5</v>
      </c>
      <c r="H62" s="13">
        <f t="shared" si="0"/>
        <v>306</v>
      </c>
      <c r="I62" s="5" t="s">
        <v>458</v>
      </c>
      <c r="J62" s="3" t="s">
        <v>180</v>
      </c>
    </row>
    <row r="63" spans="1:10">
      <c r="A63" s="9" t="s">
        <v>674</v>
      </c>
      <c r="B63" s="10" t="s">
        <v>169</v>
      </c>
      <c r="C63" s="6" t="s">
        <v>146</v>
      </c>
      <c r="D63" s="6">
        <v>16.02</v>
      </c>
      <c r="E63" s="6" t="s">
        <v>457</v>
      </c>
      <c r="F63" s="6">
        <f>D63*0.5</f>
        <v>8.01</v>
      </c>
      <c r="G63" s="6">
        <f t="shared" si="3"/>
        <v>24.03</v>
      </c>
      <c r="H63" s="13">
        <f t="shared" si="0"/>
        <v>288.36</v>
      </c>
      <c r="I63" s="5" t="s">
        <v>458</v>
      </c>
      <c r="J63" s="3" t="s">
        <v>180</v>
      </c>
    </row>
    <row r="64" spans="1:10">
      <c r="A64" s="7" t="s">
        <v>681</v>
      </c>
      <c r="B64" s="10" t="s">
        <v>629</v>
      </c>
      <c r="C64" s="6"/>
      <c r="D64" s="6"/>
      <c r="E64" s="6"/>
      <c r="F64" s="6"/>
      <c r="G64" s="6"/>
      <c r="H64" s="14">
        <f>SUM(H60:H63)/4</f>
        <v>282.60000000000002</v>
      </c>
      <c r="I64" s="5"/>
      <c r="J64" s="3"/>
    </row>
    <row r="65" spans="1:10">
      <c r="A65" s="7"/>
      <c r="B65" s="18" t="s">
        <v>630</v>
      </c>
      <c r="C65" s="6"/>
      <c r="D65" s="6"/>
      <c r="E65" s="6"/>
      <c r="F65" s="6"/>
      <c r="G65" s="6"/>
      <c r="H65" s="14">
        <f>0.5*H64</f>
        <v>141.30000000000001</v>
      </c>
      <c r="I65" s="19" t="s">
        <v>626</v>
      </c>
      <c r="J65" s="19"/>
    </row>
    <row r="66" spans="1:10">
      <c r="A66" s="7"/>
      <c r="B66" s="18"/>
      <c r="C66" s="6"/>
      <c r="D66" s="6"/>
      <c r="E66" s="6"/>
      <c r="F66" s="6"/>
      <c r="G66" s="6"/>
      <c r="H66" s="14"/>
      <c r="I66" s="19"/>
      <c r="J66" s="19"/>
    </row>
    <row r="67" spans="1:10">
      <c r="A67" s="1" t="s">
        <v>72</v>
      </c>
      <c r="B67" s="3" t="s">
        <v>169</v>
      </c>
      <c r="C67" s="2" t="s">
        <v>146</v>
      </c>
      <c r="D67" s="2">
        <v>14.73</v>
      </c>
      <c r="E67" s="2" t="s">
        <v>108</v>
      </c>
      <c r="F67" s="2">
        <f>0.5*D67</f>
        <v>7.3650000000000002</v>
      </c>
      <c r="G67" s="2">
        <f t="shared" si="3"/>
        <v>22.094999999999999</v>
      </c>
      <c r="H67" s="13">
        <f t="shared" si="0"/>
        <v>265.14</v>
      </c>
      <c r="I67" s="3" t="s">
        <v>109</v>
      </c>
      <c r="J67" s="3" t="s">
        <v>180</v>
      </c>
    </row>
    <row r="68" spans="1:10">
      <c r="A68" s="9" t="s">
        <v>675</v>
      </c>
      <c r="B68" s="10" t="s">
        <v>169</v>
      </c>
      <c r="C68" s="6" t="s">
        <v>146</v>
      </c>
      <c r="D68" s="6">
        <v>14.54</v>
      </c>
      <c r="E68" s="6" t="s">
        <v>457</v>
      </c>
      <c r="F68" s="6">
        <f>D68*0.5</f>
        <v>7.27</v>
      </c>
      <c r="G68" s="6">
        <f>D68+F68</f>
        <v>21.81</v>
      </c>
      <c r="H68" s="13">
        <f t="shared" si="0"/>
        <v>261.71999999999997</v>
      </c>
      <c r="I68" s="5" t="s">
        <v>458</v>
      </c>
      <c r="J68" s="3" t="s">
        <v>180</v>
      </c>
    </row>
    <row r="69" spans="1:10">
      <c r="A69" s="9" t="s">
        <v>676</v>
      </c>
      <c r="B69" s="10" t="s">
        <v>169</v>
      </c>
      <c r="C69" s="6" t="s">
        <v>146</v>
      </c>
      <c r="D69" s="6">
        <v>22</v>
      </c>
      <c r="E69" s="6" t="s">
        <v>457</v>
      </c>
      <c r="F69" s="6">
        <f>D69*0.5</f>
        <v>11</v>
      </c>
      <c r="G69" s="6">
        <f>D69+F69</f>
        <v>33</v>
      </c>
      <c r="H69" s="13">
        <f t="shared" si="0"/>
        <v>396</v>
      </c>
      <c r="I69" s="5" t="s">
        <v>458</v>
      </c>
      <c r="J69" s="3" t="s">
        <v>180</v>
      </c>
    </row>
    <row r="70" spans="1:10">
      <c r="A70" s="7" t="s">
        <v>681</v>
      </c>
      <c r="B70" s="10" t="s">
        <v>629</v>
      </c>
      <c r="C70" s="6"/>
      <c r="D70" s="6"/>
      <c r="E70" s="6"/>
      <c r="F70" s="6"/>
      <c r="G70" s="6"/>
      <c r="H70" s="14">
        <f>SUM(H67:H69)/3</f>
        <v>307.61999999999995</v>
      </c>
      <c r="I70" s="5"/>
      <c r="J70" s="3"/>
    </row>
    <row r="71" spans="1:10">
      <c r="A71" s="9"/>
      <c r="B71" s="10"/>
      <c r="C71" s="6"/>
      <c r="D71" s="6"/>
      <c r="E71" s="6"/>
      <c r="F71" s="6"/>
      <c r="G71" s="6"/>
      <c r="H71" s="13"/>
      <c r="I71" s="5"/>
      <c r="J71" s="3"/>
    </row>
    <row r="72" spans="1:10">
      <c r="A72" s="1" t="s">
        <v>73</v>
      </c>
      <c r="B72" s="3" t="s">
        <v>169</v>
      </c>
      <c r="C72" s="2" t="s">
        <v>146</v>
      </c>
      <c r="D72" s="2">
        <v>34.159999999999997</v>
      </c>
      <c r="E72" s="2" t="s">
        <v>108</v>
      </c>
      <c r="F72" s="2">
        <f>0.5*D72</f>
        <v>17.079999999999998</v>
      </c>
      <c r="G72" s="2">
        <f t="shared" si="3"/>
        <v>51.239999999999995</v>
      </c>
      <c r="H72" s="13">
        <f t="shared" si="0"/>
        <v>614.87999999999988</v>
      </c>
      <c r="I72" s="3" t="s">
        <v>24</v>
      </c>
      <c r="J72" s="3" t="s">
        <v>180</v>
      </c>
    </row>
    <row r="73" spans="1:10">
      <c r="A73" s="9" t="s">
        <v>677</v>
      </c>
      <c r="B73" s="10" t="s">
        <v>169</v>
      </c>
      <c r="C73" s="6" t="s">
        <v>146</v>
      </c>
      <c r="D73" s="6">
        <v>43</v>
      </c>
      <c r="E73" s="6" t="s">
        <v>457</v>
      </c>
      <c r="F73" s="6">
        <f>D73*0.5</f>
        <v>21.5</v>
      </c>
      <c r="G73" s="6">
        <f>D73+F73</f>
        <v>64.5</v>
      </c>
      <c r="H73" s="13">
        <f t="shared" si="0"/>
        <v>774</v>
      </c>
      <c r="I73" s="5" t="s">
        <v>458</v>
      </c>
      <c r="J73" s="3" t="s">
        <v>180</v>
      </c>
    </row>
    <row r="74" spans="1:10">
      <c r="A74" s="9" t="s">
        <v>678</v>
      </c>
      <c r="B74" s="10" t="s">
        <v>169</v>
      </c>
      <c r="C74" s="6" t="s">
        <v>146</v>
      </c>
      <c r="D74" s="6">
        <v>33.28</v>
      </c>
      <c r="E74" s="6" t="s">
        <v>457</v>
      </c>
      <c r="F74" s="6">
        <f>D74*0.5</f>
        <v>16.64</v>
      </c>
      <c r="G74" s="6">
        <f>D74+F74</f>
        <v>49.92</v>
      </c>
      <c r="H74" s="13">
        <f t="shared" si="0"/>
        <v>599.04</v>
      </c>
      <c r="I74" s="5" t="s">
        <v>458</v>
      </c>
      <c r="J74" s="3" t="s">
        <v>180</v>
      </c>
    </row>
    <row r="75" spans="1:10">
      <c r="A75" s="7" t="s">
        <v>681</v>
      </c>
      <c r="B75" s="10" t="s">
        <v>629</v>
      </c>
      <c r="C75" s="6"/>
      <c r="D75" s="6"/>
      <c r="E75" s="6"/>
      <c r="F75" s="6"/>
      <c r="G75" s="6"/>
      <c r="H75" s="14">
        <f>SUM(H72:H74)/3</f>
        <v>662.64</v>
      </c>
      <c r="I75" s="5"/>
      <c r="J75" s="3"/>
    </row>
    <row r="76" spans="1:10">
      <c r="A76" s="7"/>
      <c r="B76" s="10"/>
      <c r="C76" s="6"/>
      <c r="D76" s="6"/>
      <c r="E76" s="6"/>
      <c r="F76" s="6"/>
      <c r="G76" s="6"/>
      <c r="H76" s="14"/>
      <c r="I76" s="5"/>
      <c r="J76" s="3"/>
    </row>
    <row r="77" spans="1:10">
      <c r="A77" s="1" t="s">
        <v>682</v>
      </c>
    </row>
    <row r="78" spans="1:10">
      <c r="A78" t="s">
        <v>381</v>
      </c>
    </row>
    <row r="79" spans="1:10">
      <c r="A79" t="s">
        <v>171</v>
      </c>
    </row>
    <row r="80" spans="1:10">
      <c r="A80" t="s">
        <v>248</v>
      </c>
    </row>
    <row r="81" spans="1:3">
      <c r="A81" t="s">
        <v>249</v>
      </c>
    </row>
    <row r="82" spans="1:3">
      <c r="A82" t="s">
        <v>250</v>
      </c>
    </row>
    <row r="83" spans="1:3">
      <c r="A83" t="s">
        <v>251</v>
      </c>
    </row>
    <row r="84" spans="1:3">
      <c r="A84" t="s">
        <v>252</v>
      </c>
    </row>
    <row r="85" spans="1:3">
      <c r="A85" t="s">
        <v>378</v>
      </c>
    </row>
    <row r="86" spans="1:3">
      <c r="A86" t="s">
        <v>379</v>
      </c>
    </row>
    <row r="87" spans="1:3">
      <c r="A87" t="s">
        <v>380</v>
      </c>
    </row>
    <row r="88" spans="1:3">
      <c r="A88" t="s">
        <v>172</v>
      </c>
      <c r="B88">
        <v>0.44600000000000001</v>
      </c>
      <c r="C88" t="s">
        <v>176</v>
      </c>
    </row>
    <row r="89" spans="1:3">
      <c r="A89" t="s">
        <v>173</v>
      </c>
      <c r="B89">
        <v>0.86599999999999999</v>
      </c>
    </row>
    <row r="90" spans="1:3">
      <c r="A90" t="s">
        <v>174</v>
      </c>
      <c r="B90">
        <v>1.1499999999999999</v>
      </c>
    </row>
    <row r="91" spans="1:3">
      <c r="A91" t="s">
        <v>175</v>
      </c>
    </row>
    <row r="92" spans="1:3">
      <c r="A92" t="s">
        <v>255</v>
      </c>
    </row>
    <row r="93" spans="1:3">
      <c r="A93" t="s">
        <v>307</v>
      </c>
    </row>
    <row r="94" spans="1:3">
      <c r="A94" t="s">
        <v>306</v>
      </c>
    </row>
    <row r="95" spans="1:3">
      <c r="A95" t="s">
        <v>197</v>
      </c>
    </row>
  </sheetData>
  <mergeCells count="1">
    <mergeCell ref="G1:H1"/>
  </mergeCells>
  <phoneticPr fontId="14" type="noConversion"/>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27"/>
  <sheetViews>
    <sheetView workbookViewId="0">
      <selection activeCell="B6" sqref="B6:E7"/>
    </sheetView>
  </sheetViews>
  <sheetFormatPr baseColWidth="10" defaultColWidth="10.83203125" defaultRowHeight="15" x14ac:dyDescent="0"/>
  <cols>
    <col min="1" max="1" width="22.83203125" style="131" customWidth="1"/>
    <col min="2" max="16384" width="10.83203125" style="131"/>
  </cols>
  <sheetData>
    <row r="3" spans="1:5">
      <c r="A3" s="131" t="s">
        <v>23</v>
      </c>
    </row>
    <row r="4" spans="1:5" ht="18">
      <c r="A4" s="136" t="s">
        <v>0</v>
      </c>
    </row>
    <row r="6" spans="1:5">
      <c r="B6" s="132" t="s">
        <v>15</v>
      </c>
      <c r="C6" s="132"/>
      <c r="D6" s="132"/>
      <c r="E6" s="132"/>
    </row>
    <row r="7" spans="1:5">
      <c r="B7" s="133" t="s">
        <v>16</v>
      </c>
      <c r="C7" s="133" t="s">
        <v>17</v>
      </c>
      <c r="D7" s="133" t="s">
        <v>18</v>
      </c>
      <c r="E7" s="133" t="s">
        <v>19</v>
      </c>
    </row>
    <row r="8" spans="1:5">
      <c r="A8" s="131" t="s">
        <v>20</v>
      </c>
      <c r="B8" s="134">
        <v>169.26</v>
      </c>
      <c r="C8" s="134">
        <v>234.55</v>
      </c>
      <c r="D8" s="134">
        <v>164.85</v>
      </c>
      <c r="E8" s="134">
        <v>117.57</v>
      </c>
    </row>
    <row r="9" spans="1:5">
      <c r="A9" s="131" t="s">
        <v>2</v>
      </c>
      <c r="B9" s="131">
        <v>-19.8</v>
      </c>
      <c r="C9" s="131">
        <v>-20.82</v>
      </c>
      <c r="D9" s="131">
        <v>8.59</v>
      </c>
      <c r="E9" s="131">
        <v>-6.41</v>
      </c>
    </row>
    <row r="10" spans="1:5">
      <c r="A10" s="131" t="s">
        <v>3</v>
      </c>
      <c r="B10" s="131">
        <v>16.38</v>
      </c>
      <c r="C10" s="131">
        <v>22.81</v>
      </c>
      <c r="D10" s="131">
        <v>27.76</v>
      </c>
      <c r="E10" s="131">
        <v>27.12</v>
      </c>
    </row>
    <row r="11" spans="1:5">
      <c r="A11" s="131" t="s">
        <v>4</v>
      </c>
      <c r="B11" s="131">
        <v>22.01</v>
      </c>
      <c r="C11" s="131">
        <v>22.95</v>
      </c>
      <c r="D11" s="131">
        <v>9.75</v>
      </c>
      <c r="E11" s="131">
        <v>17.53</v>
      </c>
    </row>
    <row r="12" spans="1:5">
      <c r="A12" s="131" t="s">
        <v>5</v>
      </c>
      <c r="B12" s="131">
        <v>58.31</v>
      </c>
      <c r="C12" s="131">
        <v>111.03</v>
      </c>
      <c r="D12" s="131">
        <v>47.57</v>
      </c>
      <c r="E12" s="131">
        <v>49.03</v>
      </c>
    </row>
    <row r="13" spans="1:5">
      <c r="A13" s="131" t="s">
        <v>8</v>
      </c>
      <c r="B13" s="131">
        <v>152.63</v>
      </c>
      <c r="C13" s="131">
        <v>154.08000000000001</v>
      </c>
      <c r="D13" s="131">
        <v>70.25</v>
      </c>
      <c r="E13" s="131">
        <v>147.28</v>
      </c>
    </row>
    <row r="14" spans="1:5">
      <c r="A14" s="131" t="s">
        <v>6</v>
      </c>
      <c r="B14" s="131">
        <v>229.09</v>
      </c>
      <c r="C14" s="131">
        <v>294.77</v>
      </c>
      <c r="D14" s="131">
        <v>186.44</v>
      </c>
      <c r="E14" s="131">
        <v>193.66</v>
      </c>
    </row>
    <row r="15" spans="1:5">
      <c r="A15" s="131" t="s">
        <v>7</v>
      </c>
      <c r="B15" s="131">
        <v>175.6</v>
      </c>
      <c r="C15" s="131">
        <v>145.94999999999999</v>
      </c>
      <c r="D15" s="131">
        <v>121.94</v>
      </c>
      <c r="E15" s="131">
        <v>135.44</v>
      </c>
    </row>
    <row r="16" spans="1:5">
      <c r="A16" s="131" t="s">
        <v>21</v>
      </c>
      <c r="B16" s="131">
        <v>269.26</v>
      </c>
      <c r="C16" s="131">
        <v>422.52</v>
      </c>
      <c r="D16" s="131">
        <v>223.61</v>
      </c>
      <c r="E16" s="131">
        <v>221.98</v>
      </c>
    </row>
    <row r="18" spans="1:5">
      <c r="A18" s="131" t="s">
        <v>22</v>
      </c>
      <c r="B18" s="135">
        <v>8496</v>
      </c>
      <c r="C18" s="135">
        <v>3130</v>
      </c>
      <c r="D18" s="135">
        <v>4347</v>
      </c>
      <c r="E18" s="135">
        <v>1019</v>
      </c>
    </row>
    <row r="20" spans="1:5">
      <c r="A20" s="131" t="s">
        <v>1</v>
      </c>
    </row>
    <row r="21" spans="1:5">
      <c r="A21" s="131" t="s">
        <v>2</v>
      </c>
      <c r="B21" s="137">
        <f>B9/B$14</f>
        <v>-8.6428914400453971E-2</v>
      </c>
      <c r="C21" s="137">
        <f t="shared" ref="C21:E21" si="0">C9/C$14</f>
        <v>-7.0631339688570757E-2</v>
      </c>
      <c r="D21" s="137">
        <f t="shared" si="0"/>
        <v>4.6073803904741473E-2</v>
      </c>
      <c r="E21" s="137">
        <f t="shared" si="0"/>
        <v>-3.3099246101414855E-2</v>
      </c>
    </row>
    <row r="22" spans="1:5">
      <c r="A22" s="131" t="s">
        <v>3</v>
      </c>
      <c r="B22" s="137">
        <f t="shared" ref="B22:E22" si="1">B10/B$14</f>
        <v>7.1500283731284642E-2</v>
      </c>
      <c r="C22" s="137">
        <f t="shared" si="1"/>
        <v>7.7382365912406284E-2</v>
      </c>
      <c r="D22" s="137">
        <f t="shared" si="1"/>
        <v>0.14889508689122508</v>
      </c>
      <c r="E22" s="137">
        <f t="shared" si="1"/>
        <v>0.14003924403593929</v>
      </c>
    </row>
    <row r="23" spans="1:5">
      <c r="A23" s="131" t="s">
        <v>4</v>
      </c>
      <c r="B23" s="137">
        <f t="shared" ref="B23:E23" si="2">B11/B$14</f>
        <v>9.6075778078484442E-2</v>
      </c>
      <c r="C23" s="137">
        <f t="shared" si="2"/>
        <v>7.7857312480917332E-2</v>
      </c>
      <c r="D23" s="137">
        <f t="shared" si="2"/>
        <v>5.2295644711435316E-2</v>
      </c>
      <c r="E23" s="137">
        <f t="shared" si="2"/>
        <v>9.0519467107301466E-2</v>
      </c>
    </row>
    <row r="24" spans="1:5">
      <c r="A24" s="131" t="s">
        <v>5</v>
      </c>
      <c r="B24" s="137">
        <f t="shared" ref="B24:E24" si="3">B12/B$14</f>
        <v>0.25452878781265004</v>
      </c>
      <c r="C24" s="137">
        <f t="shared" si="3"/>
        <v>0.37666655358415035</v>
      </c>
      <c r="D24" s="137">
        <f t="shared" si="3"/>
        <v>0.25514910963312593</v>
      </c>
      <c r="E24" s="137">
        <f t="shared" si="3"/>
        <v>0.25317566869771768</v>
      </c>
    </row>
    <row r="25" spans="1:5">
      <c r="A25" s="131" t="s">
        <v>8</v>
      </c>
      <c r="B25" s="137">
        <f t="shared" ref="B25:E25" si="4">B13/B$14</f>
        <v>0.66624470732026708</v>
      </c>
      <c r="C25" s="137">
        <f t="shared" si="4"/>
        <v>0.52271262340129598</v>
      </c>
      <c r="D25" s="137">
        <f t="shared" si="4"/>
        <v>0.37679682471572623</v>
      </c>
      <c r="E25" s="137">
        <f t="shared" si="4"/>
        <v>0.76050810699163485</v>
      </c>
    </row>
    <row r="26" spans="1:5">
      <c r="A26" s="131" t="s">
        <v>6</v>
      </c>
      <c r="B26" s="138">
        <f t="shared" ref="B26:E26" si="5">B14/B$14</f>
        <v>1</v>
      </c>
      <c r="C26" s="139">
        <f t="shared" si="5"/>
        <v>1</v>
      </c>
      <c r="D26" s="139">
        <f t="shared" si="5"/>
        <v>1</v>
      </c>
      <c r="E26" s="140">
        <f t="shared" si="5"/>
        <v>1</v>
      </c>
    </row>
    <row r="27" spans="1:5">
      <c r="A27" s="131" t="s">
        <v>7</v>
      </c>
      <c r="B27" s="137">
        <f t="shared" ref="B27:E27" si="6">B15/B$14</f>
        <v>0.76651097821816749</v>
      </c>
      <c r="C27" s="137">
        <f t="shared" si="6"/>
        <v>0.49513179767276183</v>
      </c>
      <c r="D27" s="137">
        <f t="shared" si="6"/>
        <v>0.65404419652435097</v>
      </c>
      <c r="E27" s="137">
        <f t="shared" si="6"/>
        <v>0.6993700299493959</v>
      </c>
    </row>
  </sheetData>
  <phoneticPr fontId="14" type="noConversion"/>
  <pageMargins left="0.75" right="0.75" top="1" bottom="1" header="0.5" footer="0.5"/>
  <pageSetup paperSize="0"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7"/>
  <sheetViews>
    <sheetView workbookViewId="0">
      <pane xSplit="2" ySplit="6" topLeftCell="K46" activePane="bottomRight" state="frozen"/>
      <selection pane="topRight" activeCell="C1" sqref="C1"/>
      <selection pane="bottomLeft" activeCell="A7" sqref="A7"/>
      <selection pane="bottomRight" activeCell="M75" sqref="M75"/>
    </sheetView>
  </sheetViews>
  <sheetFormatPr baseColWidth="10" defaultColWidth="8.83203125" defaultRowHeight="14" x14ac:dyDescent="0"/>
  <cols>
    <col min="1" max="1" width="24.5" customWidth="1"/>
    <col min="2" max="2" width="13.1640625" customWidth="1"/>
    <col min="3" max="3" width="14.83203125" customWidth="1"/>
    <col min="4" max="4" width="10.5" customWidth="1"/>
    <col min="5" max="5" width="8.5" customWidth="1"/>
    <col min="6" max="6" width="16.6640625" style="11" customWidth="1"/>
    <col min="7" max="7" width="14.1640625" customWidth="1"/>
    <col min="8" max="8" width="9.83203125" customWidth="1"/>
    <col min="9" max="9" width="15.6640625" customWidth="1"/>
    <col min="10" max="10" width="16.83203125" customWidth="1"/>
    <col min="11" max="11" width="11.5" customWidth="1"/>
    <col min="12" max="14" width="17.5" customWidth="1"/>
    <col min="15" max="15" width="41" customWidth="1"/>
  </cols>
  <sheetData>
    <row r="1" spans="1:17" ht="20">
      <c r="A1" s="51" t="s">
        <v>932</v>
      </c>
      <c r="F1" s="41"/>
    </row>
    <row r="2" spans="1:17" ht="23">
      <c r="A2" s="168" t="s">
        <v>834</v>
      </c>
      <c r="B2" s="163"/>
      <c r="C2" s="163"/>
      <c r="F2" s="15"/>
    </row>
    <row r="3" spans="1:17">
      <c r="F3" s="15"/>
    </row>
    <row r="4" spans="1:17">
      <c r="B4" s="11" t="s">
        <v>801</v>
      </c>
      <c r="C4" s="11" t="s">
        <v>795</v>
      </c>
      <c r="D4" s="11" t="s">
        <v>409</v>
      </c>
      <c r="E4" s="11" t="s">
        <v>796</v>
      </c>
      <c r="F4" s="11" t="s">
        <v>797</v>
      </c>
      <c r="G4" s="166" t="s">
        <v>484</v>
      </c>
      <c r="H4" s="167"/>
      <c r="I4" s="166" t="s">
        <v>819</v>
      </c>
      <c r="J4" s="167"/>
      <c r="K4" s="167"/>
      <c r="L4" s="15" t="s">
        <v>559</v>
      </c>
      <c r="M4" s="11" t="s">
        <v>798</v>
      </c>
      <c r="N4" s="11" t="s">
        <v>800</v>
      </c>
      <c r="O4" s="8" t="s">
        <v>10</v>
      </c>
      <c r="P4" s="8" t="s">
        <v>64</v>
      </c>
    </row>
    <row r="5" spans="1:17">
      <c r="D5" s="11" t="s">
        <v>410</v>
      </c>
      <c r="F5" s="11" t="s">
        <v>424</v>
      </c>
      <c r="G5" s="15" t="s">
        <v>485</v>
      </c>
      <c r="H5" s="15" t="s">
        <v>486</v>
      </c>
      <c r="I5" s="11" t="s">
        <v>816</v>
      </c>
      <c r="J5" s="11" t="s">
        <v>817</v>
      </c>
      <c r="K5" s="11" t="s">
        <v>818</v>
      </c>
      <c r="L5" s="15" t="s">
        <v>560</v>
      </c>
      <c r="M5" s="11" t="s">
        <v>799</v>
      </c>
      <c r="N5" s="11" t="s">
        <v>799</v>
      </c>
    </row>
    <row r="6" spans="1:17">
      <c r="A6" s="1" t="s">
        <v>33</v>
      </c>
      <c r="B6" s="7"/>
      <c r="C6" s="4"/>
      <c r="D6" s="4"/>
      <c r="E6" s="4"/>
      <c r="F6" s="7"/>
      <c r="G6" s="4"/>
      <c r="H6" s="4"/>
      <c r="I6" s="4"/>
      <c r="J6" s="4"/>
      <c r="K6" s="4"/>
      <c r="L6" s="4"/>
      <c r="M6" s="4"/>
      <c r="N6" s="4"/>
    </row>
    <row r="7" spans="1:17">
      <c r="A7" s="7"/>
      <c r="B7" s="9" t="s">
        <v>809</v>
      </c>
      <c r="C7" s="9" t="s">
        <v>489</v>
      </c>
      <c r="D7">
        <v>2.66</v>
      </c>
      <c r="E7" s="9" t="s">
        <v>35</v>
      </c>
      <c r="F7" s="9" t="s">
        <v>491</v>
      </c>
      <c r="G7" s="6"/>
      <c r="H7" s="6"/>
      <c r="O7" s="5" t="s">
        <v>135</v>
      </c>
      <c r="P7" s="5"/>
      <c r="Q7" s="5"/>
    </row>
    <row r="8" spans="1:17">
      <c r="A8" s="7"/>
      <c r="B8" s="9" t="s">
        <v>810</v>
      </c>
      <c r="C8" s="9" t="s">
        <v>490</v>
      </c>
      <c r="E8" s="9" t="s">
        <v>35</v>
      </c>
      <c r="F8" s="9" t="s">
        <v>492</v>
      </c>
      <c r="G8" s="6"/>
      <c r="H8" s="6"/>
      <c r="O8" s="5" t="s">
        <v>135</v>
      </c>
      <c r="P8" s="5"/>
      <c r="Q8" s="5"/>
    </row>
    <row r="9" spans="1:17">
      <c r="A9" s="1" t="s">
        <v>34</v>
      </c>
      <c r="B9" s="7"/>
      <c r="C9" s="4"/>
      <c r="D9" s="4"/>
      <c r="E9" s="4"/>
      <c r="F9" s="7"/>
      <c r="G9" s="4"/>
      <c r="H9" s="4"/>
      <c r="I9" s="4"/>
      <c r="J9" s="4"/>
      <c r="K9" s="4"/>
      <c r="L9" s="4"/>
      <c r="M9" s="4"/>
      <c r="N9" s="4"/>
    </row>
    <row r="10" spans="1:17">
      <c r="A10" s="7" t="s">
        <v>647</v>
      </c>
      <c r="B10" s="9" t="s">
        <v>809</v>
      </c>
      <c r="C10" s="4" t="s">
        <v>811</v>
      </c>
      <c r="D10" s="22">
        <f>30.05/16.59</f>
        <v>1.811332127787824</v>
      </c>
      <c r="E10" s="4" t="s">
        <v>35</v>
      </c>
      <c r="F10" s="9" t="s">
        <v>713</v>
      </c>
      <c r="G10" s="4" t="s">
        <v>548</v>
      </c>
      <c r="H10" s="22">
        <v>0.62</v>
      </c>
      <c r="I10" s="4">
        <v>227.38</v>
      </c>
      <c r="J10" s="4">
        <f t="shared" ref="J10:J17" si="0">I10*0.5</f>
        <v>113.69</v>
      </c>
      <c r="K10" s="4">
        <f>I10+J10</f>
        <v>341.07</v>
      </c>
      <c r="L10" s="4"/>
      <c r="M10" s="4"/>
      <c r="N10" s="4"/>
      <c r="O10" t="s">
        <v>407</v>
      </c>
      <c r="P10" t="s">
        <v>698</v>
      </c>
    </row>
    <row r="11" spans="1:17">
      <c r="A11" s="1"/>
      <c r="B11" s="9" t="s">
        <v>810</v>
      </c>
      <c r="C11" s="4" t="s">
        <v>812</v>
      </c>
      <c r="D11" s="4"/>
      <c r="E11" s="4" t="s">
        <v>35</v>
      </c>
      <c r="F11" s="9" t="s">
        <v>714</v>
      </c>
      <c r="G11" s="4" t="s">
        <v>548</v>
      </c>
      <c r="H11" s="22">
        <v>0.62</v>
      </c>
      <c r="I11" s="4">
        <v>125.59</v>
      </c>
      <c r="J11" s="22">
        <f t="shared" si="0"/>
        <v>62.795000000000002</v>
      </c>
      <c r="K11" s="22">
        <f t="shared" ref="K11:K73" si="1">I11+J11</f>
        <v>188.38499999999999</v>
      </c>
      <c r="L11" s="22"/>
      <c r="M11" s="4"/>
      <c r="N11" s="4"/>
      <c r="P11" t="s">
        <v>698</v>
      </c>
    </row>
    <row r="12" spans="1:17">
      <c r="A12" s="7" t="s">
        <v>508</v>
      </c>
      <c r="B12" s="9" t="s">
        <v>809</v>
      </c>
      <c r="C12" s="4" t="s">
        <v>551</v>
      </c>
      <c r="D12" s="4">
        <v>2.0299999999999998</v>
      </c>
      <c r="E12" s="4" t="s">
        <v>35</v>
      </c>
      <c r="F12" s="9" t="s">
        <v>715</v>
      </c>
      <c r="G12" s="4" t="s">
        <v>553</v>
      </c>
      <c r="H12" s="22">
        <v>0.4</v>
      </c>
      <c r="I12" s="4">
        <v>101.52</v>
      </c>
      <c r="J12" s="22">
        <f t="shared" si="0"/>
        <v>50.76</v>
      </c>
      <c r="K12" s="22">
        <f t="shared" si="1"/>
        <v>152.28</v>
      </c>
      <c r="L12" s="22"/>
      <c r="M12" s="4"/>
      <c r="N12" s="4"/>
      <c r="P12" t="s">
        <v>698</v>
      </c>
    </row>
    <row r="13" spans="1:17">
      <c r="A13" s="7"/>
      <c r="B13" s="9" t="s">
        <v>810</v>
      </c>
      <c r="C13" s="4" t="s">
        <v>552</v>
      </c>
      <c r="D13" s="4"/>
      <c r="E13" s="4" t="s">
        <v>35</v>
      </c>
      <c r="F13" s="9" t="s">
        <v>716</v>
      </c>
      <c r="G13" s="4" t="s">
        <v>553</v>
      </c>
      <c r="H13" s="22">
        <v>0.4</v>
      </c>
      <c r="I13" s="4">
        <v>42.43</v>
      </c>
      <c r="J13" s="22">
        <f t="shared" si="0"/>
        <v>21.215</v>
      </c>
      <c r="K13" s="22">
        <f t="shared" si="1"/>
        <v>63.644999999999996</v>
      </c>
      <c r="L13" s="22"/>
      <c r="M13" s="4"/>
      <c r="N13" s="4"/>
      <c r="P13" t="s">
        <v>698</v>
      </c>
    </row>
    <row r="14" spans="1:17">
      <c r="A14" s="7" t="s">
        <v>645</v>
      </c>
      <c r="B14" s="9" t="s">
        <v>809</v>
      </c>
      <c r="C14" s="4" t="s">
        <v>554</v>
      </c>
      <c r="D14" s="4">
        <v>2.52</v>
      </c>
      <c r="E14" s="4" t="s">
        <v>35</v>
      </c>
      <c r="F14" s="9" t="s">
        <v>717</v>
      </c>
      <c r="G14" s="4" t="s">
        <v>548</v>
      </c>
      <c r="H14" s="22">
        <v>0.62</v>
      </c>
      <c r="I14" s="4">
        <v>370.01</v>
      </c>
      <c r="J14" s="22">
        <f t="shared" si="0"/>
        <v>185.005</v>
      </c>
      <c r="K14" s="22">
        <f t="shared" si="1"/>
        <v>555.01499999999999</v>
      </c>
      <c r="L14" s="22"/>
      <c r="M14" s="4"/>
      <c r="N14" s="4"/>
      <c r="P14" t="s">
        <v>698</v>
      </c>
    </row>
    <row r="15" spans="1:17">
      <c r="A15" s="7"/>
      <c r="B15" s="9" t="s">
        <v>810</v>
      </c>
      <c r="C15" s="4" t="s">
        <v>547</v>
      </c>
      <c r="D15" s="4"/>
      <c r="E15" s="4" t="s">
        <v>35</v>
      </c>
      <c r="F15" s="9" t="s">
        <v>718</v>
      </c>
      <c r="G15" s="4" t="s">
        <v>548</v>
      </c>
      <c r="H15" s="22">
        <v>0.62</v>
      </c>
      <c r="I15" s="4">
        <v>144.44999999999999</v>
      </c>
      <c r="J15" s="22">
        <f t="shared" si="0"/>
        <v>72.224999999999994</v>
      </c>
      <c r="K15" s="22">
        <f t="shared" si="1"/>
        <v>216.67499999999998</v>
      </c>
      <c r="L15" s="22"/>
      <c r="M15" s="4"/>
      <c r="N15" s="4"/>
      <c r="P15" t="s">
        <v>698</v>
      </c>
    </row>
    <row r="16" spans="1:17">
      <c r="A16" s="7" t="s">
        <v>509</v>
      </c>
      <c r="B16" s="9" t="s">
        <v>809</v>
      </c>
      <c r="C16" s="4" t="s">
        <v>388</v>
      </c>
      <c r="D16" s="4">
        <v>1.79</v>
      </c>
      <c r="E16" s="4" t="s">
        <v>35</v>
      </c>
      <c r="F16" s="9" t="s">
        <v>719</v>
      </c>
      <c r="G16" s="4" t="s">
        <v>390</v>
      </c>
      <c r="H16" s="22">
        <v>0.4</v>
      </c>
      <c r="I16" s="4">
        <v>132.83000000000001</v>
      </c>
      <c r="J16" s="22">
        <f t="shared" si="0"/>
        <v>66.415000000000006</v>
      </c>
      <c r="K16" s="22">
        <f t="shared" si="1"/>
        <v>199.245</v>
      </c>
      <c r="L16" s="22"/>
      <c r="M16" s="4"/>
      <c r="N16" s="4"/>
      <c r="P16" t="s">
        <v>698</v>
      </c>
    </row>
    <row r="17" spans="1:19">
      <c r="A17" s="7"/>
      <c r="B17" s="9" t="s">
        <v>810</v>
      </c>
      <c r="C17" s="4" t="s">
        <v>389</v>
      </c>
      <c r="D17" s="4"/>
      <c r="E17" s="4" t="s">
        <v>35</v>
      </c>
      <c r="F17" s="9" t="s">
        <v>720</v>
      </c>
      <c r="G17" s="4" t="s">
        <v>390</v>
      </c>
      <c r="H17" s="22">
        <v>0.4</v>
      </c>
      <c r="I17" s="4">
        <v>74.290000000000006</v>
      </c>
      <c r="J17" s="22">
        <f t="shared" si="0"/>
        <v>37.145000000000003</v>
      </c>
      <c r="K17" s="22">
        <f t="shared" si="1"/>
        <v>111.435</v>
      </c>
      <c r="L17" s="22"/>
      <c r="M17" s="4"/>
      <c r="N17" s="4"/>
      <c r="P17" t="s">
        <v>698</v>
      </c>
    </row>
    <row r="18" spans="1:19">
      <c r="A18" s="7" t="s">
        <v>644</v>
      </c>
      <c r="B18" s="9" t="s">
        <v>802</v>
      </c>
      <c r="C18" s="9" t="s">
        <v>618</v>
      </c>
      <c r="D18" s="9">
        <v>1.79</v>
      </c>
      <c r="E18" s="4" t="s">
        <v>35</v>
      </c>
      <c r="F18" s="9" t="s">
        <v>472</v>
      </c>
      <c r="G18" s="4" t="s">
        <v>390</v>
      </c>
      <c r="H18" s="22">
        <v>0.4</v>
      </c>
      <c r="I18" s="9">
        <v>131.88</v>
      </c>
      <c r="J18" s="9">
        <v>93.87</v>
      </c>
      <c r="K18" s="9">
        <f t="shared" si="1"/>
        <v>225.75</v>
      </c>
      <c r="L18" s="9"/>
      <c r="O18" t="s">
        <v>474</v>
      </c>
      <c r="P18" s="5" t="s">
        <v>471</v>
      </c>
      <c r="R18" s="5"/>
      <c r="S18" s="5"/>
    </row>
    <row r="19" spans="1:19">
      <c r="A19" s="4"/>
      <c r="B19" s="9" t="s">
        <v>809</v>
      </c>
      <c r="C19" s="9" t="s">
        <v>476</v>
      </c>
      <c r="D19" s="9"/>
      <c r="E19" s="4" t="s">
        <v>35</v>
      </c>
      <c r="F19" s="9" t="s">
        <v>477</v>
      </c>
      <c r="G19" s="4" t="s">
        <v>390</v>
      </c>
      <c r="H19" s="22">
        <v>0.4</v>
      </c>
      <c r="I19" s="9">
        <v>190.89</v>
      </c>
      <c r="J19" s="9">
        <v>135.66</v>
      </c>
      <c r="K19" s="9">
        <f t="shared" si="1"/>
        <v>326.54999999999995</v>
      </c>
      <c r="L19" s="9"/>
      <c r="O19" t="s">
        <v>483</v>
      </c>
      <c r="P19" s="5"/>
      <c r="R19" s="5"/>
      <c r="S19" s="5"/>
    </row>
    <row r="20" spans="1:19">
      <c r="A20" s="4"/>
      <c r="B20" s="9" t="s">
        <v>810</v>
      </c>
      <c r="C20" s="9" t="s">
        <v>475</v>
      </c>
      <c r="D20" s="9"/>
      <c r="E20" s="4" t="s">
        <v>35</v>
      </c>
      <c r="F20" s="9" t="s">
        <v>478</v>
      </c>
      <c r="G20" s="4" t="s">
        <v>390</v>
      </c>
      <c r="H20" s="22">
        <v>0.4</v>
      </c>
      <c r="I20" s="9">
        <v>106.68</v>
      </c>
      <c r="J20" s="9">
        <v>75.81</v>
      </c>
      <c r="K20" s="9">
        <f t="shared" si="1"/>
        <v>182.49</v>
      </c>
      <c r="L20" s="9"/>
      <c r="O20" t="s">
        <v>483</v>
      </c>
      <c r="P20" s="5"/>
      <c r="R20" s="5"/>
      <c r="S20" s="5"/>
    </row>
    <row r="21" spans="1:19">
      <c r="A21" s="7" t="s">
        <v>646</v>
      </c>
      <c r="B21" s="9" t="s">
        <v>802</v>
      </c>
      <c r="C21" s="9" t="s">
        <v>619</v>
      </c>
      <c r="D21" s="9">
        <v>1.79</v>
      </c>
      <c r="E21" s="4" t="s">
        <v>35</v>
      </c>
      <c r="F21" s="9" t="s">
        <v>473</v>
      </c>
      <c r="G21" s="4" t="s">
        <v>390</v>
      </c>
      <c r="H21" s="22">
        <v>0.4</v>
      </c>
      <c r="I21" s="9">
        <v>86.52</v>
      </c>
      <c r="J21" s="9">
        <v>86.52</v>
      </c>
      <c r="K21" s="9">
        <f t="shared" si="1"/>
        <v>173.04</v>
      </c>
      <c r="L21" s="9"/>
      <c r="O21" t="s">
        <v>474</v>
      </c>
      <c r="P21" s="5" t="s">
        <v>471</v>
      </c>
      <c r="R21" s="5"/>
      <c r="S21" s="5"/>
    </row>
    <row r="22" spans="1:19">
      <c r="A22" s="4"/>
      <c r="B22" s="9" t="s">
        <v>809</v>
      </c>
      <c r="C22" s="9" t="s">
        <v>480</v>
      </c>
      <c r="D22" s="6"/>
      <c r="E22" s="4" t="s">
        <v>35</v>
      </c>
      <c r="F22" s="9" t="s">
        <v>481</v>
      </c>
      <c r="G22" s="4" t="s">
        <v>390</v>
      </c>
      <c r="H22" s="22">
        <v>0.4</v>
      </c>
      <c r="I22" s="9">
        <v>125.16</v>
      </c>
      <c r="J22" s="9">
        <v>89.04</v>
      </c>
      <c r="K22" s="27">
        <f t="shared" si="1"/>
        <v>214.2</v>
      </c>
      <c r="L22" s="27"/>
      <c r="O22" t="s">
        <v>483</v>
      </c>
      <c r="P22" s="5"/>
      <c r="R22" s="5"/>
      <c r="S22" s="5"/>
    </row>
    <row r="23" spans="1:19">
      <c r="A23" s="4"/>
      <c r="B23" s="9" t="s">
        <v>810</v>
      </c>
      <c r="C23" s="9" t="s">
        <v>479</v>
      </c>
      <c r="D23" s="6"/>
      <c r="E23" s="4" t="s">
        <v>35</v>
      </c>
      <c r="F23" s="9" t="s">
        <v>482</v>
      </c>
      <c r="G23" s="4" t="s">
        <v>390</v>
      </c>
      <c r="H23" s="22">
        <v>0.4</v>
      </c>
      <c r="I23" s="9">
        <v>69.930000000000007</v>
      </c>
      <c r="J23" s="9">
        <v>49.77</v>
      </c>
      <c r="K23" s="27">
        <f t="shared" si="1"/>
        <v>119.70000000000002</v>
      </c>
      <c r="L23" s="27"/>
      <c r="O23" t="s">
        <v>483</v>
      </c>
      <c r="P23" s="5"/>
      <c r="R23" s="5"/>
      <c r="S23" s="5"/>
    </row>
    <row r="24" spans="1:19">
      <c r="A24" s="4" t="s">
        <v>496</v>
      </c>
      <c r="B24" s="9" t="s">
        <v>809</v>
      </c>
      <c r="C24" s="9"/>
      <c r="D24" s="6"/>
      <c r="E24" s="4"/>
      <c r="F24" s="9"/>
      <c r="G24" s="4"/>
      <c r="H24" s="22">
        <v>0.41</v>
      </c>
      <c r="I24" s="9"/>
      <c r="J24" s="9"/>
      <c r="K24" s="27">
        <v>255.48</v>
      </c>
      <c r="L24" s="49">
        <v>348.83</v>
      </c>
      <c r="M24" s="50">
        <f>(1-H24)*L24</f>
        <v>205.80970000000002</v>
      </c>
      <c r="N24" s="50">
        <f>M24+K24</f>
        <v>461.28970000000004</v>
      </c>
      <c r="P24" s="5"/>
      <c r="R24" s="5"/>
      <c r="S24" s="5"/>
    </row>
    <row r="25" spans="1:19">
      <c r="A25" s="4"/>
      <c r="B25" s="9" t="s">
        <v>810</v>
      </c>
      <c r="C25" s="9"/>
      <c r="D25" s="6"/>
      <c r="E25" s="4"/>
      <c r="F25" s="9"/>
      <c r="G25" s="4"/>
      <c r="H25" s="22">
        <v>0.41</v>
      </c>
      <c r="I25" s="9"/>
      <c r="J25" s="9"/>
      <c r="K25" s="27">
        <v>126.05</v>
      </c>
      <c r="L25" s="27">
        <v>169.17</v>
      </c>
      <c r="M25" s="24">
        <f>(1-H25)*L25</f>
        <v>99.810300000000012</v>
      </c>
      <c r="N25" s="24">
        <f>M25+K25</f>
        <v>225.8603</v>
      </c>
      <c r="P25" s="5"/>
      <c r="R25" s="5"/>
      <c r="S25" s="5"/>
    </row>
    <row r="26" spans="1:19">
      <c r="A26" s="1" t="s">
        <v>66</v>
      </c>
      <c r="B26" s="7"/>
      <c r="C26" s="4"/>
      <c r="D26" s="4"/>
      <c r="E26" s="4"/>
      <c r="F26" s="9"/>
      <c r="G26" s="4"/>
      <c r="H26" s="22"/>
      <c r="I26" s="4"/>
      <c r="J26" s="22"/>
      <c r="K26" s="22"/>
      <c r="L26" s="22"/>
      <c r="M26" s="4"/>
      <c r="N26" s="4"/>
    </row>
    <row r="27" spans="1:19">
      <c r="A27" s="7" t="s">
        <v>665</v>
      </c>
      <c r="B27" s="9" t="s">
        <v>802</v>
      </c>
      <c r="C27" s="4"/>
      <c r="D27" s="4"/>
      <c r="E27" s="4"/>
      <c r="F27" s="9"/>
      <c r="G27" s="4" t="s">
        <v>813</v>
      </c>
      <c r="H27" s="22">
        <v>0.63</v>
      </c>
      <c r="I27" s="4"/>
      <c r="J27" s="22"/>
      <c r="K27" s="22"/>
      <c r="L27" s="22"/>
      <c r="M27" s="4"/>
      <c r="N27" s="4"/>
      <c r="P27" t="s">
        <v>698</v>
      </c>
    </row>
    <row r="28" spans="1:19">
      <c r="A28" s="7" t="s">
        <v>649</v>
      </c>
      <c r="B28" s="9" t="s">
        <v>809</v>
      </c>
      <c r="C28" s="4" t="s">
        <v>391</v>
      </c>
      <c r="D28" s="22">
        <v>1.7</v>
      </c>
      <c r="E28" s="4" t="s">
        <v>35</v>
      </c>
      <c r="F28" s="9" t="s">
        <v>721</v>
      </c>
      <c r="G28" s="4" t="s">
        <v>393</v>
      </c>
      <c r="H28" s="22">
        <v>0.77</v>
      </c>
      <c r="I28" s="22">
        <v>398</v>
      </c>
      <c r="J28" s="22">
        <f>I28*0.5</f>
        <v>199</v>
      </c>
      <c r="K28" s="22">
        <f t="shared" si="1"/>
        <v>597</v>
      </c>
      <c r="L28" s="22"/>
      <c r="M28" s="4"/>
      <c r="N28" s="4"/>
      <c r="P28" t="s">
        <v>698</v>
      </c>
    </row>
    <row r="29" spans="1:19">
      <c r="A29" s="9"/>
      <c r="B29" s="9" t="s">
        <v>810</v>
      </c>
      <c r="C29" s="4" t="s">
        <v>392</v>
      </c>
      <c r="D29" s="4"/>
      <c r="E29" s="4" t="s">
        <v>35</v>
      </c>
      <c r="F29" s="9" t="s">
        <v>722</v>
      </c>
      <c r="G29" s="4" t="s">
        <v>393</v>
      </c>
      <c r="H29" s="22">
        <v>0.77</v>
      </c>
      <c r="I29" s="22">
        <v>234</v>
      </c>
      <c r="J29" s="22">
        <f>I29*0.5</f>
        <v>117</v>
      </c>
      <c r="K29" s="22">
        <f t="shared" si="1"/>
        <v>351</v>
      </c>
      <c r="L29" s="22"/>
      <c r="M29" s="4"/>
      <c r="N29" s="4"/>
      <c r="P29" t="s">
        <v>698</v>
      </c>
    </row>
    <row r="30" spans="1:19">
      <c r="A30" s="4" t="s">
        <v>496</v>
      </c>
      <c r="B30" s="9" t="s">
        <v>809</v>
      </c>
      <c r="C30" s="9"/>
      <c r="D30" s="6"/>
      <c r="E30" s="4"/>
      <c r="F30" s="9"/>
      <c r="G30" s="4"/>
      <c r="H30" s="22">
        <v>0.7</v>
      </c>
      <c r="I30" s="9"/>
      <c r="J30" s="9"/>
      <c r="K30" s="22">
        <v>597</v>
      </c>
      <c r="L30" s="49">
        <v>342.11</v>
      </c>
      <c r="M30" s="50">
        <f>(1-H30)*L30</f>
        <v>102.63300000000002</v>
      </c>
      <c r="N30" s="50">
        <f>M30+K30</f>
        <v>699.63300000000004</v>
      </c>
      <c r="P30" s="5"/>
      <c r="R30" s="5"/>
      <c r="S30" s="5"/>
    </row>
    <row r="31" spans="1:19">
      <c r="A31" s="4"/>
      <c r="B31" s="9" t="s">
        <v>810</v>
      </c>
      <c r="C31" s="9"/>
      <c r="D31" s="6"/>
      <c r="E31" s="4"/>
      <c r="F31" s="9"/>
      <c r="G31" s="4"/>
      <c r="H31" s="22">
        <v>0.7</v>
      </c>
      <c r="I31" s="9"/>
      <c r="J31" s="9"/>
      <c r="K31" s="22">
        <v>351</v>
      </c>
      <c r="L31" s="27">
        <v>133.71</v>
      </c>
      <c r="M31" s="24">
        <f>(1-H31)*L31</f>
        <v>40.113000000000007</v>
      </c>
      <c r="N31" s="24">
        <f>M31+K31</f>
        <v>391.113</v>
      </c>
      <c r="P31" s="5"/>
      <c r="R31" s="5"/>
      <c r="S31" s="5"/>
    </row>
    <row r="32" spans="1:19">
      <c r="A32" s="1" t="s">
        <v>67</v>
      </c>
      <c r="B32" s="7"/>
      <c r="C32" s="4"/>
      <c r="D32" s="4"/>
      <c r="E32" s="4"/>
      <c r="F32" s="9"/>
      <c r="G32" s="4"/>
      <c r="H32" s="22"/>
      <c r="I32" s="4"/>
      <c r="J32" s="22"/>
      <c r="K32" s="22"/>
      <c r="L32" s="22"/>
      <c r="M32" s="4"/>
      <c r="N32" s="4"/>
    </row>
    <row r="33" spans="1:19">
      <c r="A33" s="7" t="s">
        <v>653</v>
      </c>
      <c r="B33" s="9" t="s">
        <v>809</v>
      </c>
      <c r="C33" s="4" t="s">
        <v>814</v>
      </c>
      <c r="D33" s="4">
        <v>1.52</v>
      </c>
      <c r="E33" s="4" t="s">
        <v>35</v>
      </c>
      <c r="F33" s="9" t="s">
        <v>723</v>
      </c>
      <c r="G33" s="4" t="s">
        <v>411</v>
      </c>
      <c r="H33" s="22">
        <v>0.28000000000000003</v>
      </c>
      <c r="I33" s="4">
        <v>202.58</v>
      </c>
      <c r="J33" s="22">
        <f t="shared" ref="J33:J43" si="2">I33*0.5</f>
        <v>101.29</v>
      </c>
      <c r="K33" s="22">
        <f t="shared" si="1"/>
        <v>303.87</v>
      </c>
      <c r="L33" s="22"/>
      <c r="M33" s="4"/>
      <c r="N33" s="4"/>
      <c r="P33" t="s">
        <v>698</v>
      </c>
    </row>
    <row r="34" spans="1:19">
      <c r="A34" s="1"/>
      <c r="B34" s="9" t="s">
        <v>810</v>
      </c>
      <c r="C34" s="4" t="s">
        <v>815</v>
      </c>
      <c r="D34" s="4"/>
      <c r="E34" s="4" t="s">
        <v>35</v>
      </c>
      <c r="F34" s="9" t="s">
        <v>724</v>
      </c>
      <c r="G34" s="4" t="s">
        <v>411</v>
      </c>
      <c r="H34" s="22">
        <v>0.28000000000000003</v>
      </c>
      <c r="I34" s="4">
        <v>133.05000000000001</v>
      </c>
      <c r="J34" s="22">
        <f t="shared" si="2"/>
        <v>66.525000000000006</v>
      </c>
      <c r="K34" s="22">
        <f t="shared" si="1"/>
        <v>199.57500000000002</v>
      </c>
      <c r="L34" s="22"/>
      <c r="M34" s="4"/>
      <c r="N34" s="4"/>
      <c r="P34" t="s">
        <v>698</v>
      </c>
    </row>
    <row r="35" spans="1:19">
      <c r="A35" s="7" t="s">
        <v>652</v>
      </c>
      <c r="B35" s="9" t="s">
        <v>809</v>
      </c>
      <c r="C35" s="4" t="s">
        <v>820</v>
      </c>
      <c r="D35" s="4">
        <v>1.31</v>
      </c>
      <c r="E35" s="4" t="s">
        <v>35</v>
      </c>
      <c r="F35" s="9" t="s">
        <v>725</v>
      </c>
      <c r="G35" s="4" t="s">
        <v>822</v>
      </c>
      <c r="H35" s="22">
        <v>0.21</v>
      </c>
      <c r="I35" s="4">
        <v>87.01</v>
      </c>
      <c r="J35" s="22">
        <f t="shared" si="2"/>
        <v>43.505000000000003</v>
      </c>
      <c r="K35" s="22">
        <f t="shared" si="1"/>
        <v>130.51500000000001</v>
      </c>
      <c r="L35" s="22"/>
      <c r="M35" s="4"/>
      <c r="N35" s="4"/>
      <c r="P35" t="s">
        <v>698</v>
      </c>
    </row>
    <row r="36" spans="1:19">
      <c r="A36" s="1"/>
      <c r="B36" s="9" t="s">
        <v>810</v>
      </c>
      <c r="C36" s="4" t="s">
        <v>821</v>
      </c>
      <c r="D36" s="4"/>
      <c r="E36" s="4" t="s">
        <v>35</v>
      </c>
      <c r="F36" s="9" t="s">
        <v>838</v>
      </c>
      <c r="G36" s="4" t="s">
        <v>822</v>
      </c>
      <c r="H36" s="22">
        <v>0.21</v>
      </c>
      <c r="I36" s="4">
        <v>66.22</v>
      </c>
      <c r="J36" s="22">
        <f t="shared" si="2"/>
        <v>33.11</v>
      </c>
      <c r="K36" s="22">
        <f t="shared" si="1"/>
        <v>99.33</v>
      </c>
      <c r="L36" s="22"/>
      <c r="M36" s="4"/>
      <c r="N36" s="4"/>
      <c r="P36" t="s">
        <v>698</v>
      </c>
    </row>
    <row r="37" spans="1:19">
      <c r="A37" s="7" t="s">
        <v>654</v>
      </c>
      <c r="B37" s="9" t="s">
        <v>802</v>
      </c>
      <c r="C37" s="4" t="s">
        <v>549</v>
      </c>
      <c r="D37" s="4" t="s">
        <v>415</v>
      </c>
      <c r="E37" s="4" t="s">
        <v>35</v>
      </c>
      <c r="F37" s="9" t="s">
        <v>839</v>
      </c>
      <c r="G37" s="4"/>
      <c r="H37" s="22"/>
      <c r="I37" s="4">
        <v>58.84</v>
      </c>
      <c r="J37" s="22">
        <f t="shared" si="2"/>
        <v>29.42</v>
      </c>
      <c r="K37" s="22">
        <f t="shared" si="1"/>
        <v>88.26</v>
      </c>
      <c r="L37" s="22"/>
      <c r="M37" s="4"/>
      <c r="N37" s="4"/>
      <c r="O37" t="s">
        <v>416</v>
      </c>
      <c r="P37" t="s">
        <v>698</v>
      </c>
    </row>
    <row r="38" spans="1:19">
      <c r="A38" s="7"/>
      <c r="B38" s="9" t="s">
        <v>809</v>
      </c>
      <c r="C38" s="4" t="s">
        <v>418</v>
      </c>
      <c r="D38" s="4"/>
      <c r="E38" s="4" t="s">
        <v>35</v>
      </c>
      <c r="F38" s="9" t="s">
        <v>840</v>
      </c>
      <c r="G38" s="4"/>
      <c r="H38" s="22">
        <v>0.28000000000000003</v>
      </c>
      <c r="I38" s="4">
        <v>94.16</v>
      </c>
      <c r="J38" s="22">
        <f t="shared" si="2"/>
        <v>47.08</v>
      </c>
      <c r="K38" s="22">
        <f t="shared" si="1"/>
        <v>141.24</v>
      </c>
      <c r="L38" s="22"/>
      <c r="M38" s="4"/>
      <c r="N38" s="4"/>
      <c r="O38" t="s">
        <v>487</v>
      </c>
    </row>
    <row r="39" spans="1:19">
      <c r="A39" s="7"/>
      <c r="B39" s="9" t="s">
        <v>810</v>
      </c>
      <c r="C39" s="4" t="s">
        <v>417</v>
      </c>
      <c r="D39" s="4"/>
      <c r="E39" s="4" t="s">
        <v>35</v>
      </c>
      <c r="F39" s="9" t="s">
        <v>841</v>
      </c>
      <c r="G39" s="4"/>
      <c r="H39" s="22">
        <v>0.28000000000000003</v>
      </c>
      <c r="I39" s="4">
        <v>94.16</v>
      </c>
      <c r="J39" s="22">
        <f t="shared" si="2"/>
        <v>47.08</v>
      </c>
      <c r="K39" s="22">
        <f t="shared" si="1"/>
        <v>141.24</v>
      </c>
      <c r="L39" s="22"/>
      <c r="M39" s="4"/>
      <c r="N39" s="4"/>
    </row>
    <row r="40" spans="1:19">
      <c r="A40" s="7" t="s">
        <v>651</v>
      </c>
      <c r="B40" s="9" t="s">
        <v>400</v>
      </c>
      <c r="C40" s="4" t="s">
        <v>397</v>
      </c>
      <c r="D40" s="4">
        <v>1.71</v>
      </c>
      <c r="E40" s="4" t="s">
        <v>35</v>
      </c>
      <c r="F40" s="9" t="s">
        <v>842</v>
      </c>
      <c r="G40" s="4" t="s">
        <v>399</v>
      </c>
      <c r="H40" s="22">
        <v>0.52</v>
      </c>
      <c r="I40" s="4">
        <v>177.48</v>
      </c>
      <c r="J40" s="22">
        <f t="shared" si="2"/>
        <v>88.74</v>
      </c>
      <c r="K40" s="22">
        <f t="shared" si="1"/>
        <v>266.21999999999997</v>
      </c>
      <c r="L40" s="22"/>
      <c r="M40" s="4"/>
      <c r="N40" s="4"/>
      <c r="P40" t="s">
        <v>698</v>
      </c>
    </row>
    <row r="41" spans="1:19">
      <c r="A41" s="7"/>
      <c r="B41" s="9" t="s">
        <v>401</v>
      </c>
      <c r="C41" s="4" t="s">
        <v>398</v>
      </c>
      <c r="D41" s="4"/>
      <c r="E41" s="4" t="s">
        <v>35</v>
      </c>
      <c r="F41" s="9" t="s">
        <v>843</v>
      </c>
      <c r="G41" s="4" t="s">
        <v>399</v>
      </c>
      <c r="H41" s="22">
        <v>0.52</v>
      </c>
      <c r="I41" s="22">
        <v>101</v>
      </c>
      <c r="J41" s="22">
        <f t="shared" si="2"/>
        <v>50.5</v>
      </c>
      <c r="K41" s="22">
        <f t="shared" si="1"/>
        <v>151.5</v>
      </c>
      <c r="L41" s="22"/>
      <c r="M41" s="4"/>
      <c r="N41" s="4"/>
      <c r="P41" t="s">
        <v>698</v>
      </c>
    </row>
    <row r="42" spans="1:19">
      <c r="A42" s="7"/>
      <c r="B42" s="9" t="s">
        <v>402</v>
      </c>
      <c r="C42" s="4" t="s">
        <v>404</v>
      </c>
      <c r="D42" s="4">
        <v>1.97</v>
      </c>
      <c r="E42" s="4" t="s">
        <v>76</v>
      </c>
      <c r="F42" s="9"/>
      <c r="G42" s="4" t="s">
        <v>406</v>
      </c>
      <c r="H42" s="22">
        <v>0.73</v>
      </c>
      <c r="I42" s="22">
        <v>578.72</v>
      </c>
      <c r="J42" s="22">
        <f t="shared" si="2"/>
        <v>289.36</v>
      </c>
      <c r="K42" s="22">
        <f t="shared" si="1"/>
        <v>868.08</v>
      </c>
      <c r="L42" s="22"/>
      <c r="M42" s="4"/>
      <c r="N42" s="4"/>
      <c r="P42" t="s">
        <v>698</v>
      </c>
    </row>
    <row r="43" spans="1:19">
      <c r="A43" s="7"/>
      <c r="B43" s="9" t="s">
        <v>403</v>
      </c>
      <c r="C43" s="4" t="s">
        <v>405</v>
      </c>
      <c r="D43" s="4"/>
      <c r="E43" s="4" t="s">
        <v>76</v>
      </c>
      <c r="F43" s="9"/>
      <c r="G43" s="4" t="s">
        <v>406</v>
      </c>
      <c r="H43" s="22">
        <v>0.73</v>
      </c>
      <c r="I43" s="22">
        <v>294.5</v>
      </c>
      <c r="J43" s="22">
        <f t="shared" si="2"/>
        <v>147.25</v>
      </c>
      <c r="K43" s="22">
        <f t="shared" si="1"/>
        <v>441.75</v>
      </c>
      <c r="L43" s="22"/>
      <c r="M43" s="4"/>
      <c r="N43" s="4"/>
      <c r="P43" t="s">
        <v>698</v>
      </c>
    </row>
    <row r="44" spans="1:19">
      <c r="A44" s="4" t="s">
        <v>496</v>
      </c>
      <c r="B44" s="9" t="s">
        <v>809</v>
      </c>
      <c r="C44" s="9"/>
      <c r="D44" s="6"/>
      <c r="E44" s="4"/>
      <c r="F44" s="9"/>
      <c r="G44" s="4"/>
      <c r="H44" s="22">
        <v>0.32</v>
      </c>
      <c r="I44" s="9"/>
      <c r="J44" s="9"/>
      <c r="K44" s="27">
        <v>210.46</v>
      </c>
      <c r="L44" s="48">
        <v>305.04000000000002</v>
      </c>
      <c r="M44" s="50">
        <f t="shared" ref="M44:M45" si="3">(1-H44)*L44</f>
        <v>207.4272</v>
      </c>
      <c r="N44" s="50">
        <f>M44+K44</f>
        <v>417.88720000000001</v>
      </c>
      <c r="P44" s="5"/>
      <c r="R44" s="5"/>
      <c r="S44" s="5"/>
    </row>
    <row r="45" spans="1:19">
      <c r="A45" s="4"/>
      <c r="B45" s="9" t="s">
        <v>810</v>
      </c>
      <c r="C45" s="9"/>
      <c r="D45" s="6"/>
      <c r="E45" s="4"/>
      <c r="F45" s="9"/>
      <c r="G45" s="4"/>
      <c r="H45" s="22">
        <v>0.32</v>
      </c>
      <c r="I45" s="9"/>
      <c r="J45" s="9"/>
      <c r="K45" s="27">
        <v>147.91</v>
      </c>
      <c r="L45" s="48">
        <v>143.28</v>
      </c>
      <c r="M45" s="50">
        <f t="shared" si="3"/>
        <v>97.430399999999992</v>
      </c>
      <c r="N45" s="50">
        <f>M45+K45</f>
        <v>245.34039999999999</v>
      </c>
      <c r="P45" s="5"/>
      <c r="R45" s="5"/>
      <c r="S45" s="5"/>
    </row>
    <row r="46" spans="1:19">
      <c r="A46" s="1" t="s">
        <v>68</v>
      </c>
      <c r="B46" s="7"/>
      <c r="C46" s="4"/>
      <c r="D46" s="4"/>
      <c r="E46" s="4"/>
      <c r="F46" s="9"/>
      <c r="G46" s="4"/>
      <c r="H46" s="22"/>
      <c r="I46" s="4"/>
      <c r="J46" s="22"/>
      <c r="K46" s="22"/>
      <c r="L46" s="22"/>
      <c r="M46" s="4"/>
      <c r="N46" s="4"/>
    </row>
    <row r="47" spans="1:19">
      <c r="A47" s="7" t="s">
        <v>657</v>
      </c>
      <c r="B47" s="9" t="s">
        <v>802</v>
      </c>
      <c r="C47" s="4" t="s">
        <v>701</v>
      </c>
      <c r="D47" s="4" t="s">
        <v>415</v>
      </c>
      <c r="E47" s="4" t="s">
        <v>35</v>
      </c>
      <c r="F47" s="9" t="s">
        <v>844</v>
      </c>
      <c r="G47" s="4"/>
      <c r="H47" s="22"/>
      <c r="I47" s="4">
        <v>66.14</v>
      </c>
      <c r="J47" s="22">
        <f>I47*0.5</f>
        <v>33.07</v>
      </c>
      <c r="K47" s="22">
        <f t="shared" si="1"/>
        <v>99.210000000000008</v>
      </c>
      <c r="L47" s="22"/>
      <c r="M47" s="4"/>
      <c r="N47" s="4"/>
      <c r="P47" t="s">
        <v>698</v>
      </c>
    </row>
    <row r="48" spans="1:19">
      <c r="A48" s="7"/>
      <c r="B48" s="9" t="s">
        <v>809</v>
      </c>
      <c r="C48" s="4" t="s">
        <v>421</v>
      </c>
      <c r="D48" s="4"/>
      <c r="E48" s="4" t="s">
        <v>35</v>
      </c>
      <c r="F48" s="9" t="s">
        <v>845</v>
      </c>
      <c r="G48" s="4"/>
      <c r="H48" s="22">
        <v>0.28000000000000003</v>
      </c>
      <c r="I48" s="4">
        <v>89.59</v>
      </c>
      <c r="J48" s="22">
        <f>I48*0.5</f>
        <v>44.795000000000002</v>
      </c>
      <c r="K48" s="22">
        <f t="shared" si="1"/>
        <v>134.38499999999999</v>
      </c>
      <c r="L48" s="22"/>
      <c r="M48" s="4"/>
      <c r="N48" s="4"/>
      <c r="O48" t="s">
        <v>419</v>
      </c>
    </row>
    <row r="49" spans="1:19">
      <c r="A49" s="7"/>
      <c r="B49" s="9" t="s">
        <v>810</v>
      </c>
      <c r="C49" s="4" t="s">
        <v>420</v>
      </c>
      <c r="D49" s="4"/>
      <c r="E49" s="4" t="s">
        <v>35</v>
      </c>
      <c r="F49" s="9" t="s">
        <v>846</v>
      </c>
      <c r="G49" s="4"/>
      <c r="H49" s="22">
        <v>0.28000000000000003</v>
      </c>
      <c r="I49" s="4">
        <v>49.77</v>
      </c>
      <c r="J49" s="22">
        <f>I49*0.5</f>
        <v>24.885000000000002</v>
      </c>
      <c r="K49" s="22">
        <f t="shared" si="1"/>
        <v>74.655000000000001</v>
      </c>
      <c r="L49" s="22"/>
      <c r="M49" s="4"/>
      <c r="N49" s="4"/>
      <c r="O49" t="s">
        <v>487</v>
      </c>
    </row>
    <row r="50" spans="1:19">
      <c r="A50" s="4" t="s">
        <v>496</v>
      </c>
      <c r="B50" s="9" t="s">
        <v>809</v>
      </c>
      <c r="C50" s="9"/>
      <c r="D50" s="6"/>
      <c r="E50" s="4"/>
      <c r="F50" s="9"/>
      <c r="G50" s="4"/>
      <c r="H50" s="22">
        <v>0.28000000000000003</v>
      </c>
      <c r="I50" s="9"/>
      <c r="J50" s="9"/>
      <c r="K50" s="27">
        <v>134.38499999999999</v>
      </c>
      <c r="L50" s="49">
        <v>299.10000000000002</v>
      </c>
      <c r="M50" s="50">
        <f>(1-H50)*L50</f>
        <v>215.352</v>
      </c>
      <c r="N50" s="50">
        <f>M50+K50</f>
        <v>349.73699999999997</v>
      </c>
      <c r="P50" s="5"/>
      <c r="R50" s="5"/>
      <c r="S50" s="5"/>
    </row>
    <row r="51" spans="1:19">
      <c r="A51" s="4"/>
      <c r="B51" s="9" t="s">
        <v>810</v>
      </c>
      <c r="C51" s="9"/>
      <c r="D51" s="6"/>
      <c r="E51" s="4"/>
      <c r="F51" s="9"/>
      <c r="G51" s="4"/>
      <c r="H51" s="22">
        <v>0.28000000000000003</v>
      </c>
      <c r="I51" s="9"/>
      <c r="J51" s="9"/>
      <c r="K51" s="27">
        <v>74.655000000000001</v>
      </c>
      <c r="L51" s="49">
        <v>149.99</v>
      </c>
      <c r="M51" s="50">
        <f>(1-H51)*L51</f>
        <v>107.9928</v>
      </c>
      <c r="N51" s="50">
        <f>M51+K51</f>
        <v>182.64780000000002</v>
      </c>
      <c r="P51" s="5"/>
      <c r="R51" s="5"/>
      <c r="S51" s="5"/>
    </row>
    <row r="52" spans="1:19">
      <c r="A52" s="1" t="s">
        <v>70</v>
      </c>
      <c r="B52" s="9"/>
      <c r="C52" s="4"/>
      <c r="D52" s="4"/>
      <c r="E52" s="4"/>
      <c r="F52" s="9"/>
      <c r="G52" s="4"/>
      <c r="H52" s="22"/>
      <c r="I52" s="4"/>
      <c r="J52" s="22"/>
      <c r="K52" s="22"/>
      <c r="L52" s="22"/>
      <c r="M52" s="4"/>
      <c r="N52" s="4"/>
    </row>
    <row r="53" spans="1:19">
      <c r="A53" s="7" t="s">
        <v>394</v>
      </c>
      <c r="B53" s="9" t="s">
        <v>802</v>
      </c>
      <c r="C53" s="4" t="s">
        <v>395</v>
      </c>
      <c r="D53" s="4" t="s">
        <v>415</v>
      </c>
      <c r="E53" s="4" t="s">
        <v>35</v>
      </c>
      <c r="F53" s="9" t="s">
        <v>847</v>
      </c>
      <c r="G53" s="4" t="s">
        <v>396</v>
      </c>
      <c r="H53" s="22">
        <v>0.33</v>
      </c>
      <c r="I53" s="22">
        <v>92</v>
      </c>
      <c r="J53" s="22">
        <f>I53*0.5</f>
        <v>46</v>
      </c>
      <c r="K53" s="22">
        <f t="shared" si="1"/>
        <v>138</v>
      </c>
      <c r="L53" s="22"/>
      <c r="M53" s="4"/>
      <c r="N53" s="4"/>
      <c r="O53" t="s">
        <v>422</v>
      </c>
      <c r="P53" t="s">
        <v>698</v>
      </c>
    </row>
    <row r="54" spans="1:19">
      <c r="A54" s="1"/>
      <c r="B54" s="9" t="s">
        <v>809</v>
      </c>
      <c r="C54" s="4" t="s">
        <v>397</v>
      </c>
      <c r="D54" s="4"/>
      <c r="E54" s="4" t="s">
        <v>35</v>
      </c>
      <c r="F54" s="9" t="s">
        <v>842</v>
      </c>
      <c r="G54" s="4"/>
      <c r="H54" s="22">
        <v>0.33</v>
      </c>
      <c r="I54" s="4">
        <v>111.29</v>
      </c>
      <c r="J54" s="22">
        <f>I54*0.5</f>
        <v>55.645000000000003</v>
      </c>
      <c r="K54" s="22">
        <f>I54+J54</f>
        <v>166.935</v>
      </c>
      <c r="L54" s="22"/>
      <c r="M54" s="4"/>
      <c r="N54" s="4"/>
    </row>
    <row r="55" spans="1:19">
      <c r="A55" s="7"/>
      <c r="B55" s="9" t="s">
        <v>810</v>
      </c>
      <c r="C55" s="4" t="s">
        <v>423</v>
      </c>
      <c r="D55" s="4"/>
      <c r="E55" s="4" t="s">
        <v>35</v>
      </c>
      <c r="F55" s="9" t="s">
        <v>848</v>
      </c>
      <c r="G55" s="4"/>
      <c r="H55" s="22">
        <v>0.33</v>
      </c>
      <c r="I55" s="4">
        <v>61.84</v>
      </c>
      <c r="J55" s="22">
        <f>I55*0.5</f>
        <v>30.92</v>
      </c>
      <c r="K55" s="22">
        <f>I55+J55</f>
        <v>92.76</v>
      </c>
      <c r="L55" s="22"/>
      <c r="M55" s="4"/>
      <c r="N55" s="4"/>
    </row>
    <row r="56" spans="1:19">
      <c r="A56" s="4" t="s">
        <v>496</v>
      </c>
      <c r="B56" s="9" t="s">
        <v>809</v>
      </c>
      <c r="C56" s="9"/>
      <c r="D56" s="6"/>
      <c r="E56" s="4"/>
      <c r="F56" s="9"/>
      <c r="G56" s="4"/>
      <c r="H56" s="22">
        <v>0.33</v>
      </c>
      <c r="I56" s="9"/>
      <c r="J56" s="9"/>
      <c r="K56" s="22">
        <v>166.935</v>
      </c>
      <c r="L56" s="49">
        <v>243.45</v>
      </c>
      <c r="M56" s="50">
        <f>(1-H56)*L56</f>
        <v>163.11149999999998</v>
      </c>
      <c r="N56" s="50">
        <f>M56+K56</f>
        <v>330.04649999999998</v>
      </c>
      <c r="P56" s="5"/>
      <c r="R56" s="5"/>
      <c r="S56" s="5"/>
    </row>
    <row r="57" spans="1:19">
      <c r="A57" s="4"/>
      <c r="B57" s="9" t="s">
        <v>810</v>
      </c>
      <c r="C57" s="9"/>
      <c r="D57" s="6"/>
      <c r="E57" s="4"/>
      <c r="F57" s="9"/>
      <c r="G57" s="4"/>
      <c r="H57" s="22">
        <v>0.33</v>
      </c>
      <c r="I57" s="9"/>
      <c r="J57" s="9"/>
      <c r="K57" s="22">
        <v>92.76</v>
      </c>
      <c r="L57" s="49">
        <v>128.43</v>
      </c>
      <c r="M57" s="50">
        <f>(1-H57)*L57</f>
        <v>86.048099999999991</v>
      </c>
      <c r="N57" s="50">
        <f>M57+K57</f>
        <v>178.8081</v>
      </c>
      <c r="P57" s="5"/>
      <c r="R57" s="5"/>
      <c r="S57" s="5"/>
    </row>
    <row r="58" spans="1:19">
      <c r="A58" s="8" t="s">
        <v>69</v>
      </c>
      <c r="B58" s="9" t="s">
        <v>488</v>
      </c>
      <c r="C58" s="4"/>
      <c r="D58" s="4"/>
      <c r="E58" s="4"/>
      <c r="F58" s="9"/>
      <c r="G58" s="4"/>
      <c r="H58" s="22"/>
      <c r="I58" s="4"/>
      <c r="J58" s="22"/>
      <c r="K58" s="22"/>
      <c r="L58" s="22"/>
      <c r="M58" s="4"/>
      <c r="N58" s="4"/>
    </row>
    <row r="59" spans="1:19">
      <c r="A59" s="4" t="s">
        <v>496</v>
      </c>
      <c r="B59" s="9" t="s">
        <v>809</v>
      </c>
      <c r="C59" s="9"/>
      <c r="D59" s="6"/>
      <c r="E59" s="4"/>
      <c r="F59" s="9"/>
      <c r="G59" s="4"/>
      <c r="H59" s="22">
        <v>0.33</v>
      </c>
      <c r="I59" s="9"/>
      <c r="J59" s="9"/>
      <c r="K59" s="22">
        <v>166.935</v>
      </c>
      <c r="L59" s="49">
        <v>268.52</v>
      </c>
      <c r="M59" s="50">
        <f>(1-H59)*L59</f>
        <v>179.90839999999997</v>
      </c>
      <c r="N59" s="50">
        <f>M59+K59</f>
        <v>346.84339999999997</v>
      </c>
      <c r="P59" s="5"/>
      <c r="R59" s="5"/>
      <c r="S59" s="5"/>
    </row>
    <row r="60" spans="1:19">
      <c r="A60" s="4"/>
      <c r="B60" s="9" t="s">
        <v>810</v>
      </c>
      <c r="C60" s="9"/>
      <c r="D60" s="6"/>
      <c r="E60" s="4"/>
      <c r="F60" s="9"/>
      <c r="G60" s="4"/>
      <c r="H60" s="22">
        <v>0.33</v>
      </c>
      <c r="I60" s="9"/>
      <c r="J60" s="9"/>
      <c r="K60" s="22">
        <v>92.76</v>
      </c>
      <c r="L60" s="49">
        <v>167.54</v>
      </c>
      <c r="M60" s="50">
        <f>(1-H60)*L60</f>
        <v>112.25179999999999</v>
      </c>
      <c r="N60" s="50">
        <f>M60+K60</f>
        <v>205.01179999999999</v>
      </c>
      <c r="P60" s="5"/>
      <c r="R60" s="5"/>
      <c r="S60" s="5"/>
    </row>
    <row r="61" spans="1:19">
      <c r="A61" s="7"/>
      <c r="B61" s="9"/>
      <c r="C61" s="4"/>
      <c r="D61" s="4"/>
      <c r="E61" s="4"/>
      <c r="F61" s="9"/>
      <c r="G61" s="4"/>
      <c r="H61" s="22"/>
      <c r="I61" s="4"/>
      <c r="J61" s="22"/>
      <c r="K61" s="22"/>
      <c r="L61" s="22"/>
      <c r="M61" s="4"/>
      <c r="N61" s="4"/>
    </row>
    <row r="62" spans="1:19">
      <c r="A62" s="8" t="s">
        <v>71</v>
      </c>
      <c r="B62" s="9" t="s">
        <v>488</v>
      </c>
      <c r="C62" s="4"/>
      <c r="D62" s="4"/>
      <c r="E62" s="4"/>
      <c r="F62" s="9"/>
      <c r="G62" s="4"/>
      <c r="H62" s="22"/>
      <c r="I62" s="4"/>
      <c r="J62" s="22"/>
      <c r="K62" s="22"/>
      <c r="L62" s="22"/>
      <c r="M62" s="4"/>
      <c r="N62" s="4"/>
    </row>
    <row r="63" spans="1:19">
      <c r="A63" s="4" t="s">
        <v>496</v>
      </c>
      <c r="B63" s="9" t="s">
        <v>809</v>
      </c>
      <c r="C63" s="9"/>
      <c r="D63" s="6"/>
      <c r="E63" s="4"/>
      <c r="F63" s="9"/>
      <c r="G63" s="4"/>
      <c r="H63" s="22">
        <v>0.33</v>
      </c>
      <c r="I63" s="9"/>
      <c r="J63" s="9"/>
      <c r="K63" s="22">
        <v>166.935</v>
      </c>
      <c r="L63" s="49">
        <v>318.02</v>
      </c>
      <c r="M63" s="50">
        <f>(1-H63)*L63</f>
        <v>213.07339999999996</v>
      </c>
      <c r="N63" s="50">
        <f>M63+K63</f>
        <v>380.00839999999994</v>
      </c>
      <c r="P63" s="5"/>
      <c r="R63" s="5"/>
      <c r="S63" s="5"/>
    </row>
    <row r="64" spans="1:19">
      <c r="A64" s="4"/>
      <c r="B64" s="9" t="s">
        <v>810</v>
      </c>
      <c r="C64" s="9"/>
      <c r="D64" s="6"/>
      <c r="E64" s="4"/>
      <c r="F64" s="9"/>
      <c r="G64" s="4"/>
      <c r="H64" s="22">
        <v>0.33</v>
      </c>
      <c r="I64" s="9"/>
      <c r="J64" s="9"/>
      <c r="K64" s="22">
        <v>92.76</v>
      </c>
      <c r="L64" s="49">
        <v>294.49</v>
      </c>
      <c r="M64" s="50">
        <f>(1-H64)*L64</f>
        <v>197.30829999999997</v>
      </c>
      <c r="N64" s="50">
        <f>M64+K64</f>
        <v>290.06829999999997</v>
      </c>
      <c r="P64" s="5"/>
      <c r="R64" s="5"/>
      <c r="S64" s="5"/>
    </row>
    <row r="65" spans="1:19">
      <c r="A65" s="7"/>
      <c r="B65" s="7"/>
      <c r="C65" s="4"/>
      <c r="D65" s="4"/>
      <c r="E65" s="4"/>
      <c r="F65" s="9"/>
      <c r="G65" s="4"/>
      <c r="H65" s="22"/>
      <c r="I65" s="4"/>
      <c r="J65" s="22"/>
      <c r="K65" s="22"/>
      <c r="L65" s="22"/>
      <c r="M65" s="4"/>
      <c r="N65" s="4"/>
    </row>
    <row r="66" spans="1:19">
      <c r="A66" s="1" t="s">
        <v>72</v>
      </c>
      <c r="B66" s="9"/>
      <c r="C66" s="4"/>
      <c r="D66" s="4"/>
      <c r="E66" s="4"/>
      <c r="F66" s="9"/>
      <c r="G66" s="4"/>
      <c r="H66" s="22"/>
      <c r="I66" s="4"/>
      <c r="J66" s="22"/>
      <c r="K66" s="22"/>
      <c r="L66" s="22"/>
      <c r="M66" s="4"/>
      <c r="N66" s="4"/>
    </row>
    <row r="67" spans="1:19">
      <c r="A67" s="4" t="s">
        <v>496</v>
      </c>
      <c r="B67" s="9" t="s">
        <v>809</v>
      </c>
      <c r="C67" s="9"/>
      <c r="D67" s="6"/>
      <c r="E67" s="4"/>
      <c r="F67" s="9"/>
      <c r="G67" s="4"/>
      <c r="H67" s="22"/>
      <c r="I67" s="9"/>
      <c r="J67" s="9"/>
      <c r="K67" s="27"/>
      <c r="L67" s="49">
        <v>307.62</v>
      </c>
      <c r="M67" s="24"/>
      <c r="N67" s="4" t="s">
        <v>78</v>
      </c>
      <c r="P67" s="5"/>
      <c r="R67" s="5"/>
      <c r="S67" s="5"/>
    </row>
    <row r="68" spans="1:19">
      <c r="A68" s="4"/>
      <c r="B68" s="9" t="s">
        <v>810</v>
      </c>
      <c r="C68" s="9"/>
      <c r="D68" s="6"/>
      <c r="E68" s="4"/>
      <c r="F68" s="9"/>
      <c r="G68" s="4"/>
      <c r="H68" s="22"/>
      <c r="I68" s="9"/>
      <c r="J68" s="9"/>
      <c r="K68" s="27"/>
      <c r="L68" s="49">
        <v>359.51</v>
      </c>
      <c r="M68" s="24"/>
      <c r="N68" s="4" t="s">
        <v>78</v>
      </c>
      <c r="P68" s="5"/>
      <c r="R68" s="5"/>
      <c r="S68" s="5"/>
    </row>
    <row r="69" spans="1:19">
      <c r="A69" s="7"/>
      <c r="B69" s="7"/>
      <c r="C69" s="4"/>
      <c r="D69" s="4"/>
      <c r="E69" s="4"/>
      <c r="F69" s="9"/>
      <c r="G69" s="4"/>
      <c r="H69" s="22"/>
      <c r="I69" s="4"/>
      <c r="J69" s="22"/>
      <c r="K69" s="22"/>
      <c r="L69" s="22"/>
      <c r="M69" s="4"/>
      <c r="N69" s="4"/>
    </row>
    <row r="70" spans="1:19">
      <c r="A70" s="1" t="s">
        <v>73</v>
      </c>
      <c r="B70" s="7"/>
      <c r="C70" s="4"/>
      <c r="D70" s="4"/>
      <c r="E70" s="4"/>
      <c r="F70" s="9"/>
      <c r="G70" s="4"/>
      <c r="H70" s="22"/>
      <c r="I70" s="4"/>
      <c r="J70" s="22"/>
      <c r="K70" s="22"/>
      <c r="L70" s="22"/>
      <c r="M70" s="4"/>
      <c r="N70" s="4"/>
    </row>
    <row r="71" spans="1:19">
      <c r="A71" s="7" t="s">
        <v>678</v>
      </c>
      <c r="B71" s="9" t="s">
        <v>802</v>
      </c>
      <c r="C71" s="4" t="s">
        <v>803</v>
      </c>
      <c r="D71" s="4"/>
      <c r="E71" s="4" t="s">
        <v>35</v>
      </c>
      <c r="F71" s="9" t="s">
        <v>849</v>
      </c>
      <c r="G71" s="4" t="s">
        <v>806</v>
      </c>
      <c r="H71" s="22">
        <v>0.55000000000000004</v>
      </c>
      <c r="I71" s="22">
        <v>1405.8</v>
      </c>
      <c r="J71" s="22">
        <f>I71*0.5</f>
        <v>702.9</v>
      </c>
      <c r="K71" s="22">
        <f t="shared" si="1"/>
        <v>2108.6999999999998</v>
      </c>
      <c r="L71" s="22"/>
      <c r="M71" s="4"/>
      <c r="N71" s="4"/>
      <c r="O71" t="s">
        <v>807</v>
      </c>
      <c r="P71" t="s">
        <v>698</v>
      </c>
    </row>
    <row r="72" spans="1:19">
      <c r="A72" s="7"/>
      <c r="B72" s="9" t="s">
        <v>809</v>
      </c>
      <c r="C72" s="4" t="s">
        <v>412</v>
      </c>
      <c r="D72" s="4" t="s">
        <v>415</v>
      </c>
      <c r="E72" s="4" t="s">
        <v>35</v>
      </c>
      <c r="F72" s="9" t="s">
        <v>850</v>
      </c>
      <c r="G72" s="4" t="s">
        <v>806</v>
      </c>
      <c r="H72" s="22">
        <v>0.55000000000000004</v>
      </c>
      <c r="I72" s="4">
        <v>2053.39</v>
      </c>
      <c r="J72" s="22">
        <f>I72*0.5</f>
        <v>1026.6949999999999</v>
      </c>
      <c r="K72" s="22">
        <f t="shared" si="1"/>
        <v>3080.085</v>
      </c>
      <c r="L72" s="22"/>
      <c r="M72" s="4"/>
      <c r="N72" s="4"/>
      <c r="O72" t="s">
        <v>808</v>
      </c>
    </row>
    <row r="73" spans="1:19">
      <c r="A73" s="7"/>
      <c r="B73" s="9" t="s">
        <v>810</v>
      </c>
      <c r="C73" s="4" t="s">
        <v>413</v>
      </c>
      <c r="D73" s="4"/>
      <c r="E73" s="4" t="s">
        <v>35</v>
      </c>
      <c r="F73" s="9" t="s">
        <v>851</v>
      </c>
      <c r="G73" s="4" t="s">
        <v>806</v>
      </c>
      <c r="H73" s="22">
        <v>0.55000000000000004</v>
      </c>
      <c r="I73" s="4">
        <v>1128.27</v>
      </c>
      <c r="J73" s="22">
        <f>I73*0.5</f>
        <v>564.13499999999999</v>
      </c>
      <c r="K73" s="22">
        <f t="shared" si="1"/>
        <v>1692.405</v>
      </c>
      <c r="L73" s="22"/>
      <c r="M73" s="4"/>
      <c r="N73" s="4"/>
      <c r="O73" t="s">
        <v>408</v>
      </c>
    </row>
    <row r="74" spans="1:19">
      <c r="A74" s="4" t="s">
        <v>496</v>
      </c>
      <c r="B74" s="9" t="s">
        <v>809</v>
      </c>
      <c r="C74" s="9"/>
      <c r="D74" s="6"/>
      <c r="E74" s="4"/>
      <c r="F74" s="9"/>
      <c r="G74" s="4"/>
      <c r="H74" s="22">
        <v>0.55000000000000004</v>
      </c>
      <c r="I74" s="9"/>
      <c r="J74" s="9"/>
      <c r="K74" s="27">
        <v>3080.085</v>
      </c>
      <c r="L74" s="27">
        <v>662.64</v>
      </c>
      <c r="M74" s="50">
        <f>(1-H74)*L74</f>
        <v>298.18799999999999</v>
      </c>
      <c r="N74" s="50">
        <f>M74+K74</f>
        <v>3378.2730000000001</v>
      </c>
      <c r="P74" s="5"/>
      <c r="R74" s="5"/>
      <c r="S74" s="5"/>
    </row>
    <row r="75" spans="1:19">
      <c r="A75" s="4"/>
      <c r="B75" s="9" t="s">
        <v>810</v>
      </c>
      <c r="C75" s="9"/>
      <c r="D75" s="6"/>
      <c r="E75" s="4"/>
      <c r="F75" s="9"/>
      <c r="G75" s="4"/>
      <c r="H75" s="22">
        <v>0.55000000000000004</v>
      </c>
      <c r="I75" s="9"/>
      <c r="J75" s="9"/>
      <c r="K75" s="27">
        <v>1692.405</v>
      </c>
      <c r="L75" s="27">
        <v>774.8</v>
      </c>
      <c r="M75" s="50">
        <f>(1-H75)*L75</f>
        <v>348.65999999999997</v>
      </c>
      <c r="N75" s="50">
        <f>M75+K75</f>
        <v>2041.0650000000001</v>
      </c>
      <c r="P75" s="5"/>
      <c r="R75" s="5"/>
      <c r="S75" s="5"/>
    </row>
    <row r="76" spans="1:19">
      <c r="O76" t="s">
        <v>414</v>
      </c>
    </row>
    <row r="77" spans="1:19">
      <c r="A77" t="s">
        <v>561</v>
      </c>
    </row>
  </sheetData>
  <mergeCells count="3">
    <mergeCell ref="I4:K4"/>
    <mergeCell ref="G4:H4"/>
    <mergeCell ref="A2:C2"/>
  </mergeCells>
  <phoneticPr fontId="14" type="noConversion"/>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workbookViewId="0">
      <selection activeCell="C32" sqref="C32:E33"/>
    </sheetView>
  </sheetViews>
  <sheetFormatPr baseColWidth="10" defaultColWidth="8.83203125" defaultRowHeight="14" x14ac:dyDescent="0"/>
  <cols>
    <col min="1" max="1" width="18.6640625" customWidth="1"/>
    <col min="3" max="3" width="19.5" style="24" customWidth="1"/>
    <col min="4" max="4" width="16.5" customWidth="1"/>
    <col min="5" max="5" width="16" customWidth="1"/>
  </cols>
  <sheetData>
    <row r="1" spans="1:6" ht="20">
      <c r="A1" s="51" t="s">
        <v>932</v>
      </c>
      <c r="C1"/>
      <c r="F1" s="41"/>
    </row>
    <row r="2" spans="1:6" ht="23">
      <c r="A2" s="30" t="s">
        <v>835</v>
      </c>
    </row>
    <row r="4" spans="1:6">
      <c r="C4" s="14" t="s">
        <v>681</v>
      </c>
      <c r="D4" s="15" t="s">
        <v>830</v>
      </c>
      <c r="E4" s="15" t="s">
        <v>494</v>
      </c>
    </row>
    <row r="5" spans="1:6">
      <c r="B5" s="15"/>
      <c r="C5" s="14" t="s">
        <v>800</v>
      </c>
      <c r="D5" s="15" t="s">
        <v>800</v>
      </c>
      <c r="E5" s="15" t="s">
        <v>800</v>
      </c>
    </row>
    <row r="6" spans="1:6">
      <c r="C6" s="14" t="s">
        <v>799</v>
      </c>
      <c r="D6" s="15" t="s">
        <v>799</v>
      </c>
      <c r="E6" s="15" t="s">
        <v>799</v>
      </c>
    </row>
    <row r="7" spans="1:6">
      <c r="A7" s="1" t="s">
        <v>34</v>
      </c>
      <c r="B7" s="7"/>
      <c r="C7" s="22"/>
    </row>
    <row r="8" spans="1:6">
      <c r="A8" s="4"/>
      <c r="B8" s="9" t="s">
        <v>809</v>
      </c>
      <c r="C8" s="49">
        <v>461.29</v>
      </c>
      <c r="D8" s="50">
        <f>0.78*C8</f>
        <v>359.80620000000005</v>
      </c>
      <c r="E8" s="50">
        <f>2.24*C8</f>
        <v>1033.2896000000001</v>
      </c>
    </row>
    <row r="9" spans="1:6">
      <c r="A9" s="4"/>
      <c r="B9" s="9" t="s">
        <v>810</v>
      </c>
      <c r="C9" s="27">
        <v>225.8603</v>
      </c>
      <c r="D9" s="24">
        <f>0.87*C9</f>
        <v>196.49846099999999</v>
      </c>
      <c r="E9" s="24">
        <f>1.48*C9</f>
        <v>334.27324399999998</v>
      </c>
    </row>
    <row r="10" spans="1:6">
      <c r="A10" s="1" t="s">
        <v>66</v>
      </c>
      <c r="B10" s="7"/>
      <c r="C10" s="22"/>
      <c r="D10" s="24"/>
    </row>
    <row r="11" spans="1:6">
      <c r="A11" s="4"/>
      <c r="B11" s="9" t="s">
        <v>809</v>
      </c>
      <c r="C11" s="49">
        <v>699.63</v>
      </c>
      <c r="D11" s="50">
        <f>0.78*C11</f>
        <v>545.71140000000003</v>
      </c>
      <c r="E11" s="50">
        <f>2.24*C11</f>
        <v>1567.1712000000002</v>
      </c>
    </row>
    <row r="12" spans="1:6">
      <c r="A12" s="4"/>
      <c r="B12" s="9" t="s">
        <v>810</v>
      </c>
      <c r="C12" s="27">
        <v>391.113</v>
      </c>
      <c r="D12" s="24">
        <f>0.87*C12</f>
        <v>340.26830999999999</v>
      </c>
      <c r="E12" s="24">
        <f>1.48*C12</f>
        <v>578.84723999999994</v>
      </c>
    </row>
    <row r="13" spans="1:6">
      <c r="A13" s="1" t="s">
        <v>67</v>
      </c>
      <c r="B13" s="7"/>
      <c r="C13" s="22"/>
      <c r="D13" s="24"/>
      <c r="E13" s="24"/>
    </row>
    <row r="14" spans="1:6">
      <c r="A14" s="4"/>
      <c r="B14" s="9" t="s">
        <v>809</v>
      </c>
      <c r="C14" s="49">
        <v>417.89</v>
      </c>
      <c r="D14" s="50">
        <f>0.78*C14</f>
        <v>325.95420000000001</v>
      </c>
      <c r="E14" s="50">
        <f>2.24*C14</f>
        <v>936.07360000000006</v>
      </c>
    </row>
    <row r="15" spans="1:6">
      <c r="A15" s="4"/>
      <c r="B15" s="9" t="s">
        <v>810</v>
      </c>
      <c r="C15" s="49">
        <v>245.34</v>
      </c>
      <c r="D15" s="50">
        <f>0.87*C15</f>
        <v>213.44579999999999</v>
      </c>
      <c r="E15" s="50">
        <f>1.48*C15</f>
        <v>363.10320000000002</v>
      </c>
    </row>
    <row r="16" spans="1:6">
      <c r="A16" s="1" t="s">
        <v>68</v>
      </c>
      <c r="B16" s="7"/>
      <c r="C16" s="22"/>
      <c r="D16" s="24"/>
      <c r="E16" s="24"/>
    </row>
    <row r="17" spans="1:5">
      <c r="A17" s="4"/>
      <c r="B17" s="9" t="s">
        <v>809</v>
      </c>
      <c r="C17" s="49">
        <v>349.74</v>
      </c>
      <c r="D17" s="50">
        <f>0.78*C17</f>
        <v>272.79720000000003</v>
      </c>
      <c r="E17" s="50">
        <f>2.24*C17</f>
        <v>783.41760000000011</v>
      </c>
    </row>
    <row r="18" spans="1:5">
      <c r="A18" s="4"/>
      <c r="B18" s="9" t="s">
        <v>810</v>
      </c>
      <c r="C18" s="49">
        <v>182.65</v>
      </c>
      <c r="D18" s="50">
        <f>0.87*C18</f>
        <v>158.90550000000002</v>
      </c>
      <c r="E18" s="50">
        <f>1.48*C18</f>
        <v>270.322</v>
      </c>
    </row>
    <row r="19" spans="1:5">
      <c r="A19" s="1" t="s">
        <v>70</v>
      </c>
      <c r="B19" s="9"/>
      <c r="C19" s="22"/>
      <c r="D19" s="24"/>
      <c r="E19" s="24"/>
    </row>
    <row r="20" spans="1:5">
      <c r="A20" s="4"/>
      <c r="B20" s="9" t="s">
        <v>809</v>
      </c>
      <c r="C20" s="49">
        <v>330.05</v>
      </c>
      <c r="D20" s="50">
        <f>0.78*C20</f>
        <v>257.43900000000002</v>
      </c>
      <c r="E20" s="50">
        <f>2.24*C20</f>
        <v>739.31200000000013</v>
      </c>
    </row>
    <row r="21" spans="1:5">
      <c r="A21" s="4"/>
      <c r="B21" s="9" t="s">
        <v>810</v>
      </c>
      <c r="C21" s="49">
        <v>178.81</v>
      </c>
      <c r="D21" s="50">
        <f>0.87*C21</f>
        <v>155.56469999999999</v>
      </c>
      <c r="E21" s="50">
        <f>1.48*C21</f>
        <v>264.6388</v>
      </c>
    </row>
    <row r="22" spans="1:5">
      <c r="A22" s="8" t="s">
        <v>69</v>
      </c>
      <c r="B22" s="9"/>
      <c r="C22" s="22"/>
      <c r="D22" s="24"/>
      <c r="E22" s="24"/>
    </row>
    <row r="23" spans="1:5">
      <c r="A23" s="4" t="s">
        <v>496</v>
      </c>
      <c r="B23" s="9" t="s">
        <v>809</v>
      </c>
      <c r="C23" s="49">
        <v>346.84</v>
      </c>
      <c r="D23" s="50">
        <f>0.78*C23</f>
        <v>270.53519999999997</v>
      </c>
      <c r="E23" s="50">
        <f>2.24*C23</f>
        <v>776.92160000000001</v>
      </c>
    </row>
    <row r="24" spans="1:5">
      <c r="A24" s="4"/>
      <c r="B24" s="9" t="s">
        <v>810</v>
      </c>
      <c r="C24" s="49">
        <v>205.01</v>
      </c>
      <c r="D24" s="50">
        <f>0.87*C24</f>
        <v>178.3587</v>
      </c>
      <c r="E24" s="50">
        <f>1.48*C24</f>
        <v>303.41479999999996</v>
      </c>
    </row>
    <row r="25" spans="1:5">
      <c r="A25" s="8" t="s">
        <v>71</v>
      </c>
      <c r="B25" s="9"/>
      <c r="C25" s="22"/>
      <c r="D25" s="24"/>
      <c r="E25" s="24"/>
    </row>
    <row r="26" spans="1:5">
      <c r="A26" s="4" t="s">
        <v>496</v>
      </c>
      <c r="B26" s="9" t="s">
        <v>809</v>
      </c>
      <c r="C26" s="49">
        <v>380.01</v>
      </c>
      <c r="D26" s="50">
        <f>0.78*C26</f>
        <v>296.40780000000001</v>
      </c>
      <c r="E26" s="50">
        <f>2.24*C26</f>
        <v>851.22240000000011</v>
      </c>
    </row>
    <row r="27" spans="1:5">
      <c r="A27" s="4"/>
      <c r="B27" s="9" t="s">
        <v>810</v>
      </c>
      <c r="C27" s="49">
        <v>290.07</v>
      </c>
      <c r="D27" s="50">
        <f>0.87*C27</f>
        <v>252.36089999999999</v>
      </c>
      <c r="E27" s="50">
        <f>1.48*C27</f>
        <v>429.30359999999996</v>
      </c>
    </row>
    <row r="28" spans="1:5">
      <c r="A28" s="1" t="s">
        <v>72</v>
      </c>
      <c r="B28" s="9"/>
      <c r="C28" s="22"/>
      <c r="D28" s="24"/>
      <c r="E28" s="24"/>
    </row>
    <row r="29" spans="1:5">
      <c r="A29" s="4" t="s">
        <v>496</v>
      </c>
      <c r="B29" s="9" t="s">
        <v>809</v>
      </c>
      <c r="C29" s="27" t="s">
        <v>78</v>
      </c>
      <c r="D29" s="27" t="s">
        <v>78</v>
      </c>
      <c r="E29" s="27" t="s">
        <v>78</v>
      </c>
    </row>
    <row r="30" spans="1:5">
      <c r="A30" s="4"/>
      <c r="B30" s="9" t="s">
        <v>810</v>
      </c>
      <c r="C30" s="27" t="s">
        <v>78</v>
      </c>
      <c r="D30" s="27" t="s">
        <v>78</v>
      </c>
      <c r="E30" s="27" t="s">
        <v>78</v>
      </c>
    </row>
    <row r="31" spans="1:5">
      <c r="A31" s="1" t="s">
        <v>73</v>
      </c>
      <c r="B31" s="7"/>
      <c r="C31" s="22"/>
      <c r="D31" s="24"/>
      <c r="E31" s="24"/>
    </row>
    <row r="32" spans="1:5">
      <c r="A32" s="4" t="s">
        <v>496</v>
      </c>
      <c r="B32" s="9" t="s">
        <v>809</v>
      </c>
      <c r="C32" s="49">
        <v>3378.27</v>
      </c>
      <c r="D32" s="50">
        <f>0.78*C32</f>
        <v>2635.0506</v>
      </c>
      <c r="E32" s="50">
        <f>2.24*C32</f>
        <v>7567.3248000000003</v>
      </c>
    </row>
    <row r="33" spans="1:5">
      <c r="A33" s="4"/>
      <c r="B33" s="9" t="s">
        <v>810</v>
      </c>
      <c r="C33" s="49">
        <v>2041.07</v>
      </c>
      <c r="D33" s="50">
        <f>0.87*C33</f>
        <v>1775.7309</v>
      </c>
      <c r="E33" s="50">
        <f>1.48*C33</f>
        <v>3020.7835999999998</v>
      </c>
    </row>
    <row r="35" spans="1:5">
      <c r="A35" t="s">
        <v>836</v>
      </c>
    </row>
    <row r="36" spans="1:5">
      <c r="A36" t="s">
        <v>898</v>
      </c>
    </row>
    <row r="37" spans="1:5">
      <c r="A37" t="s">
        <v>837</v>
      </c>
    </row>
  </sheetData>
  <phoneticPr fontId="14" type="noConversion"/>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16</vt:i4>
      </vt:variant>
    </vt:vector>
  </HeadingPairs>
  <TitlesOfParts>
    <vt:vector size="16" baseType="lpstr">
      <vt:lpstr>Sources</vt:lpstr>
      <vt:lpstr>US</vt:lpstr>
      <vt:lpstr>1860 Urban</vt:lpstr>
      <vt:lpstr>1860 Rural Non-Farm</vt:lpstr>
      <vt:lpstr>Comparing regional non-farm w's</vt:lpstr>
      <vt:lpstr>Farm hired &amp; slave labor</vt:lpstr>
      <vt:lpstr>Craig marg prod coeff's</vt:lpstr>
      <vt:lpstr>1860 teachers A</vt:lpstr>
      <vt:lpstr>1860 teachers B</vt:lpstr>
      <vt:lpstr>1860 teachers notes</vt:lpstr>
      <vt:lpstr>1860 Inkind</vt:lpstr>
      <vt:lpstr>1860 FTE</vt:lpstr>
      <vt:lpstr>1860 Slaves</vt:lpstr>
      <vt:lpstr>1860 miners</vt:lpstr>
      <vt:lpstr>Miscellaneous</vt:lpstr>
      <vt:lpstr>1860 MFG Repairs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Jeffrey</dc:creator>
  <cp:lastModifiedBy>Peter Lindert</cp:lastModifiedBy>
  <cp:lastPrinted>2012-03-15T15:16:07Z</cp:lastPrinted>
  <dcterms:created xsi:type="dcterms:W3CDTF">2011-07-05T12:43:46Z</dcterms:created>
  <dcterms:modified xsi:type="dcterms:W3CDTF">2013-07-09T16:56:57Z</dcterms:modified>
</cp:coreProperties>
</file>