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10940" yWindow="1400" windowWidth="18100" windowHeight="13300" activeTab="2"/>
  </bookViews>
  <sheets>
    <sheet name="Sources" sheetId="8" r:id="rId1"/>
    <sheet name="1850 US" sheetId="7" r:id="rId2"/>
    <sheet name="1850 Urban" sheetId="1" r:id="rId3"/>
    <sheet name="1850 Rural Non-Farm" sheetId="3" r:id="rId4"/>
    <sheet name="1850 Farm" sheetId="6" r:id="rId5"/>
    <sheet name="1850 teachers A" sheetId="11" r:id="rId6"/>
    <sheet name="1850 teachers B" sheetId="21" r:id="rId7"/>
    <sheet name="1850 teachers C" sheetId="12" r:id="rId8"/>
    <sheet name="1850 Inkind" sheetId="4" r:id="rId9"/>
    <sheet name="1850 FTE" sheetId="5" r:id="rId10"/>
    <sheet name="1850 Slaves" sheetId="9" r:id="rId11"/>
    <sheet name="1850 miners" sheetId="15" r:id="rId12"/>
  </sheets>
  <calcPr calcId="140001" calcMode="manual" calcCompleted="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85" i="1" l="1"/>
  <c r="H386" i="1"/>
  <c r="H389" i="1"/>
  <c r="H390" i="1"/>
  <c r="H393" i="1"/>
  <c r="H394" i="1"/>
  <c r="H397" i="1"/>
  <c r="H398" i="1"/>
  <c r="H405" i="1"/>
  <c r="H406" i="1"/>
  <c r="H407" i="1"/>
  <c r="H410" i="1"/>
  <c r="H399" i="1"/>
  <c r="H400" i="1"/>
  <c r="H415" i="1"/>
  <c r="H416" i="1"/>
  <c r="H401" i="1"/>
  <c r="H402" i="1"/>
  <c r="H382" i="1"/>
  <c r="H374" i="1"/>
  <c r="H403" i="1"/>
  <c r="H408" i="1"/>
  <c r="H387" i="1"/>
  <c r="H391" i="1"/>
  <c r="H395" i="1"/>
  <c r="F72" i="6"/>
  <c r="G72" i="6"/>
  <c r="H72" i="6"/>
  <c r="H74" i="6"/>
  <c r="F73" i="6"/>
  <c r="G73" i="6"/>
  <c r="H73" i="6"/>
  <c r="F71" i="6"/>
  <c r="G71" i="6"/>
  <c r="H71" i="6"/>
  <c r="F67" i="6"/>
  <c r="G67" i="6"/>
  <c r="H67" i="6"/>
  <c r="H69" i="6"/>
  <c r="F68" i="6"/>
  <c r="G68" i="6"/>
  <c r="H68" i="6"/>
  <c r="F60" i="6"/>
  <c r="G60" i="6"/>
  <c r="H60" i="6"/>
  <c r="F61" i="6"/>
  <c r="G61" i="6"/>
  <c r="H61" i="6"/>
  <c r="F62" i="6"/>
  <c r="G62" i="6"/>
  <c r="H62" i="6"/>
  <c r="H63" i="6"/>
  <c r="H64" i="6"/>
  <c r="F59" i="6"/>
  <c r="G59" i="6"/>
  <c r="H59" i="6"/>
  <c r="D57" i="6"/>
  <c r="F57" i="6"/>
  <c r="G57" i="6"/>
  <c r="H57" i="6"/>
  <c r="D56" i="6"/>
  <c r="F56" i="6"/>
  <c r="G56" i="6"/>
  <c r="H56" i="6"/>
  <c r="F45" i="6"/>
  <c r="G45" i="6"/>
  <c r="H45" i="6"/>
  <c r="F46" i="6"/>
  <c r="G46" i="6"/>
  <c r="H46" i="6"/>
  <c r="F47" i="6"/>
  <c r="G47" i="6"/>
  <c r="H47" i="6"/>
  <c r="F48" i="6"/>
  <c r="G48" i="6"/>
  <c r="H48" i="6"/>
  <c r="F49" i="6"/>
  <c r="G49" i="6"/>
  <c r="H49" i="6"/>
  <c r="F50" i="6"/>
  <c r="G50" i="6"/>
  <c r="H50" i="6"/>
  <c r="F51" i="6"/>
  <c r="G51" i="6"/>
  <c r="H51" i="6"/>
  <c r="F52" i="6"/>
  <c r="G52" i="6"/>
  <c r="H52" i="6"/>
  <c r="F44" i="6"/>
  <c r="G44" i="6"/>
  <c r="H44" i="6"/>
  <c r="F37" i="6"/>
  <c r="G37" i="6"/>
  <c r="H37" i="6"/>
  <c r="F38" i="6"/>
  <c r="G38" i="6"/>
  <c r="H38" i="6"/>
  <c r="F39" i="6"/>
  <c r="G39" i="6"/>
  <c r="H39" i="6"/>
  <c r="F40" i="6"/>
  <c r="G40" i="6"/>
  <c r="H40" i="6"/>
  <c r="F36" i="6"/>
  <c r="G36" i="6"/>
  <c r="H36" i="6"/>
  <c r="F31" i="6"/>
  <c r="G31" i="6"/>
  <c r="H31" i="6"/>
  <c r="F32" i="6"/>
  <c r="G32" i="6"/>
  <c r="H32" i="6"/>
  <c r="F33" i="6"/>
  <c r="G33" i="6"/>
  <c r="H33" i="6"/>
  <c r="F30" i="6"/>
  <c r="G30" i="6"/>
  <c r="H30" i="6"/>
  <c r="F23" i="6"/>
  <c r="G23" i="6"/>
  <c r="H23" i="6"/>
  <c r="F24" i="6"/>
  <c r="G24" i="6"/>
  <c r="H24" i="6"/>
  <c r="F25" i="6"/>
  <c r="G25" i="6"/>
  <c r="H25" i="6"/>
  <c r="F26" i="6"/>
  <c r="G26" i="6"/>
  <c r="H26" i="6"/>
  <c r="F27" i="6"/>
  <c r="G27" i="6"/>
  <c r="H27" i="6"/>
  <c r="F22" i="6"/>
  <c r="G22" i="6"/>
  <c r="H22" i="6"/>
  <c r="F17" i="6"/>
  <c r="G17" i="6"/>
  <c r="H17" i="6"/>
  <c r="F18" i="6"/>
  <c r="G18" i="6"/>
  <c r="H18" i="6"/>
  <c r="F19" i="6"/>
  <c r="G19" i="6"/>
  <c r="H19" i="6"/>
  <c r="F16" i="6"/>
  <c r="G16" i="6"/>
  <c r="H16" i="6"/>
  <c r="F8" i="6"/>
  <c r="G8" i="6"/>
  <c r="H8" i="6"/>
  <c r="F9" i="6"/>
  <c r="G9" i="6"/>
  <c r="H9" i="6"/>
  <c r="F10" i="6"/>
  <c r="G10" i="6"/>
  <c r="H10" i="6"/>
  <c r="F11" i="6"/>
  <c r="G11" i="6"/>
  <c r="H11" i="6"/>
  <c r="F12" i="6"/>
  <c r="G12" i="6"/>
  <c r="H12" i="6"/>
  <c r="F13" i="6"/>
  <c r="G13" i="6"/>
  <c r="H13" i="6"/>
  <c r="F7" i="6"/>
  <c r="G7" i="6"/>
  <c r="H7" i="6"/>
  <c r="F5" i="6"/>
  <c r="G5" i="6"/>
  <c r="H5" i="6"/>
  <c r="D9" i="15"/>
  <c r="I9" i="15"/>
  <c r="B38" i="15"/>
  <c r="C9" i="15"/>
  <c r="B9" i="15"/>
  <c r="B26" i="15"/>
  <c r="B33" i="15"/>
  <c r="B32" i="15"/>
  <c r="B30" i="15"/>
  <c r="B27" i="15"/>
  <c r="B24" i="15"/>
  <c r="B23" i="15"/>
  <c r="B21" i="15"/>
  <c r="B16" i="15"/>
  <c r="B14" i="15"/>
  <c r="H203" i="3"/>
  <c r="H201" i="3"/>
  <c r="F197" i="3"/>
  <c r="G197" i="3"/>
  <c r="H197" i="3"/>
  <c r="H199" i="3"/>
  <c r="F198" i="3"/>
  <c r="G198" i="3"/>
  <c r="H198" i="3"/>
  <c r="H195" i="3"/>
  <c r="D184" i="3"/>
  <c r="H184" i="3"/>
  <c r="D186" i="3"/>
  <c r="H186" i="3"/>
  <c r="H181" i="3"/>
  <c r="H182" i="3"/>
  <c r="H178" i="3"/>
  <c r="H179" i="3"/>
  <c r="H176" i="3"/>
  <c r="F175" i="3"/>
  <c r="G175" i="3"/>
  <c r="H173" i="3"/>
  <c r="H163" i="3"/>
  <c r="H162" i="3"/>
  <c r="H53" i="3"/>
  <c r="D158" i="3"/>
  <c r="D160" i="3"/>
  <c r="H160" i="3"/>
  <c r="H158" i="3"/>
  <c r="H155" i="3"/>
  <c r="H156" i="3"/>
  <c r="H152" i="3"/>
  <c r="H153" i="3"/>
  <c r="F149" i="3"/>
  <c r="G149" i="3"/>
  <c r="H149" i="3"/>
  <c r="H150" i="3"/>
  <c r="H146" i="3"/>
  <c r="H147" i="3"/>
  <c r="H143" i="3"/>
  <c r="H139" i="3"/>
  <c r="H141" i="3"/>
  <c r="G76" i="3"/>
  <c r="H76" i="3"/>
  <c r="H78" i="3"/>
  <c r="H133" i="3"/>
  <c r="H77" i="3"/>
  <c r="H130" i="3"/>
  <c r="H131" i="3"/>
  <c r="H127" i="3"/>
  <c r="H128" i="3"/>
  <c r="F121" i="3"/>
  <c r="G121" i="3"/>
  <c r="H121" i="3"/>
  <c r="F122" i="3"/>
  <c r="G122" i="3"/>
  <c r="H122" i="3"/>
  <c r="F123" i="3"/>
  <c r="G123" i="3"/>
  <c r="H123" i="3"/>
  <c r="H115" i="3"/>
  <c r="H119" i="3"/>
  <c r="H116" i="3"/>
  <c r="H117" i="3"/>
  <c r="H118" i="3"/>
  <c r="H112" i="3"/>
  <c r="D108" i="3"/>
  <c r="D110" i="3"/>
  <c r="H110" i="3"/>
  <c r="H108" i="3"/>
  <c r="H100" i="3"/>
  <c r="H98" i="3"/>
  <c r="F96" i="3"/>
  <c r="G96" i="3"/>
  <c r="H96" i="3"/>
  <c r="H94" i="3"/>
  <c r="H91" i="3"/>
  <c r="H90" i="3"/>
  <c r="H89" i="3"/>
  <c r="H88" i="3"/>
  <c r="H84" i="3"/>
  <c r="H86" i="3"/>
  <c r="H74" i="3"/>
  <c r="H72" i="3"/>
  <c r="F70" i="3"/>
  <c r="G70" i="3"/>
  <c r="H70" i="3"/>
  <c r="H68" i="3"/>
  <c r="H65" i="3"/>
  <c r="H64" i="3"/>
  <c r="H63" i="3"/>
  <c r="H57" i="3"/>
  <c r="D55" i="3"/>
  <c r="H55" i="3"/>
  <c r="H50" i="3"/>
  <c r="H51" i="3"/>
  <c r="H47" i="3"/>
  <c r="H48" i="3"/>
  <c r="F42" i="3"/>
  <c r="G42" i="3"/>
  <c r="H42" i="3"/>
  <c r="H45" i="3"/>
  <c r="F43" i="3"/>
  <c r="G43" i="3"/>
  <c r="H43" i="3"/>
  <c r="H44" i="3"/>
  <c r="H37" i="3"/>
  <c r="H40" i="3"/>
  <c r="H38" i="3"/>
  <c r="H39" i="3"/>
  <c r="D31" i="3"/>
  <c r="H31" i="3"/>
  <c r="D29" i="3"/>
  <c r="H29" i="3"/>
  <c r="H27" i="3"/>
  <c r="H25" i="3"/>
  <c r="H23" i="3"/>
  <c r="F18" i="3"/>
  <c r="G18" i="3"/>
  <c r="H18" i="3"/>
  <c r="F19" i="3"/>
  <c r="G19" i="3"/>
  <c r="H19" i="3"/>
  <c r="F20" i="3"/>
  <c r="G20" i="3"/>
  <c r="H20" i="3"/>
  <c r="H13" i="3"/>
  <c r="H14" i="3"/>
  <c r="H15" i="3"/>
  <c r="C45" i="11"/>
  <c r="H45" i="11"/>
  <c r="J45" i="11"/>
  <c r="L45" i="11"/>
  <c r="E45" i="11"/>
  <c r="I45" i="11"/>
  <c r="G45" i="11"/>
  <c r="C44" i="11"/>
  <c r="H44" i="11"/>
  <c r="E44" i="11"/>
  <c r="I44" i="11"/>
  <c r="G44" i="11"/>
  <c r="C43" i="11"/>
  <c r="H43" i="11"/>
  <c r="I43" i="11"/>
  <c r="J43" i="11"/>
  <c r="L43" i="11"/>
  <c r="G43" i="11"/>
  <c r="C42" i="11"/>
  <c r="H42" i="11"/>
  <c r="I42" i="11"/>
  <c r="G42" i="11"/>
  <c r="H40" i="11"/>
  <c r="J40" i="11"/>
  <c r="L40" i="11"/>
  <c r="E40" i="11"/>
  <c r="I40" i="11"/>
  <c r="G40" i="11"/>
  <c r="H39" i="11"/>
  <c r="J39" i="11"/>
  <c r="L39" i="11"/>
  <c r="E39" i="11"/>
  <c r="I39" i="11"/>
  <c r="G39" i="11"/>
  <c r="H38" i="11"/>
  <c r="I38" i="11"/>
  <c r="J38" i="11"/>
  <c r="L38" i="11"/>
  <c r="G38" i="11"/>
  <c r="H37" i="11"/>
  <c r="I37" i="11"/>
  <c r="J37" i="11"/>
  <c r="L37" i="11"/>
  <c r="G37" i="11"/>
  <c r="H35" i="11"/>
  <c r="E35" i="11"/>
  <c r="I35" i="11"/>
  <c r="G35" i="11"/>
  <c r="H34" i="11"/>
  <c r="J34" i="11"/>
  <c r="L34" i="11"/>
  <c r="E34" i="11"/>
  <c r="I34" i="11"/>
  <c r="G34" i="11"/>
  <c r="H33" i="11"/>
  <c r="J33" i="11"/>
  <c r="L33" i="11"/>
  <c r="I33" i="11"/>
  <c r="G33" i="11"/>
  <c r="H32" i="11"/>
  <c r="J32" i="11"/>
  <c r="L32" i="11"/>
  <c r="I32" i="11"/>
  <c r="G32" i="11"/>
  <c r="H30" i="11"/>
  <c r="J30" i="11"/>
  <c r="L30" i="11"/>
  <c r="E30" i="11"/>
  <c r="I30" i="11"/>
  <c r="G30" i="11"/>
  <c r="H29" i="11"/>
  <c r="E29" i="11"/>
  <c r="I29" i="11"/>
  <c r="G29" i="11"/>
  <c r="H28" i="11"/>
  <c r="I28" i="11"/>
  <c r="J28" i="11"/>
  <c r="L28" i="11"/>
  <c r="G28" i="11"/>
  <c r="H27" i="11"/>
  <c r="I27" i="11"/>
  <c r="J27" i="11"/>
  <c r="L27" i="11"/>
  <c r="G27" i="11"/>
  <c r="H25" i="11"/>
  <c r="E25" i="11"/>
  <c r="I25" i="11"/>
  <c r="G25" i="11"/>
  <c r="H24" i="11"/>
  <c r="J24" i="11"/>
  <c r="L24" i="11"/>
  <c r="E24" i="11"/>
  <c r="I24" i="11"/>
  <c r="G24" i="11"/>
  <c r="H23" i="11"/>
  <c r="I23" i="11"/>
  <c r="J23" i="11"/>
  <c r="L23" i="11"/>
  <c r="G23" i="11"/>
  <c r="H22" i="11"/>
  <c r="I22" i="11"/>
  <c r="G22" i="11"/>
  <c r="H20" i="11"/>
  <c r="E20" i="11"/>
  <c r="I20" i="11"/>
  <c r="G20" i="11"/>
  <c r="H19" i="11"/>
  <c r="E19" i="11"/>
  <c r="I19" i="11"/>
  <c r="G19" i="11"/>
  <c r="H18" i="11"/>
  <c r="I18" i="11"/>
  <c r="J18" i="11"/>
  <c r="L18" i="11"/>
  <c r="G18" i="11"/>
  <c r="H17" i="11"/>
  <c r="I17" i="11"/>
  <c r="J17" i="11"/>
  <c r="L17" i="11"/>
  <c r="G17" i="11"/>
  <c r="H15" i="11"/>
  <c r="J15" i="11"/>
  <c r="L15" i="11"/>
  <c r="E15" i="11"/>
  <c r="I15" i="11"/>
  <c r="G15" i="11"/>
  <c r="H14" i="11"/>
  <c r="J14" i="11"/>
  <c r="L14" i="11"/>
  <c r="E14" i="11"/>
  <c r="I14" i="11"/>
  <c r="G14" i="11"/>
  <c r="H13" i="11"/>
  <c r="I13" i="11"/>
  <c r="J13" i="11"/>
  <c r="L13" i="11"/>
  <c r="G13" i="11"/>
  <c r="H12" i="11"/>
  <c r="I12" i="11"/>
  <c r="G12" i="11"/>
  <c r="H10" i="11"/>
  <c r="E10" i="11"/>
  <c r="I10" i="11"/>
  <c r="G10" i="11"/>
  <c r="H9" i="11"/>
  <c r="J9" i="11"/>
  <c r="L9" i="11"/>
  <c r="E9" i="11"/>
  <c r="I9" i="11"/>
  <c r="G9" i="11"/>
  <c r="H8" i="11"/>
  <c r="I8" i="11"/>
  <c r="J8" i="11"/>
  <c r="L8" i="11"/>
  <c r="G8" i="11"/>
  <c r="H7" i="11"/>
  <c r="I7" i="11"/>
  <c r="J7" i="11"/>
  <c r="L7" i="11"/>
  <c r="G7" i="11"/>
  <c r="C49" i="21"/>
  <c r="B49" i="21"/>
  <c r="E59" i="21"/>
  <c r="C59" i="21"/>
  <c r="C48" i="21"/>
  <c r="B48" i="21"/>
  <c r="D59" i="21"/>
  <c r="B59" i="21"/>
  <c r="D33" i="21"/>
  <c r="E33" i="21"/>
  <c r="D32" i="21"/>
  <c r="D34" i="21"/>
  <c r="C34" i="21"/>
  <c r="B34" i="21"/>
  <c r="F33" i="21"/>
  <c r="G33" i="21"/>
  <c r="E32" i="21"/>
  <c r="G32" i="21"/>
  <c r="F32" i="21"/>
  <c r="G20" i="21"/>
  <c r="G19" i="21"/>
  <c r="G18" i="21"/>
  <c r="G17" i="21"/>
  <c r="G15" i="21"/>
  <c r="G10" i="21"/>
  <c r="G9" i="21"/>
  <c r="D9" i="21"/>
  <c r="M8" i="21"/>
  <c r="G7" i="21"/>
  <c r="J59" i="12"/>
  <c r="H57" i="12"/>
  <c r="H58" i="12"/>
  <c r="H59" i="12"/>
  <c r="G57" i="12"/>
  <c r="G58" i="12"/>
  <c r="G59" i="12"/>
  <c r="F57" i="12"/>
  <c r="F59" i="12"/>
  <c r="F58" i="12"/>
  <c r="E57" i="12"/>
  <c r="E58" i="12"/>
  <c r="D57" i="12"/>
  <c r="D58" i="12"/>
  <c r="D59" i="12"/>
  <c r="C57" i="12"/>
  <c r="C58" i="12"/>
  <c r="C59" i="12"/>
  <c r="B57" i="12"/>
  <c r="B59" i="12"/>
  <c r="B58" i="12"/>
  <c r="J54" i="12"/>
  <c r="H52" i="12"/>
  <c r="H54" i="12"/>
  <c r="H53" i="12"/>
  <c r="G52" i="12"/>
  <c r="G54" i="12"/>
  <c r="G53" i="12"/>
  <c r="F52" i="12"/>
  <c r="F53" i="12"/>
  <c r="F54" i="12"/>
  <c r="E52" i="12"/>
  <c r="E53" i="12"/>
  <c r="E54" i="12"/>
  <c r="D52" i="12"/>
  <c r="D54" i="12"/>
  <c r="D53" i="12"/>
  <c r="C52" i="12"/>
  <c r="C53" i="12"/>
  <c r="B52" i="12"/>
  <c r="B54" i="12"/>
  <c r="B53" i="12"/>
  <c r="F40" i="12"/>
  <c r="F39" i="12"/>
  <c r="F38" i="12"/>
  <c r="J29" i="12"/>
  <c r="J30" i="12"/>
  <c r="J31" i="12"/>
  <c r="J32" i="12"/>
  <c r="H29" i="12"/>
  <c r="H30" i="12"/>
  <c r="H31" i="12"/>
  <c r="H32" i="12"/>
  <c r="G29" i="12"/>
  <c r="G30" i="12"/>
  <c r="G31" i="12"/>
  <c r="G32" i="12"/>
  <c r="F29" i="12"/>
  <c r="F30" i="12"/>
  <c r="F31" i="12"/>
  <c r="F32" i="12"/>
  <c r="E29" i="12"/>
  <c r="E30" i="12"/>
  <c r="E31" i="12"/>
  <c r="E32" i="12"/>
  <c r="D29" i="12"/>
  <c r="D30" i="12"/>
  <c r="D31" i="12"/>
  <c r="D32" i="12"/>
  <c r="C29" i="12"/>
  <c r="C30" i="12"/>
  <c r="C31" i="12"/>
  <c r="C32" i="12"/>
  <c r="B29" i="12"/>
  <c r="B30" i="12"/>
  <c r="B31" i="12"/>
  <c r="B32" i="12"/>
  <c r="J26" i="12"/>
  <c r="H24" i="12"/>
  <c r="H25" i="12"/>
  <c r="H26" i="12"/>
  <c r="G24" i="12"/>
  <c r="G25" i="12"/>
  <c r="G26" i="12"/>
  <c r="F24" i="12"/>
  <c r="F26" i="12"/>
  <c r="F25" i="12"/>
  <c r="E24" i="12"/>
  <c r="E25" i="12"/>
  <c r="E26" i="12"/>
  <c r="D24" i="12"/>
  <c r="D25" i="12"/>
  <c r="D26" i="12"/>
  <c r="C24" i="12"/>
  <c r="C26" i="12"/>
  <c r="C25" i="12"/>
  <c r="B24" i="12"/>
  <c r="B25" i="12"/>
  <c r="F15" i="12"/>
  <c r="F14" i="12"/>
  <c r="F13" i="12"/>
  <c r="F12" i="12"/>
  <c r="H439" i="1"/>
  <c r="H437" i="1"/>
  <c r="H435" i="1"/>
  <c r="H433" i="1"/>
  <c r="H431" i="1"/>
  <c r="H427" i="1"/>
  <c r="H429" i="1"/>
  <c r="F423" i="1"/>
  <c r="G423" i="1"/>
  <c r="H423" i="1"/>
  <c r="F424" i="1"/>
  <c r="G424" i="1"/>
  <c r="H424" i="1"/>
  <c r="H421" i="1"/>
  <c r="H412" i="1"/>
  <c r="H377" i="1"/>
  <c r="H378" i="1"/>
  <c r="H379" i="1"/>
  <c r="H380" i="1"/>
  <c r="H381" i="1"/>
  <c r="H369" i="1"/>
  <c r="H370" i="1"/>
  <c r="H371" i="1"/>
  <c r="H372" i="1"/>
  <c r="H373" i="1"/>
  <c r="D365" i="1"/>
  <c r="D367" i="1"/>
  <c r="G367" i="1"/>
  <c r="H367" i="1"/>
  <c r="H91" i="1"/>
  <c r="H95" i="1"/>
  <c r="H92" i="1"/>
  <c r="H359" i="1"/>
  <c r="H360" i="1"/>
  <c r="F356" i="1"/>
  <c r="G356" i="1"/>
  <c r="H356" i="1"/>
  <c r="H357" i="1"/>
  <c r="H351" i="1"/>
  <c r="H352" i="1"/>
  <c r="H344" i="1"/>
  <c r="H342" i="1"/>
  <c r="H340" i="1"/>
  <c r="H336" i="1"/>
  <c r="H337" i="1"/>
  <c r="H331" i="1"/>
  <c r="H332" i="1"/>
  <c r="H333" i="1"/>
  <c r="H327" i="1"/>
  <c r="H328" i="1"/>
  <c r="H322" i="1"/>
  <c r="H323" i="1"/>
  <c r="H324" i="1"/>
  <c r="H317" i="1"/>
  <c r="H318" i="1"/>
  <c r="H319" i="1"/>
  <c r="D313" i="1"/>
  <c r="G313" i="1"/>
  <c r="H307" i="1"/>
  <c r="H308" i="1"/>
  <c r="F304" i="1"/>
  <c r="G304" i="1"/>
  <c r="H304" i="1"/>
  <c r="H305" i="1"/>
  <c r="H301" i="1"/>
  <c r="H302" i="1"/>
  <c r="H294" i="1"/>
  <c r="H290" i="1"/>
  <c r="H291" i="1"/>
  <c r="H286" i="1"/>
  <c r="H287" i="1"/>
  <c r="H282" i="1"/>
  <c r="H283" i="1"/>
  <c r="H277" i="1"/>
  <c r="H278" i="1"/>
  <c r="H279" i="1"/>
  <c r="H271" i="1"/>
  <c r="H272" i="1"/>
  <c r="H273" i="1"/>
  <c r="H274" i="1"/>
  <c r="H266" i="1"/>
  <c r="H267" i="1"/>
  <c r="H268" i="1"/>
  <c r="G266" i="1"/>
  <c r="G267" i="1"/>
  <c r="G268" i="1"/>
  <c r="H260" i="1"/>
  <c r="H261" i="1"/>
  <c r="H262" i="1"/>
  <c r="H263" i="1"/>
  <c r="D256" i="1"/>
  <c r="D258" i="1"/>
  <c r="G258" i="1"/>
  <c r="H250" i="1"/>
  <c r="H253" i="1"/>
  <c r="H254" i="1"/>
  <c r="G247" i="1"/>
  <c r="H247" i="1"/>
  <c r="H248" i="1"/>
  <c r="H242" i="1"/>
  <c r="H243" i="1"/>
  <c r="H231" i="1"/>
  <c r="H232" i="1"/>
  <c r="H233" i="1"/>
  <c r="H234" i="1"/>
  <c r="H227" i="1"/>
  <c r="H228" i="1"/>
  <c r="H225" i="1"/>
  <c r="H221" i="1"/>
  <c r="H222" i="1"/>
  <c r="H215" i="1"/>
  <c r="H216" i="1"/>
  <c r="H213" i="1"/>
  <c r="H211" i="1"/>
  <c r="H199" i="1"/>
  <c r="H203" i="1"/>
  <c r="H205" i="1"/>
  <c r="F201" i="1"/>
  <c r="G201" i="1"/>
  <c r="H201" i="1"/>
  <c r="H189" i="1"/>
  <c r="H190" i="1"/>
  <c r="H191" i="1"/>
  <c r="H187" i="1"/>
  <c r="H182" i="1"/>
  <c r="H183" i="1"/>
  <c r="H184" i="1"/>
  <c r="H176" i="1"/>
  <c r="H177" i="1"/>
  <c r="H178" i="1"/>
  <c r="H179" i="1"/>
  <c r="H168" i="1"/>
  <c r="H169" i="1"/>
  <c r="H170" i="1"/>
  <c r="H171" i="1"/>
  <c r="H172" i="1"/>
  <c r="H164" i="1"/>
  <c r="H158" i="1"/>
  <c r="H159" i="1"/>
  <c r="H160" i="1"/>
  <c r="H161" i="1"/>
  <c r="H156" i="1"/>
  <c r="H151" i="1"/>
  <c r="D147" i="1"/>
  <c r="D149" i="1"/>
  <c r="H143" i="1"/>
  <c r="H145" i="1"/>
  <c r="F141" i="1"/>
  <c r="H137" i="1"/>
  <c r="H138" i="1"/>
  <c r="H130" i="1"/>
  <c r="H126" i="1"/>
  <c r="H127" i="1"/>
  <c r="H121" i="1"/>
  <c r="H124" i="1"/>
  <c r="H122" i="1"/>
  <c r="H123" i="1"/>
  <c r="H117" i="1"/>
  <c r="H118" i="1"/>
  <c r="H113" i="1"/>
  <c r="H114" i="1"/>
  <c r="H107" i="1"/>
  <c r="H108" i="1"/>
  <c r="H109" i="1"/>
  <c r="H103" i="1"/>
  <c r="H104" i="1"/>
  <c r="H101" i="1"/>
  <c r="H99" i="1"/>
  <c r="G96" i="1"/>
  <c r="D96" i="1"/>
  <c r="G95" i="1"/>
  <c r="D95" i="1"/>
  <c r="H85" i="1"/>
  <c r="H88" i="1"/>
  <c r="H89" i="1"/>
  <c r="F82" i="1"/>
  <c r="G82" i="1"/>
  <c r="H82" i="1"/>
  <c r="H83" i="1"/>
  <c r="H79" i="1"/>
  <c r="H80" i="1"/>
  <c r="H74" i="1"/>
  <c r="H62" i="1"/>
  <c r="H65" i="1"/>
  <c r="H66" i="1"/>
  <c r="H67" i="1"/>
  <c r="H68" i="1"/>
  <c r="H69" i="1"/>
  <c r="H57" i="1"/>
  <c r="H58" i="1"/>
  <c r="H59" i="1"/>
  <c r="H55" i="1"/>
  <c r="H53" i="1"/>
  <c r="H49" i="1"/>
  <c r="H50" i="1"/>
  <c r="H44" i="1"/>
  <c r="H45" i="1"/>
  <c r="H46" i="1"/>
  <c r="H40" i="1"/>
  <c r="H41" i="1"/>
  <c r="D36" i="1"/>
  <c r="H36" i="1"/>
  <c r="D37" i="1"/>
  <c r="H37" i="1"/>
  <c r="H32" i="1"/>
  <c r="H33" i="1"/>
  <c r="H28" i="1"/>
  <c r="H30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H16" i="1"/>
  <c r="H17" i="1"/>
  <c r="H238" i="7"/>
  <c r="H237" i="7"/>
  <c r="F236" i="7"/>
  <c r="G236" i="7"/>
  <c r="H236" i="7"/>
  <c r="F235" i="7"/>
  <c r="G235" i="7"/>
  <c r="H235" i="7"/>
  <c r="F234" i="7"/>
  <c r="G234" i="7"/>
  <c r="H234" i="7"/>
  <c r="H233" i="7"/>
  <c r="H232" i="7"/>
  <c r="H231" i="7"/>
  <c r="H229" i="7"/>
  <c r="H228" i="7"/>
  <c r="H227" i="7"/>
  <c r="H225" i="7"/>
  <c r="H224" i="7"/>
  <c r="H223" i="7"/>
  <c r="H222" i="7"/>
  <c r="F221" i="7"/>
  <c r="G221" i="7"/>
  <c r="F220" i="7"/>
  <c r="G220" i="7"/>
  <c r="H220" i="7"/>
  <c r="F219" i="7"/>
  <c r="G219" i="7"/>
  <c r="H219" i="7"/>
  <c r="F218" i="7"/>
  <c r="G218" i="7"/>
  <c r="H218" i="7"/>
  <c r="H217" i="7"/>
  <c r="H216" i="7"/>
  <c r="H215" i="7"/>
  <c r="H214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F199" i="7"/>
  <c r="G199" i="7"/>
  <c r="H199" i="7"/>
  <c r="F198" i="7"/>
  <c r="G198" i="7"/>
  <c r="H198" i="7"/>
  <c r="F197" i="7"/>
  <c r="G197" i="7"/>
  <c r="H197" i="7"/>
  <c r="F196" i="7"/>
  <c r="G196" i="7"/>
  <c r="H196" i="7"/>
  <c r="F195" i="7"/>
  <c r="G195" i="7"/>
  <c r="H195" i="7"/>
  <c r="H194" i="7"/>
  <c r="H193" i="7"/>
  <c r="H192" i="7"/>
  <c r="H191" i="7"/>
  <c r="H190" i="7"/>
  <c r="H188" i="7"/>
  <c r="H187" i="7"/>
  <c r="H186" i="7"/>
  <c r="H185" i="7"/>
  <c r="H184" i="7"/>
  <c r="H183" i="7"/>
  <c r="H182" i="7"/>
  <c r="H181" i="7"/>
  <c r="G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F167" i="7"/>
  <c r="H166" i="7"/>
  <c r="F166" i="7"/>
  <c r="H165" i="7"/>
  <c r="F165" i="7"/>
  <c r="H164" i="7"/>
  <c r="F164" i="7"/>
  <c r="H163" i="7"/>
  <c r="F163" i="7"/>
  <c r="H162" i="7"/>
  <c r="F162" i="7"/>
  <c r="H161" i="7"/>
  <c r="F161" i="7"/>
  <c r="H160" i="7"/>
  <c r="F160" i="7"/>
  <c r="H159" i="7"/>
  <c r="H158" i="7"/>
  <c r="H157" i="7"/>
  <c r="H156" i="7"/>
  <c r="H155" i="7"/>
  <c r="H154" i="7"/>
  <c r="H153" i="7"/>
  <c r="H152" i="7"/>
  <c r="H151" i="7"/>
  <c r="H149" i="7"/>
  <c r="G149" i="7"/>
  <c r="H148" i="7"/>
  <c r="G148" i="7"/>
  <c r="H147" i="7"/>
  <c r="H146" i="7"/>
  <c r="H145" i="7"/>
  <c r="H144" i="7"/>
  <c r="F143" i="7"/>
  <c r="G143" i="7"/>
  <c r="H143" i="7"/>
  <c r="F142" i="7"/>
  <c r="G142" i="7"/>
  <c r="H142" i="7"/>
  <c r="F141" i="7"/>
  <c r="G141" i="7"/>
  <c r="H141" i="7"/>
  <c r="F140" i="7"/>
  <c r="G140" i="7"/>
  <c r="H140" i="7"/>
  <c r="H139" i="7"/>
  <c r="H138" i="7"/>
  <c r="H137" i="7"/>
  <c r="H136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F119" i="7"/>
  <c r="G119" i="7"/>
  <c r="H119" i="7"/>
  <c r="F118" i="7"/>
  <c r="G118" i="7"/>
  <c r="H118" i="7"/>
  <c r="F117" i="7"/>
  <c r="G117" i="7"/>
  <c r="H117" i="7"/>
  <c r="F116" i="7"/>
  <c r="G116" i="7"/>
  <c r="H116" i="7"/>
  <c r="F115" i="7"/>
  <c r="G115" i="7"/>
  <c r="H115" i="7"/>
  <c r="H114" i="7"/>
  <c r="H113" i="7"/>
  <c r="H112" i="7"/>
  <c r="H111" i="7"/>
  <c r="H110" i="7"/>
  <c r="H109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F90" i="7"/>
  <c r="G90" i="7"/>
  <c r="H90" i="7"/>
  <c r="F89" i="7"/>
  <c r="G89" i="7"/>
  <c r="H89" i="7"/>
  <c r="F88" i="7"/>
  <c r="G88" i="7"/>
  <c r="H88" i="7"/>
  <c r="F87" i="7"/>
  <c r="G87" i="7"/>
  <c r="H87" i="7"/>
  <c r="H86" i="7"/>
  <c r="H85" i="7"/>
  <c r="H84" i="7"/>
  <c r="H83" i="7"/>
  <c r="F81" i="7"/>
  <c r="G81" i="7"/>
  <c r="H81" i="7"/>
  <c r="F80" i="7"/>
  <c r="G80" i="7"/>
  <c r="H80" i="7"/>
  <c r="F79" i="7"/>
  <c r="G79" i="7"/>
  <c r="H79" i="7"/>
  <c r="F78" i="7"/>
  <c r="G78" i="7"/>
  <c r="H78" i="7"/>
  <c r="F77" i="7"/>
  <c r="G77" i="7"/>
  <c r="H77" i="7"/>
  <c r="F76" i="7"/>
  <c r="G76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F54" i="7"/>
  <c r="G54" i="7"/>
  <c r="H54" i="7"/>
  <c r="F53" i="7"/>
  <c r="G53" i="7"/>
  <c r="H53" i="7"/>
  <c r="F52" i="7"/>
  <c r="G52" i="7"/>
  <c r="H52" i="7"/>
  <c r="F51" i="7"/>
  <c r="G51" i="7"/>
  <c r="H51" i="7"/>
  <c r="F50" i="7"/>
  <c r="G50" i="7"/>
  <c r="H50" i="7"/>
  <c r="F49" i="7"/>
  <c r="G49" i="7"/>
  <c r="H49" i="7"/>
  <c r="H48" i="7"/>
  <c r="G47" i="7"/>
  <c r="H47" i="7"/>
  <c r="G46" i="7"/>
  <c r="H46" i="7"/>
  <c r="G45" i="7"/>
  <c r="H45" i="7"/>
  <c r="G44" i="7"/>
  <c r="H44" i="7"/>
  <c r="G43" i="7"/>
  <c r="H43" i="7"/>
  <c r="F38" i="7"/>
  <c r="G38" i="7"/>
  <c r="H38" i="7"/>
  <c r="F39" i="7"/>
  <c r="G39" i="7"/>
  <c r="H39" i="7"/>
  <c r="F40" i="7"/>
  <c r="G40" i="7"/>
  <c r="H40" i="7"/>
  <c r="H36" i="7"/>
  <c r="H34" i="7"/>
  <c r="H32" i="7"/>
  <c r="H31" i="7"/>
  <c r="H30" i="7"/>
  <c r="D29" i="7"/>
  <c r="H29" i="7"/>
  <c r="H28" i="7"/>
  <c r="G23" i="7"/>
  <c r="H23" i="7"/>
  <c r="H26" i="7"/>
  <c r="G25" i="7"/>
  <c r="H25" i="7"/>
  <c r="G24" i="7"/>
  <c r="H24" i="7"/>
  <c r="G18" i="7"/>
  <c r="H18" i="7"/>
  <c r="H20" i="7"/>
  <c r="G19" i="7"/>
  <c r="H19" i="7"/>
  <c r="F16" i="7"/>
  <c r="G16" i="7"/>
  <c r="H16" i="7"/>
  <c r="G14" i="7"/>
  <c r="H14" i="7"/>
  <c r="G9" i="7"/>
  <c r="H9" i="7"/>
  <c r="G10" i="7"/>
  <c r="H10" i="7"/>
  <c r="H12" i="7"/>
  <c r="G11" i="7"/>
  <c r="H11" i="7"/>
  <c r="F7" i="7"/>
  <c r="G7" i="7"/>
  <c r="H7" i="7"/>
  <c r="H119" i="1"/>
  <c r="H105" i="1"/>
  <c r="H128" i="1"/>
  <c r="H110" i="1"/>
  <c r="H115" i="1"/>
  <c r="H383" i="1"/>
  <c r="H375" i="1"/>
  <c r="H310" i="1"/>
  <c r="H311" i="1"/>
  <c r="H229" i="1"/>
  <c r="G365" i="1"/>
  <c r="D315" i="1"/>
  <c r="G315" i="1"/>
  <c r="H292" i="1"/>
  <c r="H235" i="1"/>
  <c r="H320" i="1"/>
  <c r="H47" i="1"/>
  <c r="H353" i="1"/>
  <c r="H354" i="1"/>
  <c r="H93" i="1"/>
  <c r="H207" i="1"/>
  <c r="D207" i="1"/>
  <c r="D209" i="1"/>
  <c r="H162" i="1"/>
  <c r="H165" i="1"/>
  <c r="H166" i="1"/>
  <c r="H96" i="1"/>
  <c r="H97" i="1"/>
  <c r="H325" i="1"/>
  <c r="H18" i="1"/>
  <c r="H264" i="1"/>
  <c r="H329" i="1"/>
  <c r="H338" i="1"/>
  <c r="H34" i="1"/>
  <c r="H70" i="1"/>
  <c r="H51" i="1"/>
  <c r="H139" i="1"/>
  <c r="H180" i="1"/>
  <c r="H185" i="1"/>
  <c r="H251" i="1"/>
  <c r="H362" i="1"/>
  <c r="H363" i="1"/>
  <c r="H192" i="1"/>
  <c r="H223" i="1"/>
  <c r="H38" i="1"/>
  <c r="H173" i="1"/>
  <c r="H275" i="1"/>
  <c r="H26" i="1"/>
  <c r="H41" i="7"/>
  <c r="H14" i="6"/>
  <c r="H20" i="6"/>
  <c r="H124" i="3"/>
  <c r="H125" i="3"/>
  <c r="B36" i="15"/>
  <c r="B13" i="15"/>
  <c r="B20" i="15"/>
  <c r="H269" i="1"/>
  <c r="H21" i="3"/>
  <c r="H41" i="6"/>
  <c r="H42" i="6"/>
  <c r="H280" i="1"/>
  <c r="D49" i="21"/>
  <c r="H58" i="21"/>
  <c r="I58" i="21"/>
  <c r="J20" i="11"/>
  <c r="L20" i="11"/>
  <c r="J22" i="11"/>
  <c r="L22" i="11"/>
  <c r="J29" i="11"/>
  <c r="L29" i="11"/>
  <c r="J44" i="11"/>
  <c r="L44" i="11"/>
  <c r="E9" i="15"/>
  <c r="G9" i="15"/>
  <c r="H28" i="6"/>
  <c r="H365" i="1"/>
  <c r="B26" i="12"/>
  <c r="E59" i="12"/>
  <c r="J25" i="11"/>
  <c r="L25" i="11"/>
  <c r="J42" i="11"/>
  <c r="L42" i="11"/>
  <c r="H34" i="6"/>
  <c r="H42" i="1"/>
  <c r="H60" i="1"/>
  <c r="H86" i="1"/>
  <c r="H217" i="1"/>
  <c r="H219" i="1"/>
  <c r="H244" i="1"/>
  <c r="H245" i="1"/>
  <c r="H284" i="1"/>
  <c r="H334" i="1"/>
  <c r="H425" i="1"/>
  <c r="D48" i="21"/>
  <c r="H57" i="21"/>
  <c r="I57" i="21"/>
  <c r="J10" i="11"/>
  <c r="L10" i="11"/>
  <c r="J12" i="11"/>
  <c r="L12" i="11"/>
  <c r="J19" i="11"/>
  <c r="L19" i="11"/>
  <c r="J35" i="11"/>
  <c r="L35" i="11"/>
  <c r="H102" i="3"/>
  <c r="H9" i="15"/>
  <c r="B34" i="15"/>
  <c r="F9" i="15"/>
  <c r="B31" i="15"/>
  <c r="B15" i="15"/>
  <c r="H53" i="6"/>
  <c r="H54" i="6"/>
  <c r="G269" i="1"/>
  <c r="H288" i="1"/>
  <c r="C54" i="12"/>
  <c r="H16" i="3"/>
  <c r="H256" i="1"/>
  <c r="H258" i="1"/>
  <c r="H209" i="1"/>
  <c r="H313" i="1"/>
  <c r="H315" i="1"/>
  <c r="H147" i="1"/>
  <c r="H149" i="1"/>
  <c r="B17" i="15"/>
  <c r="B35" i="15"/>
  <c r="B25" i="15"/>
  <c r="B12" i="15"/>
  <c r="B18" i="15"/>
  <c r="B22" i="15"/>
  <c r="B11" i="15"/>
  <c r="G66" i="21"/>
  <c r="F66" i="21"/>
  <c r="G65" i="21"/>
  <c r="F65" i="21"/>
  <c r="B28" i="15"/>
  <c r="B29" i="15"/>
  <c r="B19" i="15"/>
</calcChain>
</file>

<file path=xl/sharedStrings.xml><?xml version="1.0" encoding="utf-8"?>
<sst xmlns="http://schemas.openxmlformats.org/spreadsheetml/2006/main" count="3199" uniqueCount="801">
  <si>
    <t xml:space="preserve">American Almanac and Repository of Useful Knowledge for the Year 1851 (Boston: Charles C. Little and James Brown, 1851). </t>
  </si>
  <si>
    <t xml:space="preserve"> Joel Perlmann and Robert A. Margo. 2001. Women’s Work? American Schoolteachers, 1650-1920. Chicago: University of Chicago Press.</t>
  </si>
  <si>
    <t>Lebergott (1964: p. 318) reports for coalmining that in 1860 "91/2 months' months work in not an unreasonable figure." Were they laborers for the other 21/2 months?</t>
  </si>
  <si>
    <r>
      <rPr>
        <u/>
        <sz val="11"/>
        <color theme="1"/>
        <rFont val="Calibri"/>
        <family val="2"/>
        <scheme val="minor"/>
      </rPr>
      <t>Teachers' in-kind payments</t>
    </r>
    <r>
      <rPr>
        <sz val="11"/>
        <color theme="1"/>
        <rFont val="Calibri"/>
        <family val="2"/>
        <scheme val="minor"/>
      </rPr>
      <t xml:space="preserve">: Rural teachers were commonly "boarded around" and we take the in kind % of cash wage = 50% as for farm labor. Urban </t>
    </r>
  </si>
  <si>
    <t>teachers were not commonly boarded around.</t>
  </si>
  <si>
    <t>Northeast</t>
  </si>
  <si>
    <t>S</t>
  </si>
  <si>
    <t>Domestics</t>
  </si>
  <si>
    <t>other</t>
  </si>
  <si>
    <t>Rural male wts</t>
  </si>
  <si>
    <t>Urban male wts</t>
  </si>
  <si>
    <t>Rural male $</t>
  </si>
  <si>
    <t>Urban male $</t>
  </si>
  <si>
    <t>WNC</t>
  </si>
  <si>
    <t>Rural Female $</t>
  </si>
  <si>
    <t>Urban Female $</t>
  </si>
  <si>
    <t xml:space="preserve"> We apply the manufacturing and farm weights to rural male teacher earnings while not teaching and in these occupations (there are no clerk </t>
  </si>
  <si>
    <t>earnings data), and manufacturing and clerk (at half rates of pay since part-time) in urban.</t>
  </si>
  <si>
    <t>Urban Female wts</t>
  </si>
  <si>
    <t>Rural Female wts</t>
  </si>
  <si>
    <t xml:space="preserve">In urban, we apply the manufacturing, clerk and domestic weights to female earnings in these occupations (clerks paid quarter rate = half </t>
  </si>
  <si>
    <t>of part-time males), and rural for domestics and manufacturing (there are no rural clerk data).</t>
  </si>
  <si>
    <t>JGW May 18 2013</t>
  </si>
  <si>
    <t>PAC teacher wages are estimated by multiplying MA teacher wages (urban/rural, male/female) by PAC/MA male common labor wages ratio.</t>
  </si>
  <si>
    <t>"1850 Teachers C"</t>
  </si>
  <si>
    <t>Part II, pp. 103-298, and others listed.</t>
  </si>
  <si>
    <t>Includes non-teaching earnings. See sheets "1850 teachers A, B, and C".</t>
  </si>
  <si>
    <t>Includes non-teaching earnings. See sheets "1850 teachers A, B, C".</t>
  </si>
  <si>
    <t>JGW May 18 2013.</t>
  </si>
  <si>
    <t>See sheet "1850 teachers A, B, and C".</t>
  </si>
  <si>
    <t>allowance for compensation received in this form ... pp. 34-35)." We disagree, since this was not true of domestics or farm labor.</t>
  </si>
  <si>
    <t>JGW May 18, 2013</t>
  </si>
  <si>
    <r>
      <rPr>
        <b/>
        <sz val="16"/>
        <color rgb="FFFF0000"/>
        <rFont val="Calibri"/>
        <family val="2"/>
        <scheme val="minor"/>
      </rPr>
      <t>Bottom line</t>
    </r>
    <r>
      <rPr>
        <sz val="11"/>
        <color theme="1"/>
        <rFont val="Calibri"/>
        <family val="2"/>
        <scheme val="minor"/>
      </rPr>
      <t xml:space="preserve">: For workers receiving daily wages, we assume 313 days per year = FTE. We then experiment with lower figures for comparability </t>
    </r>
  </si>
  <si>
    <t>with competing output estimates. Similarly, salaried receiving weekly wages and multiplied by 52 = annual, and monthly wage earners time 12 = annual..</t>
  </si>
  <si>
    <t>Burgess reports the data for male and female, but not averages for both. For this, we use the % teachers female = .76 in 1861 in the North (Perlman and Margo</t>
  </si>
  <si>
    <t>Wtd average</t>
  </si>
  <si>
    <t>F/average</t>
  </si>
  <si>
    <t>M/average</t>
  </si>
  <si>
    <t>1850 teacher annual wages for teaching: North urban, rural</t>
  </si>
  <si>
    <t xml:space="preserve">2001, Table 1.1, p. 22: where North = NE + NY, NJ, PA, and Midwest = ENC + WNC). </t>
  </si>
  <si>
    <t xml:space="preserve">To convert from weekly wages, we need weeks in the term up North in 1851. The average from the Almanac 1851 is 23.99 weeks (=4*5.998 mos.: </t>
  </si>
  <si>
    <t>North = NH, NJ, NY, PA, WI.)</t>
  </si>
  <si>
    <t>Weekly</t>
  </si>
  <si>
    <t xml:space="preserve">Go and Lindert (2010: Table 1, p. 4) tell us that teachers salaries dominated total expenditures, and that these and teachers were reported in the 1850 census, </t>
  </si>
  <si>
    <t>where North = CT, IL, IN, IA, ME, MI, NH, NJ, NY, OH, PA, RI, VT, WI; and South = AL, AR, DE, FL, KY, GA, LA, MD, MS, MO, NC, SC, TN, TX, VA.</t>
  </si>
  <si>
    <t>Assuming the North urban and rural ratios male and female teachers' wages to average (see above) also applied to the South:</t>
  </si>
  <si>
    <t>JGW May 17 2013</t>
  </si>
  <si>
    <t>Almanac 1851 data</t>
  </si>
  <si>
    <t>1850 teacher weekly wages: North urban, rural (Burgess)</t>
  </si>
  <si>
    <t>1850 teacher annual wages for teaching: North and South urban, rural</t>
  </si>
  <si>
    <t>Teacher wages while teaching</t>
  </si>
  <si>
    <t>1850 Teacher wages while teaching</t>
  </si>
  <si>
    <t>Teacher wages</t>
  </si>
  <si>
    <t>teaching/yr</t>
  </si>
  <si>
    <t>"1850 Teachers B"</t>
  </si>
  <si>
    <t>Months</t>
  </si>
  <si>
    <t>Source: Joel Perlmann and Robert A. Margo. 2001. Women’s Work? American Schoolteachers, 1650-1920. Chicago: University of Chicago Press.</t>
  </si>
  <si>
    <t xml:space="preserve">Non-school employment for teachers: </t>
  </si>
  <si>
    <t>Female teachers</t>
  </si>
  <si>
    <t xml:space="preserve">We assume that female teachers were employed the same way as native-born whites: e.g. p. 50: Table 2.5 reports for gainfully employed daughters, </t>
  </si>
  <si>
    <t>16-25, native-born whites living outside the 98 largest cities, in 1860 (in %):</t>
  </si>
  <si>
    <t>Male teachers</t>
  </si>
  <si>
    <r>
      <rPr>
        <u/>
        <sz val="11"/>
        <color theme="1"/>
        <rFont val="Calibri"/>
        <family val="2"/>
        <scheme val="minor"/>
      </rPr>
      <t>Non-school job annual earnings</t>
    </r>
    <r>
      <rPr>
        <sz val="11"/>
        <color theme="1"/>
        <rFont val="Calibri"/>
        <family val="2"/>
        <scheme val="minor"/>
      </rPr>
      <t xml:space="preserve">: For the 6 months not teaching, the estimates apply non-teaching occupational employment options ("1850 teachers C") </t>
    </r>
  </si>
  <si>
    <t>to 50% of average FTE annual earnings in those occupations.</t>
  </si>
  <si>
    <t>As in MA, 0.811 times urban 1850.</t>
  </si>
  <si>
    <t>Average NE and MA, 0.877 times 1850 urban.</t>
  </si>
  <si>
    <t xml:space="preserve"> NE = .943; MA = .811; like MA, ENC =  WNC = .811; SA = .923; like SA, ESC = WSC = .923; and like average NE and MA, PAC = .877. </t>
  </si>
  <si>
    <t>WSC/MA ratio of annual earnings in the average of woolen textiles and iron and steel [1849: Lebergott (1964: Table A-27, p. 543), FTE equivalent] = 1.041 times MA male manufacturing annual earnings from above (Sokoloff and Villaflor (1992), Table 1.1, p. 36).</t>
  </si>
  <si>
    <t>As in SA, 0.923 times 1850 urban.</t>
  </si>
  <si>
    <t>State</t>
  </si>
  <si>
    <t xml:space="preserve">Winter </t>
  </si>
  <si>
    <t>Summer</t>
  </si>
  <si>
    <t>Cash Wage/month</t>
  </si>
  <si>
    <t>NE</t>
  </si>
  <si>
    <t>In-kind pay/month</t>
  </si>
  <si>
    <t>Total pay/month</t>
  </si>
  <si>
    <t>Total pay teaching/year</t>
  </si>
  <si>
    <t>Term (mos.)</t>
  </si>
  <si>
    <t>ENC</t>
  </si>
  <si>
    <t>SA</t>
  </si>
  <si>
    <t>ESC</t>
  </si>
  <si>
    <t>WSC</t>
  </si>
  <si>
    <t>MT</t>
  </si>
  <si>
    <t>PAC</t>
  </si>
  <si>
    <t>*</t>
  </si>
  <si>
    <t>Almanac 1851; * cash wage includes board</t>
  </si>
  <si>
    <t>W. Randolp Burgess. 1920. Trends in School Costs. New York: Russell Sage Foundation).</t>
  </si>
  <si>
    <t>P. 32, Table 2, reports weekly salaries for men and women, urban and rural, 1850:</t>
  </si>
  <si>
    <t xml:space="preserve">On p. 31, Burgess notes the source of the data as: </t>
  </si>
  <si>
    <t>NE: Bosotn, Sprigfield, Worcester and MA rural counties; Hartford, New Haven, Stamford and CT rural counties; Concord and NH rural counties</t>
  </si>
  <si>
    <t>MA: Altoona, Harrisburg, Reading and PA rural counties; Baltimore and MD rural counties</t>
  </si>
  <si>
    <t>ENC: Cincinnati, Cleveland, Columbus and rural OH counties; Detroit, Grand Rapids and rural MI counties; Beloit, LaCrosse, Milwaukee and rural WI counties</t>
  </si>
  <si>
    <t>WNC: Kansas City, St. Louis and rural MO counties. There are no data for the South.</t>
  </si>
  <si>
    <t>R/U</t>
  </si>
  <si>
    <t>F/M</t>
  </si>
  <si>
    <t>Almanac 1851: OH is an outlier, and may include board</t>
  </si>
  <si>
    <t>North average (exc. OH)</t>
  </si>
  <si>
    <t>All Primary and Secondary Schools 1850</t>
  </si>
  <si>
    <t>North</t>
  </si>
  <si>
    <t>Total Expenditures ($mil.)</t>
  </si>
  <si>
    <t>Total teachers (000)</t>
  </si>
  <si>
    <t>Expenditures/teacher</t>
  </si>
  <si>
    <t>The Burgess figures were taken from the Aldrich Report, which in turn got the data from a Dr. W. T. Harris at the US Commissioner of Education (p. 29).</t>
  </si>
  <si>
    <t>83.3% of rest of NE</t>
  </si>
  <si>
    <t>94.7% of rest of NE</t>
  </si>
  <si>
    <t>93.9% of urban NE.</t>
  </si>
  <si>
    <t>0.943 times urban 1850.</t>
  </si>
  <si>
    <t>93.3% of rest of MA</t>
  </si>
  <si>
    <t>84.3% of rest of MA</t>
  </si>
  <si>
    <t>77.8% of urban MA</t>
  </si>
  <si>
    <t>0.811 times urban 1850.</t>
  </si>
  <si>
    <t>Lebergott (1964: pTable A-20, p. 529).</t>
  </si>
  <si>
    <t xml:space="preserve">in much of the estimates that follow. In addition, unless otherwise noted, we select common labor observations from those states which have very few </t>
  </si>
  <si>
    <t>towns of any size, if any. Thus, we ignore LA in the West South Central,  MA, RI and CT in New England, and so on.</t>
  </si>
  <si>
    <t>common labor, for common labor alone, or for manufacturing alone:</t>
  </si>
  <si>
    <t>ENC/MA ratio of annual earnings in cotton textiles [1849: Lebergott 1964: Table A-27, p. 543), FTE equivalent] = 0.845 times MA male manufacturing annual earnings from above (Sokoloff and Villaflor (1992), Table 1.1, p. 36) .</t>
  </si>
  <si>
    <t>As in ENC.</t>
  </si>
  <si>
    <t>WNC/MA ratio of annual earnings in cotton textiles [1849: Lebergott (1964: Table A-27, p. 543), FTE equivalent] = 0.776 times MA male manufacturing annual earnings from above (Sokoloff and Villaflor (1992), Table 1.1, p. 36).</t>
  </si>
  <si>
    <t>92.3% of rest of SA</t>
  </si>
  <si>
    <t>0.923 times urban 1850.</t>
  </si>
  <si>
    <t>SA/MA ratio of annual earnings in cotton textiles [1849: Lebergott 1964: Table A-27, p. 543), FTE equivalent] = 0.739 times MA male manufacturing annual earnings from above (Sokoloff and Villaflor (1992), Table 1.1, p. 36).</t>
  </si>
  <si>
    <t>As in SA.</t>
  </si>
  <si>
    <t>ESC/MA ratio of annual earnings in cotton textiles [1849: Lebergott (1964: Table A-27, p. 543), FTE equivalent] = 0.697 times MA male manufacturing annual earnings from above (Sokoloff and Villaflor (1992), Table 1.1, p. 36).</t>
  </si>
  <si>
    <t>Clergy</t>
  </si>
  <si>
    <t>TX auditors</t>
  </si>
  <si>
    <t>LA auditors</t>
  </si>
  <si>
    <t>TX warden</t>
  </si>
  <si>
    <t>LA superintendent PS</t>
  </si>
  <si>
    <t>LA librarian</t>
  </si>
  <si>
    <t>1851: HSUS (2006) Ba4276</t>
  </si>
  <si>
    <t xml:space="preserve">In 1860 US sheet, the ratio of building trades (blacksmiths, carpenters, painters, etc.: 508.94) to artisans (548.22) = 0.928. </t>
  </si>
  <si>
    <t>1849 SA/MA ratio of annual earnings in cotton textiles [Lebergott 1964: Table A-27, p. 543), FTE equivalent] = .739 times MA urban male manufacturing annual earnings from above (Sokoloff and Villaflor (1992), Table 1.1, p. 36).</t>
  </si>
  <si>
    <t>1849 ENC/MA ratio of annual earnings in cotton textiles [Lebergott 1964: Table A-27, p. 543) = 0.845 times MA urban male manufacturing annual earnings from above (Sokoloff and Villaflor (1992), Table 1.1, p. 36).</t>
  </si>
  <si>
    <t>1849 WNC = MO/MA ratio of annual earnings in cotton textiles Lebergott (1964: Table A-27, p. 543) = 0.776 times MA urban male manufacturing annual earnings from above (Sokoloff and Villaflor (1992), Table 1.1, p. 36).</t>
  </si>
  <si>
    <t>1849 ESC/MA ratio of annual earnings in cotton textiles [Lebergott 1964: Table A-27, p. 543), FTE equivalent] = 0.696 times MA urban male manufacturing annual earnings from above (Sokoloff and Villaflor (1992), Table 1.1, p. 36).</t>
  </si>
  <si>
    <t>1859 WSC/MA ratio of annual earnings in the average of woolen textiles and iron and steel [Lebergott 1964: Table A-27, p. 543), FTE equivalent] = 1.041 times MA urban male manufacturing annual earnings from above (Sokoloff and Villaflor (1992), Table 1.1, p. 36).</t>
  </si>
  <si>
    <t>CA treasurers</t>
  </si>
  <si>
    <t>CA lawyers</t>
  </si>
  <si>
    <t>CA technical</t>
  </si>
  <si>
    <t>Technical = chemist, geologist, surveyor, engineer, draughtsman, machinist, professor, etc.</t>
  </si>
  <si>
    <t>Auditors = auditors, examiners, etc.</t>
  </si>
  <si>
    <t>Commissioners = inspectors, chiefs of bureau, superintendents, commissioners, wardens, land agents,etc.</t>
  </si>
  <si>
    <t>White collar group aggregates:</t>
  </si>
  <si>
    <t>Treasurers = cashiers, treasurers, comptrollers, etc.</t>
  </si>
  <si>
    <t xml:space="preserve">Almanac 1851 </t>
  </si>
  <si>
    <t>HSUS (2006) Ba4225 reports female/male earnings ratio for 1850 = 0.485.</t>
  </si>
  <si>
    <t>Adult male, major urban, times HSUS (2006) Ba4225 female/male earnings ratio for 1850 =0.485.</t>
  </si>
  <si>
    <t>Lebergott (1964), p. 333. Inclues  pay and perquisites.</t>
  </si>
  <si>
    <t>yes:room &amp; board</t>
  </si>
  <si>
    <t>PA lawyers</t>
  </si>
  <si>
    <t>DC  auditors</t>
  </si>
  <si>
    <t>DC Surgeon</t>
  </si>
  <si>
    <t>DC Teacher</t>
  </si>
  <si>
    <t>DC Master</t>
  </si>
  <si>
    <t>DC Professor</t>
  </si>
  <si>
    <t>DC librarian</t>
  </si>
  <si>
    <t>MD librarian</t>
  </si>
  <si>
    <t>NY librarian</t>
  </si>
  <si>
    <t>DE auditors</t>
  </si>
  <si>
    <t>MD auditors</t>
  </si>
  <si>
    <t>NJ tresurers</t>
  </si>
  <si>
    <t>NY auditors</t>
  </si>
  <si>
    <t>PA auditors</t>
  </si>
  <si>
    <t>DC Prison Warden</t>
  </si>
  <si>
    <t>NY Superintendent PS</t>
  </si>
  <si>
    <t>PA Superintendent PS</t>
  </si>
  <si>
    <t>MA technical</t>
  </si>
  <si>
    <t>1851: HSUS (2006) Ba4273</t>
  </si>
  <si>
    <t>Adult male, rural, weighted times HSUS (2006) Ba4225 reports female/male earnings ratio for 1850 = 0.485.</t>
  </si>
  <si>
    <t>lawyers</t>
  </si>
  <si>
    <t>Lawyers/judges MA = 0.8645 times ENC judges.</t>
  </si>
  <si>
    <t>IN librarian</t>
  </si>
  <si>
    <t>MI librarian</t>
  </si>
  <si>
    <t>OH librarian</t>
  </si>
  <si>
    <t>OH auditors</t>
  </si>
  <si>
    <t>IL auditors</t>
  </si>
  <si>
    <t>MI auditors</t>
  </si>
  <si>
    <t>IN warden</t>
  </si>
  <si>
    <t>OH warden</t>
  </si>
  <si>
    <t>OH Superintendent PS</t>
  </si>
  <si>
    <t>WI Superintendent PS</t>
  </si>
  <si>
    <t>ENC ratio artisan/common labor = 1.5808 times WNC common labor.</t>
  </si>
  <si>
    <t>Adult male, rural, weighted times HSUS (2006) Ba4225 reports female/male earnings ratios for 1850 = 0.485.</t>
  </si>
  <si>
    <t>MO technical</t>
  </si>
  <si>
    <t>MO auditors</t>
  </si>
  <si>
    <t>IA auditors</t>
  </si>
  <si>
    <t>ENC lawyers/judges = 0.7752 times judges WNC.</t>
  </si>
  <si>
    <t>IA Superintendent PS</t>
  </si>
  <si>
    <t>1851: HSUS (2006) Ba4275</t>
  </si>
  <si>
    <t xml:space="preserve">In the 1860 US sheet, the ratio of building trades (blacksmiths, carpenters, painters, etc.: 508.94) to artisans (548.22) = 0.928, and is applied here to artisan's average earnings. </t>
  </si>
  <si>
    <t>Adult male manufacturing, urban, times HSUS (2006) Ba4225 reported female/male earnings ratio for 1850 = 0.485.</t>
  </si>
  <si>
    <t>TN lawyers</t>
  </si>
  <si>
    <t>TN treasurers</t>
  </si>
  <si>
    <t>AL treasurers</t>
  </si>
  <si>
    <t>KY superintendent PS</t>
  </si>
  <si>
    <t>KY librarian</t>
  </si>
  <si>
    <t>MS librarian</t>
  </si>
  <si>
    <t>KY auditor</t>
  </si>
  <si>
    <t>MS auditor</t>
  </si>
  <si>
    <t>MS warden</t>
  </si>
  <si>
    <t xml:space="preserve">In 1860 US sheet, the ratio of building trades (blacksmiths, carpenters, painters, etc.: 508.94) to artisans (548.22) = 0.928, and is applied here to artisan's average earnings. </t>
  </si>
  <si>
    <t>HSUS (2006) Ba4225 reports female/male earnings ratios for 1850 = 0.485.</t>
  </si>
  <si>
    <t xml:space="preserve">Burgess (1920: Table 8, based on Weeks. </t>
  </si>
  <si>
    <t>Louis Hunter, Steamboats on the Western Rivers (1949), p. 465, cited in Lebergott (1964: p. 325).</t>
  </si>
  <si>
    <t>Civil Engineers                 1st rank</t>
  </si>
  <si>
    <t>2nd rank</t>
  </si>
  <si>
    <t>HSUS (2006) Ba4251</t>
  </si>
  <si>
    <t xml:space="preserve">HSUS (2006) Ba4225 reports female/male earnings ratios for 1850 = 0.485. </t>
  </si>
  <si>
    <t>manufacturing: males</t>
  </si>
  <si>
    <t>HSUS (2006), Ba4244 and 4247. Unweighted average of MA and NE.</t>
  </si>
  <si>
    <t>1849: Lebergott (1964: Table A-27, p. 543), FTE equivalent.</t>
  </si>
  <si>
    <t>1849: Lebergott (1964: Table A-28, p. 544), FTE equivalent.</t>
  </si>
  <si>
    <t>1849: Lebergott (1964: Table A-29, p. 545). FTE annual earnings.</t>
  </si>
  <si>
    <t>Lebergott (1964: Table A-20, p. 329). See also sheet "1850 miners".</t>
  </si>
  <si>
    <t>1851: Lebergott (1964: Table A-21, p. 530). Like farm labor, in kind taken to be 50% of cash wage.</t>
  </si>
  <si>
    <t>able-bodied seaman: Europe</t>
  </si>
  <si>
    <t>Lebergott (1964: Table A-21, p. 530). Like farm labor, in kind taken to be 50% of cash wage. Includes coastal trade.</t>
  </si>
  <si>
    <t>deck hand MS steamboat</t>
  </si>
  <si>
    <t>OR common labor</t>
  </si>
  <si>
    <t>JGW May 9 2013.</t>
  </si>
  <si>
    <t>Urban observations only.</t>
  </si>
  <si>
    <t>JGW May 9 2013</t>
  </si>
  <si>
    <t>Teachers</t>
  </si>
  <si>
    <t>ME PS female</t>
  </si>
  <si>
    <t>ME PS  male</t>
  </si>
  <si>
    <t>Almanac 1851</t>
  </si>
  <si>
    <t>Almanac 1851: 10.2 week session</t>
  </si>
  <si>
    <t>NH PS female</t>
  </si>
  <si>
    <t>Almanac 1851: 9.8 winter and 9.4 summer week session = 19.2.</t>
  </si>
  <si>
    <t>MA PS female</t>
  </si>
  <si>
    <t>Almanac 1851: ? week session</t>
  </si>
  <si>
    <t>NY PS  male</t>
  </si>
  <si>
    <t>NY PS female</t>
  </si>
  <si>
    <t>Almanac 1851: 32 week session</t>
  </si>
  <si>
    <t>NJ PS female</t>
  </si>
  <si>
    <t>Almanac 1851: 36 week session.</t>
  </si>
  <si>
    <t>Almanac 1851: 36 week session</t>
  </si>
  <si>
    <t>1851: HSUS (2006) Ba4271</t>
  </si>
  <si>
    <t xml:space="preserve">In 1860 US sheet, the ratio of building trades (blacksmiths, carpenters, painters, etc.) to artisans 0.928, and is applied here to artisan's average earnings. </t>
  </si>
  <si>
    <t>MA commissioners</t>
  </si>
  <si>
    <t>Adult male, major urban, times HSUS (2006) Ba4225 female/male earnings ratio for 1850 = 0.485.</t>
  </si>
  <si>
    <t>MA auditors</t>
  </si>
  <si>
    <t>ME land agents</t>
  </si>
  <si>
    <t>ME superintendent PS</t>
  </si>
  <si>
    <t>MA superintendent PS</t>
  </si>
  <si>
    <t>ME warden state pen</t>
  </si>
  <si>
    <t>NH warden state pen</t>
  </si>
  <si>
    <t>RI warden state pen</t>
  </si>
  <si>
    <t>Sokoloff and Villaflor (1992), Table 1.1, p. 36. Adult male, major urban, weighted.</t>
  </si>
  <si>
    <t>Sokoloff and Villaflor (1992), Table 1.1, p. 36. Adult male, urban, weighted.</t>
  </si>
  <si>
    <t>Adult male, urban, weighted times HSUS (2006) Ba4225 reports female/male earnings ratios for 1850 (0.485) and 1885 (0.559), a linear interpolation of which for 1860 = 50.6%.</t>
  </si>
  <si>
    <t>Sokoloff and Villaflor (1992), Table 1.1, p. 36. Adult male, rural, weighted.</t>
  </si>
  <si>
    <t>unweighted average</t>
  </si>
  <si>
    <t>We assume "board" means room and board = 50% of the cash wage, as Rothenberg (1992) makes clear. Weighted average?</t>
  </si>
  <si>
    <t>The literature Rothenberg cites for the 50% rule is:</t>
  </si>
  <si>
    <t xml:space="preserve">"To make day wages and live-in wages comparable, researchers have valued the income in kind that contract workers receive at </t>
  </si>
  <si>
    <t xml:space="preserve">approximately 50 percent of their money wages." </t>
  </si>
  <si>
    <t>JGW May 8 2013</t>
  </si>
  <si>
    <t xml:space="preserve">HSUS (2006) Ba4217 = daily converted to original source of monthly (26 days). </t>
  </si>
  <si>
    <t>1850 Slave income retention rate:</t>
  </si>
  <si>
    <t>1850 Slave Retention Rates Assumed (%)</t>
  </si>
  <si>
    <t>Slave occupation distribution 1850:</t>
  </si>
  <si>
    <t>See "1850 Slaves" sheet.</t>
  </si>
  <si>
    <t>Lebergott (1964: p. 318) reports for 1860 annual earnings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</si>
  <si>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For 1850, Lebergott (1964: p. 318) only reports an annual FTE census coal mining figure for the US = $269. We assume that the wage </t>
    </r>
  </si>
  <si>
    <t xml:space="preserve">structure by type of mining was the same in 1850 as 1860, and adjusted everything upwards by 269/264, $264 being the 1860 figure for coal. </t>
  </si>
  <si>
    <t xml:space="preserve">Mining wages were slightly higher in 1850, and Lebergott attributes this to the CA gold rush. . See "1860 miners" in "Wage data summary 1860" </t>
  </si>
  <si>
    <t>and the 1860 notes to the right and below.</t>
  </si>
  <si>
    <t xml:space="preserve">western states. There are no gold miners reported, since </t>
  </si>
  <si>
    <t>they were independent operatives, not wage earners.</t>
  </si>
  <si>
    <t>Mining sources tell us which states mined what.</t>
  </si>
  <si>
    <t>Free labor earnings</t>
  </si>
  <si>
    <t>For the 50% in-kind share of farm labors' total income, we reply on:</t>
  </si>
  <si>
    <t>For the 50% in-kind rule, see sheet "1850 Inkind", and:</t>
  </si>
  <si>
    <t>Non-farm slaves are also assumed to be distributed between rural and urban location in the same way as free labor. See notes "Slave Occ</t>
  </si>
  <si>
    <t>Distribution 1860" for a review of the literature that supports these assumptions.</t>
  </si>
  <si>
    <t>slave common labor</t>
  </si>
  <si>
    <t>slave female unskilled</t>
  </si>
  <si>
    <t>free</t>
  </si>
  <si>
    <t>slave</t>
  </si>
  <si>
    <t>Slave unskilled</t>
  </si>
  <si>
    <t>slave unskilled</t>
  </si>
  <si>
    <t>free farm labor</t>
  </si>
  <si>
    <t>slave farm labor</t>
  </si>
  <si>
    <t>MI iron miner</t>
  </si>
  <si>
    <t>WI iron miner</t>
  </si>
  <si>
    <t>MN iron miner</t>
  </si>
  <si>
    <t>AL iron miner</t>
  </si>
  <si>
    <t>AL coal miner</t>
  </si>
  <si>
    <t>DE coal miner</t>
  </si>
  <si>
    <t>WI copper miner</t>
  </si>
  <si>
    <t>NY iron miner</t>
  </si>
  <si>
    <t>NJ iron miner</t>
  </si>
  <si>
    <t>Boatman</t>
  </si>
  <si>
    <t>coal</t>
  </si>
  <si>
    <t>iron</t>
  </si>
  <si>
    <t>copper</t>
  </si>
  <si>
    <t>coal+iron</t>
  </si>
  <si>
    <t>coal+copper</t>
  </si>
  <si>
    <t>iron+copper</t>
  </si>
  <si>
    <t>all 3</t>
  </si>
  <si>
    <t>NV</t>
  </si>
  <si>
    <t>WV</t>
  </si>
  <si>
    <t>On p. 316, he suggests that quarrying and copper</t>
  </si>
  <si>
    <t>mining received the same pay, and so we assume.</t>
  </si>
  <si>
    <t>Quarrying was done in all states.</t>
  </si>
  <si>
    <t>quarrying</t>
  </si>
  <si>
    <t xml:space="preserve">These US averages cannot have applied to the </t>
  </si>
  <si>
    <t>high-wage Mountain and  Pacific states. Lebergott</t>
  </si>
  <si>
    <t>(1964: p. 541) reports daily wages in the Mtn states</t>
  </si>
  <si>
    <t>1.89 times higher than the US average, and the Pac</t>
  </si>
  <si>
    <t>states 2.5 times higher. We appy these to the relevant</t>
  </si>
  <si>
    <t>OR</t>
  </si>
  <si>
    <t>All others</t>
  </si>
  <si>
    <t>Donald R. Adams, "Prices and Wages in Maryland, 1750-1850," Journal of Economic History 46,3 (September 1986): 625-645.</t>
  </si>
  <si>
    <t>Adams (1986: pp. 629-632) reports for MD  farm labor work month = 26 days was standard, implying 12x26 = 312 days/year.</t>
  </si>
  <si>
    <t xml:space="preserve">Also, the school year was very short, "almost every teacher engaged in some other occupation as well" (p. 34). What would that have been? </t>
  </si>
  <si>
    <t>Did males become white collar with literacy skills, like a clerk? Apparently, females became domestics or manufacturing operatives.</t>
  </si>
  <si>
    <t>coal = 264, iron = 284, copper = 352. However, he also reports</t>
  </si>
  <si>
    <t>that these reflect coal = 9.5 mo/yr, and copper = 11. mo/yr.</t>
  </si>
  <si>
    <t>Thus, FTE are raised accordinly.  We assume iron like copper.</t>
  </si>
  <si>
    <t>Annual Mining</t>
  </si>
  <si>
    <t>FTE Mining</t>
  </si>
  <si>
    <t>SC judges</t>
  </si>
  <si>
    <t>SC clerks</t>
  </si>
  <si>
    <t>TN judges</t>
  </si>
  <si>
    <t>TX judges</t>
  </si>
  <si>
    <t>TX lawyers</t>
  </si>
  <si>
    <t>TX commissioners</t>
  </si>
  <si>
    <t>TX treasurers</t>
  </si>
  <si>
    <t>VA judges</t>
  </si>
  <si>
    <t>VA clerks</t>
  </si>
  <si>
    <t>WI judges</t>
  </si>
  <si>
    <t>WI lawyers</t>
  </si>
  <si>
    <t>WI treasurers</t>
  </si>
  <si>
    <t>Assume in kind 50% of cash, as for farm labor.</t>
  </si>
  <si>
    <t>In kind?</t>
  </si>
  <si>
    <t>In kind payment</t>
  </si>
  <si>
    <t>Earnings</t>
  </si>
  <si>
    <t>Annual Teacher</t>
  </si>
  <si>
    <t>Who?</t>
  </si>
  <si>
    <t>Domestics &amp;</t>
  </si>
  <si>
    <t>dressmakers</t>
  </si>
  <si>
    <t>North Central</t>
  </si>
  <si>
    <t>South</t>
  </si>
  <si>
    <t>male</t>
  </si>
  <si>
    <t>female</t>
  </si>
  <si>
    <t>Cash</t>
  </si>
  <si>
    <t>In kind</t>
  </si>
  <si>
    <t>Total</t>
  </si>
  <si>
    <t>Teacher earnings</t>
  </si>
  <si>
    <t>(@50%)</t>
  </si>
  <si>
    <t>Other: unwtd ave</t>
  </si>
  <si>
    <t>manufacturing: females</t>
  </si>
  <si>
    <t>Annual Earnings ($)</t>
  </si>
  <si>
    <t>Lebergott (1964: Table A-21, p. 530). Like farm labor, in kind taken to be 50% of cash wage.</t>
  </si>
  <si>
    <t>School employment</t>
  </si>
  <si>
    <t>% year</t>
  </si>
  <si>
    <t>Urban</t>
  </si>
  <si>
    <t>Lebergott (1964: p. 331), and says they include pay and prerequisites.</t>
  </si>
  <si>
    <t>average</t>
  </si>
  <si>
    <t>Female manufacturing</t>
  </si>
  <si>
    <t xml:space="preserve">Lebergott (1964: p. 333). Except for (male) circuit riders, married got an allowance of 200. </t>
  </si>
  <si>
    <t xml:space="preserve">Lebergott (1964: p. 333). Single males and circuit riders got an allowance of 100. </t>
  </si>
  <si>
    <t>Clergymen</t>
  </si>
  <si>
    <t>female manufacturing</t>
  </si>
  <si>
    <t>ave</t>
  </si>
  <si>
    <t>Male</t>
  </si>
  <si>
    <t>Female</t>
  </si>
  <si>
    <t>Non-School job</t>
  </si>
  <si>
    <t>annual earnings</t>
  </si>
  <si>
    <t>PS teachers</t>
  </si>
  <si>
    <t>Rural</t>
  </si>
  <si>
    <t>All teachers, urban and rural</t>
  </si>
  <si>
    <t>PS teacher</t>
  </si>
  <si>
    <t>White collar Female</t>
  </si>
  <si>
    <t xml:space="preserve"> </t>
  </si>
  <si>
    <t>Rural non-farm</t>
  </si>
  <si>
    <t xml:space="preserve">We take the farm retention rate to be 50%, but allow it to be something like 3% higher in rural non-farm areas and something like 10% higher in urban areas to </t>
  </si>
  <si>
    <t>reflect higher cost of subsistence, the need for somewhat better clothing, and the incentive to be selected for less demanding urban work. See notes</t>
  </si>
  <si>
    <t>"Estimating the Share of Slave Earnings Retained c1860" for a review of the literature that defends the assumptions.</t>
  </si>
  <si>
    <t>The following distributions are implied:</t>
  </si>
  <si>
    <t>Non-farm</t>
  </si>
  <si>
    <t>Unskilled</t>
  </si>
  <si>
    <t>White collar &amp; managers</t>
  </si>
  <si>
    <t xml:space="preserve">Artisans </t>
  </si>
  <si>
    <t xml:space="preserve">   </t>
  </si>
  <si>
    <t>AK common labor</t>
  </si>
  <si>
    <t>LA common labor</t>
  </si>
  <si>
    <t>TX common labor</t>
  </si>
  <si>
    <t>AK female domestics</t>
  </si>
  <si>
    <t>LA female domestics</t>
  </si>
  <si>
    <t>TX female domestics</t>
  </si>
  <si>
    <t>TX Woolen manufacturing</t>
  </si>
  <si>
    <t>LA Iron &amp; steel</t>
  </si>
  <si>
    <t>NM common labor</t>
  </si>
  <si>
    <t>UT common labor</t>
  </si>
  <si>
    <t>CA common labor</t>
  </si>
  <si>
    <t>CA female domestics</t>
  </si>
  <si>
    <t>OR female domestics</t>
  </si>
  <si>
    <t>CA Iron &amp; steel</t>
  </si>
  <si>
    <t>White collar female</t>
  </si>
  <si>
    <t xml:space="preserve">Manufacturing </t>
  </si>
  <si>
    <t>CA Common labor</t>
  </si>
  <si>
    <t>CA Clerks</t>
  </si>
  <si>
    <t>CA Artisans</t>
  </si>
  <si>
    <t>OH clergymen</t>
  </si>
  <si>
    <t>Rural Non-Farm</t>
  </si>
  <si>
    <t>ME</t>
  </si>
  <si>
    <t>NH</t>
  </si>
  <si>
    <t>VT</t>
  </si>
  <si>
    <t>MA</t>
  </si>
  <si>
    <t>RI</t>
  </si>
  <si>
    <t>CT</t>
  </si>
  <si>
    <t>NY</t>
  </si>
  <si>
    <t>NJ</t>
  </si>
  <si>
    <t>PA</t>
  </si>
  <si>
    <t>OH</t>
  </si>
  <si>
    <t>IN</t>
  </si>
  <si>
    <t>IL</t>
  </si>
  <si>
    <t>MI</t>
  </si>
  <si>
    <t>WI</t>
  </si>
  <si>
    <t>MN</t>
  </si>
  <si>
    <t>IA</t>
  </si>
  <si>
    <t>MO</t>
  </si>
  <si>
    <t>KY</t>
  </si>
  <si>
    <t>TN</t>
  </si>
  <si>
    <t>AL</t>
  </si>
  <si>
    <t>MS</t>
  </si>
  <si>
    <t>DE</t>
  </si>
  <si>
    <t>MD</t>
  </si>
  <si>
    <t>VA</t>
  </si>
  <si>
    <t>NC</t>
  </si>
  <si>
    <t>SC</t>
  </si>
  <si>
    <t>GA</t>
  </si>
  <si>
    <t>FL</t>
  </si>
  <si>
    <t>AK</t>
  </si>
  <si>
    <t>LA</t>
  </si>
  <si>
    <t>TX</t>
  </si>
  <si>
    <t>NM</t>
  </si>
  <si>
    <t>UT</t>
  </si>
  <si>
    <t>WA</t>
  </si>
  <si>
    <t>CA</t>
  </si>
  <si>
    <t>Monthly</t>
  </si>
  <si>
    <t>Annual</t>
  </si>
  <si>
    <t>Average</t>
  </si>
  <si>
    <t>DC clerks</t>
  </si>
  <si>
    <t>DC lawyers</t>
  </si>
  <si>
    <t>DC technical</t>
  </si>
  <si>
    <t>Annual Earnings</t>
  </si>
  <si>
    <t>DC treasurers</t>
  </si>
  <si>
    <t>AL lawyers</t>
  </si>
  <si>
    <t>AL judges</t>
  </si>
  <si>
    <t>FL judges</t>
  </si>
  <si>
    <t>CA judges</t>
  </si>
  <si>
    <t>AK judges</t>
  </si>
  <si>
    <t>AK lawyers</t>
  </si>
  <si>
    <t>GA judges</t>
  </si>
  <si>
    <t>GA clerks</t>
  </si>
  <si>
    <t>IL judges</t>
  </si>
  <si>
    <t>IL treasurers</t>
  </si>
  <si>
    <t>IN judges</t>
  </si>
  <si>
    <t>IN treasurers</t>
  </si>
  <si>
    <t>IA judges</t>
  </si>
  <si>
    <t>IA treasurers</t>
  </si>
  <si>
    <t>KY judges</t>
  </si>
  <si>
    <t>KY treasurers</t>
  </si>
  <si>
    <t>KY commissioners</t>
  </si>
  <si>
    <t>KY clerks</t>
  </si>
  <si>
    <t>LA judges</t>
  </si>
  <si>
    <t>LA lawyers</t>
  </si>
  <si>
    <t>LA treasurers</t>
  </si>
  <si>
    <t>ME judges</t>
  </si>
  <si>
    <t>ME treasurers</t>
  </si>
  <si>
    <t>ME commissioners</t>
  </si>
  <si>
    <t>MD judges</t>
  </si>
  <si>
    <t>MD lawyers</t>
  </si>
  <si>
    <t>MD treasurers</t>
  </si>
  <si>
    <t xml:space="preserve">DC commissioners </t>
  </si>
  <si>
    <t>MD technical</t>
  </si>
  <si>
    <t>MA judges</t>
  </si>
  <si>
    <t>MA lawyers</t>
  </si>
  <si>
    <t>MA treasurers</t>
  </si>
  <si>
    <t>MA clerks</t>
  </si>
  <si>
    <t>MI judges</t>
  </si>
  <si>
    <t>MS judges</t>
  </si>
  <si>
    <t>MS lawyers</t>
  </si>
  <si>
    <t>MS treasurers</t>
  </si>
  <si>
    <t>MO judges</t>
  </si>
  <si>
    <t>MO treasurers</t>
  </si>
  <si>
    <t>NH lawyers</t>
  </si>
  <si>
    <t>NJ lawyers</t>
  </si>
  <si>
    <t>NJ judges</t>
  </si>
  <si>
    <t>NY clerks</t>
  </si>
  <si>
    <t>NY treasurers</t>
  </si>
  <si>
    <t>NY lawyers</t>
  </si>
  <si>
    <t>NY commissioners</t>
  </si>
  <si>
    <t>NY technical</t>
  </si>
  <si>
    <t>NY judges</t>
  </si>
  <si>
    <t>NC judges</t>
  </si>
  <si>
    <t>NC clerks</t>
  </si>
  <si>
    <t>OH commissioners</t>
  </si>
  <si>
    <t>OH treasurers</t>
  </si>
  <si>
    <t>OH technical</t>
  </si>
  <si>
    <t>PA judges</t>
  </si>
  <si>
    <t>PA technical</t>
  </si>
  <si>
    <t>RI judges</t>
  </si>
  <si>
    <t>RI treasurers</t>
  </si>
  <si>
    <t>IN common labor</t>
  </si>
  <si>
    <t>IL common labor</t>
  </si>
  <si>
    <t>MI common labor</t>
  </si>
  <si>
    <t>WI common labor</t>
  </si>
  <si>
    <t>OH female domestics</t>
  </si>
  <si>
    <t>IN female domestics</t>
  </si>
  <si>
    <t>IL female domestics</t>
  </si>
  <si>
    <t>MI female domestics</t>
  </si>
  <si>
    <t>OH Cotton manufacturing</t>
  </si>
  <si>
    <t>IN Cotton manufacturing</t>
  </si>
  <si>
    <t>IN Woolen manufacturing</t>
  </si>
  <si>
    <t>OH Woolen manufacturing</t>
  </si>
  <si>
    <t>IL Woolen manufacturing</t>
  </si>
  <si>
    <t>MI Woolen manufacturing</t>
  </si>
  <si>
    <t>WI Iron &amp; steel</t>
  </si>
  <si>
    <t>OH Iron &amp; steel</t>
  </si>
  <si>
    <t>IN Iron &amp; steel</t>
  </si>
  <si>
    <t>IL Iron &amp; steel</t>
  </si>
  <si>
    <t>MI Iron &amp; steel</t>
  </si>
  <si>
    <t>MI copper miner</t>
  </si>
  <si>
    <t>MN common labor</t>
  </si>
  <si>
    <t>IA common labor</t>
  </si>
  <si>
    <t>MO common labor</t>
  </si>
  <si>
    <t>MN female domestics</t>
  </si>
  <si>
    <t>IA female domestics</t>
  </si>
  <si>
    <t>MO female domestics</t>
  </si>
  <si>
    <t>MO Cotton manufacturing</t>
  </si>
  <si>
    <t>MO Woolen manufacturing</t>
  </si>
  <si>
    <t>IA Iron &amp; steel</t>
  </si>
  <si>
    <t>DE common labor</t>
  </si>
  <si>
    <t>MD common labor</t>
  </si>
  <si>
    <t>DC common labor</t>
  </si>
  <si>
    <t>VA common labor</t>
  </si>
  <si>
    <t>NC common labor</t>
  </si>
  <si>
    <t>SC common labor</t>
  </si>
  <si>
    <t>GA common labor</t>
  </si>
  <si>
    <t>FL common labor</t>
  </si>
  <si>
    <t>DE female domestics</t>
  </si>
  <si>
    <t>MD female domestics</t>
  </si>
  <si>
    <t>VA female domestics</t>
  </si>
  <si>
    <t>NC female domestics</t>
  </si>
  <si>
    <t>SC female domestics</t>
  </si>
  <si>
    <t>GA female domestics</t>
  </si>
  <si>
    <t>FL female domestics</t>
  </si>
  <si>
    <t>DE Cotton manufacturing</t>
  </si>
  <si>
    <t>MD Cotton manufacturing</t>
  </si>
  <si>
    <t>VA Cotton manufacturing</t>
  </si>
  <si>
    <t>NC Cotton manufacturing</t>
  </si>
  <si>
    <t>SC Cotton manufacturing</t>
  </si>
  <si>
    <t>GA Cotton manufacturing</t>
  </si>
  <si>
    <t>DE Woolen manufacturing</t>
  </si>
  <si>
    <t>MD Woolen manufacturing</t>
  </si>
  <si>
    <t>VA Woolen manufacturing</t>
  </si>
  <si>
    <t>NC Woolen manufacturing</t>
  </si>
  <si>
    <t>GA Woolen manufacturing</t>
  </si>
  <si>
    <t>DE Iron &amp; steel</t>
  </si>
  <si>
    <t>MD Iron &amp; steel</t>
  </si>
  <si>
    <t>DC Iron &amp; steel</t>
  </si>
  <si>
    <t>VA Iron &amp; steel</t>
  </si>
  <si>
    <t>NC Iron &amp; steel</t>
  </si>
  <si>
    <t>SC Iron &amp; steel</t>
  </si>
  <si>
    <t>GA Iron &amp; steel</t>
  </si>
  <si>
    <t>KY common labor</t>
  </si>
  <si>
    <t>TN common labor</t>
  </si>
  <si>
    <t>AL common labor</t>
  </si>
  <si>
    <t>MS common labor</t>
  </si>
  <si>
    <t>KY female domestics</t>
  </si>
  <si>
    <t>TN female domestics</t>
  </si>
  <si>
    <t>AL female domestics</t>
  </si>
  <si>
    <t>MS female domestics</t>
  </si>
  <si>
    <t>KY Cotton manufacturing</t>
  </si>
  <si>
    <t>TN Cotton manufacturing</t>
  </si>
  <si>
    <t>AL Cotton manufacturing</t>
  </si>
  <si>
    <t>MS Cotton manufacturing</t>
  </si>
  <si>
    <t>KY Woolen manufacturing</t>
  </si>
  <si>
    <t>TN Woolen manufacturing</t>
  </si>
  <si>
    <t>KY Iron &amp; steel</t>
  </si>
  <si>
    <t>TN Iron &amp; steel</t>
  </si>
  <si>
    <t>AL Iron &amp; steel</t>
  </si>
  <si>
    <t>MS Iron &amp; steel</t>
  </si>
  <si>
    <t>able-bodied seaman: US Navy</t>
  </si>
  <si>
    <t>yes: board</t>
  </si>
  <si>
    <t>Lebergott (1964: Table A-23, p. 539).</t>
  </si>
  <si>
    <t xml:space="preserve">Adams (1986: p. 629) </t>
  </si>
  <si>
    <t>Mid-19th century, female and child farm labor wages were similar, and about 60% of male. We assume "board" means room and board = 50% of the cash wage, as Rothenberg (1992) makes clear.</t>
  </si>
  <si>
    <t>Lebergott (1964: Table A-25, p. 541).</t>
  </si>
  <si>
    <t>East North Cenral</t>
  </si>
  <si>
    <t>female domestics</t>
  </si>
  <si>
    <t>yes: room &amp; board</t>
  </si>
  <si>
    <t>Lebergott (1964: Table A-26, p. 542). He also suggests (p. 284) that they got in-kind payments about = to cash wage.</t>
  </si>
  <si>
    <t>Cotton manufacturing</t>
  </si>
  <si>
    <t>Woolen manufacturing</t>
  </si>
  <si>
    <t>Iron &amp; steel</t>
  </si>
  <si>
    <t>Farm</t>
  </si>
  <si>
    <t>Unskilled Male</t>
  </si>
  <si>
    <t>White collar male</t>
  </si>
  <si>
    <t>Construction</t>
  </si>
  <si>
    <t>Manufacturing</t>
  </si>
  <si>
    <t>Mining</t>
  </si>
  <si>
    <t>Transport</t>
  </si>
  <si>
    <t>Unskilled Female</t>
  </si>
  <si>
    <t>ME female domestics</t>
  </si>
  <si>
    <t>NH female domestics</t>
  </si>
  <si>
    <t>VT female domestics</t>
  </si>
  <si>
    <t>MA female domestics</t>
  </si>
  <si>
    <t>RI female domestics</t>
  </si>
  <si>
    <t>CT female domestics</t>
  </si>
  <si>
    <t>CT common labor</t>
  </si>
  <si>
    <t>ME common labor</t>
  </si>
  <si>
    <t>NH common labor</t>
  </si>
  <si>
    <t>VT common labor</t>
  </si>
  <si>
    <t>MA common labor</t>
  </si>
  <si>
    <t>RI common labor</t>
  </si>
  <si>
    <t>CT Cotton manufacturing</t>
  </si>
  <si>
    <t>ME Cotton manufacturing</t>
  </si>
  <si>
    <t>NH Cotton manufacturing</t>
  </si>
  <si>
    <t>VT Cotton manufacturing</t>
  </si>
  <si>
    <t>MA Cotton manufacturing</t>
  </si>
  <si>
    <t>RI Cotton manufacturing</t>
  </si>
  <si>
    <t>CT Woolen manufacturing</t>
  </si>
  <si>
    <t>ME Woolen manufacturing</t>
  </si>
  <si>
    <t>NH Woolen manufacturing</t>
  </si>
  <si>
    <t>VT Woolen manufacturing</t>
  </si>
  <si>
    <t>MA Woolen manufacturing</t>
  </si>
  <si>
    <t>RI Woolen manufacturing</t>
  </si>
  <si>
    <t>CT Iron &amp; steel</t>
  </si>
  <si>
    <t>ME Iron &amp; steel</t>
  </si>
  <si>
    <t>NH Iron &amp; steel</t>
  </si>
  <si>
    <t>VT Iron &amp; steel</t>
  </si>
  <si>
    <t>MA Iron &amp; steel</t>
  </si>
  <si>
    <t>RI Iron &amp; steel</t>
  </si>
  <si>
    <t>Unskilled male</t>
  </si>
  <si>
    <t>Unskilled female</t>
  </si>
  <si>
    <t>NY common labor</t>
  </si>
  <si>
    <t>NJ common labor</t>
  </si>
  <si>
    <t>PA common labor</t>
  </si>
  <si>
    <t>NY female domestics</t>
  </si>
  <si>
    <t>NJ female domestics</t>
  </si>
  <si>
    <t>PA female domestics</t>
  </si>
  <si>
    <t>NY Cotton manufacturing</t>
  </si>
  <si>
    <t>NJ Cotton manufacturing</t>
  </si>
  <si>
    <t>PA Cotton manufacturing</t>
  </si>
  <si>
    <t>PA Woolen manufacturing</t>
  </si>
  <si>
    <t>NY Woolen manufacturing</t>
  </si>
  <si>
    <t>NJ Woolen manufacturing</t>
  </si>
  <si>
    <t>PA Iron &amp; steel</t>
  </si>
  <si>
    <t>NY Iron &amp; steel</t>
  </si>
  <si>
    <t>NJ Iron &amp; steel</t>
  </si>
  <si>
    <t>PA coal miner</t>
  </si>
  <si>
    <t>OH common labor</t>
  </si>
  <si>
    <t>Burgess (1920, Table 8), based on Weeks.</t>
  </si>
  <si>
    <t>"… live-in laborers on monthly contracts" are increasingly common across the 19th century. (p. 181)</t>
  </si>
  <si>
    <t>Farm labor "free to move, may well be a New England innovation." (p. 181)</t>
  </si>
  <si>
    <t xml:space="preserve">"… the contract workers accept a wage below their marginal revenue product and considerably below the spot wage of the day </t>
  </si>
  <si>
    <t>worker in return for employment security for the duration of the contract." (p. 183)</t>
  </si>
  <si>
    <t>The average length of the contracts were (in months): 1855-59 5.6, 1860-65 4.6, for an average of 5.1. (Table 17, p. 187)</t>
  </si>
  <si>
    <t>Winnifred B. Rothenberg. 1992. From Market-Places to a Market Economy: The Transformation of Rural Massachusetts, 1750-</t>
  </si>
  <si>
    <t>1850. Chicago: University of Chicago Press.</t>
  </si>
  <si>
    <t>Total ($)</t>
  </si>
  <si>
    <t>We assume "board" means room and board = 50% of the cash wage, as Rothenberg (1992) makes clear.</t>
  </si>
  <si>
    <t>Jack Larkin, "Labor Is the Great Thing in Farming: The Farm Laborers of the Eward Family of Shrewsbury, Massachusetts, 1787-1860," Proceedings of the American Antiquarian Society 99 (1) 1989: 189-226.</t>
  </si>
  <si>
    <t>Carville V. Earle and Ronald Hoffman, "The Foundation of the Modern Economy: Agriculture and the Costs of Labor in the United States and England, 1800-1860," American Historical Review 85 (5) 1980: 1055-94.</t>
  </si>
  <si>
    <t>Bureau of Labor Statistics, History of Wages in the United States From Colonial Times to 1928 (Washington, DC: GPO, 1929), Table D-2, p. 227;</t>
  </si>
  <si>
    <t>See 1860 Farm sheet for "board".</t>
  </si>
  <si>
    <t>Stanley Lebergott 1964. Manpower in Economic Growth: The American Record since 1800. New York: McGraw-Hill.</t>
  </si>
  <si>
    <t>For copper mining in 1864, he reports a 26-day month (p. 321).</t>
  </si>
  <si>
    <t>"Boatmen were not readily distinguishable … from common labor." (p. 322)</t>
  </si>
  <si>
    <t>clergymen</t>
  </si>
  <si>
    <t>Lebergott (1964: p. 333), and says they include pay and prerequisites.</t>
  </si>
  <si>
    <t>coal miner</t>
  </si>
  <si>
    <t>iron miner</t>
  </si>
  <si>
    <t>copper miner</t>
  </si>
  <si>
    <t>Lebergott (1964: Table A-20, p. 529).</t>
  </si>
  <si>
    <t>Lebergott (1964: Table A-20, p. 329).</t>
  </si>
  <si>
    <t>able-bodied seaman: China</t>
  </si>
  <si>
    <t>Ba4244-4249: Kenneth L. Sokoloff and Georgia C. Villaflor, "The Market for Manufacturing Workers during Early Industrialization: The American Northeast, 1820 to 1860," in C. Goldin and H. Rockoff (eds.), Strategic Factors in Nineteenth Century American Economic History: A Volume to Honor Robert W. Fogel (Chicago 1992), p. 36.</t>
  </si>
  <si>
    <t>Ba4250-4257: Mark Aldrich, "Earnings of American Civil Engineers," Journal of Economic History 31 (June 1971), pp. 409-10.</t>
  </si>
  <si>
    <t>Ba4253-4267: Robert A. Margo, Wages and Labor Markets before the Civil War (Chicago 2000), Tables 3A.5, 3A.6, 3A.7, and 5B.4.</t>
  </si>
  <si>
    <t>Ba4268-4270: ibid., Table 6C.2.</t>
  </si>
  <si>
    <t>Ba4271-4279: Philip R. P. Coelho and James F. Shepherd, "Regional Differences in Real Wages: The United States, 1851-1880," Explorations in Economic History 13 (April 1976), pp. 229-30.</t>
  </si>
  <si>
    <t>Ba4280-4282: Lebergott (1964), pp. 523, 524, and 528.</t>
  </si>
  <si>
    <t>The original sources of the HSUS (2006) data cited in these worksheets are:</t>
  </si>
  <si>
    <t>New England, and "urban".</t>
  </si>
  <si>
    <t>"Urban". Oddly, these are the lowest mfg wages, and rural is the highest.</t>
  </si>
  <si>
    <t>New England, and "major urban".</t>
  </si>
  <si>
    <t>United States</t>
  </si>
  <si>
    <t>New England</t>
  </si>
  <si>
    <t>yes</t>
  </si>
  <si>
    <t xml:space="preserve">New England </t>
  </si>
  <si>
    <t>child farm labor</t>
  </si>
  <si>
    <t>female farm labor</t>
  </si>
  <si>
    <t>weekly</t>
  </si>
  <si>
    <t>cash wage ($)</t>
  </si>
  <si>
    <t>Total wage ($)</t>
  </si>
  <si>
    <t>Total Wage ($)</t>
  </si>
  <si>
    <t>Sun Go and Peter Lindert. "The Uneven Rise of American Publuic Schools to 1850," Journal of Economic History 70, 1 (March 2010),: 1-26.</t>
  </si>
  <si>
    <t>Public school teachers month = 4.1 weeks Burgess 1920, pp. 33-4.</t>
  </si>
  <si>
    <t>W. Randolph Burgess. 1920. Trends in school costs. New York: Russell Sage Foundation.</t>
  </si>
  <si>
    <t xml:space="preserve">compensation consisted of the board received. In many of the state reports salarty figures were reported including the value of </t>
  </si>
  <si>
    <t xml:space="preserve">board ... in others the value of board was given separately ... It is believed that the index numbers as they stand make proper </t>
  </si>
  <si>
    <t xml:space="preserve">Public school teachers (Burgess 1920, pp. 34-35): "it was customary to board the teacher around. Part of his or her </t>
  </si>
  <si>
    <t>DE room ratio to annual earnings = 20 to 24/12*10.525 (p. 633) = 15.8 to 19%.</t>
  </si>
  <si>
    <t>"Hiring out" privilege. During peak harvest, farm laborer could hire out to others, and his loss time was subtracted.</t>
  </si>
  <si>
    <t>This could raise his regular wages by about 19% (p. 635)</t>
  </si>
  <si>
    <t>However, daily rates times 26 &lt; monthly rate. First, because the monthly hires got in kind, and second</t>
  </si>
  <si>
    <t>Adams (1986: pp. 635) reports for MD  farm labor work 8 months = 211 days, which implies 12 months = 313 days. On the same page, he says 208 and 312 days.</t>
  </si>
  <si>
    <t>Average MD farm laborer on annual contract  who had just board (board/[board, rent and hiring out] = 61.2/[61.2+16.05+19])  = 0.636)</t>
  </si>
  <si>
    <t xml:space="preserve">Average MD farm laborer on annual contract  who had board, rent and hiring out would have ratio all inkind to wage = 63.47/92.66 = 0.68.5 (p. 635). </t>
  </si>
  <si>
    <t>would have had a board ratio of  0.636*0.685 = 0.436 (p. 635).</t>
  </si>
  <si>
    <t>Donald R. Adams, "Prices and Wages in Maryland, 1750-1850," Journal of Economic History 46,3 (September): 625-645.</t>
  </si>
  <si>
    <t>Ba4214-4215: Winnifred B. Rothenbegr, From Market-Places to a Market-Economy: The Transformation of Rural Massachusetts, 1750-1850 (Chicago 1992), pp. 176-9.</t>
  </si>
  <si>
    <t>Ba4216: Donald R. Adams, "Prices and Wages in Maryland 1750-1850," Journal of Economic History 46 (September 1986), pp. 630-1.</t>
  </si>
  <si>
    <t>Ba4217: Donald R. Adams, "Prices and Wages in Antebellum America: The West Virginia Experience," Journal of Economic History 52 (March 1992), pp. 215-16.</t>
  </si>
  <si>
    <t>Ba4219-4220: Donald R. Adams, "Wage Rates in the Early National Period: Philadelphia, 1785-1830," Journal of Economic History 28 (September 1968), pp. 404-26.</t>
  </si>
  <si>
    <t>Ba4221-4223: Donald R. Adams, "The Standard of Living during American Industrialization: Evidence from the Brandywine Region," Journal of Economic History 42 (December 1982), pp. 903-17.</t>
  </si>
  <si>
    <t>Ba4234-4243: Stanley Lebergott, Manpower in Economic Growth: The America Record since 1800 (McGraw-Hill 1964), Tables A-33 and A-24, pp. 257ff.</t>
  </si>
  <si>
    <t>Occupation</t>
  </si>
  <si>
    <t>time unit</t>
  </si>
  <si>
    <t>wage ($)</t>
  </si>
  <si>
    <t>Source</t>
  </si>
  <si>
    <t>In kind ($)</t>
  </si>
  <si>
    <t>Middle Atlantic</t>
  </si>
  <si>
    <t>East North Central</t>
  </si>
  <si>
    <t>West North Central</t>
  </si>
  <si>
    <t>East South Central</t>
  </si>
  <si>
    <t>South Atlantic</t>
  </si>
  <si>
    <t>West South Central</t>
  </si>
  <si>
    <t>Mountain</t>
  </si>
  <si>
    <t>Pacific</t>
  </si>
  <si>
    <t>Common labor</t>
  </si>
  <si>
    <t>daily</t>
  </si>
  <si>
    <t>no</t>
  </si>
  <si>
    <t>In kind payments?</t>
  </si>
  <si>
    <t>na</t>
  </si>
  <si>
    <t>HSUS (2006) Ba4274</t>
  </si>
  <si>
    <t>Notes</t>
  </si>
  <si>
    <t>HSUS (2006) reports for all US, non-farm workers 1860</t>
  </si>
  <si>
    <t>Ba 4282 (Annual earnings/Ba 4281 (daily wage) = 333 days per year, which is higher than 313 = 6 day weeks.</t>
  </si>
  <si>
    <t xml:space="preserve">daily </t>
  </si>
  <si>
    <t>Laborers</t>
  </si>
  <si>
    <t>HSUS (2006) Ba4279, 4253</t>
  </si>
  <si>
    <t>HSUS (2006) Ba4254</t>
  </si>
  <si>
    <t>HSUS (2006) Ba4255</t>
  </si>
  <si>
    <t>HSUS (2006) Ba4256</t>
  </si>
  <si>
    <t>Artisans</t>
  </si>
  <si>
    <t>HSUS (2006) Ba4263</t>
  </si>
  <si>
    <t>HSUS (2006) Ba4259</t>
  </si>
  <si>
    <t>HSUS (2006) Ba4260</t>
  </si>
  <si>
    <t>HSUS (2006) Ba4261</t>
  </si>
  <si>
    <t>HSUS (2006) Ba4262</t>
  </si>
  <si>
    <t>Clerks</t>
  </si>
  <si>
    <t>monthly</t>
  </si>
  <si>
    <t>HSUS (2006) Ba4258</t>
  </si>
  <si>
    <t>HSUS (2006) Ba4264</t>
  </si>
  <si>
    <t>HSUS reports these occupations here and following by region, which we take to be town or city.</t>
  </si>
  <si>
    <t>HSUS (2006) Ba4265</t>
  </si>
  <si>
    <t>HSUS (2006) Ba4266</t>
  </si>
  <si>
    <t>HSUS (2006) Ba4267</t>
  </si>
  <si>
    <t>HSUS (2006) Ba4270</t>
  </si>
  <si>
    <t>HSUS (2006) Ba4269</t>
  </si>
  <si>
    <t>HSUS (2006) Ba4268</t>
  </si>
  <si>
    <t>Male manufacturing</t>
  </si>
  <si>
    <t>annual</t>
  </si>
  <si>
    <t>male manufacturing</t>
  </si>
  <si>
    <t>3rd rank</t>
  </si>
  <si>
    <t>HSUS (2006) Ba4250</t>
  </si>
  <si>
    <t>HSUS (2006) Ba4252</t>
  </si>
  <si>
    <t>common labor</t>
  </si>
  <si>
    <t>Farm labor</t>
  </si>
  <si>
    <t>yes; board</t>
  </si>
  <si>
    <t>HSUS (2006) Ba 4234</t>
  </si>
  <si>
    <t>farm labor</t>
  </si>
  <si>
    <t>yes:board</t>
  </si>
  <si>
    <t>lower unemployment risk for monthly workers.</t>
  </si>
  <si>
    <t>Room was valued at $20-24 per year "with little change over time" (p. 632)</t>
  </si>
  <si>
    <t>For MD and DE farm labor, Adams (1986) reports the following:</t>
  </si>
  <si>
    <t>Board was $0.26 per day in the middle of the 19th century (p. 634), and his Table 4</t>
  </si>
  <si>
    <t>DE 1840 = 7.60/mo, 1850 = 7.75/mo; MD, 1840 = 6.975/mo</t>
  </si>
  <si>
    <t>DE farm wages/mo were 9.55/mo 1841-1850 (p. 633), so ave. 7.68/9.55 = board ratio 80.4%.</t>
  </si>
  <si>
    <t>MD farm wages/mo were 11.4/mo 1841-1850 (p. 633), so 6.975/11.4 = board ratio 61.2%.</t>
  </si>
  <si>
    <t>MD room ratio to annual earnings = 20 to 24/12*11.4 (p. 633) = 14.6 to 17.5%.</t>
  </si>
  <si>
    <t>[No urban, Mountain region]</t>
  </si>
  <si>
    <t>[No data for rural non-farm, Mountain region]</t>
  </si>
  <si>
    <r>
      <t xml:space="preserve">Note: </t>
    </r>
    <r>
      <rPr>
        <sz val="14"/>
        <color theme="1"/>
        <rFont val="Calibri"/>
        <family val="2"/>
        <scheme val="minor"/>
      </rPr>
      <t xml:space="preserve">The sources usually do not distinguish between rural and urban non-farm wages and salaries. One exception is manuafcturing, which we exploit </t>
    </r>
  </si>
  <si>
    <r>
      <rPr>
        <b/>
        <sz val="14"/>
        <color theme="1"/>
        <rFont val="Calibri"/>
        <family val="2"/>
        <scheme val="minor"/>
      </rPr>
      <t>Note</t>
    </r>
    <r>
      <rPr>
        <sz val="14"/>
        <color theme="1"/>
        <rFont val="Calibri"/>
        <family val="2"/>
        <scheme val="minor"/>
      </rPr>
      <t xml:space="preserve">: The ratio of rural/urban for male occupations (other than manufacturing and common labor) is the average of the same for manufacturing and </t>
    </r>
  </si>
  <si>
    <t>Rural Non-Farm rates of pay, 1850</t>
  </si>
  <si>
    <t>Farm labor pay rates 1850</t>
  </si>
  <si>
    <r>
      <t xml:space="preserve">Winnifred B. Rothenberg. 1992. </t>
    </r>
    <r>
      <rPr>
        <i/>
        <sz val="11"/>
        <color theme="1"/>
        <rFont val="Calibri"/>
        <family val="2"/>
        <scheme val="minor"/>
      </rPr>
      <t>From Market-Places to a Market Economy: The Transformation of Rural Massachusetts, 1750-</t>
    </r>
  </si>
  <si>
    <r>
      <rPr>
        <i/>
        <sz val="11"/>
        <color theme="1"/>
        <rFont val="Calibri"/>
        <family val="2"/>
        <scheme val="minor"/>
      </rPr>
      <t>1850</t>
    </r>
    <r>
      <rPr>
        <sz val="11"/>
        <color theme="1"/>
        <rFont val="Calibri"/>
        <family val="2"/>
        <scheme val="minor"/>
      </rPr>
      <t>. Chicago: University of Chicago Press.</t>
    </r>
  </si>
  <si>
    <r>
      <t xml:space="preserve">Source: Almanac 1851 = </t>
    </r>
    <r>
      <rPr>
        <i/>
        <sz val="11"/>
        <color theme="1"/>
        <rFont val="Calibri"/>
        <family val="2"/>
        <scheme val="minor"/>
      </rPr>
      <t>American Almanac and Repository of Useful Knowledge for the Year 1851</t>
    </r>
    <r>
      <rPr>
        <sz val="11"/>
        <color theme="1"/>
        <rFont val="Calibri"/>
        <family val="2"/>
        <scheme val="minor"/>
      </rPr>
      <t xml:space="preserve"> (Boston: Charles C. Little and James Brown, 1851; </t>
    </r>
  </si>
  <si>
    <t>Note: There are no non-farm Mountain state observations for 1850. We must assume for each non-farm occupation that (Mountain 1850) = (West South Central 1850) * (Mountain 1860/West South Central 1860).</t>
  </si>
  <si>
    <t xml:space="preserve">Note: There are no non-farm Mountain state observations for 1850. </t>
  </si>
  <si>
    <t>We must assume for each non-farm occupation that (Mountain 1850) = (West South Central 1850) * (Mountain 1860/West South Central 1860).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</si>
</sst>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11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color indexed="10"/>
      <name val="Times New Roman"/>
      <family val="1"/>
    </font>
    <font>
      <b/>
      <sz val="1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6B8B7"/>
        <bgColor indexed="64"/>
      </patternFill>
    </fill>
  </fills>
  <borders count="1">
    <border>
      <left/>
      <right/>
      <top/>
      <bottom/>
      <diagonal/>
    </border>
  </borders>
  <cellStyleXfs count="39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64" fontId="3" fillId="0" borderId="0" xfId="0" applyNumberFormat="1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Fill="1"/>
    <xf numFmtId="0" fontId="7" fillId="0" borderId="0" xfId="0" applyFont="1"/>
    <xf numFmtId="0" fontId="9" fillId="0" borderId="0" xfId="0" applyFont="1"/>
    <xf numFmtId="2" fontId="9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righ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5" fillId="0" borderId="0" xfId="0" applyFont="1" applyFill="1"/>
    <xf numFmtId="0" fontId="1" fillId="0" borderId="0" xfId="0" applyFont="1" applyFill="1"/>
    <xf numFmtId="2" fontId="1" fillId="0" borderId="0" xfId="0" applyNumberFormat="1" applyFont="1"/>
    <xf numFmtId="165" fontId="0" fillId="0" borderId="0" xfId="0" applyNumberFormat="1"/>
    <xf numFmtId="165" fontId="9" fillId="0" borderId="0" xfId="0" applyNumberFormat="1" applyFont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5" fontId="0" fillId="0" borderId="0" xfId="0" applyNumberFormat="1" applyFont="1"/>
    <xf numFmtId="2" fontId="0" fillId="0" borderId="0" xfId="0" applyNumberFormat="1" applyFont="1"/>
    <xf numFmtId="0" fontId="8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1" fillId="4" borderId="0" xfId="0" applyFont="1" applyFill="1" applyAlignment="1">
      <alignment horizontal="right"/>
    </xf>
    <xf numFmtId="0" fontId="0" fillId="4" borderId="0" xfId="0" applyFill="1"/>
    <xf numFmtId="0" fontId="1" fillId="4" borderId="0" xfId="0" applyFont="1" applyFill="1"/>
    <xf numFmtId="0" fontId="0" fillId="4" borderId="0" xfId="0" applyFont="1" applyFill="1" applyAlignment="1">
      <alignment horizontal="right"/>
    </xf>
    <xf numFmtId="0" fontId="5" fillId="5" borderId="0" xfId="0" applyFont="1" applyFill="1" applyAlignment="1">
      <alignment horizontal="left"/>
    </xf>
    <xf numFmtId="0" fontId="1" fillId="5" borderId="0" xfId="0" applyFont="1" applyFill="1" applyAlignment="1">
      <alignment horizontal="right"/>
    </xf>
    <xf numFmtId="0" fontId="0" fillId="5" borderId="0" xfId="0" applyFill="1"/>
    <xf numFmtId="0" fontId="1" fillId="5" borderId="0" xfId="0" applyFont="1" applyFill="1"/>
    <xf numFmtId="0" fontId="5" fillId="6" borderId="0" xfId="0" applyFont="1" applyFill="1" applyAlignment="1">
      <alignment horizontal="left"/>
    </xf>
    <xf numFmtId="0" fontId="1" fillId="6" borderId="0" xfId="0" applyFont="1" applyFill="1" applyAlignment="1">
      <alignment horizontal="right"/>
    </xf>
    <xf numFmtId="0" fontId="0" fillId="6" borderId="0" xfId="0" applyFill="1"/>
    <xf numFmtId="0" fontId="1" fillId="6" borderId="0" xfId="0" applyFont="1" applyFill="1"/>
    <xf numFmtId="0" fontId="5" fillId="7" borderId="0" xfId="0" applyFont="1" applyFill="1" applyAlignment="1">
      <alignment horizontal="left"/>
    </xf>
    <xf numFmtId="0" fontId="1" fillId="7" borderId="0" xfId="0" applyFont="1" applyFill="1" applyAlignment="1">
      <alignment horizontal="right"/>
    </xf>
    <xf numFmtId="0" fontId="0" fillId="7" borderId="0" xfId="0" applyFill="1"/>
    <xf numFmtId="0" fontId="5" fillId="8" borderId="0" xfId="0" applyFont="1" applyFill="1"/>
    <xf numFmtId="0" fontId="1" fillId="8" borderId="0" xfId="0" applyFont="1" applyFill="1" applyAlignment="1">
      <alignment horizontal="right"/>
    </xf>
    <xf numFmtId="0" fontId="1" fillId="8" borderId="0" xfId="0" applyFont="1" applyFill="1"/>
    <xf numFmtId="0" fontId="0" fillId="8" borderId="0" xfId="0" applyFill="1"/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21" fillId="0" borderId="0" xfId="0" applyFont="1"/>
    <xf numFmtId="0" fontId="5" fillId="9" borderId="0" xfId="0" applyFont="1" applyFill="1"/>
    <xf numFmtId="0" fontId="1" fillId="9" borderId="0" xfId="0" applyFont="1" applyFill="1" applyAlignment="1">
      <alignment horizontal="right"/>
    </xf>
    <xf numFmtId="0" fontId="0" fillId="9" borderId="0" xfId="0" applyFill="1"/>
    <xf numFmtId="0" fontId="1" fillId="9" borderId="0" xfId="0" applyFont="1" applyFill="1"/>
    <xf numFmtId="0" fontId="0" fillId="9" borderId="0" xfId="0" applyFont="1" applyFill="1" applyAlignment="1">
      <alignment horizontal="right"/>
    </xf>
    <xf numFmtId="0" fontId="5" fillId="5" borderId="0" xfId="0" applyFont="1" applyFill="1"/>
    <xf numFmtId="0" fontId="5" fillId="10" borderId="0" xfId="0" applyFont="1" applyFill="1"/>
    <xf numFmtId="0" fontId="1" fillId="10" borderId="0" xfId="0" applyFont="1" applyFill="1" applyAlignment="1">
      <alignment horizontal="right"/>
    </xf>
    <xf numFmtId="0" fontId="1" fillId="10" borderId="0" xfId="0" applyFont="1" applyFill="1"/>
    <xf numFmtId="0" fontId="0" fillId="10" borderId="0" xfId="0" applyFill="1"/>
    <xf numFmtId="0" fontId="5" fillId="3" borderId="0" xfId="0" applyFont="1" applyFill="1"/>
    <xf numFmtId="0" fontId="20" fillId="0" borderId="0" xfId="0" applyFont="1" applyFill="1"/>
    <xf numFmtId="0" fontId="22" fillId="0" borderId="0" xfId="0" applyFont="1" applyFill="1"/>
    <xf numFmtId="0" fontId="22" fillId="0" borderId="0" xfId="0" applyFont="1"/>
    <xf numFmtId="0" fontId="0" fillId="8" borderId="0" xfId="0" applyFill="1" applyAlignment="1">
      <alignment horizontal="right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11" borderId="0" xfId="0" applyFont="1" applyFill="1"/>
    <xf numFmtId="0" fontId="1" fillId="11" borderId="0" xfId="0" applyFont="1" applyFill="1" applyAlignment="1">
      <alignment horizontal="right"/>
    </xf>
    <xf numFmtId="0" fontId="1" fillId="11" borderId="0" xfId="0" applyFont="1" applyFill="1"/>
    <xf numFmtId="0" fontId="0" fillId="11" borderId="0" xfId="0" applyFill="1"/>
    <xf numFmtId="0" fontId="5" fillId="12" borderId="0" xfId="0" applyFont="1" applyFill="1"/>
    <xf numFmtId="0" fontId="1" fillId="12" borderId="0" xfId="0" applyFont="1" applyFill="1" applyAlignment="1">
      <alignment horizontal="right"/>
    </xf>
    <xf numFmtId="0" fontId="1" fillId="12" borderId="0" xfId="0" applyFont="1" applyFill="1"/>
    <xf numFmtId="0" fontId="0" fillId="12" borderId="0" xfId="0" applyFill="1"/>
    <xf numFmtId="0" fontId="0" fillId="12" borderId="0" xfId="0" applyFont="1" applyFill="1" applyAlignment="1">
      <alignment horizontal="right"/>
    </xf>
    <xf numFmtId="0" fontId="14" fillId="0" borderId="0" xfId="0" applyFont="1" applyFill="1"/>
    <xf numFmtId="0" fontId="26" fillId="0" borderId="0" xfId="0" applyFont="1" applyAlignment="1">
      <alignment horizontal="left"/>
    </xf>
    <xf numFmtId="0" fontId="25" fillId="0" borderId="0" xfId="0" applyFont="1" applyAlignment="1"/>
    <xf numFmtId="0" fontId="24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vertical="center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180</xdr:row>
      <xdr:rowOff>0</xdr:rowOff>
    </xdr:from>
    <xdr:to>
      <xdr:col>9</xdr:col>
      <xdr:colOff>9525</xdr:colOff>
      <xdr:row>181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33261300"/>
          <a:ext cx="25527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C30" sqref="C30"/>
    </sheetView>
  </sheetViews>
  <sheetFormatPr baseColWidth="10" defaultColWidth="8.83203125" defaultRowHeight="14" x14ac:dyDescent="0"/>
  <sheetData>
    <row r="1" spans="1:14">
      <c r="A1" t="s">
        <v>689</v>
      </c>
    </row>
    <row r="2" spans="1:14">
      <c r="A2" t="s">
        <v>718</v>
      </c>
    </row>
    <row r="3" spans="1:14">
      <c r="A3" t="s">
        <v>719</v>
      </c>
    </row>
    <row r="4" spans="1:14">
      <c r="A4" t="s">
        <v>720</v>
      </c>
    </row>
    <row r="5" spans="1:14">
      <c r="A5" t="s">
        <v>721</v>
      </c>
    </row>
    <row r="6" spans="1:14">
      <c r="A6" t="s">
        <v>722</v>
      </c>
    </row>
    <row r="7" spans="1:14">
      <c r="A7" t="s">
        <v>723</v>
      </c>
    </row>
    <row r="8" spans="1:14">
      <c r="A8" t="s">
        <v>683</v>
      </c>
    </row>
    <row r="9" spans="1:14">
      <c r="A9" t="s">
        <v>684</v>
      </c>
    </row>
    <row r="10" spans="1:14">
      <c r="A10" t="s">
        <v>685</v>
      </c>
    </row>
    <row r="11" spans="1:14">
      <c r="A11" t="s">
        <v>686</v>
      </c>
    </row>
    <row r="12" spans="1:14">
      <c r="A12" t="s">
        <v>687</v>
      </c>
    </row>
    <row r="13" spans="1:14">
      <c r="A13" t="s">
        <v>688</v>
      </c>
    </row>
    <row r="15" spans="1:14">
      <c r="A15" s="5" t="s">
        <v>314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>
      <c r="A16" s="5" t="s">
        <v>703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>
      <c r="A17" s="5" t="s">
        <v>705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>
      <c r="A18" s="5" t="s">
        <v>672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>
      <c r="A20" s="5" t="s">
        <v>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>
      <c r="A21" s="5" t="s">
        <v>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>
      <c r="A22" s="5" t="s">
        <v>670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>
      <c r="A23" t="s">
        <v>669</v>
      </c>
    </row>
    <row r="24" spans="1:14">
      <c r="A24" t="s">
        <v>668</v>
      </c>
    </row>
    <row r="26" spans="1:14" ht="15">
      <c r="A26" s="142" t="s">
        <v>799</v>
      </c>
    </row>
    <row r="27" spans="1:14" ht="15">
      <c r="A27" s="142" t="s">
        <v>800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15" sqref="A15"/>
    </sheetView>
  </sheetViews>
  <sheetFormatPr baseColWidth="10" defaultColWidth="8.83203125" defaultRowHeight="14" x14ac:dyDescent="0"/>
  <sheetData>
    <row r="1" spans="1:2" ht="30">
      <c r="A1" s="52" t="s">
        <v>31</v>
      </c>
    </row>
    <row r="3" spans="1:2">
      <c r="A3" t="s">
        <v>744</v>
      </c>
    </row>
    <row r="4" spans="1:2">
      <c r="B4" t="s">
        <v>745</v>
      </c>
    </row>
    <row r="6" spans="1:2">
      <c r="A6" t="s">
        <v>315</v>
      </c>
    </row>
    <row r="7" spans="1:2">
      <c r="A7" t="s">
        <v>712</v>
      </c>
    </row>
    <row r="8" spans="1:2">
      <c r="A8" t="s">
        <v>781</v>
      </c>
    </row>
    <row r="10" spans="1:2">
      <c r="A10" t="s">
        <v>713</v>
      </c>
    </row>
    <row r="12" spans="1:2">
      <c r="A12" t="s">
        <v>704</v>
      </c>
    </row>
    <row r="13" spans="1:2">
      <c r="B13" t="s">
        <v>316</v>
      </c>
    </row>
    <row r="14" spans="1:2">
      <c r="B14" t="s">
        <v>317</v>
      </c>
    </row>
    <row r="15" spans="1:2">
      <c r="A15" t="s">
        <v>2</v>
      </c>
    </row>
    <row r="16" spans="1:2">
      <c r="B16" t="s">
        <v>673</v>
      </c>
    </row>
    <row r="17" spans="1:2">
      <c r="B17" t="s">
        <v>674</v>
      </c>
    </row>
    <row r="19" spans="1:2" ht="20">
      <c r="A19" t="s">
        <v>32</v>
      </c>
    </row>
    <row r="20" spans="1:2">
      <c r="A20" t="s">
        <v>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7" workbookViewId="0">
      <selection activeCell="E32" sqref="E32"/>
    </sheetView>
  </sheetViews>
  <sheetFormatPr baseColWidth="10" defaultColWidth="8.83203125" defaultRowHeight="14" x14ac:dyDescent="0"/>
  <cols>
    <col min="1" max="1" width="22.83203125" customWidth="1"/>
  </cols>
  <sheetData>
    <row r="1" spans="1:6" ht="18">
      <c r="A1" s="31" t="s">
        <v>259</v>
      </c>
    </row>
    <row r="3" spans="1:6" ht="15">
      <c r="A3" s="29" t="s">
        <v>378</v>
      </c>
    </row>
    <row r="4" spans="1:6" ht="15">
      <c r="A4" s="29" t="s">
        <v>379</v>
      </c>
    </row>
    <row r="5" spans="1:6" ht="15">
      <c r="A5" s="29" t="s">
        <v>380</v>
      </c>
    </row>
    <row r="6" spans="1:6" ht="15">
      <c r="A6" s="29"/>
    </row>
    <row r="7" spans="1:6" ht="27">
      <c r="A7" s="53" t="s">
        <v>257</v>
      </c>
    </row>
    <row r="8" spans="1:6" ht="15">
      <c r="A8" s="51"/>
    </row>
    <row r="9" spans="1:6" ht="15">
      <c r="A9" s="156" t="s">
        <v>260</v>
      </c>
      <c r="B9" s="151"/>
      <c r="C9" s="151"/>
      <c r="D9" s="151"/>
    </row>
    <row r="10" spans="1:6" ht="15">
      <c r="F10" s="29" t="s">
        <v>376</v>
      </c>
    </row>
    <row r="11" spans="1:6" ht="15">
      <c r="A11" s="30" t="s">
        <v>601</v>
      </c>
      <c r="B11" s="30">
        <v>50</v>
      </c>
    </row>
    <row r="12" spans="1:6" ht="15">
      <c r="A12" s="30" t="s">
        <v>377</v>
      </c>
      <c r="B12" s="30">
        <v>53</v>
      </c>
    </row>
    <row r="13" spans="1:6" ht="15">
      <c r="A13" s="30" t="s">
        <v>358</v>
      </c>
      <c r="B13" s="30">
        <v>60</v>
      </c>
    </row>
    <row r="15" spans="1:6" ht="18">
      <c r="A15" s="157" t="s">
        <v>261</v>
      </c>
      <c r="B15" s="158"/>
      <c r="C15" s="158"/>
      <c r="D15" s="158"/>
    </row>
    <row r="17" spans="1:13" ht="15">
      <c r="A17" s="29" t="s">
        <v>381</v>
      </c>
    </row>
    <row r="18" spans="1:13" ht="15">
      <c r="A18" s="29"/>
    </row>
    <row r="19" spans="1:13" ht="15">
      <c r="A19" s="29" t="s">
        <v>776</v>
      </c>
      <c r="B19" s="32">
        <v>0.90600000000000003</v>
      </c>
    </row>
    <row r="20" spans="1:13" ht="15">
      <c r="A20" s="29" t="s">
        <v>382</v>
      </c>
      <c r="B20" s="32">
        <v>9.4E-2</v>
      </c>
    </row>
    <row r="21" spans="1:13" ht="15">
      <c r="A21" s="29" t="s">
        <v>383</v>
      </c>
      <c r="B21" s="32">
        <v>5.9400000000000001E-2</v>
      </c>
    </row>
    <row r="22" spans="1:13" ht="15">
      <c r="A22" s="29" t="s">
        <v>384</v>
      </c>
      <c r="B22" s="32">
        <v>0</v>
      </c>
    </row>
    <row r="23" spans="1:13" ht="15">
      <c r="A23" s="29" t="s">
        <v>385</v>
      </c>
      <c r="B23" s="32">
        <v>1.7299999999999999E-2</v>
      </c>
    </row>
    <row r="24" spans="1:13" ht="15">
      <c r="A24" s="29" t="s">
        <v>604</v>
      </c>
      <c r="B24" s="32">
        <v>1.7299999999999999E-2</v>
      </c>
      <c r="F24" s="29" t="s">
        <v>386</v>
      </c>
    </row>
    <row r="25" spans="1:13" ht="15">
      <c r="C25" s="29" t="s">
        <v>386</v>
      </c>
    </row>
    <row r="26" spans="1:13" ht="15">
      <c r="A26" s="159" t="s">
        <v>274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</row>
    <row r="27" spans="1:13" ht="15">
      <c r="A27" s="29" t="s">
        <v>275</v>
      </c>
    </row>
  </sheetData>
  <mergeCells count="3">
    <mergeCell ref="A9:D9"/>
    <mergeCell ref="A15:D15"/>
    <mergeCell ref="A26:M2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A16" sqref="A16:B16"/>
    </sheetView>
  </sheetViews>
  <sheetFormatPr baseColWidth="10" defaultColWidth="8.83203125" defaultRowHeight="14" x14ac:dyDescent="0"/>
  <cols>
    <col min="1" max="1" width="15" customWidth="1"/>
    <col min="3" max="3" width="14.6640625" customWidth="1"/>
    <col min="5" max="5" width="11.33203125" customWidth="1"/>
    <col min="6" max="6" width="12.1640625" customWidth="1"/>
    <col min="7" max="7" width="11.6640625" customWidth="1"/>
    <col min="9" max="9" width="10.6640625" customWidth="1"/>
  </cols>
  <sheetData>
    <row r="1" spans="1:11" ht="30">
      <c r="A1" s="52" t="s">
        <v>257</v>
      </c>
    </row>
    <row r="3" spans="1:11">
      <c r="A3" t="s">
        <v>264</v>
      </c>
    </row>
    <row r="4" spans="1:11">
      <c r="A4" t="s">
        <v>265</v>
      </c>
    </row>
    <row r="5" spans="1:11">
      <c r="A5" t="s">
        <v>266</v>
      </c>
    </row>
    <row r="6" spans="1:11">
      <c r="A6" t="s">
        <v>267</v>
      </c>
    </row>
    <row r="8" spans="1:11">
      <c r="A8" s="8" t="s">
        <v>321</v>
      </c>
      <c r="B8" s="22" t="s">
        <v>294</v>
      </c>
      <c r="C8" s="36" t="s">
        <v>295</v>
      </c>
      <c r="D8" s="22" t="s">
        <v>296</v>
      </c>
      <c r="E8" s="22" t="s">
        <v>297</v>
      </c>
      <c r="F8" s="22" t="s">
        <v>298</v>
      </c>
      <c r="G8" s="22" t="s">
        <v>299</v>
      </c>
      <c r="H8" s="22" t="s">
        <v>300</v>
      </c>
      <c r="I8" s="22" t="s">
        <v>306</v>
      </c>
      <c r="J8" s="22"/>
    </row>
    <row r="9" spans="1:11">
      <c r="B9" s="23">
        <f>264*12/9.5*269/264</f>
        <v>339.78947368421052</v>
      </c>
      <c r="C9" s="23">
        <f>284/264*12/9.5*269</f>
        <v>365.53110047846889</v>
      </c>
      <c r="D9" s="23">
        <f>352/264*12/11*269</f>
        <v>391.27272727272731</v>
      </c>
      <c r="E9" s="23">
        <f>(B9+C9)/2</f>
        <v>352.66028708133967</v>
      </c>
      <c r="F9" s="23">
        <f>(B9+D9)/2</f>
        <v>365.53110047846894</v>
      </c>
      <c r="G9" s="23">
        <f>(C9+D9)/2</f>
        <v>378.4019138755981</v>
      </c>
      <c r="H9">
        <f>(B9+D9+C9)/3</f>
        <v>365.53110047846894</v>
      </c>
      <c r="I9" s="23">
        <f>D9</f>
        <v>391.27272727272731</v>
      </c>
      <c r="K9" t="s">
        <v>263</v>
      </c>
    </row>
    <row r="10" spans="1:11">
      <c r="A10" s="8" t="s">
        <v>322</v>
      </c>
      <c r="B10" s="23"/>
      <c r="D10" s="23"/>
      <c r="E10" s="23"/>
      <c r="F10" s="23"/>
      <c r="G10" s="23"/>
      <c r="K10" t="s">
        <v>318</v>
      </c>
    </row>
    <row r="11" spans="1:11">
      <c r="A11" s="7" t="s">
        <v>427</v>
      </c>
      <c r="B11" s="23">
        <f>E9</f>
        <v>352.66028708133967</v>
      </c>
      <c r="C11" s="22" t="s">
        <v>297</v>
      </c>
      <c r="D11" s="23"/>
      <c r="E11" s="23"/>
      <c r="F11" s="23"/>
      <c r="G11" s="23"/>
      <c r="K11" t="s">
        <v>319</v>
      </c>
    </row>
    <row r="12" spans="1:11">
      <c r="A12" s="7" t="s">
        <v>442</v>
      </c>
      <c r="B12" s="23">
        <f>2.5*G9</f>
        <v>946.00478468899519</v>
      </c>
      <c r="C12" s="22" t="s">
        <v>299</v>
      </c>
      <c r="D12" s="23"/>
      <c r="E12" s="23"/>
      <c r="F12" s="23"/>
      <c r="G12" s="23"/>
      <c r="K12" t="s">
        <v>320</v>
      </c>
    </row>
    <row r="13" spans="1:11">
      <c r="A13" s="7" t="s">
        <v>434</v>
      </c>
      <c r="B13" s="23">
        <f>C9</f>
        <v>365.53110047846889</v>
      </c>
      <c r="C13" s="36" t="s">
        <v>295</v>
      </c>
      <c r="D13" s="23"/>
      <c r="E13" s="23"/>
      <c r="F13" s="23"/>
      <c r="G13" s="23"/>
      <c r="K13" t="s">
        <v>303</v>
      </c>
    </row>
    <row r="14" spans="1:11">
      <c r="A14" s="7" t="s">
        <v>419</v>
      </c>
      <c r="B14" s="23">
        <f>B9</f>
        <v>339.78947368421052</v>
      </c>
      <c r="C14" s="22" t="s">
        <v>294</v>
      </c>
      <c r="D14" s="23"/>
      <c r="E14" s="23"/>
      <c r="F14" s="23"/>
      <c r="G14" s="23"/>
      <c r="K14" t="s">
        <v>304</v>
      </c>
    </row>
    <row r="15" spans="1:11">
      <c r="A15" s="7" t="s">
        <v>425</v>
      </c>
      <c r="B15" s="23">
        <f>B9</f>
        <v>339.78947368421052</v>
      </c>
      <c r="C15" s="22" t="s">
        <v>294</v>
      </c>
      <c r="D15" s="23"/>
      <c r="E15" s="23"/>
      <c r="F15" s="23"/>
      <c r="G15" s="23"/>
      <c r="K15" t="s">
        <v>305</v>
      </c>
    </row>
    <row r="16" spans="1:11">
      <c r="A16" s="7" t="s">
        <v>430</v>
      </c>
      <c r="B16" s="23">
        <f>B9</f>
        <v>339.78947368421052</v>
      </c>
      <c r="C16" s="22" t="s">
        <v>294</v>
      </c>
      <c r="D16" s="23"/>
      <c r="E16" s="23"/>
      <c r="F16" s="23"/>
      <c r="G16" s="23"/>
      <c r="K16" t="s">
        <v>307</v>
      </c>
    </row>
    <row r="17" spans="1:11">
      <c r="A17" s="7" t="s">
        <v>420</v>
      </c>
      <c r="B17" s="23">
        <f>G9</f>
        <v>378.4019138755981</v>
      </c>
      <c r="C17" s="22" t="s">
        <v>299</v>
      </c>
      <c r="D17" s="23"/>
      <c r="E17" s="23"/>
      <c r="F17" s="23"/>
      <c r="G17" s="23"/>
      <c r="K17" t="s">
        <v>308</v>
      </c>
    </row>
    <row r="18" spans="1:11">
      <c r="A18" s="7" t="s">
        <v>422</v>
      </c>
      <c r="B18" s="23">
        <f>G9</f>
        <v>378.4019138755981</v>
      </c>
      <c r="C18" s="22" t="s">
        <v>299</v>
      </c>
      <c r="D18" s="23"/>
      <c r="E18" s="23"/>
      <c r="F18" s="23"/>
      <c r="G18" s="23"/>
      <c r="K18" t="s">
        <v>309</v>
      </c>
    </row>
    <row r="19" spans="1:11">
      <c r="A19" s="7" t="s">
        <v>424</v>
      </c>
      <c r="B19" s="23">
        <f>H9</f>
        <v>365.53110047846894</v>
      </c>
      <c r="C19" s="22" t="s">
        <v>300</v>
      </c>
      <c r="D19" s="23"/>
      <c r="E19" s="23"/>
      <c r="F19" s="23"/>
      <c r="G19" s="23"/>
      <c r="K19" t="s">
        <v>310</v>
      </c>
    </row>
    <row r="20" spans="1:11">
      <c r="A20" s="7" t="s">
        <v>428</v>
      </c>
      <c r="B20" s="23">
        <f>C9</f>
        <v>365.53110047846889</v>
      </c>
      <c r="C20" s="36" t="s">
        <v>295</v>
      </c>
      <c r="D20" s="23"/>
      <c r="E20" s="23"/>
      <c r="F20" s="23"/>
      <c r="G20" s="23"/>
      <c r="K20" t="s">
        <v>311</v>
      </c>
    </row>
    <row r="21" spans="1:11">
      <c r="A21" s="7" t="s">
        <v>432</v>
      </c>
      <c r="B21" s="23">
        <f>D9</f>
        <v>391.27272727272731</v>
      </c>
      <c r="C21" s="22" t="s">
        <v>296</v>
      </c>
      <c r="D21" s="23"/>
      <c r="E21" s="23"/>
      <c r="F21" s="23"/>
      <c r="G21" s="23"/>
      <c r="K21" t="s">
        <v>268</v>
      </c>
    </row>
    <row r="22" spans="1:11">
      <c r="A22" s="7" t="s">
        <v>415</v>
      </c>
      <c r="B22" s="23">
        <f>E9</f>
        <v>352.66028708133967</v>
      </c>
      <c r="C22" s="22" t="s">
        <v>297</v>
      </c>
      <c r="D22" s="23"/>
      <c r="E22" s="23"/>
      <c r="F22" s="23"/>
      <c r="G22" s="23"/>
      <c r="K22" t="s">
        <v>269</v>
      </c>
    </row>
    <row r="23" spans="1:11">
      <c r="A23" s="7" t="s">
        <v>439</v>
      </c>
      <c r="B23" s="23">
        <f>1.89*D9</f>
        <v>739.50545454545454</v>
      </c>
      <c r="C23" s="22" t="s">
        <v>296</v>
      </c>
      <c r="D23" s="23"/>
      <c r="E23" s="23"/>
      <c r="F23" s="23"/>
      <c r="G23" s="23"/>
      <c r="K23" t="s">
        <v>270</v>
      </c>
    </row>
    <row r="24" spans="1:11">
      <c r="A24" s="7" t="s">
        <v>301</v>
      </c>
      <c r="B24" s="23">
        <f>1.89*D9</f>
        <v>739.50545454545454</v>
      </c>
      <c r="C24" s="22" t="s">
        <v>296</v>
      </c>
      <c r="D24" s="23"/>
      <c r="E24" s="23"/>
      <c r="F24" s="23"/>
      <c r="G24" s="23"/>
    </row>
    <row r="25" spans="1:11">
      <c r="A25" s="7" t="s">
        <v>414</v>
      </c>
      <c r="B25" s="23">
        <f>G9</f>
        <v>378.4019138755981</v>
      </c>
      <c r="C25" s="22" t="s">
        <v>299</v>
      </c>
      <c r="D25" s="23"/>
      <c r="E25" s="23"/>
      <c r="F25" s="23"/>
      <c r="G25" s="23"/>
    </row>
    <row r="26" spans="1:11">
      <c r="A26" s="7" t="s">
        <v>417</v>
      </c>
      <c r="B26" s="23">
        <f>B9</f>
        <v>339.78947368421052</v>
      </c>
      <c r="C26" s="22" t="s">
        <v>294</v>
      </c>
      <c r="D26" s="23"/>
      <c r="E26" s="23"/>
      <c r="F26" s="23"/>
      <c r="G26" s="23"/>
    </row>
    <row r="27" spans="1:11">
      <c r="A27" s="7" t="s">
        <v>312</v>
      </c>
      <c r="B27" s="21">
        <f>2.5*I9</f>
        <v>978.18181818181824</v>
      </c>
      <c r="C27" s="22" t="s">
        <v>306</v>
      </c>
      <c r="D27" s="22"/>
      <c r="E27" s="22"/>
      <c r="F27" s="22"/>
      <c r="G27" s="22"/>
    </row>
    <row r="28" spans="1:11">
      <c r="A28" s="7" t="s">
        <v>416</v>
      </c>
      <c r="B28" s="23">
        <f>H9</f>
        <v>365.53110047846894</v>
      </c>
      <c r="C28" s="22" t="s">
        <v>300</v>
      </c>
      <c r="D28" s="23"/>
      <c r="E28" s="23"/>
      <c r="F28" s="23"/>
      <c r="G28" s="23"/>
    </row>
    <row r="29" spans="1:11">
      <c r="A29" s="7" t="s">
        <v>426</v>
      </c>
      <c r="B29" s="23">
        <f>H9</f>
        <v>365.53110047846894</v>
      </c>
      <c r="C29" s="22" t="s">
        <v>300</v>
      </c>
      <c r="D29" s="23"/>
      <c r="E29" s="23"/>
      <c r="F29" s="23"/>
      <c r="G29" s="23"/>
    </row>
    <row r="30" spans="1:11">
      <c r="A30" s="7" t="s">
        <v>440</v>
      </c>
      <c r="B30" s="23">
        <f>1.89*D9</f>
        <v>739.50545454545454</v>
      </c>
      <c r="C30" s="22" t="s">
        <v>296</v>
      </c>
      <c r="D30" s="23"/>
      <c r="E30" s="23"/>
      <c r="F30" s="23"/>
      <c r="G30" s="23"/>
    </row>
    <row r="31" spans="1:11">
      <c r="A31" s="7" t="s">
        <v>431</v>
      </c>
      <c r="B31" s="23">
        <f>F9</f>
        <v>365.53110047846894</v>
      </c>
      <c r="C31" s="22" t="s">
        <v>298</v>
      </c>
      <c r="D31" s="23"/>
      <c r="E31" s="23"/>
      <c r="F31" s="23"/>
      <c r="G31" s="23"/>
    </row>
    <row r="32" spans="1:11">
      <c r="A32" s="7" t="s">
        <v>410</v>
      </c>
      <c r="B32" s="23">
        <f>D9</f>
        <v>391.27272727272731</v>
      </c>
      <c r="C32" s="22" t="s">
        <v>296</v>
      </c>
      <c r="D32" s="23"/>
      <c r="E32" s="23"/>
      <c r="F32" s="23"/>
      <c r="G32" s="23"/>
    </row>
    <row r="33" spans="1:7">
      <c r="A33" s="7" t="s">
        <v>441</v>
      </c>
      <c r="B33" s="23">
        <f>2.5*B9</f>
        <v>849.47368421052624</v>
      </c>
      <c r="C33" s="22" t="s">
        <v>294</v>
      </c>
      <c r="D33" s="23"/>
      <c r="E33" s="23"/>
      <c r="F33" s="23"/>
      <c r="G33" s="23"/>
    </row>
    <row r="34" spans="1:7">
      <c r="A34" s="7" t="s">
        <v>302</v>
      </c>
      <c r="B34" s="23">
        <f>B9</f>
        <v>339.78947368421052</v>
      </c>
      <c r="C34" s="22" t="s">
        <v>294</v>
      </c>
      <c r="D34" s="23"/>
      <c r="E34" s="23"/>
      <c r="F34" s="23"/>
      <c r="G34" s="23"/>
    </row>
    <row r="35" spans="1:7">
      <c r="A35" s="7" t="s">
        <v>421</v>
      </c>
      <c r="B35" s="23">
        <f>G9</f>
        <v>378.4019138755981</v>
      </c>
      <c r="C35" s="22" t="s">
        <v>299</v>
      </c>
      <c r="D35" s="23"/>
      <c r="E35" s="23"/>
      <c r="F35" s="23"/>
      <c r="G35" s="23"/>
    </row>
    <row r="36" spans="1:7">
      <c r="A36" s="7" t="s">
        <v>438</v>
      </c>
      <c r="B36" s="26">
        <f>C9</f>
        <v>365.53110047846889</v>
      </c>
      <c r="C36" s="36" t="s">
        <v>295</v>
      </c>
      <c r="D36" s="148"/>
      <c r="E36" s="148"/>
      <c r="F36" s="148"/>
      <c r="G36" s="148"/>
    </row>
    <row r="37" spans="1:7">
      <c r="B37" s="15"/>
      <c r="C37" s="15"/>
      <c r="D37" s="14"/>
      <c r="E37" s="14"/>
      <c r="F37" s="14"/>
      <c r="G37" s="14"/>
    </row>
    <row r="38" spans="1:7">
      <c r="A38" s="7" t="s">
        <v>313</v>
      </c>
      <c r="B38" s="21">
        <f>I9</f>
        <v>391.27272727272731</v>
      </c>
      <c r="C38" s="22" t="s">
        <v>306</v>
      </c>
      <c r="D38" s="22"/>
      <c r="E38" s="22"/>
      <c r="F38" s="22"/>
      <c r="G38" s="22"/>
    </row>
    <row r="39" spans="1:7">
      <c r="D39" s="23"/>
      <c r="E39" s="23"/>
      <c r="F39" s="23"/>
      <c r="G39" s="23"/>
    </row>
  </sheetData>
  <mergeCells count="1">
    <mergeCell ref="D36:G36"/>
  </mergeCells>
  <phoneticPr fontId="1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8"/>
  <sheetViews>
    <sheetView workbookViewId="0">
      <pane xSplit="1" ySplit="4" topLeftCell="B123" activePane="bottomRight" state="frozenSplit"/>
      <selection pane="topRight" activeCell="B1" sqref="B1"/>
      <selection pane="bottomLeft" activeCell="A2" sqref="A2"/>
      <selection pane="bottomRight" activeCell="A2" sqref="A2:C2"/>
    </sheetView>
  </sheetViews>
  <sheetFormatPr baseColWidth="10" defaultColWidth="8.83203125" defaultRowHeight="14" x14ac:dyDescent="0"/>
  <cols>
    <col min="1" max="1" width="24.5" customWidth="1"/>
    <col min="2" max="2" width="28" customWidth="1"/>
    <col min="5" max="5" width="16.6640625" customWidth="1"/>
    <col min="6" max="6" width="10.33203125" customWidth="1"/>
    <col min="7" max="7" width="14.1640625" customWidth="1"/>
    <col min="8" max="8" width="18.33203125" customWidth="1"/>
    <col min="9" max="9" width="33.6640625" customWidth="1"/>
  </cols>
  <sheetData>
    <row r="1" spans="1:10" ht="20">
      <c r="A1" s="145" t="s">
        <v>219</v>
      </c>
      <c r="B1" s="144"/>
    </row>
    <row r="2" spans="1:10" ht="20">
      <c r="A2" s="143" t="s">
        <v>271</v>
      </c>
      <c r="B2" s="144"/>
      <c r="C2" s="144"/>
    </row>
    <row r="4" spans="1:10">
      <c r="B4" s="1" t="s">
        <v>724</v>
      </c>
      <c r="C4" s="1" t="s">
        <v>725</v>
      </c>
      <c r="D4" s="1" t="s">
        <v>726</v>
      </c>
      <c r="E4" s="1" t="s">
        <v>740</v>
      </c>
      <c r="F4" s="1" t="s">
        <v>728</v>
      </c>
      <c r="G4" s="1" t="s">
        <v>702</v>
      </c>
      <c r="H4" s="1" t="s">
        <v>354</v>
      </c>
      <c r="I4" s="1" t="s">
        <v>727</v>
      </c>
      <c r="J4" s="1" t="s">
        <v>743</v>
      </c>
    </row>
    <row r="5" spans="1:10">
      <c r="B5" s="1"/>
      <c r="C5" s="1"/>
      <c r="D5" s="1"/>
      <c r="E5" s="1"/>
      <c r="F5" s="1"/>
      <c r="G5" s="1"/>
      <c r="H5" s="1"/>
      <c r="I5" s="1"/>
      <c r="J5" s="1"/>
    </row>
    <row r="6" spans="1:10">
      <c r="A6" s="1" t="s">
        <v>693</v>
      </c>
      <c r="B6" s="1"/>
      <c r="C6" s="1"/>
      <c r="D6" s="1"/>
      <c r="E6" s="1"/>
      <c r="F6" s="1"/>
      <c r="G6" s="1"/>
      <c r="H6" s="1"/>
      <c r="I6" s="1"/>
      <c r="J6" s="1"/>
    </row>
    <row r="7" spans="1:10">
      <c r="A7" s="7" t="s">
        <v>601</v>
      </c>
      <c r="B7" s="5" t="s">
        <v>776</v>
      </c>
      <c r="C7" s="6" t="s">
        <v>759</v>
      </c>
      <c r="D7" s="6">
        <v>10.85</v>
      </c>
      <c r="E7" s="6" t="s">
        <v>777</v>
      </c>
      <c r="F7" s="6">
        <f>0.5*D7</f>
        <v>5.4249999999999998</v>
      </c>
      <c r="G7" s="13">
        <f>D7+F7</f>
        <v>16.274999999999999</v>
      </c>
      <c r="H7" s="14">
        <f>G7*12</f>
        <v>195.29999999999998</v>
      </c>
      <c r="I7" s="5" t="s">
        <v>778</v>
      </c>
      <c r="J7" s="1" t="s">
        <v>671</v>
      </c>
    </row>
    <row r="8" spans="1:10">
      <c r="A8" s="7"/>
      <c r="B8" s="5"/>
      <c r="C8" s="6"/>
      <c r="D8" s="6"/>
      <c r="E8" s="6"/>
      <c r="F8" s="6"/>
      <c r="G8" s="13"/>
      <c r="H8" s="13"/>
      <c r="I8" s="5"/>
      <c r="J8" s="1"/>
    </row>
    <row r="9" spans="1:10">
      <c r="A9" s="7" t="s">
        <v>602</v>
      </c>
      <c r="B9" s="3" t="s">
        <v>737</v>
      </c>
      <c r="C9" s="2" t="s">
        <v>738</v>
      </c>
      <c r="D9" s="2">
        <v>0.87</v>
      </c>
      <c r="E9" s="2" t="s">
        <v>739</v>
      </c>
      <c r="G9" s="22">
        <f>D9</f>
        <v>0.87</v>
      </c>
      <c r="H9" s="22">
        <f>G9*313</f>
        <v>272.31</v>
      </c>
      <c r="I9" s="3" t="s">
        <v>593</v>
      </c>
    </row>
    <row r="10" spans="1:10">
      <c r="A10" s="4"/>
      <c r="B10" s="3" t="s">
        <v>747</v>
      </c>
      <c r="C10" s="2" t="s">
        <v>738</v>
      </c>
      <c r="D10" s="2">
        <v>0.85</v>
      </c>
      <c r="E10" s="2" t="s">
        <v>739</v>
      </c>
      <c r="G10" s="22">
        <f>D10</f>
        <v>0.85</v>
      </c>
      <c r="H10" s="22">
        <f>G10*313</f>
        <v>266.05</v>
      </c>
      <c r="I10" s="3" t="s">
        <v>748</v>
      </c>
    </row>
    <row r="11" spans="1:10">
      <c r="A11" s="4"/>
      <c r="B11" s="3" t="s">
        <v>747</v>
      </c>
      <c r="C11" s="2" t="s">
        <v>699</v>
      </c>
      <c r="D11" s="2">
        <v>5.46</v>
      </c>
      <c r="E11" s="2" t="s">
        <v>739</v>
      </c>
      <c r="G11" s="22">
        <f>D11</f>
        <v>5.46</v>
      </c>
      <c r="H11" s="22">
        <f>G11*52</f>
        <v>283.92</v>
      </c>
      <c r="I11" s="3" t="s">
        <v>202</v>
      </c>
    </row>
    <row r="12" spans="1:10">
      <c r="B12" s="7" t="s">
        <v>360</v>
      </c>
      <c r="C12" s="16"/>
      <c r="D12" s="16"/>
      <c r="E12" s="16"/>
      <c r="G12" s="22"/>
      <c r="H12" s="14">
        <f>SUM(H9:H11)/3</f>
        <v>274.09333333333331</v>
      </c>
      <c r="I12" s="19"/>
    </row>
    <row r="13" spans="1:10">
      <c r="B13" s="7"/>
      <c r="C13" s="50"/>
      <c r="D13" s="50"/>
      <c r="E13" s="50"/>
      <c r="G13" s="22"/>
      <c r="H13" s="14"/>
      <c r="I13" s="48"/>
    </row>
    <row r="14" spans="1:10">
      <c r="A14" s="7" t="s">
        <v>293</v>
      </c>
      <c r="B14" s="33" t="s">
        <v>217</v>
      </c>
      <c r="C14" s="35" t="s">
        <v>759</v>
      </c>
      <c r="D14" s="35">
        <v>22.5</v>
      </c>
      <c r="E14" s="35" t="s">
        <v>739</v>
      </c>
      <c r="G14" s="22">
        <f>D14</f>
        <v>22.5</v>
      </c>
      <c r="H14" s="14">
        <f>G14*12</f>
        <v>270</v>
      </c>
      <c r="I14" s="34" t="s">
        <v>203</v>
      </c>
    </row>
    <row r="15" spans="1:10">
      <c r="A15" s="7"/>
      <c r="B15" s="47"/>
      <c r="C15" s="50"/>
      <c r="D15" s="50"/>
      <c r="E15" s="50"/>
      <c r="G15" s="22"/>
      <c r="H15" s="14"/>
      <c r="I15" s="48"/>
    </row>
    <row r="16" spans="1:10">
      <c r="A16" s="7" t="s">
        <v>608</v>
      </c>
      <c r="B16" t="s">
        <v>595</v>
      </c>
      <c r="C16" s="2" t="s">
        <v>699</v>
      </c>
      <c r="D16" s="2">
        <v>1.08</v>
      </c>
      <c r="E16" s="2" t="s">
        <v>596</v>
      </c>
      <c r="F16" s="2">
        <f>D16</f>
        <v>1.08</v>
      </c>
      <c r="G16" s="22">
        <f>D16+F16</f>
        <v>2.16</v>
      </c>
      <c r="H16" s="14">
        <f>G16*52</f>
        <v>112.32000000000001</v>
      </c>
      <c r="I16" s="3" t="s">
        <v>597</v>
      </c>
    </row>
    <row r="17" spans="1:10">
      <c r="A17" s="7"/>
      <c r="C17" s="16"/>
      <c r="D17" s="16"/>
      <c r="E17" s="16"/>
      <c r="F17" s="16"/>
      <c r="G17" s="22"/>
      <c r="H17" s="22"/>
      <c r="I17" s="19"/>
    </row>
    <row r="18" spans="1:10">
      <c r="A18" s="7" t="s">
        <v>752</v>
      </c>
      <c r="B18" t="s">
        <v>752</v>
      </c>
      <c r="C18" s="2" t="s">
        <v>738</v>
      </c>
      <c r="D18" s="2">
        <v>1.44</v>
      </c>
      <c r="E18" s="2" t="s">
        <v>739</v>
      </c>
      <c r="G18" s="22">
        <f>D18</f>
        <v>1.44</v>
      </c>
      <c r="H18" s="13">
        <f>G18*313</f>
        <v>450.71999999999997</v>
      </c>
      <c r="I18" s="3" t="s">
        <v>760</v>
      </c>
    </row>
    <row r="19" spans="1:10">
      <c r="A19" s="4"/>
      <c r="B19" t="s">
        <v>752</v>
      </c>
      <c r="C19" s="2" t="s">
        <v>699</v>
      </c>
      <c r="D19" s="2">
        <v>9.1</v>
      </c>
      <c r="E19" s="2" t="s">
        <v>739</v>
      </c>
      <c r="G19" s="22">
        <f>D19</f>
        <v>9.1</v>
      </c>
      <c r="H19" s="22">
        <f>G19*52</f>
        <v>473.2</v>
      </c>
      <c r="I19" s="3" t="s">
        <v>658</v>
      </c>
    </row>
    <row r="20" spans="1:10">
      <c r="A20" s="4"/>
      <c r="B20" s="7" t="s">
        <v>360</v>
      </c>
      <c r="C20" s="16"/>
      <c r="D20" s="16"/>
      <c r="E20" s="16"/>
      <c r="G20" s="22"/>
      <c r="H20" s="14">
        <f>SUM(H18:H19)/2</f>
        <v>461.96</v>
      </c>
      <c r="I20" s="19"/>
    </row>
    <row r="21" spans="1:10">
      <c r="A21" s="4"/>
      <c r="B21" s="7"/>
      <c r="C21" s="50"/>
      <c r="D21" s="50"/>
      <c r="E21" s="50"/>
      <c r="G21" s="22"/>
      <c r="H21" s="14"/>
      <c r="I21" s="48"/>
    </row>
    <row r="22" spans="1:10">
      <c r="A22" s="7" t="s">
        <v>603</v>
      </c>
      <c r="B22" t="s">
        <v>758</v>
      </c>
      <c r="C22" s="2" t="s">
        <v>759</v>
      </c>
      <c r="D22" s="2">
        <v>52.1</v>
      </c>
      <c r="E22" s="2" t="s">
        <v>739</v>
      </c>
      <c r="G22" s="22">
        <v>52.1</v>
      </c>
      <c r="H22" s="14">
        <v>625.20000000000005</v>
      </c>
      <c r="I22" s="3" t="s">
        <v>753</v>
      </c>
    </row>
    <row r="23" spans="1:10">
      <c r="A23" s="4"/>
      <c r="B23" t="s">
        <v>204</v>
      </c>
      <c r="C23" s="2" t="s">
        <v>770</v>
      </c>
      <c r="D23" s="2">
        <v>3290</v>
      </c>
      <c r="E23" s="2" t="s">
        <v>739</v>
      </c>
      <c r="G23" s="22">
        <f>D23</f>
        <v>3290</v>
      </c>
      <c r="H23" s="22">
        <f>G23</f>
        <v>3290</v>
      </c>
      <c r="I23" t="s">
        <v>773</v>
      </c>
      <c r="J23">
        <v>1859</v>
      </c>
    </row>
    <row r="24" spans="1:10">
      <c r="A24" s="4"/>
      <c r="B24" s="4" t="s">
        <v>205</v>
      </c>
      <c r="C24" s="50" t="s">
        <v>770</v>
      </c>
      <c r="D24" s="50">
        <v>1445</v>
      </c>
      <c r="E24" s="50" t="s">
        <v>739</v>
      </c>
      <c r="G24" s="22">
        <f>D24</f>
        <v>1445</v>
      </c>
      <c r="H24" s="22">
        <f>G24</f>
        <v>1445</v>
      </c>
      <c r="I24" s="48" t="s">
        <v>206</v>
      </c>
    </row>
    <row r="25" spans="1:10">
      <c r="A25" s="4"/>
      <c r="B25" s="4" t="s">
        <v>772</v>
      </c>
      <c r="C25" s="2" t="s">
        <v>770</v>
      </c>
      <c r="D25" s="2">
        <v>749</v>
      </c>
      <c r="E25" s="2" t="s">
        <v>739</v>
      </c>
      <c r="G25" s="22">
        <f>D25</f>
        <v>749</v>
      </c>
      <c r="H25" s="22">
        <f>G25</f>
        <v>749</v>
      </c>
      <c r="I25" t="s">
        <v>774</v>
      </c>
      <c r="J25">
        <v>1859</v>
      </c>
    </row>
    <row r="26" spans="1:10">
      <c r="A26" s="4"/>
      <c r="B26" s="7" t="s">
        <v>360</v>
      </c>
      <c r="C26" s="50"/>
      <c r="D26" s="50"/>
      <c r="E26" s="50"/>
      <c r="G26" s="22"/>
      <c r="H26" s="14">
        <f>(H23-H25)/3</f>
        <v>847</v>
      </c>
    </row>
    <row r="27" spans="1:10">
      <c r="A27" s="4"/>
      <c r="B27" s="7"/>
      <c r="C27" s="50"/>
      <c r="D27" s="50"/>
      <c r="E27" s="50"/>
      <c r="G27" s="22"/>
      <c r="H27" s="14"/>
    </row>
    <row r="28" spans="1:10">
      <c r="A28" s="7" t="s">
        <v>605</v>
      </c>
      <c r="B28" s="47" t="s">
        <v>208</v>
      </c>
      <c r="C28" s="50" t="s">
        <v>770</v>
      </c>
      <c r="D28" s="50">
        <v>338.7</v>
      </c>
      <c r="E28" s="50"/>
      <c r="G28" s="22"/>
      <c r="H28" s="14">
        <f>D28</f>
        <v>338.7</v>
      </c>
      <c r="I28" t="s">
        <v>209</v>
      </c>
    </row>
    <row r="29" spans="1:10">
      <c r="A29" s="7"/>
      <c r="B29" t="s">
        <v>353</v>
      </c>
      <c r="C29" s="2" t="s">
        <v>770</v>
      </c>
      <c r="D29" s="22">
        <f>D28*0.485</f>
        <v>164.26949999999999</v>
      </c>
      <c r="E29" s="12" t="s">
        <v>739</v>
      </c>
      <c r="F29" s="2"/>
      <c r="G29" s="22"/>
      <c r="H29" s="14">
        <f>D29</f>
        <v>164.26949999999999</v>
      </c>
      <c r="I29" s="41" t="s">
        <v>207</v>
      </c>
    </row>
    <row r="30" spans="1:10">
      <c r="A30" s="4"/>
      <c r="B30" s="3" t="s">
        <v>598</v>
      </c>
      <c r="C30" s="2" t="s">
        <v>770</v>
      </c>
      <c r="D30" s="2">
        <v>176</v>
      </c>
      <c r="E30" s="2" t="s">
        <v>739</v>
      </c>
      <c r="G30" s="22"/>
      <c r="H30" s="14">
        <f>D30</f>
        <v>176</v>
      </c>
      <c r="I30" t="s">
        <v>210</v>
      </c>
    </row>
    <row r="31" spans="1:10">
      <c r="A31" s="4"/>
      <c r="B31" s="3" t="s">
        <v>599</v>
      </c>
      <c r="C31" s="2" t="s">
        <v>770</v>
      </c>
      <c r="D31" s="2">
        <v>214</v>
      </c>
      <c r="E31" s="2" t="s">
        <v>739</v>
      </c>
      <c r="G31" s="22"/>
      <c r="H31" s="14">
        <f>D31</f>
        <v>214</v>
      </c>
      <c r="I31" t="s">
        <v>211</v>
      </c>
    </row>
    <row r="32" spans="1:10">
      <c r="A32" s="4"/>
      <c r="B32" t="s">
        <v>600</v>
      </c>
      <c r="C32" s="2" t="s">
        <v>770</v>
      </c>
      <c r="D32" s="2">
        <v>292</v>
      </c>
      <c r="E32" s="2" t="s">
        <v>739</v>
      </c>
      <c r="G32" s="22"/>
      <c r="H32" s="14">
        <f>D32</f>
        <v>292</v>
      </c>
      <c r="I32" s="3" t="s">
        <v>212</v>
      </c>
    </row>
    <row r="33" spans="1:9">
      <c r="A33" s="4"/>
      <c r="C33" s="50"/>
      <c r="D33" s="50"/>
      <c r="E33" s="50"/>
      <c r="G33" s="22"/>
      <c r="H33" s="14"/>
      <c r="I33" s="48"/>
    </row>
    <row r="34" spans="1:9">
      <c r="A34" s="7" t="s">
        <v>606</v>
      </c>
      <c r="B34" s="5" t="s">
        <v>677</v>
      </c>
      <c r="C34" s="2" t="s">
        <v>770</v>
      </c>
      <c r="D34" s="2">
        <v>269</v>
      </c>
      <c r="E34" s="2" t="s">
        <v>739</v>
      </c>
      <c r="F34" s="2"/>
      <c r="G34" s="22"/>
      <c r="H34" s="22">
        <f>D34</f>
        <v>269</v>
      </c>
      <c r="I34" t="s">
        <v>213</v>
      </c>
    </row>
    <row r="35" spans="1:9">
      <c r="A35" s="9"/>
      <c r="B35" s="5" t="s">
        <v>678</v>
      </c>
      <c r="C35" s="2" t="s">
        <v>770</v>
      </c>
      <c r="D35" s="2">
        <v>224</v>
      </c>
      <c r="E35" s="2" t="s">
        <v>739</v>
      </c>
      <c r="F35" s="2"/>
      <c r="G35" s="22"/>
      <c r="H35" s="22">
        <v>224</v>
      </c>
      <c r="I35" t="s">
        <v>213</v>
      </c>
    </row>
    <row r="36" spans="1:9">
      <c r="A36" s="9"/>
      <c r="B36" s="5" t="s">
        <v>679</v>
      </c>
      <c r="C36" s="2" t="s">
        <v>770</v>
      </c>
      <c r="D36" s="2">
        <v>375</v>
      </c>
      <c r="E36" s="2" t="s">
        <v>739</v>
      </c>
      <c r="F36" s="2"/>
      <c r="G36" s="22"/>
      <c r="H36" s="22">
        <f>D36</f>
        <v>375</v>
      </c>
      <c r="I36" t="s">
        <v>213</v>
      </c>
    </row>
    <row r="37" spans="1:9">
      <c r="A37" s="9"/>
      <c r="B37" s="5"/>
      <c r="C37" s="50"/>
      <c r="D37" s="50"/>
      <c r="E37" s="50"/>
      <c r="F37" s="50"/>
      <c r="G37" s="22"/>
      <c r="H37" s="22"/>
    </row>
    <row r="38" spans="1:9">
      <c r="A38" s="7" t="s">
        <v>607</v>
      </c>
      <c r="B38" t="s">
        <v>682</v>
      </c>
      <c r="C38" s="2" t="s">
        <v>759</v>
      </c>
      <c r="D38" s="2">
        <v>12</v>
      </c>
      <c r="E38" s="2" t="s">
        <v>695</v>
      </c>
      <c r="F38" s="2">
        <f>0.5*D38</f>
        <v>6</v>
      </c>
      <c r="G38" s="22">
        <f>D38+F38</f>
        <v>18</v>
      </c>
      <c r="H38" s="22">
        <f>12*G38</f>
        <v>216</v>
      </c>
      <c r="I38" s="3" t="s">
        <v>214</v>
      </c>
    </row>
    <row r="39" spans="1:9">
      <c r="A39" s="4"/>
      <c r="B39" t="s">
        <v>588</v>
      </c>
      <c r="C39" s="2" t="s">
        <v>759</v>
      </c>
      <c r="D39" s="2">
        <v>12</v>
      </c>
      <c r="E39" s="2" t="s">
        <v>695</v>
      </c>
      <c r="F39" s="2">
        <f>0.5*D39</f>
        <v>6</v>
      </c>
      <c r="G39" s="22">
        <f>D39+F39</f>
        <v>18</v>
      </c>
      <c r="H39" s="22">
        <f>G39*12</f>
        <v>216</v>
      </c>
      <c r="I39" s="3" t="s">
        <v>355</v>
      </c>
    </row>
    <row r="40" spans="1:9">
      <c r="A40" s="4"/>
      <c r="B40" t="s">
        <v>215</v>
      </c>
      <c r="C40" s="2" t="s">
        <v>759</v>
      </c>
      <c r="D40" s="2">
        <v>15</v>
      </c>
      <c r="E40" s="2" t="s">
        <v>695</v>
      </c>
      <c r="F40" s="2">
        <f>0.5*D40</f>
        <v>7.5</v>
      </c>
      <c r="G40" s="22">
        <f>D40+F40</f>
        <v>22.5</v>
      </c>
      <c r="H40" s="22">
        <f>G40*12</f>
        <v>270</v>
      </c>
      <c r="I40" s="3" t="s">
        <v>216</v>
      </c>
    </row>
    <row r="41" spans="1:9">
      <c r="A41" s="4"/>
      <c r="B41" s="7" t="s">
        <v>360</v>
      </c>
      <c r="C41" s="25"/>
      <c r="D41" s="25"/>
      <c r="E41" s="25"/>
      <c r="F41" s="25"/>
      <c r="G41" s="22"/>
      <c r="H41" s="14">
        <f>(H38+H39+H40)/3</f>
        <v>234</v>
      </c>
      <c r="I41" s="24"/>
    </row>
    <row r="42" spans="1:9">
      <c r="A42" s="1" t="s">
        <v>696</v>
      </c>
      <c r="C42" s="2"/>
      <c r="D42" s="2"/>
      <c r="E42" s="2"/>
      <c r="F42" s="2"/>
      <c r="G42" s="22"/>
      <c r="H42" s="22"/>
      <c r="I42" s="3"/>
    </row>
    <row r="43" spans="1:9">
      <c r="A43" s="7" t="s">
        <v>639</v>
      </c>
      <c r="B43" s="5" t="s">
        <v>616</v>
      </c>
      <c r="C43" s="2" t="s">
        <v>738</v>
      </c>
      <c r="D43" s="2">
        <v>1</v>
      </c>
      <c r="E43" s="2" t="s">
        <v>739</v>
      </c>
      <c r="G43" s="22">
        <f>D43</f>
        <v>1</v>
      </c>
      <c r="H43" s="22">
        <f>G43*313</f>
        <v>313</v>
      </c>
      <c r="I43" s="3" t="s">
        <v>593</v>
      </c>
    </row>
    <row r="44" spans="1:9">
      <c r="A44" s="9"/>
      <c r="B44" s="5" t="s">
        <v>617</v>
      </c>
      <c r="C44" s="2" t="s">
        <v>738</v>
      </c>
      <c r="D44" s="2">
        <v>0.89</v>
      </c>
      <c r="E44" s="2" t="s">
        <v>739</v>
      </c>
      <c r="G44" s="22">
        <f t="shared" ref="G44:G47" si="0">D44</f>
        <v>0.89</v>
      </c>
      <c r="H44" s="22">
        <f t="shared" ref="H44:H48" si="1">G44*313</f>
        <v>278.57</v>
      </c>
      <c r="I44" s="3" t="s">
        <v>593</v>
      </c>
    </row>
    <row r="45" spans="1:9">
      <c r="A45" s="9"/>
      <c r="B45" s="5" t="s">
        <v>618</v>
      </c>
      <c r="C45" s="2" t="s">
        <v>738</v>
      </c>
      <c r="D45" s="2">
        <v>0.97</v>
      </c>
      <c r="E45" s="2" t="s">
        <v>739</v>
      </c>
      <c r="G45" s="22">
        <f t="shared" si="0"/>
        <v>0.97</v>
      </c>
      <c r="H45" s="22">
        <f t="shared" si="1"/>
        <v>303.61</v>
      </c>
      <c r="I45" s="3" t="s">
        <v>593</v>
      </c>
    </row>
    <row r="46" spans="1:9">
      <c r="A46" s="9"/>
      <c r="B46" s="5" t="s">
        <v>619</v>
      </c>
      <c r="C46" s="2" t="s">
        <v>738</v>
      </c>
      <c r="D46" s="2">
        <v>1.0900000000000001</v>
      </c>
      <c r="E46" s="2" t="s">
        <v>739</v>
      </c>
      <c r="G46" s="22">
        <f t="shared" si="0"/>
        <v>1.0900000000000001</v>
      </c>
      <c r="H46" s="22">
        <f t="shared" si="1"/>
        <v>341.17</v>
      </c>
      <c r="I46" s="3" t="s">
        <v>593</v>
      </c>
    </row>
    <row r="47" spans="1:9">
      <c r="A47" s="9"/>
      <c r="B47" s="5" t="s">
        <v>620</v>
      </c>
      <c r="C47" s="2" t="s">
        <v>738</v>
      </c>
      <c r="D47" s="2">
        <v>0.95</v>
      </c>
      <c r="E47" s="2" t="s">
        <v>739</v>
      </c>
      <c r="G47" s="22">
        <f t="shared" si="0"/>
        <v>0.95</v>
      </c>
      <c r="H47" s="22">
        <f t="shared" si="1"/>
        <v>297.34999999999997</v>
      </c>
      <c r="I47" s="3" t="s">
        <v>593</v>
      </c>
    </row>
    <row r="48" spans="1:9">
      <c r="A48" s="9"/>
      <c r="B48" s="5" t="s">
        <v>615</v>
      </c>
      <c r="C48" s="2" t="s">
        <v>738</v>
      </c>
      <c r="D48" s="2">
        <v>0.98</v>
      </c>
      <c r="E48" s="2" t="s">
        <v>739</v>
      </c>
      <c r="G48" s="22">
        <v>1.05</v>
      </c>
      <c r="H48" s="22">
        <f t="shared" si="1"/>
        <v>328.65000000000003</v>
      </c>
      <c r="I48" s="3" t="s">
        <v>593</v>
      </c>
    </row>
    <row r="49" spans="1:9">
      <c r="A49" s="7" t="s">
        <v>640</v>
      </c>
      <c r="B49" t="s">
        <v>609</v>
      </c>
      <c r="C49" s="2" t="s">
        <v>699</v>
      </c>
      <c r="D49" s="2">
        <v>1.0900000000000001</v>
      </c>
      <c r="E49" s="2" t="s">
        <v>596</v>
      </c>
      <c r="F49" s="2">
        <f t="shared" ref="F49:F54" si="2">D49</f>
        <v>1.0900000000000001</v>
      </c>
      <c r="G49" s="22">
        <f t="shared" ref="G49:G54" si="3">D49+F49</f>
        <v>2.1800000000000002</v>
      </c>
      <c r="H49" s="22">
        <f>G49*52</f>
        <v>113.36000000000001</v>
      </c>
      <c r="I49" s="3" t="s">
        <v>597</v>
      </c>
    </row>
    <row r="50" spans="1:9">
      <c r="A50" s="9"/>
      <c r="B50" t="s">
        <v>610</v>
      </c>
      <c r="C50" s="2" t="s">
        <v>699</v>
      </c>
      <c r="D50" s="2">
        <v>1.27</v>
      </c>
      <c r="E50" s="2" t="s">
        <v>596</v>
      </c>
      <c r="F50" s="2">
        <f t="shared" si="2"/>
        <v>1.27</v>
      </c>
      <c r="G50" s="22">
        <f t="shared" si="3"/>
        <v>2.54</v>
      </c>
      <c r="H50" s="22">
        <f t="shared" ref="H50:H54" si="4">G50*52</f>
        <v>132.08000000000001</v>
      </c>
      <c r="I50" s="3" t="s">
        <v>597</v>
      </c>
    </row>
    <row r="51" spans="1:9">
      <c r="A51" s="9"/>
      <c r="B51" t="s">
        <v>611</v>
      </c>
      <c r="C51" s="2" t="s">
        <v>699</v>
      </c>
      <c r="D51" s="2">
        <v>1.19</v>
      </c>
      <c r="E51" s="2" t="s">
        <v>596</v>
      </c>
      <c r="F51" s="2">
        <f t="shared" si="2"/>
        <v>1.19</v>
      </c>
      <c r="G51" s="22">
        <f t="shared" si="3"/>
        <v>2.38</v>
      </c>
      <c r="H51" s="22">
        <f t="shared" si="4"/>
        <v>123.75999999999999</v>
      </c>
      <c r="I51" s="3" t="s">
        <v>597</v>
      </c>
    </row>
    <row r="52" spans="1:9">
      <c r="A52" s="9"/>
      <c r="B52" t="s">
        <v>612</v>
      </c>
      <c r="C52" s="2" t="s">
        <v>699</v>
      </c>
      <c r="D52" s="2">
        <v>1.48</v>
      </c>
      <c r="E52" s="2" t="s">
        <v>596</v>
      </c>
      <c r="F52" s="2">
        <f t="shared" si="2"/>
        <v>1.48</v>
      </c>
      <c r="G52" s="22">
        <f t="shared" si="3"/>
        <v>2.96</v>
      </c>
      <c r="H52" s="22">
        <f t="shared" si="4"/>
        <v>153.91999999999999</v>
      </c>
      <c r="I52" s="3" t="s">
        <v>597</v>
      </c>
    </row>
    <row r="53" spans="1:9">
      <c r="A53" s="9"/>
      <c r="B53" t="s">
        <v>613</v>
      </c>
      <c r="C53" s="2" t="s">
        <v>699</v>
      </c>
      <c r="D53" s="2">
        <v>1.42</v>
      </c>
      <c r="E53" s="2" t="s">
        <v>596</v>
      </c>
      <c r="F53" s="2">
        <f t="shared" si="2"/>
        <v>1.42</v>
      </c>
      <c r="G53" s="22">
        <f t="shared" si="3"/>
        <v>2.84</v>
      </c>
      <c r="H53" s="22">
        <f t="shared" si="4"/>
        <v>147.68</v>
      </c>
      <c r="I53" s="3" t="s">
        <v>597</v>
      </c>
    </row>
    <row r="54" spans="1:9">
      <c r="A54" s="9"/>
      <c r="B54" t="s">
        <v>614</v>
      </c>
      <c r="C54" s="2" t="s">
        <v>699</v>
      </c>
      <c r="D54" s="2">
        <v>1.36</v>
      </c>
      <c r="E54" s="2" t="s">
        <v>596</v>
      </c>
      <c r="F54" s="2">
        <f t="shared" si="2"/>
        <v>1.36</v>
      </c>
      <c r="G54" s="22">
        <f t="shared" si="3"/>
        <v>2.72</v>
      </c>
      <c r="H54" s="22">
        <f t="shared" si="4"/>
        <v>141.44</v>
      </c>
      <c r="I54" s="3" t="s">
        <v>597</v>
      </c>
    </row>
    <row r="55" spans="1:9">
      <c r="A55" s="7" t="s">
        <v>605</v>
      </c>
      <c r="B55" s="3" t="s">
        <v>598</v>
      </c>
      <c r="C55" s="2" t="s">
        <v>770</v>
      </c>
      <c r="D55" s="2">
        <v>194</v>
      </c>
      <c r="E55" s="2" t="s">
        <v>739</v>
      </c>
      <c r="G55" s="22"/>
      <c r="H55" s="22">
        <f>D55</f>
        <v>194</v>
      </c>
      <c r="I55" t="s">
        <v>210</v>
      </c>
    </row>
    <row r="56" spans="1:9">
      <c r="A56" s="9"/>
      <c r="B56" s="3" t="s">
        <v>622</v>
      </c>
      <c r="C56" s="2" t="s">
        <v>770</v>
      </c>
      <c r="D56" s="2">
        <v>188</v>
      </c>
      <c r="E56" s="2" t="s">
        <v>739</v>
      </c>
      <c r="G56" s="22"/>
      <c r="H56" s="22">
        <f t="shared" ref="H56:H61" si="5">D56</f>
        <v>188</v>
      </c>
      <c r="I56" t="s">
        <v>210</v>
      </c>
    </row>
    <row r="57" spans="1:9">
      <c r="A57" s="9"/>
      <c r="B57" s="3" t="s">
        <v>623</v>
      </c>
      <c r="C57" s="2" t="s">
        <v>770</v>
      </c>
      <c r="D57" s="2">
        <v>198</v>
      </c>
      <c r="E57" s="2" t="s">
        <v>739</v>
      </c>
      <c r="G57" s="22"/>
      <c r="H57" s="22">
        <f t="shared" si="5"/>
        <v>198</v>
      </c>
      <c r="I57" t="s">
        <v>210</v>
      </c>
    </row>
    <row r="58" spans="1:9">
      <c r="A58" s="9"/>
      <c r="B58" s="3" t="s">
        <v>624</v>
      </c>
      <c r="C58" s="2" t="s">
        <v>770</v>
      </c>
      <c r="D58" s="2">
        <v>165</v>
      </c>
      <c r="E58" s="2" t="s">
        <v>739</v>
      </c>
      <c r="G58" s="22"/>
      <c r="H58" s="22">
        <f t="shared" si="5"/>
        <v>165</v>
      </c>
      <c r="I58" t="s">
        <v>210</v>
      </c>
    </row>
    <row r="59" spans="1:9">
      <c r="A59" s="9"/>
      <c r="B59" s="3" t="s">
        <v>625</v>
      </c>
      <c r="C59" s="2" t="s">
        <v>770</v>
      </c>
      <c r="D59" s="2">
        <v>199</v>
      </c>
      <c r="E59" s="2" t="s">
        <v>739</v>
      </c>
      <c r="G59" s="22"/>
      <c r="H59" s="22">
        <f t="shared" si="5"/>
        <v>199</v>
      </c>
      <c r="I59" t="s">
        <v>210</v>
      </c>
    </row>
    <row r="60" spans="1:9">
      <c r="A60" s="9"/>
      <c r="B60" s="3" t="s">
        <v>626</v>
      </c>
      <c r="C60" s="2" t="s">
        <v>770</v>
      </c>
      <c r="D60" s="2">
        <v>186</v>
      </c>
      <c r="E60" s="2" t="s">
        <v>739</v>
      </c>
      <c r="G60" s="22"/>
      <c r="H60" s="22">
        <f t="shared" si="5"/>
        <v>186</v>
      </c>
      <c r="I60" t="s">
        <v>210</v>
      </c>
    </row>
    <row r="61" spans="1:9">
      <c r="A61" s="9"/>
      <c r="B61" s="3" t="s">
        <v>621</v>
      </c>
      <c r="C61" s="2" t="s">
        <v>770</v>
      </c>
      <c r="D61" s="2">
        <v>180</v>
      </c>
      <c r="E61" s="2" t="s">
        <v>739</v>
      </c>
      <c r="G61" s="22"/>
      <c r="H61" s="22">
        <f t="shared" si="5"/>
        <v>180</v>
      </c>
      <c r="I61" t="s">
        <v>210</v>
      </c>
    </row>
    <row r="62" spans="1:9">
      <c r="A62" s="9"/>
      <c r="B62" s="3" t="s">
        <v>599</v>
      </c>
      <c r="C62" s="2" t="s">
        <v>770</v>
      </c>
      <c r="D62" s="2">
        <v>224</v>
      </c>
      <c r="E62" s="2" t="s">
        <v>739</v>
      </c>
      <c r="G62" s="22"/>
      <c r="H62" s="22">
        <f>D62</f>
        <v>224</v>
      </c>
      <c r="I62" t="s">
        <v>211</v>
      </c>
    </row>
    <row r="63" spans="1:9">
      <c r="A63" s="9"/>
      <c r="B63" s="3" t="s">
        <v>628</v>
      </c>
      <c r="C63" s="2" t="s">
        <v>770</v>
      </c>
      <c r="D63" s="2">
        <v>205</v>
      </c>
      <c r="E63" s="2" t="s">
        <v>739</v>
      </c>
      <c r="G63" s="22"/>
      <c r="H63" s="22">
        <f t="shared" ref="H63:H68" si="6">D63</f>
        <v>205</v>
      </c>
      <c r="I63" t="s">
        <v>211</v>
      </c>
    </row>
    <row r="64" spans="1:9">
      <c r="A64" s="9"/>
      <c r="B64" s="3" t="s">
        <v>629</v>
      </c>
      <c r="C64" s="2" t="s">
        <v>770</v>
      </c>
      <c r="D64" s="2">
        <v>217</v>
      </c>
      <c r="E64" s="2" t="s">
        <v>739</v>
      </c>
      <c r="G64" s="22"/>
      <c r="H64" s="22">
        <f t="shared" si="6"/>
        <v>217</v>
      </c>
      <c r="I64" t="s">
        <v>211</v>
      </c>
    </row>
    <row r="65" spans="1:9">
      <c r="A65" s="9"/>
      <c r="B65" s="3" t="s">
        <v>630</v>
      </c>
      <c r="C65" s="2" t="s">
        <v>770</v>
      </c>
      <c r="D65" s="2">
        <v>216</v>
      </c>
      <c r="E65" s="2" t="s">
        <v>739</v>
      </c>
      <c r="G65" s="22"/>
      <c r="H65" s="22">
        <f t="shared" si="6"/>
        <v>216</v>
      </c>
      <c r="I65" t="s">
        <v>211</v>
      </c>
    </row>
    <row r="66" spans="1:9">
      <c r="A66" s="9"/>
      <c r="B66" s="3" t="s">
        <v>631</v>
      </c>
      <c r="C66" s="2" t="s">
        <v>770</v>
      </c>
      <c r="D66" s="2">
        <v>229</v>
      </c>
      <c r="E66" s="2" t="s">
        <v>739</v>
      </c>
      <c r="G66" s="22"/>
      <c r="H66" s="22">
        <f t="shared" si="6"/>
        <v>229</v>
      </c>
      <c r="I66" t="s">
        <v>211</v>
      </c>
    </row>
    <row r="67" spans="1:9">
      <c r="A67" s="9"/>
      <c r="B67" s="3" t="s">
        <v>632</v>
      </c>
      <c r="C67" s="2" t="s">
        <v>770</v>
      </c>
      <c r="D67" s="2">
        <v>219</v>
      </c>
      <c r="E67" s="2" t="s">
        <v>739</v>
      </c>
      <c r="G67" s="22"/>
      <c r="H67" s="22">
        <f t="shared" si="6"/>
        <v>219</v>
      </c>
      <c r="I67" t="s">
        <v>211</v>
      </c>
    </row>
    <row r="68" spans="1:9">
      <c r="A68" s="9"/>
      <c r="B68" s="3" t="s">
        <v>627</v>
      </c>
      <c r="C68" s="2" t="s">
        <v>770</v>
      </c>
      <c r="D68" s="2">
        <v>226</v>
      </c>
      <c r="E68" s="2" t="s">
        <v>739</v>
      </c>
      <c r="G68" s="22"/>
      <c r="H68" s="22">
        <f t="shared" si="6"/>
        <v>226</v>
      </c>
      <c r="I68" t="s">
        <v>211</v>
      </c>
    </row>
    <row r="69" spans="1:9">
      <c r="A69" s="9"/>
      <c r="B69" t="s">
        <v>600</v>
      </c>
      <c r="C69" s="2" t="s">
        <v>770</v>
      </c>
      <c r="D69" s="2">
        <v>349</v>
      </c>
      <c r="E69" s="2" t="s">
        <v>739</v>
      </c>
      <c r="G69" s="22"/>
      <c r="H69" s="22">
        <f>D69</f>
        <v>349</v>
      </c>
      <c r="I69" s="3" t="s">
        <v>212</v>
      </c>
    </row>
    <row r="70" spans="1:9">
      <c r="A70" s="9"/>
      <c r="B70" t="s">
        <v>634</v>
      </c>
      <c r="C70" s="2" t="s">
        <v>770</v>
      </c>
      <c r="D70" s="2">
        <v>329</v>
      </c>
      <c r="E70" s="2" t="s">
        <v>739</v>
      </c>
      <c r="G70" s="22"/>
      <c r="H70" s="22">
        <f t="shared" ref="H70:H75" si="7">D70</f>
        <v>329</v>
      </c>
      <c r="I70" s="3" t="s">
        <v>212</v>
      </c>
    </row>
    <row r="71" spans="1:9">
      <c r="A71" s="9"/>
      <c r="B71" t="s">
        <v>635</v>
      </c>
      <c r="C71" s="2" t="s">
        <v>770</v>
      </c>
      <c r="D71" s="2">
        <v>392</v>
      </c>
      <c r="E71" s="2" t="s">
        <v>739</v>
      </c>
      <c r="G71" s="22"/>
      <c r="H71" s="22">
        <f t="shared" si="7"/>
        <v>392</v>
      </c>
      <c r="I71" s="3" t="s">
        <v>212</v>
      </c>
    </row>
    <row r="72" spans="1:9">
      <c r="A72" s="9"/>
      <c r="B72" t="s">
        <v>636</v>
      </c>
      <c r="C72" s="2" t="s">
        <v>770</v>
      </c>
      <c r="D72" s="2">
        <v>309</v>
      </c>
      <c r="E72" s="2" t="s">
        <v>739</v>
      </c>
      <c r="G72" s="22"/>
      <c r="H72" s="22">
        <f t="shared" si="7"/>
        <v>309</v>
      </c>
      <c r="I72" s="3" t="s">
        <v>212</v>
      </c>
    </row>
    <row r="73" spans="1:9">
      <c r="A73" s="9"/>
      <c r="B73" t="s">
        <v>637</v>
      </c>
      <c r="C73" s="2" t="s">
        <v>770</v>
      </c>
      <c r="D73" s="2">
        <v>365</v>
      </c>
      <c r="E73" s="2" t="s">
        <v>739</v>
      </c>
      <c r="G73" s="22"/>
      <c r="H73" s="22">
        <f t="shared" si="7"/>
        <v>365</v>
      </c>
      <c r="I73" s="3" t="s">
        <v>212</v>
      </c>
    </row>
    <row r="74" spans="1:9">
      <c r="A74" s="9"/>
      <c r="B74" t="s">
        <v>638</v>
      </c>
      <c r="C74" s="2" t="s">
        <v>770</v>
      </c>
      <c r="D74" s="2">
        <v>356</v>
      </c>
      <c r="E74" s="2" t="s">
        <v>739</v>
      </c>
      <c r="G74" s="22"/>
      <c r="H74" s="22">
        <f t="shared" si="7"/>
        <v>356</v>
      </c>
      <c r="I74" s="3" t="s">
        <v>212</v>
      </c>
    </row>
    <row r="75" spans="1:9">
      <c r="A75" s="9"/>
      <c r="B75" t="s">
        <v>633</v>
      </c>
      <c r="C75" s="2" t="s">
        <v>770</v>
      </c>
      <c r="D75" s="2">
        <v>324</v>
      </c>
      <c r="E75" s="2" t="s">
        <v>739</v>
      </c>
      <c r="G75" s="22"/>
      <c r="H75" s="22">
        <f t="shared" si="7"/>
        <v>324</v>
      </c>
      <c r="I75" s="3" t="s">
        <v>212</v>
      </c>
    </row>
    <row r="76" spans="1:9">
      <c r="A76" s="7" t="s">
        <v>222</v>
      </c>
      <c r="B76" t="s">
        <v>224</v>
      </c>
      <c r="C76" s="50" t="s">
        <v>759</v>
      </c>
      <c r="D76" s="50">
        <v>10</v>
      </c>
      <c r="E76" s="50" t="s">
        <v>695</v>
      </c>
      <c r="F76">
        <f t="shared" ref="F76:F81" si="8">D76*0.5</f>
        <v>5</v>
      </c>
      <c r="G76" s="22">
        <f t="shared" ref="G76:G81" si="9">D76+F76</f>
        <v>15</v>
      </c>
      <c r="H76" s="22">
        <f t="shared" ref="H76:H81" si="10">G76</f>
        <v>15</v>
      </c>
      <c r="I76" s="48" t="s">
        <v>226</v>
      </c>
    </row>
    <row r="77" spans="1:9">
      <c r="A77" s="9"/>
      <c r="B77" t="s">
        <v>223</v>
      </c>
      <c r="C77" s="50" t="s">
        <v>759</v>
      </c>
      <c r="D77" s="50">
        <v>5.84</v>
      </c>
      <c r="E77" s="50" t="s">
        <v>695</v>
      </c>
      <c r="F77">
        <f t="shared" si="8"/>
        <v>2.92</v>
      </c>
      <c r="G77" s="22">
        <f t="shared" si="9"/>
        <v>8.76</v>
      </c>
      <c r="H77" s="22">
        <f t="shared" si="10"/>
        <v>8.76</v>
      </c>
      <c r="I77" s="48" t="s">
        <v>226</v>
      </c>
    </row>
    <row r="78" spans="1:9">
      <c r="A78" s="9"/>
      <c r="B78" t="s">
        <v>227</v>
      </c>
      <c r="C78" s="50" t="s">
        <v>759</v>
      </c>
      <c r="D78" s="50">
        <v>14.72</v>
      </c>
      <c r="E78" s="50" t="s">
        <v>695</v>
      </c>
      <c r="F78">
        <f t="shared" si="8"/>
        <v>7.36</v>
      </c>
      <c r="G78" s="22">
        <f t="shared" si="9"/>
        <v>22.080000000000002</v>
      </c>
      <c r="H78" s="22">
        <f t="shared" si="10"/>
        <v>22.080000000000002</v>
      </c>
      <c r="I78" s="48" t="s">
        <v>228</v>
      </c>
    </row>
    <row r="79" spans="1:9">
      <c r="A79" s="9"/>
      <c r="B79" t="s">
        <v>227</v>
      </c>
      <c r="C79" s="50" t="s">
        <v>759</v>
      </c>
      <c r="D79" s="50">
        <v>6.21</v>
      </c>
      <c r="E79" s="50" t="s">
        <v>695</v>
      </c>
      <c r="F79">
        <f t="shared" si="8"/>
        <v>3.105</v>
      </c>
      <c r="G79" s="22">
        <f t="shared" si="9"/>
        <v>9.3149999999999995</v>
      </c>
      <c r="H79" s="22">
        <f t="shared" si="10"/>
        <v>9.3149999999999995</v>
      </c>
      <c r="I79" s="48" t="s">
        <v>226</v>
      </c>
    </row>
    <row r="80" spans="1:9">
      <c r="A80" s="9"/>
      <c r="B80" t="s">
        <v>229</v>
      </c>
      <c r="C80" s="50" t="s">
        <v>759</v>
      </c>
      <c r="D80" s="50">
        <v>34.08</v>
      </c>
      <c r="E80" s="50" t="s">
        <v>695</v>
      </c>
      <c r="F80">
        <f t="shared" si="8"/>
        <v>17.04</v>
      </c>
      <c r="G80" s="22">
        <f t="shared" si="9"/>
        <v>51.12</v>
      </c>
      <c r="H80" s="22">
        <f t="shared" si="10"/>
        <v>51.12</v>
      </c>
      <c r="I80" s="48" t="s">
        <v>230</v>
      </c>
    </row>
    <row r="81" spans="1:9">
      <c r="A81" s="9"/>
      <c r="B81" t="s">
        <v>229</v>
      </c>
      <c r="C81" s="50" t="s">
        <v>759</v>
      </c>
      <c r="D81" s="50">
        <v>14.19</v>
      </c>
      <c r="E81" s="50" t="s">
        <v>695</v>
      </c>
      <c r="F81">
        <f t="shared" si="8"/>
        <v>7.0949999999999998</v>
      </c>
      <c r="G81" s="22">
        <f t="shared" si="9"/>
        <v>21.285</v>
      </c>
      <c r="H81" s="22">
        <f t="shared" si="10"/>
        <v>21.285</v>
      </c>
      <c r="I81" s="48" t="s">
        <v>230</v>
      </c>
    </row>
    <row r="82" spans="1:9">
      <c r="A82" s="8" t="s">
        <v>729</v>
      </c>
      <c r="C82" s="2"/>
      <c r="D82" s="2"/>
      <c r="E82" s="2"/>
      <c r="G82" s="22"/>
      <c r="H82" s="22"/>
      <c r="I82" s="3"/>
    </row>
    <row r="83" spans="1:9">
      <c r="A83" s="7" t="s">
        <v>639</v>
      </c>
      <c r="B83" s="5" t="s">
        <v>775</v>
      </c>
      <c r="C83" s="2" t="s">
        <v>738</v>
      </c>
      <c r="D83" s="2">
        <v>0.9</v>
      </c>
      <c r="E83" s="2" t="s">
        <v>739</v>
      </c>
      <c r="G83" s="22">
        <v>1.06</v>
      </c>
      <c r="H83" s="22">
        <f>313*D83</f>
        <v>281.7</v>
      </c>
      <c r="I83" s="3" t="s">
        <v>593</v>
      </c>
    </row>
    <row r="84" spans="1:9">
      <c r="A84" s="9"/>
      <c r="B84" s="5" t="s">
        <v>641</v>
      </c>
      <c r="C84" s="2" t="s">
        <v>738</v>
      </c>
      <c r="D84" s="2">
        <v>0.9</v>
      </c>
      <c r="E84" s="2" t="s">
        <v>739</v>
      </c>
      <c r="G84" s="22">
        <v>1.02</v>
      </c>
      <c r="H84" s="22">
        <f t="shared" ref="H84:H86" si="11">313*D84</f>
        <v>281.7</v>
      </c>
      <c r="I84" s="3" t="s">
        <v>593</v>
      </c>
    </row>
    <row r="85" spans="1:9">
      <c r="A85" s="9"/>
      <c r="B85" s="5" t="s">
        <v>642</v>
      </c>
      <c r="C85" s="2" t="s">
        <v>738</v>
      </c>
      <c r="D85" s="2">
        <v>0.88</v>
      </c>
      <c r="E85" s="2" t="s">
        <v>739</v>
      </c>
      <c r="G85" s="22">
        <v>1.07</v>
      </c>
      <c r="H85" s="22">
        <f t="shared" si="11"/>
        <v>275.44</v>
      </c>
      <c r="I85" s="3" t="s">
        <v>593</v>
      </c>
    </row>
    <row r="86" spans="1:9">
      <c r="A86" s="9"/>
      <c r="B86" s="5" t="s">
        <v>643</v>
      </c>
      <c r="C86" s="2" t="s">
        <v>738</v>
      </c>
      <c r="D86" s="2">
        <v>0.8</v>
      </c>
      <c r="E86" s="2" t="s">
        <v>739</v>
      </c>
      <c r="G86" s="22">
        <v>1.1100000000000001</v>
      </c>
      <c r="H86" s="22">
        <f t="shared" si="11"/>
        <v>250.4</v>
      </c>
      <c r="I86" s="3" t="s">
        <v>593</v>
      </c>
    </row>
    <row r="87" spans="1:9">
      <c r="A87" s="7" t="s">
        <v>640</v>
      </c>
      <c r="B87" t="s">
        <v>595</v>
      </c>
      <c r="C87" s="2" t="s">
        <v>699</v>
      </c>
      <c r="D87" s="2">
        <v>0.96</v>
      </c>
      <c r="E87" s="2" t="s">
        <v>596</v>
      </c>
      <c r="F87" s="2">
        <f>D87</f>
        <v>0.96</v>
      </c>
      <c r="G87" s="22">
        <f>D87+F87</f>
        <v>1.92</v>
      </c>
      <c r="H87" s="22">
        <f>G87*52</f>
        <v>99.84</v>
      </c>
      <c r="I87" s="3" t="s">
        <v>597</v>
      </c>
    </row>
    <row r="88" spans="1:9">
      <c r="A88" s="9"/>
      <c r="B88" t="s">
        <v>644</v>
      </c>
      <c r="C88" s="2" t="s">
        <v>699</v>
      </c>
      <c r="D88" s="2">
        <v>1.05</v>
      </c>
      <c r="E88" s="2" t="s">
        <v>596</v>
      </c>
      <c r="F88" s="2">
        <f>D88</f>
        <v>1.05</v>
      </c>
      <c r="G88" s="22">
        <f>D88+F88</f>
        <v>2.1</v>
      </c>
      <c r="H88" s="22">
        <f t="shared" ref="H88:H90" si="12">G88*52</f>
        <v>109.2</v>
      </c>
      <c r="I88" s="3" t="s">
        <v>597</v>
      </c>
    </row>
    <row r="89" spans="1:9">
      <c r="A89" s="9"/>
      <c r="B89" t="s">
        <v>645</v>
      </c>
      <c r="C89" s="2" t="s">
        <v>699</v>
      </c>
      <c r="D89" s="2">
        <v>0.97</v>
      </c>
      <c r="E89" s="2" t="s">
        <v>596</v>
      </c>
      <c r="F89" s="2">
        <f>D89</f>
        <v>0.97</v>
      </c>
      <c r="G89" s="22">
        <f>D89+F89</f>
        <v>1.94</v>
      </c>
      <c r="H89" s="22">
        <f t="shared" si="12"/>
        <v>100.88</v>
      </c>
      <c r="I89" s="3" t="s">
        <v>597</v>
      </c>
    </row>
    <row r="90" spans="1:9">
      <c r="A90" s="9"/>
      <c r="B90" t="s">
        <v>646</v>
      </c>
      <c r="C90" s="2" t="s">
        <v>699</v>
      </c>
      <c r="D90" s="2">
        <v>0.8</v>
      </c>
      <c r="E90" s="2" t="s">
        <v>596</v>
      </c>
      <c r="F90" s="2">
        <f>D90</f>
        <v>0.8</v>
      </c>
      <c r="G90" s="22">
        <f>D90+F90</f>
        <v>1.6</v>
      </c>
      <c r="H90" s="22">
        <f t="shared" si="12"/>
        <v>83.2</v>
      </c>
      <c r="I90" s="3" t="s">
        <v>597</v>
      </c>
    </row>
    <row r="91" spans="1:9">
      <c r="A91" s="7" t="s">
        <v>605</v>
      </c>
      <c r="B91" s="3" t="s">
        <v>598</v>
      </c>
      <c r="C91" s="2" t="s">
        <v>770</v>
      </c>
      <c r="D91" s="2">
        <v>161</v>
      </c>
      <c r="E91" s="2" t="s">
        <v>739</v>
      </c>
      <c r="G91" s="22"/>
      <c r="H91" s="22">
        <f>D91</f>
        <v>161</v>
      </c>
      <c r="I91" t="s">
        <v>210</v>
      </c>
    </row>
    <row r="92" spans="1:9">
      <c r="A92" s="9"/>
      <c r="B92" s="3" t="s">
        <v>647</v>
      </c>
      <c r="C92" s="2" t="s">
        <v>770</v>
      </c>
      <c r="D92" s="2">
        <v>159</v>
      </c>
      <c r="E92" s="2" t="s">
        <v>739</v>
      </c>
      <c r="G92" s="22"/>
      <c r="H92" s="22">
        <f t="shared" ref="H92:H102" si="13">D92</f>
        <v>159</v>
      </c>
      <c r="I92" t="s">
        <v>210</v>
      </c>
    </row>
    <row r="93" spans="1:9">
      <c r="A93" s="9"/>
      <c r="B93" s="3" t="s">
        <v>648</v>
      </c>
      <c r="C93" s="2" t="s">
        <v>770</v>
      </c>
      <c r="D93" s="2">
        <v>151</v>
      </c>
      <c r="E93" s="2" t="s">
        <v>739</v>
      </c>
      <c r="G93" s="22"/>
      <c r="H93" s="22">
        <f t="shared" si="13"/>
        <v>151</v>
      </c>
      <c r="I93" t="s">
        <v>210</v>
      </c>
    </row>
    <row r="94" spans="1:9">
      <c r="A94" s="9"/>
      <c r="B94" s="3" t="s">
        <v>649</v>
      </c>
      <c r="C94" s="2" t="s">
        <v>770</v>
      </c>
      <c r="D94" s="2">
        <v>163</v>
      </c>
      <c r="E94" s="2" t="s">
        <v>739</v>
      </c>
      <c r="G94" s="22"/>
      <c r="H94" s="22">
        <f t="shared" si="13"/>
        <v>163</v>
      </c>
      <c r="I94" t="s">
        <v>210</v>
      </c>
    </row>
    <row r="95" spans="1:9">
      <c r="A95" s="9"/>
      <c r="B95" s="3" t="s">
        <v>599</v>
      </c>
      <c r="C95" s="2" t="s">
        <v>770</v>
      </c>
      <c r="D95" s="2">
        <v>197</v>
      </c>
      <c r="E95" s="2" t="s">
        <v>739</v>
      </c>
      <c r="G95" s="22"/>
      <c r="H95" s="22">
        <f t="shared" si="13"/>
        <v>197</v>
      </c>
      <c r="I95" t="s">
        <v>211</v>
      </c>
    </row>
    <row r="96" spans="1:9">
      <c r="A96" s="9"/>
      <c r="B96" s="3" t="s">
        <v>651</v>
      </c>
      <c r="C96" s="2" t="s">
        <v>770</v>
      </c>
      <c r="D96" s="2">
        <v>204</v>
      </c>
      <c r="E96" s="2" t="s">
        <v>739</v>
      </c>
      <c r="G96" s="22"/>
      <c r="H96" s="22">
        <f t="shared" si="13"/>
        <v>204</v>
      </c>
      <c r="I96" t="s">
        <v>211</v>
      </c>
    </row>
    <row r="97" spans="1:9">
      <c r="A97" s="9"/>
      <c r="B97" s="3" t="s">
        <v>652</v>
      </c>
      <c r="C97" s="2" t="s">
        <v>770</v>
      </c>
      <c r="D97" s="2">
        <v>195</v>
      </c>
      <c r="E97" s="2" t="s">
        <v>739</v>
      </c>
      <c r="G97" s="22"/>
      <c r="H97" s="22">
        <f t="shared" si="13"/>
        <v>195</v>
      </c>
      <c r="I97" t="s">
        <v>211</v>
      </c>
    </row>
    <row r="98" spans="1:9">
      <c r="A98" s="9"/>
      <c r="B98" s="3" t="s">
        <v>650</v>
      </c>
      <c r="C98" s="2" t="s">
        <v>770</v>
      </c>
      <c r="D98" s="2">
        <v>189</v>
      </c>
      <c r="E98" s="2" t="s">
        <v>739</v>
      </c>
      <c r="G98" s="22"/>
      <c r="H98" s="22">
        <f t="shared" si="13"/>
        <v>189</v>
      </c>
      <c r="I98" t="s">
        <v>211</v>
      </c>
    </row>
    <row r="99" spans="1:9">
      <c r="A99" s="9"/>
      <c r="B99" t="s">
        <v>600</v>
      </c>
      <c r="C99" s="2" t="s">
        <v>770</v>
      </c>
      <c r="D99" s="2">
        <v>296</v>
      </c>
      <c r="E99" s="2" t="s">
        <v>739</v>
      </c>
      <c r="G99" s="22"/>
      <c r="H99" s="22">
        <f t="shared" si="13"/>
        <v>296</v>
      </c>
      <c r="I99" s="3" t="s">
        <v>212</v>
      </c>
    </row>
    <row r="100" spans="1:9">
      <c r="A100" s="9"/>
      <c r="B100" t="s">
        <v>654</v>
      </c>
      <c r="C100" s="2" t="s">
        <v>770</v>
      </c>
      <c r="D100" s="2">
        <v>327</v>
      </c>
      <c r="E100" s="2" t="s">
        <v>739</v>
      </c>
      <c r="G100" s="22"/>
      <c r="H100" s="22">
        <f t="shared" si="13"/>
        <v>327</v>
      </c>
      <c r="I100" s="3" t="s">
        <v>212</v>
      </c>
    </row>
    <row r="101" spans="1:9">
      <c r="A101" s="9"/>
      <c r="B101" t="s">
        <v>655</v>
      </c>
      <c r="C101" s="2" t="s">
        <v>770</v>
      </c>
      <c r="D101" s="2">
        <v>274</v>
      </c>
      <c r="E101" s="2" t="s">
        <v>739</v>
      </c>
      <c r="G101" s="22"/>
      <c r="H101" s="22">
        <f t="shared" si="13"/>
        <v>274</v>
      </c>
      <c r="I101" s="3" t="s">
        <v>212</v>
      </c>
    </row>
    <row r="102" spans="1:9">
      <c r="A102" s="9"/>
      <c r="B102" t="s">
        <v>653</v>
      </c>
      <c r="C102" s="2" t="s">
        <v>770</v>
      </c>
      <c r="D102" s="2">
        <v>283</v>
      </c>
      <c r="E102" s="2" t="s">
        <v>739</v>
      </c>
      <c r="G102" s="22"/>
      <c r="H102" s="22">
        <f t="shared" si="13"/>
        <v>283</v>
      </c>
      <c r="I102" s="3" t="s">
        <v>212</v>
      </c>
    </row>
    <row r="103" spans="1:9">
      <c r="A103" s="7" t="s">
        <v>606</v>
      </c>
      <c r="B103" s="5" t="s">
        <v>656</v>
      </c>
      <c r="C103" s="2" t="s">
        <v>746</v>
      </c>
      <c r="D103" s="2">
        <v>1.2</v>
      </c>
      <c r="E103" s="2" t="s">
        <v>739</v>
      </c>
      <c r="F103" s="2"/>
      <c r="G103" s="22"/>
      <c r="H103" s="22">
        <f>D103*313</f>
        <v>375.59999999999997</v>
      </c>
      <c r="I103" t="s">
        <v>681</v>
      </c>
    </row>
    <row r="104" spans="1:9">
      <c r="A104" s="7" t="s">
        <v>222</v>
      </c>
      <c r="B104" t="s">
        <v>231</v>
      </c>
      <c r="C104" s="50" t="s">
        <v>759</v>
      </c>
      <c r="D104" s="50"/>
      <c r="E104" s="50" t="s">
        <v>695</v>
      </c>
      <c r="G104" s="22"/>
      <c r="H104" s="22"/>
      <c r="I104" s="48" t="s">
        <v>233</v>
      </c>
    </row>
    <row r="105" spans="1:9">
      <c r="A105" s="9"/>
      <c r="B105" t="s">
        <v>232</v>
      </c>
      <c r="C105" s="50" t="s">
        <v>759</v>
      </c>
      <c r="D105" s="50"/>
      <c r="E105" s="50" t="s">
        <v>695</v>
      </c>
      <c r="G105" s="22"/>
      <c r="H105" s="22"/>
      <c r="I105" s="48" t="s">
        <v>233</v>
      </c>
    </row>
    <row r="106" spans="1:9">
      <c r="A106" s="9"/>
      <c r="B106" t="s">
        <v>234</v>
      </c>
      <c r="C106" s="50" t="s">
        <v>759</v>
      </c>
      <c r="D106" s="50"/>
      <c r="E106" s="50" t="s">
        <v>695</v>
      </c>
      <c r="G106" s="22"/>
      <c r="H106" s="22"/>
      <c r="I106" s="48" t="s">
        <v>235</v>
      </c>
    </row>
    <row r="107" spans="1:9">
      <c r="A107" s="9"/>
      <c r="B107" t="s">
        <v>234</v>
      </c>
      <c r="C107" s="50" t="s">
        <v>759</v>
      </c>
      <c r="D107" s="50"/>
      <c r="E107" s="50" t="s">
        <v>695</v>
      </c>
      <c r="G107" s="22"/>
      <c r="H107" s="22"/>
      <c r="I107" s="48" t="s">
        <v>236</v>
      </c>
    </row>
    <row r="108" spans="1:9">
      <c r="A108" s="8" t="s">
        <v>594</v>
      </c>
      <c r="B108" s="5"/>
      <c r="C108" s="2"/>
      <c r="D108" s="2"/>
      <c r="E108" s="2"/>
      <c r="F108" s="2"/>
      <c r="G108" s="22"/>
      <c r="H108" s="22"/>
    </row>
    <row r="109" spans="1:9">
      <c r="A109" s="7" t="s">
        <v>639</v>
      </c>
      <c r="B109" s="5" t="s">
        <v>775</v>
      </c>
      <c r="C109" s="2" t="s">
        <v>738</v>
      </c>
      <c r="D109" s="2">
        <v>0.87</v>
      </c>
      <c r="E109" s="2" t="s">
        <v>739</v>
      </c>
      <c r="G109" s="22"/>
      <c r="H109" s="22">
        <f>D109*313</f>
        <v>272.31</v>
      </c>
      <c r="I109" s="3" t="s">
        <v>593</v>
      </c>
    </row>
    <row r="110" spans="1:9">
      <c r="A110" s="9"/>
      <c r="B110" s="5" t="s">
        <v>657</v>
      </c>
      <c r="C110" s="2" t="s">
        <v>738</v>
      </c>
      <c r="D110" s="2">
        <v>0.78</v>
      </c>
      <c r="E110" s="2" t="s">
        <v>739</v>
      </c>
      <c r="G110" s="22"/>
      <c r="H110" s="22">
        <f t="shared" ref="H110:H114" si="14">D110*313</f>
        <v>244.14000000000001</v>
      </c>
      <c r="I110" s="3" t="s">
        <v>593</v>
      </c>
    </row>
    <row r="111" spans="1:9">
      <c r="A111" s="9"/>
      <c r="B111" s="5" t="s">
        <v>508</v>
      </c>
      <c r="C111" s="2" t="s">
        <v>738</v>
      </c>
      <c r="D111" s="2">
        <v>0.78</v>
      </c>
      <c r="E111" s="2" t="s">
        <v>739</v>
      </c>
      <c r="G111" s="22"/>
      <c r="H111" s="22">
        <f t="shared" si="14"/>
        <v>244.14000000000001</v>
      </c>
      <c r="I111" s="3" t="s">
        <v>593</v>
      </c>
    </row>
    <row r="112" spans="1:9">
      <c r="A112" s="9"/>
      <c r="B112" s="5" t="s">
        <v>509</v>
      </c>
      <c r="C112" s="2" t="s">
        <v>738</v>
      </c>
      <c r="D112" s="2">
        <v>0.85</v>
      </c>
      <c r="E112" s="2" t="s">
        <v>739</v>
      </c>
      <c r="G112" s="22"/>
      <c r="H112" s="22">
        <f t="shared" si="14"/>
        <v>266.05</v>
      </c>
      <c r="I112" s="3" t="s">
        <v>593</v>
      </c>
    </row>
    <row r="113" spans="1:9">
      <c r="A113" s="9"/>
      <c r="B113" s="5" t="s">
        <v>510</v>
      </c>
      <c r="C113" s="2" t="s">
        <v>738</v>
      </c>
      <c r="D113" s="2">
        <v>0.88</v>
      </c>
      <c r="E113" s="2" t="s">
        <v>739</v>
      </c>
      <c r="G113" s="22"/>
      <c r="H113" s="22">
        <f t="shared" si="14"/>
        <v>275.44</v>
      </c>
      <c r="I113" s="3" t="s">
        <v>593</v>
      </c>
    </row>
    <row r="114" spans="1:9">
      <c r="A114" s="9"/>
      <c r="B114" s="5" t="s">
        <v>511</v>
      </c>
      <c r="C114" s="2" t="s">
        <v>738</v>
      </c>
      <c r="D114" s="2">
        <v>1</v>
      </c>
      <c r="E114" s="2" t="s">
        <v>739</v>
      </c>
      <c r="G114" s="22"/>
      <c r="H114" s="22">
        <f t="shared" si="14"/>
        <v>313</v>
      </c>
      <c r="I114" s="3" t="s">
        <v>593</v>
      </c>
    </row>
    <row r="115" spans="1:9">
      <c r="A115" s="7" t="s">
        <v>640</v>
      </c>
      <c r="B115" t="s">
        <v>595</v>
      </c>
      <c r="C115" s="2" t="s">
        <v>699</v>
      </c>
      <c r="D115" s="2">
        <v>1.06</v>
      </c>
      <c r="E115" s="2" t="s">
        <v>596</v>
      </c>
      <c r="F115" s="2">
        <f>D115</f>
        <v>1.06</v>
      </c>
      <c r="G115" s="22">
        <f>D115+F115</f>
        <v>2.12</v>
      </c>
      <c r="H115" s="22">
        <f>G115*52</f>
        <v>110.24000000000001</v>
      </c>
      <c r="I115" s="3" t="s">
        <v>597</v>
      </c>
    </row>
    <row r="116" spans="1:9">
      <c r="A116" s="9"/>
      <c r="B116" t="s">
        <v>512</v>
      </c>
      <c r="C116" s="2" t="s">
        <v>699</v>
      </c>
      <c r="D116" s="2">
        <v>0.96</v>
      </c>
      <c r="E116" s="2" t="s">
        <v>596</v>
      </c>
      <c r="F116" s="2">
        <f>D116</f>
        <v>0.96</v>
      </c>
      <c r="G116" s="22">
        <f>D116+F116</f>
        <v>1.92</v>
      </c>
      <c r="H116" s="22">
        <f t="shared" ref="H116:H119" si="15">G116*52</f>
        <v>99.84</v>
      </c>
      <c r="I116" s="3" t="s">
        <v>597</v>
      </c>
    </row>
    <row r="117" spans="1:9">
      <c r="A117" s="9"/>
      <c r="B117" t="s">
        <v>513</v>
      </c>
      <c r="C117" s="2" t="s">
        <v>699</v>
      </c>
      <c r="D117" s="2">
        <v>0.9</v>
      </c>
      <c r="E117" s="2" t="s">
        <v>596</v>
      </c>
      <c r="F117" s="2">
        <f>D117</f>
        <v>0.9</v>
      </c>
      <c r="G117" s="22">
        <f>D117+F117</f>
        <v>1.8</v>
      </c>
      <c r="H117" s="22">
        <f t="shared" si="15"/>
        <v>93.600000000000009</v>
      </c>
      <c r="I117" s="3" t="s">
        <v>597</v>
      </c>
    </row>
    <row r="118" spans="1:9">
      <c r="A118" s="9"/>
      <c r="B118" t="s">
        <v>514</v>
      </c>
      <c r="C118" s="2" t="s">
        <v>699</v>
      </c>
      <c r="D118" s="2">
        <v>1.1399999999999999</v>
      </c>
      <c r="E118" s="2" t="s">
        <v>596</v>
      </c>
      <c r="F118" s="2">
        <f>D118</f>
        <v>1.1399999999999999</v>
      </c>
      <c r="G118" s="22">
        <f>D118+F118</f>
        <v>2.2799999999999998</v>
      </c>
      <c r="H118" s="22">
        <f t="shared" si="15"/>
        <v>118.55999999999999</v>
      </c>
      <c r="I118" s="3" t="s">
        <v>597</v>
      </c>
    </row>
    <row r="119" spans="1:9">
      <c r="A119" s="9"/>
      <c r="B119" t="s">
        <v>515</v>
      </c>
      <c r="C119" s="2" t="s">
        <v>699</v>
      </c>
      <c r="D119" s="2">
        <v>1.1000000000000001</v>
      </c>
      <c r="E119" s="2" t="s">
        <v>596</v>
      </c>
      <c r="F119" s="2">
        <f>D119</f>
        <v>1.1000000000000001</v>
      </c>
      <c r="G119" s="22">
        <f>D119+F119</f>
        <v>2.2000000000000002</v>
      </c>
      <c r="H119" s="22">
        <f t="shared" si="15"/>
        <v>114.4</v>
      </c>
      <c r="I119" s="3" t="s">
        <v>597</v>
      </c>
    </row>
    <row r="120" spans="1:9">
      <c r="A120" s="7" t="s">
        <v>605</v>
      </c>
      <c r="B120" s="3" t="s">
        <v>598</v>
      </c>
      <c r="C120" s="2" t="s">
        <v>770</v>
      </c>
      <c r="D120" s="2">
        <v>136</v>
      </c>
      <c r="E120" s="2" t="s">
        <v>739</v>
      </c>
      <c r="G120" s="22"/>
      <c r="H120" s="22">
        <f>D120</f>
        <v>136</v>
      </c>
      <c r="I120" t="s">
        <v>210</v>
      </c>
    </row>
    <row r="121" spans="1:9">
      <c r="A121" s="9"/>
      <c r="B121" s="3" t="s">
        <v>516</v>
      </c>
      <c r="C121" s="2" t="s">
        <v>770</v>
      </c>
      <c r="D121" s="2">
        <v>141</v>
      </c>
      <c r="E121" s="2" t="s">
        <v>739</v>
      </c>
      <c r="G121" s="22"/>
      <c r="H121" s="22">
        <f t="shared" ref="H121:H122" si="16">D121</f>
        <v>141</v>
      </c>
      <c r="I121" t="s">
        <v>210</v>
      </c>
    </row>
    <row r="122" spans="1:9">
      <c r="A122" s="9"/>
      <c r="B122" s="3" t="s">
        <v>517</v>
      </c>
      <c r="C122" s="2" t="s">
        <v>770</v>
      </c>
      <c r="D122" s="2">
        <v>111</v>
      </c>
      <c r="E122" s="2" t="s">
        <v>739</v>
      </c>
      <c r="G122" s="22"/>
      <c r="H122" s="22">
        <f t="shared" si="16"/>
        <v>111</v>
      </c>
      <c r="I122" t="s">
        <v>210</v>
      </c>
    </row>
    <row r="123" spans="1:9">
      <c r="A123" s="9"/>
      <c r="B123" s="3" t="s">
        <v>599</v>
      </c>
      <c r="C123" s="2" t="s">
        <v>770</v>
      </c>
      <c r="D123" s="2">
        <v>218</v>
      </c>
      <c r="E123" s="2" t="s">
        <v>739</v>
      </c>
      <c r="G123" s="22"/>
      <c r="H123" s="22">
        <f>D123</f>
        <v>218</v>
      </c>
      <c r="I123" t="s">
        <v>211</v>
      </c>
    </row>
    <row r="124" spans="1:9">
      <c r="A124" s="9"/>
      <c r="B124" s="3" t="s">
        <v>519</v>
      </c>
      <c r="C124" s="2" t="s">
        <v>770</v>
      </c>
      <c r="D124" s="2">
        <v>214</v>
      </c>
      <c r="E124" s="2" t="s">
        <v>739</v>
      </c>
      <c r="G124" s="22"/>
      <c r="H124" s="22">
        <f t="shared" ref="H124:H133" si="17">D124</f>
        <v>214</v>
      </c>
      <c r="I124" t="s">
        <v>211</v>
      </c>
    </row>
    <row r="125" spans="1:9">
      <c r="A125" s="9"/>
      <c r="B125" s="3" t="s">
        <v>518</v>
      </c>
      <c r="C125" s="2" t="s">
        <v>770</v>
      </c>
      <c r="D125" s="2">
        <v>231</v>
      </c>
      <c r="E125" s="2" t="s">
        <v>739</v>
      </c>
      <c r="G125" s="22"/>
      <c r="H125" s="22">
        <f t="shared" si="17"/>
        <v>231</v>
      </c>
      <c r="I125" t="s">
        <v>211</v>
      </c>
    </row>
    <row r="126" spans="1:9">
      <c r="A126" s="9"/>
      <c r="B126" s="3" t="s">
        <v>520</v>
      </c>
      <c r="C126" s="2" t="s">
        <v>770</v>
      </c>
      <c r="D126" s="2">
        <v>229</v>
      </c>
      <c r="E126" s="2" t="s">
        <v>739</v>
      </c>
      <c r="G126" s="22"/>
      <c r="H126" s="22">
        <f t="shared" si="17"/>
        <v>229</v>
      </c>
      <c r="I126" t="s">
        <v>211</v>
      </c>
    </row>
    <row r="127" spans="1:9">
      <c r="A127" s="9"/>
      <c r="B127" s="3" t="s">
        <v>521</v>
      </c>
      <c r="C127" s="2" t="s">
        <v>770</v>
      </c>
      <c r="D127" s="2">
        <v>211</v>
      </c>
      <c r="E127" s="2" t="s">
        <v>739</v>
      </c>
      <c r="G127" s="22"/>
      <c r="H127" s="22">
        <f t="shared" si="17"/>
        <v>211</v>
      </c>
      <c r="I127" t="s">
        <v>211</v>
      </c>
    </row>
    <row r="128" spans="1:9">
      <c r="A128" s="9"/>
      <c r="B128" t="s">
        <v>600</v>
      </c>
      <c r="C128" s="2" t="s">
        <v>770</v>
      </c>
      <c r="D128" s="2">
        <v>315</v>
      </c>
      <c r="E128" s="2" t="s">
        <v>739</v>
      </c>
      <c r="G128" s="22"/>
      <c r="H128" s="22">
        <f t="shared" si="17"/>
        <v>315</v>
      </c>
      <c r="I128" s="3" t="s">
        <v>212</v>
      </c>
    </row>
    <row r="129" spans="1:9">
      <c r="A129" s="9"/>
      <c r="B129" t="s">
        <v>523</v>
      </c>
      <c r="C129" s="2" t="s">
        <v>770</v>
      </c>
      <c r="D129" s="2">
        <v>312</v>
      </c>
      <c r="E129" s="2" t="s">
        <v>739</v>
      </c>
      <c r="G129" s="22"/>
      <c r="H129" s="22">
        <f t="shared" si="17"/>
        <v>312</v>
      </c>
      <c r="I129" s="3" t="s">
        <v>212</v>
      </c>
    </row>
    <row r="130" spans="1:9">
      <c r="A130" s="9"/>
      <c r="B130" t="s">
        <v>524</v>
      </c>
      <c r="C130" s="50" t="s">
        <v>770</v>
      </c>
      <c r="D130" s="50">
        <v>310</v>
      </c>
      <c r="E130" s="50" t="s">
        <v>739</v>
      </c>
      <c r="G130" s="22"/>
      <c r="H130" s="22">
        <f t="shared" si="17"/>
        <v>310</v>
      </c>
      <c r="I130" s="48" t="s">
        <v>212</v>
      </c>
    </row>
    <row r="131" spans="1:9">
      <c r="A131" s="9"/>
      <c r="B131" t="s">
        <v>525</v>
      </c>
      <c r="C131" s="2" t="s">
        <v>770</v>
      </c>
      <c r="D131" s="2">
        <v>318</v>
      </c>
      <c r="E131" s="2" t="s">
        <v>739</v>
      </c>
      <c r="G131" s="22"/>
      <c r="H131" s="22">
        <f t="shared" si="17"/>
        <v>318</v>
      </c>
      <c r="I131" s="3" t="s">
        <v>212</v>
      </c>
    </row>
    <row r="132" spans="1:9">
      <c r="A132" s="9"/>
      <c r="B132" t="s">
        <v>526</v>
      </c>
      <c r="C132" s="2" t="s">
        <v>770</v>
      </c>
      <c r="D132" s="2">
        <v>349</v>
      </c>
      <c r="E132" s="2" t="s">
        <v>739</v>
      </c>
      <c r="G132" s="22"/>
      <c r="H132" s="22">
        <f t="shared" si="17"/>
        <v>349</v>
      </c>
      <c r="I132" s="3" t="s">
        <v>212</v>
      </c>
    </row>
    <row r="133" spans="1:9">
      <c r="A133" s="9"/>
      <c r="B133" t="s">
        <v>522</v>
      </c>
      <c r="C133" s="38" t="s">
        <v>770</v>
      </c>
      <c r="D133" s="38">
        <v>329</v>
      </c>
      <c r="E133" s="38" t="s">
        <v>739</v>
      </c>
      <c r="G133" s="22"/>
      <c r="H133" s="22">
        <f t="shared" si="17"/>
        <v>329</v>
      </c>
      <c r="I133" s="37" t="s">
        <v>212</v>
      </c>
    </row>
    <row r="134" spans="1:9">
      <c r="A134" s="7" t="s">
        <v>606</v>
      </c>
      <c r="B134" s="5" t="s">
        <v>527</v>
      </c>
      <c r="C134" s="2" t="s">
        <v>759</v>
      </c>
      <c r="D134" s="2">
        <v>32</v>
      </c>
      <c r="E134" s="2" t="s">
        <v>739</v>
      </c>
      <c r="F134" s="2"/>
      <c r="G134" s="22"/>
      <c r="H134" s="22">
        <f>D134*12</f>
        <v>384</v>
      </c>
      <c r="I134" t="s">
        <v>680</v>
      </c>
    </row>
    <row r="135" spans="1:9">
      <c r="A135" s="8" t="s">
        <v>731</v>
      </c>
      <c r="B135" s="5"/>
      <c r="C135" s="2"/>
      <c r="D135" s="2"/>
      <c r="E135" s="2"/>
      <c r="F135" s="2"/>
      <c r="G135" s="22"/>
      <c r="H135" s="22"/>
    </row>
    <row r="136" spans="1:9">
      <c r="A136" s="7" t="s">
        <v>639</v>
      </c>
      <c r="B136" s="5" t="s">
        <v>775</v>
      </c>
      <c r="C136" s="2" t="s">
        <v>738</v>
      </c>
      <c r="D136" s="2">
        <v>0.77</v>
      </c>
      <c r="E136" s="2" t="s">
        <v>739</v>
      </c>
      <c r="G136" s="22"/>
      <c r="H136" s="22">
        <f>D136*313</f>
        <v>241.01000000000002</v>
      </c>
      <c r="I136" s="3" t="s">
        <v>593</v>
      </c>
    </row>
    <row r="137" spans="1:9">
      <c r="A137" s="9"/>
      <c r="B137" s="5" t="s">
        <v>528</v>
      </c>
      <c r="C137" s="2" t="s">
        <v>738</v>
      </c>
      <c r="D137" s="2">
        <v>1.37</v>
      </c>
      <c r="E137" s="2" t="s">
        <v>739</v>
      </c>
      <c r="G137" s="22"/>
      <c r="H137" s="22">
        <f t="shared" ref="H137:H139" si="18">D137*313</f>
        <v>428.81000000000006</v>
      </c>
      <c r="I137" s="3" t="s">
        <v>593</v>
      </c>
    </row>
    <row r="138" spans="1:9">
      <c r="A138" s="9"/>
      <c r="B138" s="5" t="s">
        <v>529</v>
      </c>
      <c r="C138" s="2" t="s">
        <v>738</v>
      </c>
      <c r="D138" s="2">
        <v>0.83</v>
      </c>
      <c r="E138" s="2" t="s">
        <v>739</v>
      </c>
      <c r="G138" s="22"/>
      <c r="H138" s="22">
        <f t="shared" si="18"/>
        <v>259.78999999999996</v>
      </c>
      <c r="I138" s="3" t="s">
        <v>593</v>
      </c>
    </row>
    <row r="139" spans="1:9">
      <c r="A139" s="9"/>
      <c r="B139" s="5" t="s">
        <v>530</v>
      </c>
      <c r="C139" s="2" t="s">
        <v>738</v>
      </c>
      <c r="D139" s="2">
        <v>0.75</v>
      </c>
      <c r="E139" s="2" t="s">
        <v>739</v>
      </c>
      <c r="G139" s="22"/>
      <c r="H139" s="22">
        <f t="shared" si="18"/>
        <v>234.75</v>
      </c>
      <c r="I139" s="3" t="s">
        <v>593</v>
      </c>
    </row>
    <row r="140" spans="1:9">
      <c r="A140" s="7" t="s">
        <v>640</v>
      </c>
      <c r="B140" t="s">
        <v>595</v>
      </c>
      <c r="C140" s="2" t="s">
        <v>699</v>
      </c>
      <c r="D140" s="2">
        <v>1.28</v>
      </c>
      <c r="E140" s="2" t="s">
        <v>596</v>
      </c>
      <c r="F140" s="2">
        <f t="shared" ref="F140:F143" si="19">D140</f>
        <v>1.28</v>
      </c>
      <c r="G140" s="22">
        <f t="shared" ref="G140:G143" si="20">D140+F140</f>
        <v>2.56</v>
      </c>
      <c r="H140" s="22">
        <f>G140*52</f>
        <v>133.12</v>
      </c>
      <c r="I140" s="3" t="s">
        <v>597</v>
      </c>
    </row>
    <row r="141" spans="1:9">
      <c r="A141" s="9"/>
      <c r="B141" t="s">
        <v>531</v>
      </c>
      <c r="C141" s="2" t="s">
        <v>699</v>
      </c>
      <c r="D141" s="2">
        <v>2.25</v>
      </c>
      <c r="E141" s="2" t="s">
        <v>596</v>
      </c>
      <c r="F141" s="2">
        <f t="shared" si="19"/>
        <v>2.25</v>
      </c>
      <c r="G141" s="22">
        <f t="shared" si="20"/>
        <v>4.5</v>
      </c>
      <c r="H141" s="22">
        <f t="shared" ref="H141:H143" si="21">G141*52</f>
        <v>234</v>
      </c>
      <c r="I141" s="3" t="s">
        <v>597</v>
      </c>
    </row>
    <row r="142" spans="1:9">
      <c r="A142" s="9"/>
      <c r="B142" t="s">
        <v>532</v>
      </c>
      <c r="C142" s="2" t="s">
        <v>699</v>
      </c>
      <c r="D142" s="2">
        <v>1.07</v>
      </c>
      <c r="E142" s="2" t="s">
        <v>596</v>
      </c>
      <c r="F142" s="2">
        <f t="shared" si="19"/>
        <v>1.07</v>
      </c>
      <c r="G142" s="22">
        <f t="shared" si="20"/>
        <v>2.14</v>
      </c>
      <c r="H142" s="22">
        <f t="shared" si="21"/>
        <v>111.28</v>
      </c>
      <c r="I142" s="3" t="s">
        <v>597</v>
      </c>
    </row>
    <row r="143" spans="1:9">
      <c r="A143" s="9"/>
      <c r="B143" t="s">
        <v>533</v>
      </c>
      <c r="C143" s="2" t="s">
        <v>699</v>
      </c>
      <c r="D143" s="2">
        <v>1.17</v>
      </c>
      <c r="E143" s="2" t="s">
        <v>596</v>
      </c>
      <c r="F143" s="2">
        <f t="shared" si="19"/>
        <v>1.17</v>
      </c>
      <c r="G143" s="22">
        <f t="shared" si="20"/>
        <v>2.34</v>
      </c>
      <c r="H143" s="22">
        <f t="shared" si="21"/>
        <v>121.67999999999999</v>
      </c>
      <c r="I143" s="3" t="s">
        <v>597</v>
      </c>
    </row>
    <row r="144" spans="1:9">
      <c r="A144" s="7" t="s">
        <v>605</v>
      </c>
      <c r="B144" s="3" t="s">
        <v>598</v>
      </c>
      <c r="C144" s="2" t="s">
        <v>770</v>
      </c>
      <c r="D144" s="2">
        <v>125</v>
      </c>
      <c r="E144" s="2" t="s">
        <v>739</v>
      </c>
      <c r="G144" s="22"/>
      <c r="H144" s="22">
        <f>D144</f>
        <v>125</v>
      </c>
      <c r="I144" t="s">
        <v>210</v>
      </c>
    </row>
    <row r="145" spans="1:9">
      <c r="A145" s="9"/>
      <c r="B145" s="3" t="s">
        <v>534</v>
      </c>
      <c r="C145" s="2" t="s">
        <v>770</v>
      </c>
      <c r="D145" s="2">
        <v>125</v>
      </c>
      <c r="E145" s="2" t="s">
        <v>739</v>
      </c>
      <c r="G145" s="22"/>
      <c r="H145" s="22">
        <f>D145</f>
        <v>125</v>
      </c>
      <c r="I145" t="s">
        <v>210</v>
      </c>
    </row>
    <row r="146" spans="1:9">
      <c r="A146" s="9"/>
      <c r="B146" s="3" t="s">
        <v>599</v>
      </c>
      <c r="C146" s="2" t="s">
        <v>770</v>
      </c>
      <c r="D146" s="2">
        <v>233</v>
      </c>
      <c r="E146" s="2" t="s">
        <v>739</v>
      </c>
      <c r="G146" s="22"/>
      <c r="H146" s="22">
        <f>D146</f>
        <v>233</v>
      </c>
      <c r="I146" t="s">
        <v>211</v>
      </c>
    </row>
    <row r="147" spans="1:9">
      <c r="A147" s="9"/>
      <c r="B147" s="3" t="s">
        <v>535</v>
      </c>
      <c r="C147" s="2" t="s">
        <v>770</v>
      </c>
      <c r="D147" s="2">
        <v>261</v>
      </c>
      <c r="E147" s="2" t="s">
        <v>739</v>
      </c>
      <c r="G147" s="22"/>
      <c r="H147" s="22">
        <f>D147</f>
        <v>261</v>
      </c>
      <c r="I147" t="s">
        <v>211</v>
      </c>
    </row>
    <row r="148" spans="1:9">
      <c r="A148" s="9"/>
      <c r="B148" t="s">
        <v>600</v>
      </c>
      <c r="C148" s="2" t="s">
        <v>770</v>
      </c>
      <c r="D148" s="2">
        <v>268</v>
      </c>
      <c r="E148" s="2" t="s">
        <v>739</v>
      </c>
      <c r="G148" s="22">
        <f t="shared" ref="G148:G149" si="22">D148</f>
        <v>268</v>
      </c>
      <c r="H148" s="22">
        <f>D148</f>
        <v>268</v>
      </c>
      <c r="I148" s="3" t="s">
        <v>212</v>
      </c>
    </row>
    <row r="149" spans="1:9">
      <c r="A149" s="9"/>
      <c r="B149" t="s">
        <v>536</v>
      </c>
      <c r="C149" s="2" t="s">
        <v>770</v>
      </c>
      <c r="D149" s="2">
        <v>388</v>
      </c>
      <c r="E149" s="2" t="s">
        <v>739</v>
      </c>
      <c r="G149" s="22">
        <f t="shared" si="22"/>
        <v>388</v>
      </c>
      <c r="H149" s="22">
        <f t="shared" ref="H149" si="23">D149</f>
        <v>388</v>
      </c>
      <c r="I149" s="3" t="s">
        <v>212</v>
      </c>
    </row>
    <row r="150" spans="1:9">
      <c r="A150" s="8" t="s">
        <v>733</v>
      </c>
      <c r="C150" s="12"/>
      <c r="D150" s="12"/>
      <c r="E150" s="12"/>
      <c r="G150" s="22"/>
      <c r="H150" s="22"/>
      <c r="I150" s="3"/>
    </row>
    <row r="151" spans="1:9">
      <c r="A151" s="7" t="s">
        <v>639</v>
      </c>
      <c r="B151" s="5" t="s">
        <v>775</v>
      </c>
      <c r="C151" s="2" t="s">
        <v>738</v>
      </c>
      <c r="D151" s="2">
        <v>0.68</v>
      </c>
      <c r="E151" s="2" t="s">
        <v>739</v>
      </c>
      <c r="G151" s="22"/>
      <c r="H151" s="22">
        <f>D151*313</f>
        <v>212.84</v>
      </c>
      <c r="I151" s="3" t="s">
        <v>593</v>
      </c>
    </row>
    <row r="152" spans="1:9">
      <c r="B152" s="5" t="s">
        <v>537</v>
      </c>
      <c r="C152" s="2" t="s">
        <v>738</v>
      </c>
      <c r="D152" s="2">
        <v>0.78</v>
      </c>
      <c r="E152" s="2" t="s">
        <v>739</v>
      </c>
      <c r="G152" s="22"/>
      <c r="H152" s="22">
        <f t="shared" ref="H152:H159" si="24">D152*313</f>
        <v>244.14000000000001</v>
      </c>
      <c r="I152" s="3" t="s">
        <v>593</v>
      </c>
    </row>
    <row r="153" spans="1:9">
      <c r="A153" s="9"/>
      <c r="B153" s="5" t="s">
        <v>538</v>
      </c>
      <c r="C153" s="2" t="s">
        <v>738</v>
      </c>
      <c r="D153" s="2">
        <v>0.69</v>
      </c>
      <c r="E153" s="2" t="s">
        <v>739</v>
      </c>
      <c r="G153" s="22"/>
      <c r="H153" s="22">
        <f t="shared" si="24"/>
        <v>215.96999999999997</v>
      </c>
      <c r="I153" s="3" t="s">
        <v>593</v>
      </c>
    </row>
    <row r="154" spans="1:9">
      <c r="A154" s="9"/>
      <c r="B154" s="5" t="s">
        <v>539</v>
      </c>
      <c r="C154" s="2" t="s">
        <v>738</v>
      </c>
      <c r="D154" s="2">
        <v>0.98</v>
      </c>
      <c r="E154" s="2" t="s">
        <v>739</v>
      </c>
      <c r="G154" s="22"/>
      <c r="H154" s="22">
        <f t="shared" si="24"/>
        <v>306.74</v>
      </c>
      <c r="I154" s="3" t="s">
        <v>593</v>
      </c>
    </row>
    <row r="155" spans="1:9">
      <c r="A155" s="9"/>
      <c r="B155" s="5" t="s">
        <v>540</v>
      </c>
      <c r="C155" s="2" t="s">
        <v>738</v>
      </c>
      <c r="D155" s="2">
        <v>0.65</v>
      </c>
      <c r="E155" s="2" t="s">
        <v>739</v>
      </c>
      <c r="G155" s="22"/>
      <c r="H155" s="22">
        <f t="shared" si="24"/>
        <v>203.45000000000002</v>
      </c>
      <c r="I155" s="3" t="s">
        <v>593</v>
      </c>
    </row>
    <row r="156" spans="1:9">
      <c r="A156" s="9"/>
      <c r="B156" s="5" t="s">
        <v>541</v>
      </c>
      <c r="C156" s="2" t="s">
        <v>738</v>
      </c>
      <c r="D156" s="2">
        <v>0.54</v>
      </c>
      <c r="E156" s="2" t="s">
        <v>739</v>
      </c>
      <c r="G156" s="22"/>
      <c r="H156" s="22">
        <f t="shared" si="24"/>
        <v>169.02</v>
      </c>
      <c r="I156" s="3" t="s">
        <v>593</v>
      </c>
    </row>
    <row r="157" spans="1:9">
      <c r="A157" s="9"/>
      <c r="B157" s="5" t="s">
        <v>542</v>
      </c>
      <c r="C157" s="2" t="s">
        <v>738</v>
      </c>
      <c r="D157" s="2">
        <v>0.66</v>
      </c>
      <c r="E157" s="2" t="s">
        <v>739</v>
      </c>
      <c r="G157" s="22"/>
      <c r="H157" s="22">
        <f t="shared" si="24"/>
        <v>206.58</v>
      </c>
      <c r="I157" s="3" t="s">
        <v>593</v>
      </c>
    </row>
    <row r="158" spans="1:9">
      <c r="A158" s="9"/>
      <c r="B158" s="5" t="s">
        <v>543</v>
      </c>
      <c r="C158" s="2" t="s">
        <v>738</v>
      </c>
      <c r="D158" s="2">
        <v>0.72</v>
      </c>
      <c r="E158" s="2" t="s">
        <v>739</v>
      </c>
      <c r="G158" s="22"/>
      <c r="H158" s="22">
        <f t="shared" si="24"/>
        <v>225.35999999999999</v>
      </c>
      <c r="I158" s="3" t="s">
        <v>593</v>
      </c>
    </row>
    <row r="159" spans="1:9">
      <c r="A159" s="9"/>
      <c r="B159" s="5" t="s">
        <v>544</v>
      </c>
      <c r="C159" s="2" t="s">
        <v>738</v>
      </c>
      <c r="D159" s="2">
        <v>1.03</v>
      </c>
      <c r="E159" s="2" t="s">
        <v>739</v>
      </c>
      <c r="G159" s="22"/>
      <c r="H159" s="22">
        <f t="shared" si="24"/>
        <v>322.39</v>
      </c>
      <c r="I159" s="3" t="s">
        <v>593</v>
      </c>
    </row>
    <row r="160" spans="1:9">
      <c r="A160" s="7" t="s">
        <v>640</v>
      </c>
      <c r="B160" t="s">
        <v>595</v>
      </c>
      <c r="C160" s="2" t="s">
        <v>699</v>
      </c>
      <c r="D160" s="2">
        <v>0.99</v>
      </c>
      <c r="E160" s="2" t="s">
        <v>596</v>
      </c>
      <c r="F160" s="2">
        <f t="shared" ref="F160:F167" si="25">D160</f>
        <v>0.99</v>
      </c>
      <c r="G160" s="22"/>
      <c r="H160" s="22">
        <f>D160*52</f>
        <v>51.48</v>
      </c>
      <c r="I160" s="3" t="s">
        <v>597</v>
      </c>
    </row>
    <row r="161" spans="1:9">
      <c r="A161" s="9"/>
      <c r="B161" t="s">
        <v>545</v>
      </c>
      <c r="C161" s="2" t="s">
        <v>699</v>
      </c>
      <c r="D161" s="2">
        <v>0.84</v>
      </c>
      <c r="E161" s="2" t="s">
        <v>596</v>
      </c>
      <c r="F161" s="2">
        <f t="shared" si="25"/>
        <v>0.84</v>
      </c>
      <c r="G161" s="22"/>
      <c r="H161" s="22">
        <f t="shared" ref="H161:H166" si="26">D161*52</f>
        <v>43.68</v>
      </c>
      <c r="I161" s="3" t="s">
        <v>597</v>
      </c>
    </row>
    <row r="162" spans="1:9">
      <c r="A162" s="9"/>
      <c r="B162" t="s">
        <v>546</v>
      </c>
      <c r="C162" s="2" t="s">
        <v>699</v>
      </c>
      <c r="D162" s="2">
        <v>0.89</v>
      </c>
      <c r="E162" s="2" t="s">
        <v>596</v>
      </c>
      <c r="F162" s="2">
        <f t="shared" si="25"/>
        <v>0.89</v>
      </c>
      <c r="G162" s="22"/>
      <c r="H162" s="22">
        <f t="shared" si="26"/>
        <v>46.28</v>
      </c>
      <c r="I162" s="3" t="s">
        <v>597</v>
      </c>
    </row>
    <row r="163" spans="1:9">
      <c r="A163" s="9"/>
      <c r="B163" t="s">
        <v>547</v>
      </c>
      <c r="C163" s="2" t="s">
        <v>699</v>
      </c>
      <c r="D163" s="2">
        <v>0.96</v>
      </c>
      <c r="E163" s="2" t="s">
        <v>596</v>
      </c>
      <c r="F163" s="2">
        <f t="shared" si="25"/>
        <v>0.96</v>
      </c>
      <c r="G163" s="22"/>
      <c r="H163" s="22">
        <f t="shared" si="26"/>
        <v>49.92</v>
      </c>
      <c r="I163" s="3" t="s">
        <v>597</v>
      </c>
    </row>
    <row r="164" spans="1:9">
      <c r="A164" s="9"/>
      <c r="B164" t="s">
        <v>548</v>
      </c>
      <c r="C164" s="2" t="s">
        <v>699</v>
      </c>
      <c r="D164" s="2">
        <v>0.87</v>
      </c>
      <c r="E164" s="2" t="s">
        <v>596</v>
      </c>
      <c r="F164" s="2">
        <f t="shared" si="25"/>
        <v>0.87</v>
      </c>
      <c r="G164" s="22"/>
      <c r="H164" s="22">
        <f t="shared" si="26"/>
        <v>45.24</v>
      </c>
      <c r="I164" s="3" t="s">
        <v>597</v>
      </c>
    </row>
    <row r="165" spans="1:9">
      <c r="A165" s="9"/>
      <c r="B165" t="s">
        <v>549</v>
      </c>
      <c r="C165" s="2" t="s">
        <v>699</v>
      </c>
      <c r="D165" s="2">
        <v>1.42</v>
      </c>
      <c r="E165" s="2" t="s">
        <v>596</v>
      </c>
      <c r="F165" s="2">
        <f t="shared" si="25"/>
        <v>1.42</v>
      </c>
      <c r="G165" s="22"/>
      <c r="H165" s="22">
        <f t="shared" si="26"/>
        <v>73.84</v>
      </c>
      <c r="I165" s="3" t="s">
        <v>597</v>
      </c>
    </row>
    <row r="166" spans="1:9">
      <c r="A166" s="9"/>
      <c r="B166" t="s">
        <v>550</v>
      </c>
      <c r="C166" s="2" t="s">
        <v>699</v>
      </c>
      <c r="D166" s="2">
        <v>1.52</v>
      </c>
      <c r="E166" s="2" t="s">
        <v>596</v>
      </c>
      <c r="F166" s="2">
        <f t="shared" si="25"/>
        <v>1.52</v>
      </c>
      <c r="G166" s="22"/>
      <c r="H166" s="22">
        <f t="shared" si="26"/>
        <v>79.040000000000006</v>
      </c>
      <c r="I166" s="3" t="s">
        <v>597</v>
      </c>
    </row>
    <row r="167" spans="1:9">
      <c r="A167" s="9"/>
      <c r="B167" t="s">
        <v>551</v>
      </c>
      <c r="C167" s="2" t="s">
        <v>699</v>
      </c>
      <c r="D167" s="2">
        <v>1.83</v>
      </c>
      <c r="E167" s="2" t="s">
        <v>596</v>
      </c>
      <c r="F167" s="2">
        <f t="shared" si="25"/>
        <v>1.83</v>
      </c>
      <c r="G167" s="22"/>
      <c r="H167" s="22">
        <v>241.28</v>
      </c>
      <c r="I167" s="3" t="s">
        <v>597</v>
      </c>
    </row>
    <row r="168" spans="1:9">
      <c r="A168" s="7" t="s">
        <v>605</v>
      </c>
      <c r="B168" s="3" t="s">
        <v>598</v>
      </c>
      <c r="C168" s="2" t="s">
        <v>770</v>
      </c>
      <c r="D168" s="2">
        <v>119</v>
      </c>
      <c r="E168" s="2" t="s">
        <v>739</v>
      </c>
      <c r="G168" s="22"/>
      <c r="H168" s="22">
        <f>D168</f>
        <v>119</v>
      </c>
      <c r="I168" t="s">
        <v>210</v>
      </c>
    </row>
    <row r="169" spans="1:9">
      <c r="A169" s="9"/>
      <c r="B169" s="3" t="s">
        <v>552</v>
      </c>
      <c r="C169" s="2" t="s">
        <v>770</v>
      </c>
      <c r="D169" s="2">
        <v>161</v>
      </c>
      <c r="E169" s="2" t="s">
        <v>739</v>
      </c>
      <c r="G169" s="22"/>
      <c r="H169" s="22">
        <f t="shared" ref="H169:H174" si="27">D169</f>
        <v>161</v>
      </c>
      <c r="I169" t="s">
        <v>210</v>
      </c>
    </row>
    <row r="170" spans="1:9">
      <c r="A170" s="9"/>
      <c r="B170" s="3" t="s">
        <v>553</v>
      </c>
      <c r="C170" s="2" t="s">
        <v>770</v>
      </c>
      <c r="D170" s="2">
        <v>136</v>
      </c>
      <c r="E170" s="2" t="s">
        <v>739</v>
      </c>
      <c r="G170" s="22"/>
      <c r="H170" s="22">
        <f t="shared" si="27"/>
        <v>136</v>
      </c>
      <c r="I170" t="s">
        <v>210</v>
      </c>
    </row>
    <row r="171" spans="1:9">
      <c r="A171" s="9"/>
      <c r="B171" s="3" t="s">
        <v>554</v>
      </c>
      <c r="C171" s="2" t="s">
        <v>770</v>
      </c>
      <c r="D171" s="2">
        <v>100</v>
      </c>
      <c r="E171" s="2" t="s">
        <v>739</v>
      </c>
      <c r="G171" s="22"/>
      <c r="H171" s="22">
        <f t="shared" si="27"/>
        <v>100</v>
      </c>
      <c r="I171" t="s">
        <v>210</v>
      </c>
    </row>
    <row r="172" spans="1:9">
      <c r="A172" s="9"/>
      <c r="B172" s="3" t="s">
        <v>555</v>
      </c>
      <c r="C172" s="2" t="s">
        <v>770</v>
      </c>
      <c r="D172" s="2">
        <v>92</v>
      </c>
      <c r="E172" s="2" t="s">
        <v>739</v>
      </c>
      <c r="G172" s="22"/>
      <c r="H172" s="22">
        <f t="shared" si="27"/>
        <v>92</v>
      </c>
      <c r="I172" t="s">
        <v>210</v>
      </c>
    </row>
    <row r="173" spans="1:9">
      <c r="A173" s="9"/>
      <c r="B173" s="3" t="s">
        <v>556</v>
      </c>
      <c r="C173" s="2" t="s">
        <v>770</v>
      </c>
      <c r="D173" s="2">
        <v>126</v>
      </c>
      <c r="E173" s="2" t="s">
        <v>739</v>
      </c>
      <c r="G173" s="22"/>
      <c r="H173" s="22">
        <f t="shared" si="27"/>
        <v>126</v>
      </c>
      <c r="I173" t="s">
        <v>210</v>
      </c>
    </row>
    <row r="174" spans="1:9">
      <c r="A174" s="9"/>
      <c r="B174" s="3" t="s">
        <v>557</v>
      </c>
      <c r="C174" s="2" t="s">
        <v>770</v>
      </c>
      <c r="D174" s="2">
        <v>122</v>
      </c>
      <c r="E174" s="2" t="s">
        <v>739</v>
      </c>
      <c r="G174" s="22"/>
      <c r="H174" s="22">
        <f t="shared" si="27"/>
        <v>122</v>
      </c>
      <c r="I174" t="s">
        <v>210</v>
      </c>
    </row>
    <row r="175" spans="1:9">
      <c r="A175" s="9"/>
      <c r="B175" s="3" t="s">
        <v>599</v>
      </c>
      <c r="C175" s="2" t="s">
        <v>770</v>
      </c>
      <c r="D175" s="2">
        <v>199</v>
      </c>
      <c r="E175" s="2" t="s">
        <v>739</v>
      </c>
      <c r="G175" s="22"/>
      <c r="H175" s="22">
        <f>D175</f>
        <v>199</v>
      </c>
      <c r="I175" t="s">
        <v>211</v>
      </c>
    </row>
    <row r="176" spans="1:9">
      <c r="A176" s="9"/>
      <c r="B176" s="3" t="s">
        <v>558</v>
      </c>
      <c r="C176" s="2" t="s">
        <v>770</v>
      </c>
      <c r="D176" s="2">
        <v>223</v>
      </c>
      <c r="E176" s="2" t="s">
        <v>739</v>
      </c>
      <c r="G176" s="22"/>
      <c r="H176" s="22">
        <f t="shared" ref="H176:H180" si="28">D176</f>
        <v>223</v>
      </c>
      <c r="I176" t="s">
        <v>211</v>
      </c>
    </row>
    <row r="177" spans="1:9">
      <c r="A177" s="9"/>
      <c r="B177" s="3" t="s">
        <v>559</v>
      </c>
      <c r="C177" s="2" t="s">
        <v>770</v>
      </c>
      <c r="D177" s="2">
        <v>201</v>
      </c>
      <c r="E177" s="2" t="s">
        <v>739</v>
      </c>
      <c r="G177" s="22"/>
      <c r="H177" s="22">
        <f t="shared" si="28"/>
        <v>201</v>
      </c>
      <c r="I177" t="s">
        <v>211</v>
      </c>
    </row>
    <row r="178" spans="1:9">
      <c r="A178" s="9"/>
      <c r="B178" s="3" t="s">
        <v>560</v>
      </c>
      <c r="C178" s="2" t="s">
        <v>770</v>
      </c>
      <c r="D178" s="2">
        <v>189</v>
      </c>
      <c r="E178" s="2" t="s">
        <v>739</v>
      </c>
      <c r="G178" s="22"/>
      <c r="H178" s="22">
        <f t="shared" si="28"/>
        <v>189</v>
      </c>
      <c r="I178" t="s">
        <v>211</v>
      </c>
    </row>
    <row r="179" spans="1:9">
      <c r="A179" s="9"/>
      <c r="B179" s="3" t="s">
        <v>561</v>
      </c>
      <c r="C179" s="2" t="s">
        <v>770</v>
      </c>
      <c r="D179" s="2">
        <v>150</v>
      </c>
      <c r="E179" s="2" t="s">
        <v>739</v>
      </c>
      <c r="G179" s="22"/>
      <c r="H179" s="22">
        <f t="shared" si="28"/>
        <v>150</v>
      </c>
      <c r="I179" t="s">
        <v>211</v>
      </c>
    </row>
    <row r="180" spans="1:9">
      <c r="A180" s="9"/>
      <c r="B180" s="3" t="s">
        <v>562</v>
      </c>
      <c r="C180" s="2" t="s">
        <v>770</v>
      </c>
      <c r="D180" s="2">
        <v>251</v>
      </c>
      <c r="E180" s="2" t="s">
        <v>739</v>
      </c>
      <c r="G180" s="22"/>
      <c r="H180" s="22">
        <f t="shared" si="28"/>
        <v>251</v>
      </c>
      <c r="I180" t="s">
        <v>211</v>
      </c>
    </row>
    <row r="181" spans="1:9">
      <c r="A181" s="9"/>
      <c r="B181" t="s">
        <v>600</v>
      </c>
      <c r="C181" s="2" t="s">
        <v>770</v>
      </c>
      <c r="D181" s="2">
        <v>233</v>
      </c>
      <c r="E181" s="2" t="s">
        <v>739</v>
      </c>
      <c r="G181" s="22">
        <f t="shared" ref="G181" si="29">D181</f>
        <v>233</v>
      </c>
      <c r="H181" s="22">
        <f>D181</f>
        <v>233</v>
      </c>
      <c r="I181" s="3" t="s">
        <v>212</v>
      </c>
    </row>
    <row r="182" spans="1:9">
      <c r="A182" s="9"/>
      <c r="B182" t="s">
        <v>563</v>
      </c>
      <c r="C182" s="2" t="s">
        <v>770</v>
      </c>
      <c r="D182" s="2">
        <v>280</v>
      </c>
      <c r="E182" s="2" t="s">
        <v>739</v>
      </c>
      <c r="G182" s="22"/>
      <c r="H182" s="22">
        <f t="shared" ref="H182:H188" si="30">D182</f>
        <v>280</v>
      </c>
      <c r="I182" s="3" t="s">
        <v>212</v>
      </c>
    </row>
    <row r="183" spans="1:9">
      <c r="A183" s="9"/>
      <c r="B183" t="s">
        <v>564</v>
      </c>
      <c r="C183" s="2" t="s">
        <v>770</v>
      </c>
      <c r="D183" s="2">
        <v>273</v>
      </c>
      <c r="E183" s="2" t="s">
        <v>739</v>
      </c>
      <c r="G183" s="22"/>
      <c r="H183" s="22">
        <f t="shared" si="30"/>
        <v>273</v>
      </c>
      <c r="I183" s="3" t="s">
        <v>212</v>
      </c>
    </row>
    <row r="184" spans="1:9">
      <c r="A184" s="9"/>
      <c r="B184" t="s">
        <v>565</v>
      </c>
      <c r="C184" s="2" t="s">
        <v>770</v>
      </c>
      <c r="D184" s="2">
        <v>325</v>
      </c>
      <c r="E184" s="2" t="s">
        <v>739</v>
      </c>
      <c r="G184" s="22"/>
      <c r="H184" s="22">
        <f t="shared" si="30"/>
        <v>325</v>
      </c>
      <c r="I184" s="3" t="s">
        <v>212</v>
      </c>
    </row>
    <row r="185" spans="1:9">
      <c r="A185" s="9"/>
      <c r="B185" t="s">
        <v>566</v>
      </c>
      <c r="C185" s="2" t="s">
        <v>770</v>
      </c>
      <c r="D185" s="2">
        <v>189</v>
      </c>
      <c r="E185" s="2" t="s">
        <v>739</v>
      </c>
      <c r="G185" s="22"/>
      <c r="H185" s="22">
        <f t="shared" si="30"/>
        <v>189</v>
      </c>
      <c r="I185" s="3" t="s">
        <v>212</v>
      </c>
    </row>
    <row r="186" spans="1:9">
      <c r="A186" s="9"/>
      <c r="B186" t="s">
        <v>567</v>
      </c>
      <c r="C186" s="2" t="s">
        <v>770</v>
      </c>
      <c r="D186" s="2">
        <v>156</v>
      </c>
      <c r="E186" s="2" t="s">
        <v>739</v>
      </c>
      <c r="G186" s="22"/>
      <c r="H186" s="22">
        <f t="shared" si="30"/>
        <v>156</v>
      </c>
      <c r="I186" s="3" t="s">
        <v>212</v>
      </c>
    </row>
    <row r="187" spans="1:9">
      <c r="A187" s="9"/>
      <c r="B187" t="s">
        <v>568</v>
      </c>
      <c r="C187" s="2" t="s">
        <v>770</v>
      </c>
      <c r="D187" s="2">
        <v>163</v>
      </c>
      <c r="E187" s="2" t="s">
        <v>739</v>
      </c>
      <c r="G187" s="22"/>
      <c r="H187" s="22">
        <f t="shared" si="30"/>
        <v>163</v>
      </c>
      <c r="I187" s="3" t="s">
        <v>212</v>
      </c>
    </row>
    <row r="188" spans="1:9">
      <c r="A188" s="9"/>
      <c r="B188" t="s">
        <v>569</v>
      </c>
      <c r="C188" s="2" t="s">
        <v>770</v>
      </c>
      <c r="D188" s="2">
        <v>236</v>
      </c>
      <c r="E188" s="2" t="s">
        <v>739</v>
      </c>
      <c r="G188" s="22"/>
      <c r="H188" s="22">
        <f t="shared" si="30"/>
        <v>236</v>
      </c>
      <c r="I188" s="3" t="s">
        <v>212</v>
      </c>
    </row>
    <row r="189" spans="1:9">
      <c r="A189" s="8" t="s">
        <v>732</v>
      </c>
      <c r="B189" s="5"/>
      <c r="C189" s="2"/>
      <c r="D189" s="2"/>
      <c r="E189" s="2"/>
      <c r="F189" s="2"/>
      <c r="G189" s="22"/>
      <c r="H189" s="22"/>
      <c r="I189" s="3"/>
    </row>
    <row r="190" spans="1:9">
      <c r="A190" s="7" t="s">
        <v>639</v>
      </c>
      <c r="B190" s="5" t="s">
        <v>775</v>
      </c>
      <c r="C190" s="2" t="s">
        <v>738</v>
      </c>
      <c r="D190" s="2">
        <v>0.68</v>
      </c>
      <c r="E190" s="2" t="s">
        <v>739</v>
      </c>
      <c r="G190" s="22"/>
      <c r="H190" s="22">
        <f>D190*313</f>
        <v>212.84</v>
      </c>
      <c r="I190" s="3" t="s">
        <v>593</v>
      </c>
    </row>
    <row r="191" spans="1:9">
      <c r="A191" s="9"/>
      <c r="B191" s="5" t="s">
        <v>570</v>
      </c>
      <c r="C191" s="2" t="s">
        <v>738</v>
      </c>
      <c r="D191" s="2">
        <v>0.69</v>
      </c>
      <c r="E191" s="2" t="s">
        <v>739</v>
      </c>
      <c r="G191" s="22"/>
      <c r="H191" s="22">
        <f t="shared" ref="H191:H194" si="31">D191*313</f>
        <v>215.96999999999997</v>
      </c>
      <c r="I191" s="3" t="s">
        <v>593</v>
      </c>
    </row>
    <row r="192" spans="1:9">
      <c r="A192" s="9"/>
      <c r="B192" s="5" t="s">
        <v>571</v>
      </c>
      <c r="C192" s="2" t="s">
        <v>738</v>
      </c>
      <c r="D192" s="2">
        <v>0.57999999999999996</v>
      </c>
      <c r="E192" s="2" t="s">
        <v>739</v>
      </c>
      <c r="G192" s="22"/>
      <c r="H192" s="22">
        <f t="shared" si="31"/>
        <v>181.54</v>
      </c>
      <c r="I192" s="3" t="s">
        <v>593</v>
      </c>
    </row>
    <row r="193" spans="1:9">
      <c r="A193" s="9"/>
      <c r="B193" s="5" t="s">
        <v>572</v>
      </c>
      <c r="C193" s="2" t="s">
        <v>738</v>
      </c>
      <c r="D193" s="2">
        <v>0.7</v>
      </c>
      <c r="E193" s="2" t="s">
        <v>739</v>
      </c>
      <c r="G193" s="22"/>
      <c r="H193" s="22">
        <f t="shared" si="31"/>
        <v>219.1</v>
      </c>
      <c r="I193" s="3" t="s">
        <v>593</v>
      </c>
    </row>
    <row r="194" spans="1:9">
      <c r="A194" s="9"/>
      <c r="B194" s="5" t="s">
        <v>573</v>
      </c>
      <c r="C194" s="2" t="s">
        <v>738</v>
      </c>
      <c r="D194" s="2">
        <v>0.95</v>
      </c>
      <c r="E194" s="2" t="s">
        <v>739</v>
      </c>
      <c r="G194" s="22"/>
      <c r="H194" s="22">
        <f t="shared" si="31"/>
        <v>297.34999999999997</v>
      </c>
      <c r="I194" s="3" t="s">
        <v>593</v>
      </c>
    </row>
    <row r="195" spans="1:9">
      <c r="A195" s="7" t="s">
        <v>640</v>
      </c>
      <c r="B195" t="s">
        <v>595</v>
      </c>
      <c r="C195" s="2" t="s">
        <v>699</v>
      </c>
      <c r="D195" s="2">
        <v>1.18</v>
      </c>
      <c r="E195" s="2" t="s">
        <v>596</v>
      </c>
      <c r="F195" s="2">
        <f>D195</f>
        <v>1.18</v>
      </c>
      <c r="G195" s="22">
        <f>D195+F195</f>
        <v>2.36</v>
      </c>
      <c r="H195" s="22">
        <f>G195*52</f>
        <v>122.72</v>
      </c>
      <c r="I195" s="3" t="s">
        <v>597</v>
      </c>
    </row>
    <row r="196" spans="1:9">
      <c r="A196" s="9"/>
      <c r="B196" t="s">
        <v>574</v>
      </c>
      <c r="C196" s="2" t="s">
        <v>699</v>
      </c>
      <c r="D196" s="2">
        <v>1.0900000000000001</v>
      </c>
      <c r="E196" s="2" t="s">
        <v>596</v>
      </c>
      <c r="F196" s="2">
        <f>D196</f>
        <v>1.0900000000000001</v>
      </c>
      <c r="G196" s="22">
        <f>D196+F196</f>
        <v>2.1800000000000002</v>
      </c>
      <c r="H196" s="22">
        <f t="shared" ref="H196:H199" si="32">G196*52</f>
        <v>113.36000000000001</v>
      </c>
      <c r="I196" s="3" t="s">
        <v>597</v>
      </c>
    </row>
    <row r="197" spans="1:9">
      <c r="A197" s="9"/>
      <c r="B197" t="s">
        <v>575</v>
      </c>
      <c r="C197" s="2" t="s">
        <v>699</v>
      </c>
      <c r="D197" s="2">
        <v>1</v>
      </c>
      <c r="E197" s="2" t="s">
        <v>596</v>
      </c>
      <c r="F197" s="2">
        <f>D197</f>
        <v>1</v>
      </c>
      <c r="G197" s="22">
        <f>D197+F197</f>
        <v>2</v>
      </c>
      <c r="H197" s="22">
        <f t="shared" si="32"/>
        <v>104</v>
      </c>
      <c r="I197" s="3" t="s">
        <v>597</v>
      </c>
    </row>
    <row r="198" spans="1:9">
      <c r="A198" s="9"/>
      <c r="B198" t="s">
        <v>576</v>
      </c>
      <c r="C198" s="2" t="s">
        <v>699</v>
      </c>
      <c r="D198" s="2">
        <v>1.41</v>
      </c>
      <c r="E198" s="2" t="s">
        <v>596</v>
      </c>
      <c r="F198" s="2">
        <f>D198</f>
        <v>1.41</v>
      </c>
      <c r="G198" s="22">
        <f>D198+F198</f>
        <v>2.82</v>
      </c>
      <c r="H198" s="22">
        <f t="shared" si="32"/>
        <v>146.63999999999999</v>
      </c>
      <c r="I198" s="3" t="s">
        <v>597</v>
      </c>
    </row>
    <row r="199" spans="1:9">
      <c r="A199" s="9"/>
      <c r="B199" t="s">
        <v>577</v>
      </c>
      <c r="C199" s="2" t="s">
        <v>699</v>
      </c>
      <c r="D199" s="2">
        <v>1.52</v>
      </c>
      <c r="E199" s="2" t="s">
        <v>596</v>
      </c>
      <c r="F199" s="2">
        <f>D199</f>
        <v>1.52</v>
      </c>
      <c r="G199" s="22">
        <f>D199+F199</f>
        <v>3.04</v>
      </c>
      <c r="H199" s="22">
        <f t="shared" si="32"/>
        <v>158.08000000000001</v>
      </c>
      <c r="I199" s="3" t="s">
        <v>597</v>
      </c>
    </row>
    <row r="200" spans="1:9">
      <c r="A200" s="7" t="s">
        <v>605</v>
      </c>
      <c r="B200" s="3" t="s">
        <v>598</v>
      </c>
      <c r="C200" s="2" t="s">
        <v>770</v>
      </c>
      <c r="D200" s="2">
        <v>112</v>
      </c>
      <c r="E200" s="2" t="s">
        <v>739</v>
      </c>
      <c r="G200" s="22"/>
      <c r="H200" s="22">
        <f>D200</f>
        <v>112</v>
      </c>
      <c r="I200" t="s">
        <v>210</v>
      </c>
    </row>
    <row r="201" spans="1:9">
      <c r="A201" s="9"/>
      <c r="B201" s="3" t="s">
        <v>578</v>
      </c>
      <c r="C201" s="2" t="s">
        <v>770</v>
      </c>
      <c r="D201" s="2">
        <v>143</v>
      </c>
      <c r="E201" s="2" t="s">
        <v>739</v>
      </c>
      <c r="G201" s="22"/>
      <c r="H201" s="22">
        <f t="shared" ref="H201:H212" si="33">D201</f>
        <v>143</v>
      </c>
      <c r="I201" t="s">
        <v>210</v>
      </c>
    </row>
    <row r="202" spans="1:9">
      <c r="A202" s="9"/>
      <c r="B202" s="3" t="s">
        <v>579</v>
      </c>
      <c r="C202" s="2" t="s">
        <v>770</v>
      </c>
      <c r="D202" s="2">
        <v>96</v>
      </c>
      <c r="E202" s="2" t="s">
        <v>739</v>
      </c>
      <c r="G202" s="22"/>
      <c r="H202" s="22">
        <f t="shared" si="33"/>
        <v>96</v>
      </c>
      <c r="I202" t="s">
        <v>210</v>
      </c>
    </row>
    <row r="203" spans="1:9">
      <c r="A203" s="9"/>
      <c r="B203" s="3" t="s">
        <v>580</v>
      </c>
      <c r="C203" s="2" t="s">
        <v>770</v>
      </c>
      <c r="D203" s="2">
        <v>117</v>
      </c>
      <c r="E203" s="2" t="s">
        <v>739</v>
      </c>
      <c r="G203" s="22"/>
      <c r="H203" s="22">
        <f t="shared" si="33"/>
        <v>117</v>
      </c>
      <c r="I203" t="s">
        <v>210</v>
      </c>
    </row>
    <row r="204" spans="1:9">
      <c r="A204" s="9"/>
      <c r="B204" s="3" t="s">
        <v>581</v>
      </c>
      <c r="C204" s="2" t="s">
        <v>770</v>
      </c>
      <c r="D204" s="2">
        <v>124</v>
      </c>
      <c r="E204" s="2" t="s">
        <v>739</v>
      </c>
      <c r="G204" s="22"/>
      <c r="H204" s="22">
        <f t="shared" si="33"/>
        <v>124</v>
      </c>
      <c r="I204" t="s">
        <v>210</v>
      </c>
    </row>
    <row r="205" spans="1:9">
      <c r="A205" s="9"/>
      <c r="B205" s="3" t="s">
        <v>599</v>
      </c>
      <c r="C205" s="2" t="s">
        <v>770</v>
      </c>
      <c r="D205" s="2">
        <v>184</v>
      </c>
      <c r="E205" s="2" t="s">
        <v>739</v>
      </c>
      <c r="G205" s="22"/>
      <c r="H205" s="22">
        <f t="shared" si="33"/>
        <v>184</v>
      </c>
      <c r="I205" t="s">
        <v>211</v>
      </c>
    </row>
    <row r="206" spans="1:9">
      <c r="A206" s="9"/>
      <c r="B206" s="3" t="s">
        <v>582</v>
      </c>
      <c r="C206" s="2" t="s">
        <v>770</v>
      </c>
      <c r="D206" s="2">
        <v>173</v>
      </c>
      <c r="E206" s="2" t="s">
        <v>739</v>
      </c>
      <c r="G206" s="22"/>
      <c r="H206" s="22">
        <f t="shared" si="33"/>
        <v>173</v>
      </c>
      <c r="I206" t="s">
        <v>211</v>
      </c>
    </row>
    <row r="207" spans="1:9">
      <c r="A207" s="9"/>
      <c r="B207" s="3" t="s">
        <v>583</v>
      </c>
      <c r="C207" s="2" t="s">
        <v>770</v>
      </c>
      <c r="D207" s="2">
        <v>195</v>
      </c>
      <c r="E207" s="2" t="s">
        <v>739</v>
      </c>
      <c r="G207" s="22"/>
      <c r="H207" s="22">
        <f t="shared" si="33"/>
        <v>195</v>
      </c>
      <c r="I207" t="s">
        <v>211</v>
      </c>
    </row>
    <row r="208" spans="1:9">
      <c r="A208" s="9"/>
      <c r="B208" t="s">
        <v>600</v>
      </c>
      <c r="C208" s="2" t="s">
        <v>770</v>
      </c>
      <c r="D208" s="2">
        <v>238</v>
      </c>
      <c r="E208" s="2" t="s">
        <v>739</v>
      </c>
      <c r="G208" s="22"/>
      <c r="H208" s="22">
        <f t="shared" si="33"/>
        <v>238</v>
      </c>
      <c r="I208" s="3" t="s">
        <v>212</v>
      </c>
    </row>
    <row r="209" spans="1:9">
      <c r="A209" s="9"/>
      <c r="B209" t="s">
        <v>584</v>
      </c>
      <c r="C209" s="2" t="s">
        <v>770</v>
      </c>
      <c r="D209" s="2">
        <v>283</v>
      </c>
      <c r="E209" s="2" t="s">
        <v>739</v>
      </c>
      <c r="G209" s="22"/>
      <c r="H209" s="22">
        <f t="shared" si="33"/>
        <v>283</v>
      </c>
      <c r="I209" s="3" t="s">
        <v>212</v>
      </c>
    </row>
    <row r="210" spans="1:9">
      <c r="A210" s="9"/>
      <c r="B210" t="s">
        <v>585</v>
      </c>
      <c r="C210" s="2" t="s">
        <v>770</v>
      </c>
      <c r="D210" s="2">
        <v>162</v>
      </c>
      <c r="E210" s="2" t="s">
        <v>739</v>
      </c>
      <c r="G210" s="22"/>
      <c r="H210" s="22">
        <f t="shared" si="33"/>
        <v>162</v>
      </c>
      <c r="I210" s="3" t="s">
        <v>212</v>
      </c>
    </row>
    <row r="211" spans="1:9">
      <c r="A211" s="9"/>
      <c r="B211" t="s">
        <v>586</v>
      </c>
      <c r="C211" s="2" t="s">
        <v>770</v>
      </c>
      <c r="D211" s="2">
        <v>337</v>
      </c>
      <c r="E211" s="2" t="s">
        <v>739</v>
      </c>
      <c r="G211" s="22"/>
      <c r="H211" s="22">
        <f t="shared" si="33"/>
        <v>337</v>
      </c>
      <c r="I211" s="3" t="s">
        <v>212</v>
      </c>
    </row>
    <row r="212" spans="1:9">
      <c r="A212" s="9"/>
      <c r="B212" t="s">
        <v>587</v>
      </c>
      <c r="C212" s="2" t="s">
        <v>770</v>
      </c>
      <c r="D212" s="2">
        <v>455</v>
      </c>
      <c r="E212" s="2" t="s">
        <v>739</v>
      </c>
      <c r="G212" s="22"/>
      <c r="H212" s="22">
        <f t="shared" si="33"/>
        <v>455</v>
      </c>
      <c r="I212" s="3" t="s">
        <v>212</v>
      </c>
    </row>
    <row r="213" spans="1:9">
      <c r="A213" s="8" t="s">
        <v>734</v>
      </c>
      <c r="B213" s="5"/>
      <c r="C213" s="2"/>
      <c r="D213" s="2"/>
      <c r="E213" s="2"/>
      <c r="F213" s="2"/>
      <c r="G213" s="22"/>
      <c r="H213" s="22"/>
      <c r="I213" s="3"/>
    </row>
    <row r="214" spans="1:9">
      <c r="A214" s="7" t="s">
        <v>639</v>
      </c>
      <c r="B214" s="5" t="s">
        <v>775</v>
      </c>
      <c r="C214" s="2" t="s">
        <v>738</v>
      </c>
      <c r="D214" s="2">
        <v>0.95</v>
      </c>
      <c r="E214" s="2" t="s">
        <v>739</v>
      </c>
      <c r="G214" s="22"/>
      <c r="H214" s="22">
        <f>D214*313</f>
        <v>297.34999999999997</v>
      </c>
      <c r="I214" s="3" t="s">
        <v>593</v>
      </c>
    </row>
    <row r="215" spans="1:9">
      <c r="A215" s="9"/>
      <c r="B215" s="5" t="s">
        <v>387</v>
      </c>
      <c r="C215" s="2" t="s">
        <v>738</v>
      </c>
      <c r="D215" s="2">
        <v>0.75</v>
      </c>
      <c r="E215" s="2" t="s">
        <v>739</v>
      </c>
      <c r="G215" s="22"/>
      <c r="H215" s="22">
        <f t="shared" ref="H215:H217" si="34">D215*313</f>
        <v>234.75</v>
      </c>
      <c r="I215" s="3" t="s">
        <v>593</v>
      </c>
    </row>
    <row r="216" spans="1:9">
      <c r="A216" s="9"/>
      <c r="B216" s="5" t="s">
        <v>388</v>
      </c>
      <c r="C216" s="2" t="s">
        <v>738</v>
      </c>
      <c r="D216" s="2">
        <v>1.04</v>
      </c>
      <c r="E216" s="2" t="s">
        <v>739</v>
      </c>
      <c r="G216" s="22"/>
      <c r="H216" s="22">
        <f t="shared" si="34"/>
        <v>325.52000000000004</v>
      </c>
      <c r="I216" s="3" t="s">
        <v>593</v>
      </c>
    </row>
    <row r="217" spans="1:9">
      <c r="A217" s="9"/>
      <c r="B217" s="5" t="s">
        <v>389</v>
      </c>
      <c r="C217" s="2" t="s">
        <v>738</v>
      </c>
      <c r="D217" s="2">
        <v>1</v>
      </c>
      <c r="E217" s="2" t="s">
        <v>739</v>
      </c>
      <c r="G217" s="22"/>
      <c r="H217" s="22">
        <f t="shared" si="34"/>
        <v>313</v>
      </c>
      <c r="I217" s="3" t="s">
        <v>593</v>
      </c>
    </row>
    <row r="218" spans="1:9">
      <c r="A218" s="7" t="s">
        <v>640</v>
      </c>
      <c r="B218" t="s">
        <v>595</v>
      </c>
      <c r="C218" s="2" t="s">
        <v>699</v>
      </c>
      <c r="D218" s="2">
        <v>2.2999999999999998</v>
      </c>
      <c r="E218" s="2" t="s">
        <v>596</v>
      </c>
      <c r="F218" s="2">
        <f>D218</f>
        <v>2.2999999999999998</v>
      </c>
      <c r="G218" s="22">
        <f>D218+F218</f>
        <v>4.5999999999999996</v>
      </c>
      <c r="H218" s="22">
        <f>G218*52</f>
        <v>239.2</v>
      </c>
      <c r="I218" s="3" t="s">
        <v>597</v>
      </c>
    </row>
    <row r="219" spans="1:9">
      <c r="A219" s="9"/>
      <c r="B219" t="s">
        <v>390</v>
      </c>
      <c r="C219" s="2" t="s">
        <v>699</v>
      </c>
      <c r="D219" s="2">
        <v>1.67</v>
      </c>
      <c r="E219" s="2" t="s">
        <v>596</v>
      </c>
      <c r="F219" s="2">
        <f>D219</f>
        <v>1.67</v>
      </c>
      <c r="G219" s="22">
        <f>D219+F219</f>
        <v>3.34</v>
      </c>
      <c r="H219" s="22">
        <f t="shared" ref="H219:H220" si="35">G219*52</f>
        <v>173.68</v>
      </c>
      <c r="I219" s="3" t="s">
        <v>597</v>
      </c>
    </row>
    <row r="220" spans="1:9">
      <c r="A220" s="9"/>
      <c r="B220" t="s">
        <v>391</v>
      </c>
      <c r="C220" s="2" t="s">
        <v>699</v>
      </c>
      <c r="D220" s="2">
        <v>2.57</v>
      </c>
      <c r="E220" s="2" t="s">
        <v>596</v>
      </c>
      <c r="F220" s="2">
        <f>D220</f>
        <v>2.57</v>
      </c>
      <c r="G220" s="22">
        <f>D220+F220</f>
        <v>5.14</v>
      </c>
      <c r="H220" s="22">
        <f t="shared" si="35"/>
        <v>267.27999999999997</v>
      </c>
      <c r="I220" s="3" t="s">
        <v>597</v>
      </c>
    </row>
    <row r="221" spans="1:9">
      <c r="A221" s="9"/>
      <c r="B221" t="s">
        <v>392</v>
      </c>
      <c r="C221" s="2" t="s">
        <v>699</v>
      </c>
      <c r="D221" s="2">
        <v>2</v>
      </c>
      <c r="E221" s="2" t="s">
        <v>596</v>
      </c>
      <c r="F221" s="2">
        <f>D221</f>
        <v>2</v>
      </c>
      <c r="G221" s="22">
        <f>D221+F221</f>
        <v>4</v>
      </c>
      <c r="H221" s="22">
        <v>260</v>
      </c>
      <c r="I221" s="3" t="s">
        <v>597</v>
      </c>
    </row>
    <row r="222" spans="1:9">
      <c r="A222" s="7" t="s">
        <v>605</v>
      </c>
      <c r="B222" s="3" t="s">
        <v>599</v>
      </c>
      <c r="C222" s="2" t="s">
        <v>770</v>
      </c>
      <c r="D222" s="2">
        <v>240</v>
      </c>
      <c r="E222" s="2" t="s">
        <v>739</v>
      </c>
      <c r="G222" s="22"/>
      <c r="H222" s="22">
        <f>D222</f>
        <v>240</v>
      </c>
      <c r="I222" t="s">
        <v>211</v>
      </c>
    </row>
    <row r="223" spans="1:9">
      <c r="A223" s="9"/>
      <c r="B223" s="3" t="s">
        <v>393</v>
      </c>
      <c r="C223" s="2" t="s">
        <v>770</v>
      </c>
      <c r="D223" s="2">
        <v>240</v>
      </c>
      <c r="E223" s="2" t="s">
        <v>739</v>
      </c>
      <c r="G223" s="22"/>
      <c r="H223" s="22">
        <f>D223</f>
        <v>240</v>
      </c>
      <c r="I223" t="s">
        <v>211</v>
      </c>
    </row>
    <row r="224" spans="1:9">
      <c r="A224" s="9"/>
      <c r="B224" t="s">
        <v>600</v>
      </c>
      <c r="C224" s="2" t="s">
        <v>770</v>
      </c>
      <c r="D224" s="2">
        <v>438</v>
      </c>
      <c r="E224" s="2" t="s">
        <v>739</v>
      </c>
      <c r="G224" s="22"/>
      <c r="H224" s="22">
        <f t="shared" ref="H224:H225" si="36">D224</f>
        <v>438</v>
      </c>
      <c r="I224" s="3" t="s">
        <v>212</v>
      </c>
    </row>
    <row r="225" spans="1:9">
      <c r="A225" s="9"/>
      <c r="B225" t="s">
        <v>394</v>
      </c>
      <c r="C225" s="2" t="s">
        <v>770</v>
      </c>
      <c r="D225" s="2">
        <v>427</v>
      </c>
      <c r="E225" s="2" t="s">
        <v>739</v>
      </c>
      <c r="G225" s="22"/>
      <c r="H225" s="22">
        <f t="shared" si="36"/>
        <v>427</v>
      </c>
      <c r="I225" s="3" t="s">
        <v>212</v>
      </c>
    </row>
    <row r="226" spans="1:9">
      <c r="A226" s="1" t="s">
        <v>735</v>
      </c>
      <c r="C226" s="2"/>
      <c r="D226" s="2"/>
      <c r="E226" s="2"/>
      <c r="G226" s="22"/>
      <c r="H226" s="22"/>
      <c r="I226" s="3"/>
    </row>
    <row r="227" spans="1:9">
      <c r="A227" s="7" t="s">
        <v>639</v>
      </c>
      <c r="B227" s="5" t="s">
        <v>775</v>
      </c>
      <c r="C227" s="2" t="s">
        <v>738</v>
      </c>
      <c r="D227" s="2">
        <v>1.27</v>
      </c>
      <c r="E227" s="2" t="s">
        <v>739</v>
      </c>
      <c r="G227" s="22"/>
      <c r="H227" s="22">
        <f>D227*313</f>
        <v>397.51</v>
      </c>
      <c r="I227" s="3" t="s">
        <v>593</v>
      </c>
    </row>
    <row r="228" spans="1:9">
      <c r="A228" s="9"/>
      <c r="B228" s="5" t="s">
        <v>395</v>
      </c>
      <c r="C228" s="2" t="s">
        <v>738</v>
      </c>
      <c r="D228" s="2">
        <v>0.53</v>
      </c>
      <c r="E228" s="2" t="s">
        <v>739</v>
      </c>
      <c r="G228" s="22"/>
      <c r="H228" s="22">
        <f>D228*313</f>
        <v>165.89000000000001</v>
      </c>
      <c r="I228" s="3" t="s">
        <v>593</v>
      </c>
    </row>
    <row r="229" spans="1:9">
      <c r="A229" s="9"/>
      <c r="B229" s="5" t="s">
        <v>396</v>
      </c>
      <c r="C229" s="2" t="s">
        <v>738</v>
      </c>
      <c r="D229" s="2">
        <v>2</v>
      </c>
      <c r="E229" s="2" t="s">
        <v>739</v>
      </c>
      <c r="G229" s="22"/>
      <c r="H229" s="22">
        <f>D229*313</f>
        <v>626</v>
      </c>
      <c r="I229" s="3" t="s">
        <v>593</v>
      </c>
    </row>
    <row r="230" spans="1:9">
      <c r="A230" s="1" t="s">
        <v>736</v>
      </c>
      <c r="B230" s="5"/>
      <c r="C230" s="2"/>
      <c r="D230" s="2"/>
      <c r="E230" s="2"/>
      <c r="G230" s="22"/>
      <c r="H230" s="22"/>
      <c r="I230" s="3"/>
    </row>
    <row r="231" spans="1:9">
      <c r="A231" s="7" t="s">
        <v>639</v>
      </c>
      <c r="B231" s="5" t="s">
        <v>775</v>
      </c>
      <c r="C231" s="2" t="s">
        <v>738</v>
      </c>
      <c r="D231" s="2">
        <v>5</v>
      </c>
      <c r="E231" s="2" t="s">
        <v>739</v>
      </c>
      <c r="G231" s="22"/>
      <c r="H231" s="22">
        <f>D231*313</f>
        <v>1565</v>
      </c>
      <c r="I231" s="3" t="s">
        <v>593</v>
      </c>
    </row>
    <row r="232" spans="1:9">
      <c r="A232" s="9"/>
      <c r="B232" s="5" t="s">
        <v>218</v>
      </c>
      <c r="C232" s="2" t="s">
        <v>738</v>
      </c>
      <c r="D232" s="2">
        <v>5</v>
      </c>
      <c r="E232" s="2" t="s">
        <v>739</v>
      </c>
      <c r="G232" s="22"/>
      <c r="H232" s="22">
        <f t="shared" ref="H232:H233" si="37">D232*313</f>
        <v>1565</v>
      </c>
      <c r="I232" s="3" t="s">
        <v>593</v>
      </c>
    </row>
    <row r="233" spans="1:9">
      <c r="A233" s="9"/>
      <c r="B233" s="5" t="s">
        <v>397</v>
      </c>
      <c r="C233" s="2" t="s">
        <v>738</v>
      </c>
      <c r="D233" s="2">
        <v>5</v>
      </c>
      <c r="E233" s="2" t="s">
        <v>739</v>
      </c>
      <c r="G233" s="22"/>
      <c r="H233" s="22">
        <f t="shared" si="37"/>
        <v>1565</v>
      </c>
      <c r="I233" s="3" t="s">
        <v>593</v>
      </c>
    </row>
    <row r="234" spans="1:9">
      <c r="A234" s="7" t="s">
        <v>640</v>
      </c>
      <c r="B234" t="s">
        <v>595</v>
      </c>
      <c r="C234" s="50" t="s">
        <v>699</v>
      </c>
      <c r="D234" s="50">
        <v>11.5</v>
      </c>
      <c r="E234" s="50" t="s">
        <v>596</v>
      </c>
      <c r="F234" s="50">
        <f>D234</f>
        <v>11.5</v>
      </c>
      <c r="G234" s="22">
        <f>D234+F234</f>
        <v>23</v>
      </c>
      <c r="H234" s="22">
        <f>G234*52</f>
        <v>1196</v>
      </c>
      <c r="I234" s="48" t="s">
        <v>597</v>
      </c>
    </row>
    <row r="235" spans="1:9">
      <c r="B235" t="s">
        <v>398</v>
      </c>
      <c r="C235" s="2" t="s">
        <v>699</v>
      </c>
      <c r="D235" s="2">
        <v>13</v>
      </c>
      <c r="E235" s="2" t="s">
        <v>596</v>
      </c>
      <c r="F235" s="2">
        <f>D235</f>
        <v>13</v>
      </c>
      <c r="G235" s="22">
        <f>D235+F235</f>
        <v>26</v>
      </c>
      <c r="H235" s="22">
        <f t="shared" ref="H235:H236" si="38">G235*52</f>
        <v>1352</v>
      </c>
      <c r="I235" s="3" t="s">
        <v>597</v>
      </c>
    </row>
    <row r="236" spans="1:9">
      <c r="A236" s="9"/>
      <c r="B236" t="s">
        <v>399</v>
      </c>
      <c r="C236" s="2" t="s">
        <v>699</v>
      </c>
      <c r="D236" s="2">
        <v>10</v>
      </c>
      <c r="E236" s="2" t="s">
        <v>596</v>
      </c>
      <c r="F236" s="2">
        <f>D236</f>
        <v>10</v>
      </c>
      <c r="G236" s="22">
        <f>D236+F236</f>
        <v>20</v>
      </c>
      <c r="H236" s="22">
        <f t="shared" si="38"/>
        <v>1040</v>
      </c>
      <c r="I236" s="3" t="s">
        <v>597</v>
      </c>
    </row>
    <row r="237" spans="1:9">
      <c r="A237" s="7" t="s">
        <v>605</v>
      </c>
      <c r="B237" t="s">
        <v>600</v>
      </c>
      <c r="C237" s="2" t="s">
        <v>770</v>
      </c>
      <c r="D237" s="2">
        <v>280</v>
      </c>
      <c r="E237" s="2" t="s">
        <v>739</v>
      </c>
      <c r="G237" s="22"/>
      <c r="H237" s="22">
        <f>D237</f>
        <v>280</v>
      </c>
      <c r="I237" s="3" t="s">
        <v>212</v>
      </c>
    </row>
    <row r="238" spans="1:9">
      <c r="A238" s="9"/>
      <c r="B238" t="s">
        <v>400</v>
      </c>
      <c r="C238" s="2" t="s">
        <v>770</v>
      </c>
      <c r="D238" s="2">
        <v>280</v>
      </c>
      <c r="E238" s="2" t="s">
        <v>739</v>
      </c>
      <c r="G238" s="22"/>
      <c r="H238" s="22">
        <f>D238</f>
        <v>280</v>
      </c>
      <c r="I238" s="3" t="s">
        <v>212</v>
      </c>
    </row>
  </sheetData>
  <mergeCells count="2">
    <mergeCell ref="A2:C2"/>
    <mergeCell ref="A1:B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6"/>
  <sheetViews>
    <sheetView tabSelected="1" workbookViewId="0">
      <selection activeCell="A6" sqref="A6"/>
    </sheetView>
  </sheetViews>
  <sheetFormatPr baseColWidth="10" defaultColWidth="8.83203125" defaultRowHeight="14" x14ac:dyDescent="0"/>
  <cols>
    <col min="1" max="1" width="27" customWidth="1"/>
    <col min="2" max="2" width="27.33203125" customWidth="1"/>
    <col min="3" max="3" width="10.33203125" customWidth="1"/>
    <col min="4" max="4" width="11.33203125" customWidth="1"/>
    <col min="5" max="5" width="25.33203125" bestFit="1" customWidth="1"/>
    <col min="6" max="6" width="11.33203125" customWidth="1"/>
    <col min="7" max="7" width="14.1640625" customWidth="1"/>
    <col min="8" max="8" width="16.5" customWidth="1"/>
    <col min="9" max="9" width="75.83203125" customWidth="1"/>
  </cols>
  <sheetData>
    <row r="1" spans="1:12" ht="20">
      <c r="A1" s="141" t="s">
        <v>28</v>
      </c>
      <c r="B1" s="40"/>
    </row>
    <row r="2" spans="1:12" ht="20">
      <c r="A2" s="54" t="s">
        <v>220</v>
      </c>
      <c r="B2" s="40"/>
    </row>
    <row r="3" spans="1:12">
      <c r="A3" s="146" t="s">
        <v>797</v>
      </c>
      <c r="B3" s="147"/>
      <c r="C3" s="147"/>
      <c r="D3" s="147"/>
      <c r="E3" s="147"/>
      <c r="F3" s="147"/>
      <c r="G3" s="147"/>
      <c r="H3" s="147"/>
      <c r="I3" s="147"/>
    </row>
    <row r="4" spans="1:12">
      <c r="A4" s="47" t="s">
        <v>25</v>
      </c>
      <c r="B4" s="48"/>
      <c r="C4" s="48"/>
      <c r="D4" s="48"/>
      <c r="E4" s="48"/>
      <c r="F4" s="48"/>
      <c r="G4" s="48"/>
      <c r="H4" s="48"/>
      <c r="I4" s="48"/>
    </row>
    <row r="5" spans="1:12" ht="15">
      <c r="A5" s="142" t="s">
        <v>798</v>
      </c>
      <c r="B5" s="48"/>
      <c r="C5" s="48"/>
      <c r="D5" s="48"/>
      <c r="E5" s="48"/>
      <c r="F5" s="48"/>
      <c r="G5" s="48"/>
      <c r="H5" s="48"/>
      <c r="I5" s="48"/>
    </row>
    <row r="6" spans="1:12">
      <c r="A6" s="47"/>
      <c r="B6" s="48"/>
      <c r="C6" s="48"/>
      <c r="D6" s="48"/>
      <c r="E6" s="48"/>
      <c r="F6" s="48"/>
      <c r="G6" s="48"/>
      <c r="H6" s="48"/>
      <c r="I6" s="48"/>
    </row>
    <row r="7" spans="1:12">
      <c r="A7" s="47" t="s">
        <v>142</v>
      </c>
      <c r="B7" s="48"/>
      <c r="C7" s="48"/>
      <c r="D7" s="48"/>
      <c r="E7" s="48"/>
      <c r="F7" s="48"/>
      <c r="G7" s="48"/>
      <c r="H7" s="48"/>
      <c r="I7" s="48"/>
    </row>
    <row r="8" spans="1:12">
      <c r="A8" t="s">
        <v>143</v>
      </c>
    </row>
    <row r="9" spans="1:12">
      <c r="A9" t="s">
        <v>141</v>
      </c>
    </row>
    <row r="10" spans="1:12">
      <c r="A10" t="s">
        <v>139</v>
      </c>
    </row>
    <row r="11" spans="1:12">
      <c r="A11" t="s">
        <v>140</v>
      </c>
    </row>
    <row r="12" spans="1:12" ht="20">
      <c r="A12" s="40"/>
      <c r="B12" s="40"/>
    </row>
    <row r="13" spans="1:12">
      <c r="A13" s="1"/>
      <c r="B13" s="1" t="s">
        <v>724</v>
      </c>
      <c r="C13" s="1" t="s">
        <v>725</v>
      </c>
      <c r="D13" s="1" t="s">
        <v>726</v>
      </c>
      <c r="E13" s="1" t="s">
        <v>740</v>
      </c>
      <c r="F13" s="1" t="s">
        <v>728</v>
      </c>
      <c r="G13" s="1" t="s">
        <v>702</v>
      </c>
      <c r="H13" s="1" t="s">
        <v>449</v>
      </c>
      <c r="I13" s="1" t="s">
        <v>727</v>
      </c>
      <c r="J13" s="1" t="s">
        <v>743</v>
      </c>
    </row>
    <row r="14" spans="1:12">
      <c r="B14" s="1"/>
      <c r="C14" s="1"/>
      <c r="D14" s="1"/>
      <c r="E14" s="1"/>
      <c r="F14" s="1"/>
      <c r="G14" s="1"/>
      <c r="H14" s="1"/>
      <c r="I14" s="1"/>
      <c r="J14" s="1"/>
    </row>
    <row r="15" spans="1:12" ht="18">
      <c r="A15" s="78" t="s">
        <v>694</v>
      </c>
      <c r="B15" s="6"/>
      <c r="C15" s="6"/>
      <c r="D15" s="6"/>
      <c r="E15" s="5"/>
      <c r="F15" s="6"/>
      <c r="G15" s="6"/>
      <c r="H15" s="6"/>
      <c r="I15" s="10"/>
      <c r="J15" s="5"/>
      <c r="K15" s="5"/>
      <c r="L15" s="5"/>
    </row>
    <row r="16" spans="1:12">
      <c r="A16" s="76" t="s">
        <v>639</v>
      </c>
      <c r="B16" s="3" t="s">
        <v>737</v>
      </c>
      <c r="C16" s="2" t="s">
        <v>738</v>
      </c>
      <c r="D16" s="2">
        <v>0.96499999999999997</v>
      </c>
      <c r="E16" s="2" t="s">
        <v>739</v>
      </c>
      <c r="G16" s="2"/>
      <c r="H16" s="22">
        <f>D16*313</f>
        <v>302.04500000000002</v>
      </c>
      <c r="I16" s="3" t="s">
        <v>237</v>
      </c>
      <c r="J16" s="3" t="s">
        <v>762</v>
      </c>
    </row>
    <row r="17" spans="1:10">
      <c r="A17" s="75"/>
      <c r="B17" s="3" t="s">
        <v>737</v>
      </c>
      <c r="C17" s="2" t="s">
        <v>738</v>
      </c>
      <c r="D17" s="2">
        <v>0.94</v>
      </c>
      <c r="E17" s="2" t="s">
        <v>739</v>
      </c>
      <c r="G17" s="2"/>
      <c r="H17" s="22">
        <f>D17*313</f>
        <v>294.21999999999997</v>
      </c>
      <c r="I17" s="3" t="s">
        <v>749</v>
      </c>
      <c r="J17" s="3"/>
    </row>
    <row r="18" spans="1:10">
      <c r="A18" s="75"/>
      <c r="B18" s="7" t="s">
        <v>360</v>
      </c>
      <c r="C18" s="16"/>
      <c r="D18" s="16"/>
      <c r="E18" s="16"/>
      <c r="G18" s="16"/>
      <c r="H18" s="14">
        <f>SUM(H16:H17)/2</f>
        <v>298.13249999999999</v>
      </c>
      <c r="I18" s="19"/>
      <c r="J18" s="19"/>
    </row>
    <row r="19" spans="1:10">
      <c r="A19" s="75"/>
      <c r="B19" s="19"/>
      <c r="C19" s="16"/>
      <c r="D19" s="16"/>
      <c r="E19" s="16"/>
      <c r="G19" s="16"/>
      <c r="H19" s="14"/>
      <c r="I19" s="19"/>
      <c r="J19" s="19"/>
    </row>
    <row r="20" spans="1:10">
      <c r="A20" s="76" t="s">
        <v>640</v>
      </c>
      <c r="B20" t="s">
        <v>609</v>
      </c>
      <c r="C20" s="16" t="s">
        <v>699</v>
      </c>
      <c r="D20" s="16">
        <v>1.0900000000000001</v>
      </c>
      <c r="E20" s="16" t="s">
        <v>596</v>
      </c>
      <c r="F20" s="16">
        <f t="shared" ref="F20:F25" si="0">D20</f>
        <v>1.0900000000000001</v>
      </c>
      <c r="G20" s="22">
        <f t="shared" ref="G20:G25" si="1">D20+F20</f>
        <v>2.1800000000000002</v>
      </c>
      <c r="H20" s="13">
        <f t="shared" ref="H20:H25" si="2">G20*52</f>
        <v>113.36000000000001</v>
      </c>
      <c r="I20" s="19" t="s">
        <v>597</v>
      </c>
    </row>
    <row r="21" spans="1:10">
      <c r="A21" s="76"/>
      <c r="B21" t="s">
        <v>610</v>
      </c>
      <c r="C21" s="50" t="s">
        <v>699</v>
      </c>
      <c r="D21" s="50">
        <v>1.27</v>
      </c>
      <c r="E21" s="50" t="s">
        <v>596</v>
      </c>
      <c r="F21" s="50">
        <f t="shared" si="0"/>
        <v>1.27</v>
      </c>
      <c r="G21" s="22">
        <f t="shared" si="1"/>
        <v>2.54</v>
      </c>
      <c r="H21" s="13">
        <f t="shared" si="2"/>
        <v>132.08000000000001</v>
      </c>
      <c r="I21" s="48" t="s">
        <v>597</v>
      </c>
    </row>
    <row r="22" spans="1:10">
      <c r="A22" s="76"/>
      <c r="B22" t="s">
        <v>611</v>
      </c>
      <c r="C22" s="50" t="s">
        <v>699</v>
      </c>
      <c r="D22" s="50">
        <v>1.19</v>
      </c>
      <c r="E22" s="50" t="s">
        <v>596</v>
      </c>
      <c r="F22" s="50">
        <f t="shared" si="0"/>
        <v>1.19</v>
      </c>
      <c r="G22" s="22">
        <f t="shared" si="1"/>
        <v>2.38</v>
      </c>
      <c r="H22" s="13">
        <f t="shared" si="2"/>
        <v>123.75999999999999</v>
      </c>
      <c r="I22" s="48" t="s">
        <v>597</v>
      </c>
    </row>
    <row r="23" spans="1:10">
      <c r="A23" s="76"/>
      <c r="B23" t="s">
        <v>612</v>
      </c>
      <c r="C23" s="50" t="s">
        <v>699</v>
      </c>
      <c r="D23" s="50">
        <v>1.48</v>
      </c>
      <c r="E23" s="50" t="s">
        <v>596</v>
      </c>
      <c r="F23" s="50">
        <f t="shared" si="0"/>
        <v>1.48</v>
      </c>
      <c r="G23" s="22">
        <f t="shared" si="1"/>
        <v>2.96</v>
      </c>
      <c r="H23" s="13">
        <f t="shared" si="2"/>
        <v>153.91999999999999</v>
      </c>
      <c r="I23" s="48" t="s">
        <v>597</v>
      </c>
    </row>
    <row r="24" spans="1:10">
      <c r="A24" s="76"/>
      <c r="B24" t="s">
        <v>613</v>
      </c>
      <c r="C24" s="50" t="s">
        <v>699</v>
      </c>
      <c r="D24" s="50">
        <v>1.42</v>
      </c>
      <c r="E24" s="50" t="s">
        <v>596</v>
      </c>
      <c r="F24" s="50">
        <f t="shared" si="0"/>
        <v>1.42</v>
      </c>
      <c r="G24" s="22">
        <f t="shared" si="1"/>
        <v>2.84</v>
      </c>
      <c r="H24" s="13">
        <f t="shared" si="2"/>
        <v>147.68</v>
      </c>
      <c r="I24" s="48" t="s">
        <v>597</v>
      </c>
    </row>
    <row r="25" spans="1:10">
      <c r="A25" s="76"/>
      <c r="B25" t="s">
        <v>614</v>
      </c>
      <c r="C25" s="50" t="s">
        <v>699</v>
      </c>
      <c r="D25" s="50">
        <v>1.36</v>
      </c>
      <c r="E25" s="50" t="s">
        <v>596</v>
      </c>
      <c r="F25" s="50">
        <f t="shared" si="0"/>
        <v>1.36</v>
      </c>
      <c r="G25" s="22">
        <f t="shared" si="1"/>
        <v>2.72</v>
      </c>
      <c r="H25" s="13">
        <f t="shared" si="2"/>
        <v>141.44</v>
      </c>
      <c r="I25" s="48" t="s">
        <v>597</v>
      </c>
    </row>
    <row r="26" spans="1:10">
      <c r="A26" s="75"/>
      <c r="B26" s="19"/>
      <c r="C26" s="16"/>
      <c r="D26" s="16"/>
      <c r="E26" s="16"/>
      <c r="G26" s="16"/>
      <c r="H26" s="14">
        <f>SUM(H20:H25)/6</f>
        <v>135.37333333333333</v>
      </c>
      <c r="I26" s="19"/>
      <c r="J26" s="19"/>
    </row>
    <row r="27" spans="1:10">
      <c r="A27" s="75"/>
      <c r="B27" s="48"/>
      <c r="C27" s="50"/>
      <c r="D27" s="50"/>
      <c r="E27" s="50"/>
      <c r="G27" s="50"/>
      <c r="H27" s="14"/>
      <c r="I27" s="48"/>
      <c r="J27" s="48"/>
    </row>
    <row r="28" spans="1:10">
      <c r="A28" s="76" t="s">
        <v>752</v>
      </c>
      <c r="B28" s="3" t="s">
        <v>752</v>
      </c>
      <c r="C28" s="2" t="s">
        <v>738</v>
      </c>
      <c r="D28" s="2">
        <v>1.42</v>
      </c>
      <c r="E28" s="2" t="s">
        <v>739</v>
      </c>
      <c r="G28" s="2"/>
      <c r="H28" s="14">
        <f>D28*313</f>
        <v>444.46</v>
      </c>
      <c r="I28" s="3" t="s">
        <v>754</v>
      </c>
      <c r="J28" s="3"/>
    </row>
    <row r="29" spans="1:10">
      <c r="A29" s="76"/>
      <c r="B29" s="19"/>
      <c r="C29" s="16"/>
      <c r="D29" s="16"/>
      <c r="E29" s="16"/>
      <c r="G29" s="16"/>
      <c r="H29" s="14"/>
      <c r="I29" s="19"/>
      <c r="J29" s="19"/>
    </row>
    <row r="30" spans="1:10">
      <c r="A30" s="76" t="s">
        <v>604</v>
      </c>
      <c r="B30" s="1"/>
      <c r="C30" s="1"/>
      <c r="D30" s="1"/>
      <c r="E30" s="1"/>
      <c r="F30" s="1"/>
      <c r="G30" s="1"/>
      <c r="H30" s="14">
        <f>0.928*H28</f>
        <v>412.45888000000002</v>
      </c>
      <c r="I30" s="5" t="s">
        <v>238</v>
      </c>
      <c r="J30" s="1"/>
    </row>
    <row r="31" spans="1:10">
      <c r="A31" s="76"/>
      <c r="B31" s="1"/>
      <c r="C31" s="1"/>
      <c r="D31" s="1"/>
      <c r="E31" s="1"/>
      <c r="F31" s="1"/>
      <c r="G31" s="1"/>
      <c r="H31" s="14"/>
      <c r="I31" s="5"/>
      <c r="J31" s="1"/>
    </row>
    <row r="32" spans="1:10">
      <c r="A32" s="76" t="s">
        <v>605</v>
      </c>
      <c r="B32" s="3" t="s">
        <v>769</v>
      </c>
      <c r="C32" s="2" t="s">
        <v>770</v>
      </c>
      <c r="D32" s="2">
        <v>338</v>
      </c>
      <c r="E32" s="2" t="s">
        <v>739</v>
      </c>
      <c r="G32" s="2"/>
      <c r="H32" s="22">
        <f>D32</f>
        <v>338</v>
      </c>
      <c r="I32" s="3" t="s">
        <v>248</v>
      </c>
      <c r="J32" s="3" t="s">
        <v>692</v>
      </c>
    </row>
    <row r="33" spans="1:10">
      <c r="A33" s="76"/>
      <c r="B33" s="19" t="s">
        <v>769</v>
      </c>
      <c r="C33" s="16" t="s">
        <v>770</v>
      </c>
      <c r="D33" s="16">
        <v>329.9</v>
      </c>
      <c r="E33" s="16" t="s">
        <v>739</v>
      </c>
      <c r="G33" s="16"/>
      <c r="H33" s="22">
        <f>D33</f>
        <v>329.9</v>
      </c>
      <c r="I33" s="19" t="s">
        <v>249</v>
      </c>
      <c r="J33" s="19" t="s">
        <v>690</v>
      </c>
    </row>
    <row r="34" spans="1:10">
      <c r="A34" s="76"/>
      <c r="B34" s="7" t="s">
        <v>360</v>
      </c>
      <c r="C34" s="16"/>
      <c r="D34" s="16"/>
      <c r="E34" s="16"/>
      <c r="G34" s="16"/>
      <c r="H34" s="14">
        <f>SUM(H32:H33)/2</f>
        <v>333.95</v>
      </c>
      <c r="I34" s="19"/>
      <c r="J34" s="19"/>
    </row>
    <row r="35" spans="1:10">
      <c r="A35" s="76"/>
      <c r="B35" s="7"/>
      <c r="C35" s="50"/>
      <c r="D35" s="50"/>
      <c r="E35" s="50"/>
      <c r="G35" s="50"/>
      <c r="H35" s="14"/>
      <c r="I35" s="48"/>
      <c r="J35" s="48"/>
    </row>
    <row r="36" spans="1:10">
      <c r="A36" s="76"/>
      <c r="B36" s="19" t="s">
        <v>361</v>
      </c>
      <c r="C36" s="16" t="s">
        <v>770</v>
      </c>
      <c r="D36" s="22">
        <f>0.485*D32</f>
        <v>163.93</v>
      </c>
      <c r="E36" s="16" t="s">
        <v>739</v>
      </c>
      <c r="G36" s="22"/>
      <c r="H36" s="13">
        <f>D36</f>
        <v>163.93</v>
      </c>
      <c r="I36" s="19" t="s">
        <v>240</v>
      </c>
      <c r="J36" s="19"/>
    </row>
    <row r="37" spans="1:10">
      <c r="A37" s="76"/>
      <c r="B37" s="37" t="s">
        <v>361</v>
      </c>
      <c r="C37" s="38" t="s">
        <v>770</v>
      </c>
      <c r="D37" s="22">
        <f>0.485*D33</f>
        <v>160.00149999999999</v>
      </c>
      <c r="E37" s="38" t="s">
        <v>739</v>
      </c>
      <c r="G37" s="22"/>
      <c r="H37" s="13">
        <f>D37</f>
        <v>160.00149999999999</v>
      </c>
      <c r="I37" s="37" t="s">
        <v>250</v>
      </c>
      <c r="J37" s="37"/>
    </row>
    <row r="38" spans="1:10">
      <c r="A38" s="76"/>
      <c r="B38" s="7" t="s">
        <v>360</v>
      </c>
      <c r="C38" s="50"/>
      <c r="D38" s="22"/>
      <c r="E38" s="50"/>
      <c r="G38" s="22"/>
      <c r="H38" s="14">
        <f>SUM(H36:H37)/2</f>
        <v>161.96575000000001</v>
      </c>
      <c r="I38" s="48"/>
      <c r="J38" s="48"/>
    </row>
    <row r="39" spans="1:10">
      <c r="A39" s="76"/>
      <c r="B39" s="19"/>
      <c r="C39" s="16"/>
      <c r="D39" s="16"/>
      <c r="E39" s="16"/>
      <c r="G39" s="16"/>
      <c r="H39" s="22"/>
      <c r="I39" s="19"/>
      <c r="J39" s="19"/>
    </row>
    <row r="40" spans="1:10">
      <c r="A40" s="76" t="s">
        <v>603</v>
      </c>
      <c r="B40" s="3" t="s">
        <v>758</v>
      </c>
      <c r="C40" s="2" t="s">
        <v>759</v>
      </c>
      <c r="D40" s="2">
        <v>42.17</v>
      </c>
      <c r="E40" s="2" t="s">
        <v>739</v>
      </c>
      <c r="G40" s="2"/>
      <c r="H40" s="22">
        <f>D40*12</f>
        <v>506.04</v>
      </c>
      <c r="I40" s="3" t="s">
        <v>761</v>
      </c>
      <c r="J40" s="3"/>
    </row>
    <row r="41" spans="1:10">
      <c r="A41" s="76"/>
      <c r="B41" s="3" t="s">
        <v>483</v>
      </c>
      <c r="C41" s="12" t="s">
        <v>770</v>
      </c>
      <c r="D41" s="12">
        <v>1200</v>
      </c>
      <c r="E41" s="12" t="s">
        <v>739</v>
      </c>
      <c r="G41" s="12"/>
      <c r="H41" s="22">
        <f>D41</f>
        <v>1200</v>
      </c>
      <c r="I41" s="48" t="s">
        <v>225</v>
      </c>
      <c r="J41" s="3"/>
    </row>
    <row r="42" spans="1:10">
      <c r="A42" s="76"/>
      <c r="B42" s="7" t="s">
        <v>360</v>
      </c>
      <c r="C42" s="16"/>
      <c r="D42" s="16"/>
      <c r="E42" s="16"/>
      <c r="G42" s="16"/>
      <c r="H42" s="14">
        <f>SUM(H40:H41)/2</f>
        <v>853.02</v>
      </c>
      <c r="I42" s="48"/>
      <c r="J42" s="19"/>
    </row>
    <row r="43" spans="1:10">
      <c r="A43" s="76"/>
      <c r="B43" s="7"/>
      <c r="C43" s="50"/>
      <c r="D43" s="50"/>
      <c r="E43" s="50"/>
      <c r="G43" s="50"/>
      <c r="H43" s="14"/>
      <c r="I43" s="48"/>
      <c r="J43" s="48"/>
    </row>
    <row r="44" spans="1:10">
      <c r="A44" s="76"/>
      <c r="B44" s="3" t="s">
        <v>472</v>
      </c>
      <c r="C44" s="12" t="s">
        <v>770</v>
      </c>
      <c r="D44" s="12">
        <v>1200</v>
      </c>
      <c r="E44" s="12" t="s">
        <v>739</v>
      </c>
      <c r="G44" s="12"/>
      <c r="H44" s="22">
        <f>D44</f>
        <v>1200</v>
      </c>
      <c r="I44" s="48" t="s">
        <v>225</v>
      </c>
      <c r="J44" s="3"/>
    </row>
    <row r="45" spans="1:10">
      <c r="A45" s="76"/>
      <c r="B45" s="3" t="s">
        <v>480</v>
      </c>
      <c r="C45" s="12" t="s">
        <v>770</v>
      </c>
      <c r="D45" s="12">
        <v>2042.86</v>
      </c>
      <c r="E45" s="12" t="s">
        <v>739</v>
      </c>
      <c r="G45" s="12"/>
      <c r="H45" s="22">
        <f>D45</f>
        <v>2042.86</v>
      </c>
      <c r="I45" s="48" t="s">
        <v>225</v>
      </c>
      <c r="J45" s="3"/>
    </row>
    <row r="46" spans="1:10">
      <c r="A46" s="76"/>
      <c r="B46" s="3" t="s">
        <v>506</v>
      </c>
      <c r="C46" s="12" t="s">
        <v>770</v>
      </c>
      <c r="D46" s="12">
        <v>3000</v>
      </c>
      <c r="E46" s="12" t="s">
        <v>739</v>
      </c>
      <c r="G46" s="12"/>
      <c r="H46" s="22">
        <f>D46</f>
        <v>3000</v>
      </c>
      <c r="I46" s="48" t="s">
        <v>225</v>
      </c>
      <c r="J46" s="3"/>
    </row>
    <row r="47" spans="1:10">
      <c r="A47" s="76"/>
      <c r="B47" s="7" t="s">
        <v>360</v>
      </c>
      <c r="C47" s="16"/>
      <c r="D47" s="16"/>
      <c r="E47" s="16"/>
      <c r="G47" s="16"/>
      <c r="H47" s="14">
        <f>SUM(H44:H46)/3</f>
        <v>2080.9533333333334</v>
      </c>
      <c r="I47" s="19"/>
      <c r="J47" s="19"/>
    </row>
    <row r="48" spans="1:10">
      <c r="A48" s="76"/>
      <c r="B48" s="19"/>
      <c r="C48" s="16"/>
      <c r="D48" s="16"/>
      <c r="E48" s="16"/>
      <c r="G48" s="16"/>
      <c r="H48" s="22"/>
      <c r="I48" s="19"/>
      <c r="J48" s="19"/>
    </row>
    <row r="49" spans="1:10">
      <c r="A49" s="76"/>
      <c r="B49" s="3" t="s">
        <v>481</v>
      </c>
      <c r="C49" s="12" t="s">
        <v>770</v>
      </c>
      <c r="D49" s="12">
        <v>1440</v>
      </c>
      <c r="E49" s="12" t="s">
        <v>739</v>
      </c>
      <c r="G49" s="12"/>
      <c r="H49" s="22">
        <f>D49</f>
        <v>1440</v>
      </c>
      <c r="I49" s="3" t="s">
        <v>225</v>
      </c>
      <c r="J49" s="3"/>
    </row>
    <row r="50" spans="1:10">
      <c r="A50" s="76"/>
      <c r="B50" s="3" t="s">
        <v>490</v>
      </c>
      <c r="C50" s="12" t="s">
        <v>770</v>
      </c>
      <c r="D50" s="12">
        <v>1200</v>
      </c>
      <c r="E50" s="12" t="s">
        <v>739</v>
      </c>
      <c r="G50" s="12"/>
      <c r="H50" s="22">
        <f>D50</f>
        <v>1200</v>
      </c>
      <c r="I50" s="48" t="s">
        <v>225</v>
      </c>
      <c r="J50" s="3"/>
    </row>
    <row r="51" spans="1:10">
      <c r="A51" s="76"/>
      <c r="B51" s="7" t="s">
        <v>360</v>
      </c>
      <c r="C51" s="16"/>
      <c r="D51" s="16"/>
      <c r="E51" s="16"/>
      <c r="G51" s="16"/>
      <c r="H51" s="14">
        <f>SUM(H49:H50)/2</f>
        <v>1320</v>
      </c>
      <c r="I51" s="19"/>
      <c r="J51" s="19"/>
    </row>
    <row r="52" spans="1:10">
      <c r="A52" s="76"/>
      <c r="B52" s="7"/>
      <c r="C52" s="50"/>
      <c r="D52" s="50"/>
      <c r="E52" s="50"/>
      <c r="G52" s="50"/>
      <c r="H52" s="14"/>
      <c r="I52" s="48"/>
      <c r="J52" s="48"/>
    </row>
    <row r="53" spans="1:10">
      <c r="A53" s="76"/>
      <c r="B53" s="48" t="s">
        <v>241</v>
      </c>
      <c r="C53" s="50" t="s">
        <v>770</v>
      </c>
      <c r="D53" s="50">
        <v>1500</v>
      </c>
      <c r="E53" s="50" t="s">
        <v>739</v>
      </c>
      <c r="G53" s="50"/>
      <c r="H53" s="14">
        <f>D53</f>
        <v>1500</v>
      </c>
      <c r="I53" s="48" t="s">
        <v>225</v>
      </c>
      <c r="J53" s="48"/>
    </row>
    <row r="54" spans="1:10">
      <c r="A54" s="76"/>
      <c r="B54" s="48"/>
      <c r="C54" s="50"/>
      <c r="D54" s="50"/>
      <c r="E54" s="50"/>
      <c r="G54" s="50"/>
      <c r="H54" s="14"/>
      <c r="I54" s="48"/>
      <c r="J54" s="48"/>
    </row>
    <row r="55" spans="1:10">
      <c r="A55" s="77"/>
      <c r="B55" s="48" t="s">
        <v>166</v>
      </c>
      <c r="C55" s="50" t="s">
        <v>770</v>
      </c>
      <c r="D55" s="17">
        <v>2000</v>
      </c>
      <c r="E55" s="50" t="s">
        <v>739</v>
      </c>
      <c r="G55" s="17"/>
      <c r="H55" s="14">
        <f>D55</f>
        <v>2000</v>
      </c>
      <c r="I55" s="48" t="s">
        <v>225</v>
      </c>
      <c r="J55" s="48"/>
    </row>
    <row r="56" spans="1:10">
      <c r="A56" s="77"/>
      <c r="B56" s="48"/>
      <c r="C56" s="50"/>
      <c r="D56" s="17"/>
      <c r="E56" s="50"/>
      <c r="G56" s="17"/>
      <c r="H56" s="22"/>
      <c r="I56" s="48"/>
      <c r="J56" s="48"/>
    </row>
    <row r="57" spans="1:10">
      <c r="A57" s="76"/>
      <c r="B57" s="3" t="s">
        <v>473</v>
      </c>
      <c r="C57" s="12" t="s">
        <v>770</v>
      </c>
      <c r="D57" s="12">
        <v>900</v>
      </c>
      <c r="E57" s="12" t="s">
        <v>739</v>
      </c>
      <c r="G57" s="12"/>
      <c r="H57" s="22">
        <f>D57</f>
        <v>900</v>
      </c>
      <c r="I57" s="3" t="s">
        <v>225</v>
      </c>
      <c r="J57" s="3"/>
    </row>
    <row r="58" spans="1:10">
      <c r="A58" s="77"/>
      <c r="B58" s="3" t="s">
        <v>482</v>
      </c>
      <c r="C58" s="12" t="s">
        <v>770</v>
      </c>
      <c r="D58" s="17">
        <v>2050</v>
      </c>
      <c r="E58" s="12" t="s">
        <v>739</v>
      </c>
      <c r="G58" s="17"/>
      <c r="H58" s="22">
        <f>D58</f>
        <v>2050</v>
      </c>
      <c r="I58" s="48" t="s">
        <v>225</v>
      </c>
      <c r="J58" s="3"/>
    </row>
    <row r="59" spans="1:10">
      <c r="A59" s="77"/>
      <c r="B59" s="3" t="s">
        <v>507</v>
      </c>
      <c r="C59" s="12" t="s">
        <v>770</v>
      </c>
      <c r="D59" s="17">
        <v>500</v>
      </c>
      <c r="E59" s="12" t="s">
        <v>739</v>
      </c>
      <c r="G59" s="17"/>
      <c r="H59" s="22">
        <f>D59</f>
        <v>500</v>
      </c>
      <c r="I59" s="48" t="s">
        <v>225</v>
      </c>
      <c r="J59" s="3"/>
    </row>
    <row r="60" spans="1:10">
      <c r="A60" s="77"/>
      <c r="B60" s="7" t="s">
        <v>360</v>
      </c>
      <c r="C60" s="16"/>
      <c r="D60" s="17"/>
      <c r="E60" s="16"/>
      <c r="G60" s="17"/>
      <c r="H60" s="14">
        <f>SUM(H57:H59)/3</f>
        <v>1150</v>
      </c>
      <c r="I60" s="19"/>
      <c r="J60" s="19"/>
    </row>
    <row r="61" spans="1:10">
      <c r="A61" s="77"/>
      <c r="B61" s="7"/>
      <c r="C61" s="50"/>
      <c r="D61" s="17"/>
      <c r="E61" s="50"/>
      <c r="G61" s="17"/>
      <c r="H61" s="14"/>
      <c r="I61" s="48"/>
      <c r="J61" s="48"/>
    </row>
    <row r="62" spans="1:10">
      <c r="A62" s="76"/>
      <c r="B62" s="48" t="s">
        <v>242</v>
      </c>
      <c r="C62" s="50" t="s">
        <v>770</v>
      </c>
      <c r="D62" s="50">
        <v>1000</v>
      </c>
      <c r="E62" s="50" t="s">
        <v>739</v>
      </c>
      <c r="G62" s="50"/>
      <c r="H62" s="13">
        <f>D62</f>
        <v>1000</v>
      </c>
      <c r="I62" s="48" t="s">
        <v>225</v>
      </c>
      <c r="J62" s="48"/>
    </row>
    <row r="63" spans="1:10">
      <c r="A63" s="76"/>
      <c r="B63" s="3" t="s">
        <v>474</v>
      </c>
      <c r="C63" s="12" t="s">
        <v>770</v>
      </c>
      <c r="D63" s="12">
        <v>1000</v>
      </c>
      <c r="E63" s="12" t="s">
        <v>739</v>
      </c>
      <c r="G63" s="12"/>
      <c r="H63" s="22">
        <v>1275</v>
      </c>
      <c r="I63" s="3" t="s">
        <v>225</v>
      </c>
      <c r="J63" s="3"/>
    </row>
    <row r="64" spans="1:10">
      <c r="A64" s="76"/>
      <c r="B64" s="48" t="s">
        <v>239</v>
      </c>
      <c r="C64" s="50" t="s">
        <v>770</v>
      </c>
      <c r="D64" s="50">
        <v>1500</v>
      </c>
      <c r="E64" s="50" t="s">
        <v>739</v>
      </c>
      <c r="G64" s="50"/>
      <c r="H64" s="22">
        <v>1275</v>
      </c>
      <c r="I64" s="48" t="s">
        <v>225</v>
      </c>
      <c r="J64" s="48"/>
    </row>
    <row r="65" spans="1:10">
      <c r="A65" s="76"/>
      <c r="B65" s="48" t="s">
        <v>243</v>
      </c>
      <c r="C65" s="50" t="s">
        <v>770</v>
      </c>
      <c r="D65" s="50">
        <v>1000</v>
      </c>
      <c r="E65" s="50" t="s">
        <v>739</v>
      </c>
      <c r="G65" s="50"/>
      <c r="H65" s="13">
        <f>D65</f>
        <v>1000</v>
      </c>
      <c r="I65" s="48" t="s">
        <v>225</v>
      </c>
      <c r="J65" s="48"/>
    </row>
    <row r="66" spans="1:10">
      <c r="A66" s="76"/>
      <c r="B66" s="48" t="s">
        <v>244</v>
      </c>
      <c r="C66" s="50" t="s">
        <v>770</v>
      </c>
      <c r="D66" s="50">
        <v>1500</v>
      </c>
      <c r="E66" s="50" t="s">
        <v>739</v>
      </c>
      <c r="G66" s="50"/>
      <c r="H66" s="13">
        <f>D66</f>
        <v>1500</v>
      </c>
      <c r="I66" s="48" t="s">
        <v>225</v>
      </c>
      <c r="J66" s="48"/>
    </row>
    <row r="67" spans="1:10">
      <c r="A67" s="76"/>
      <c r="B67" s="47" t="s">
        <v>245</v>
      </c>
      <c r="C67" s="50" t="s">
        <v>770</v>
      </c>
      <c r="D67" s="50">
        <v>700</v>
      </c>
      <c r="E67" s="50"/>
      <c r="G67" s="50"/>
      <c r="H67" s="13">
        <f>D67</f>
        <v>700</v>
      </c>
      <c r="I67" s="48" t="s">
        <v>225</v>
      </c>
      <c r="J67" s="48"/>
    </row>
    <row r="68" spans="1:10">
      <c r="A68" s="76"/>
      <c r="B68" s="47" t="s">
        <v>246</v>
      </c>
      <c r="C68" s="50" t="s">
        <v>770</v>
      </c>
      <c r="D68" s="50">
        <v>800</v>
      </c>
      <c r="E68" s="50"/>
      <c r="G68" s="50"/>
      <c r="H68" s="13">
        <f>D68</f>
        <v>800</v>
      </c>
      <c r="I68" s="48" t="s">
        <v>225</v>
      </c>
      <c r="J68" s="48"/>
    </row>
    <row r="69" spans="1:10">
      <c r="A69" s="76"/>
      <c r="B69" s="47" t="s">
        <v>247</v>
      </c>
      <c r="C69" s="50" t="s">
        <v>770</v>
      </c>
      <c r="D69" s="50">
        <v>800</v>
      </c>
      <c r="E69" s="50"/>
      <c r="G69" s="50"/>
      <c r="H69" s="13">
        <f>D69</f>
        <v>800</v>
      </c>
      <c r="I69" s="48" t="s">
        <v>225</v>
      </c>
      <c r="J69" s="48"/>
    </row>
    <row r="70" spans="1:10">
      <c r="A70" s="76"/>
      <c r="B70" s="7" t="s">
        <v>360</v>
      </c>
      <c r="C70" s="16"/>
      <c r="D70" s="16"/>
      <c r="E70" s="16"/>
      <c r="G70" s="16"/>
      <c r="H70" s="14">
        <f>SUM(H62:H69)/8</f>
        <v>1043.75</v>
      </c>
      <c r="I70" s="19"/>
      <c r="J70" s="19"/>
    </row>
    <row r="71" spans="1:10">
      <c r="A71" s="76"/>
      <c r="B71" s="47"/>
      <c r="C71" s="50"/>
      <c r="D71" s="50"/>
      <c r="E71" s="50"/>
      <c r="G71" s="50"/>
      <c r="H71" s="13"/>
      <c r="I71" s="48"/>
      <c r="J71" s="48"/>
    </row>
    <row r="72" spans="1:10">
      <c r="A72" s="76"/>
      <c r="B72" s="19" t="s">
        <v>371</v>
      </c>
      <c r="C72" s="16" t="s">
        <v>770</v>
      </c>
      <c r="H72" s="15">
        <v>507.21</v>
      </c>
      <c r="I72" s="19" t="s">
        <v>26</v>
      </c>
      <c r="J72" s="19"/>
    </row>
    <row r="73" spans="1:10">
      <c r="A73" s="76"/>
      <c r="B73" s="48"/>
      <c r="C73" s="50"/>
      <c r="H73" s="49"/>
      <c r="I73" s="48"/>
      <c r="J73" s="48"/>
    </row>
    <row r="74" spans="1:10">
      <c r="A74" s="76"/>
      <c r="B74" s="48" t="s">
        <v>123</v>
      </c>
      <c r="C74" s="50" t="s">
        <v>770</v>
      </c>
      <c r="D74">
        <v>600</v>
      </c>
      <c r="E74" t="s">
        <v>695</v>
      </c>
      <c r="H74" s="49">
        <f>D74</f>
        <v>600</v>
      </c>
      <c r="I74" s="48" t="s">
        <v>147</v>
      </c>
      <c r="J74" s="48"/>
    </row>
    <row r="75" spans="1:10" ht="18">
      <c r="A75" s="79" t="s">
        <v>694</v>
      </c>
      <c r="B75" s="19"/>
      <c r="C75" s="16"/>
      <c r="D75" s="16"/>
      <c r="E75" s="16"/>
      <c r="G75" s="16"/>
      <c r="H75" s="22"/>
      <c r="I75" s="19"/>
      <c r="J75" s="19"/>
    </row>
    <row r="76" spans="1:10">
      <c r="A76" s="76" t="s">
        <v>401</v>
      </c>
      <c r="B76" s="19" t="s">
        <v>371</v>
      </c>
      <c r="C76" s="16" t="s">
        <v>770</v>
      </c>
      <c r="H76" s="15">
        <v>187.04</v>
      </c>
      <c r="I76" s="48" t="s">
        <v>26</v>
      </c>
    </row>
    <row r="78" spans="1:10" ht="18">
      <c r="A78" s="83" t="s">
        <v>729</v>
      </c>
      <c r="B78" s="3"/>
      <c r="C78" s="2"/>
      <c r="D78" s="2"/>
      <c r="E78" s="2"/>
      <c r="G78" s="2"/>
      <c r="H78" s="22"/>
      <c r="I78" s="3"/>
      <c r="J78" s="3"/>
    </row>
    <row r="79" spans="1:10">
      <c r="A79" s="81" t="s">
        <v>639</v>
      </c>
      <c r="B79" s="5" t="s">
        <v>775</v>
      </c>
      <c r="C79" s="16" t="s">
        <v>738</v>
      </c>
      <c r="D79" s="16">
        <v>0.9</v>
      </c>
      <c r="E79" s="16" t="s">
        <v>739</v>
      </c>
      <c r="G79" s="22"/>
      <c r="H79" s="14">
        <f>D79*313</f>
        <v>281.7</v>
      </c>
      <c r="I79" s="19" t="s">
        <v>593</v>
      </c>
    </row>
    <row r="80" spans="1:10">
      <c r="A80" s="81"/>
      <c r="B80" s="18" t="s">
        <v>276</v>
      </c>
      <c r="C80" s="16"/>
      <c r="D80" s="16"/>
      <c r="E80" s="16"/>
      <c r="G80" s="22"/>
      <c r="H80" s="14">
        <f>H79*0.6</f>
        <v>169.01999999999998</v>
      </c>
      <c r="I80" s="19" t="s">
        <v>262</v>
      </c>
    </row>
    <row r="81" spans="1:10">
      <c r="A81" s="81"/>
      <c r="B81" s="19"/>
      <c r="C81" s="16"/>
      <c r="D81" s="16"/>
      <c r="E81" s="16"/>
      <c r="G81" s="16"/>
      <c r="H81" s="14"/>
      <c r="I81" s="19"/>
    </row>
    <row r="82" spans="1:10">
      <c r="A82" s="81" t="s">
        <v>640</v>
      </c>
      <c r="B82" t="s">
        <v>595</v>
      </c>
      <c r="C82" s="16" t="s">
        <v>699</v>
      </c>
      <c r="D82" s="16">
        <v>0.96</v>
      </c>
      <c r="E82" s="16" t="s">
        <v>596</v>
      </c>
      <c r="F82" s="16">
        <f>D82</f>
        <v>0.96</v>
      </c>
      <c r="G82" s="22">
        <f>D82+F82</f>
        <v>1.92</v>
      </c>
      <c r="H82" s="14">
        <f>G82*52</f>
        <v>99.84</v>
      </c>
      <c r="I82" s="19" t="s">
        <v>597</v>
      </c>
    </row>
    <row r="83" spans="1:10">
      <c r="A83" s="81"/>
      <c r="B83" s="19" t="s">
        <v>277</v>
      </c>
      <c r="C83" s="16"/>
      <c r="D83" s="16"/>
      <c r="E83" s="16"/>
      <c r="F83" s="16"/>
      <c r="G83" s="22"/>
      <c r="H83" s="14">
        <f>H82*0.6</f>
        <v>59.903999999999996</v>
      </c>
      <c r="I83" s="19" t="s">
        <v>262</v>
      </c>
    </row>
    <row r="84" spans="1:10">
      <c r="A84" s="81"/>
      <c r="C84" s="16"/>
      <c r="D84" s="16"/>
      <c r="E84" s="16"/>
      <c r="F84" s="16"/>
      <c r="G84" s="22"/>
      <c r="H84" s="14"/>
      <c r="I84" s="19"/>
    </row>
    <row r="85" spans="1:10">
      <c r="A85" s="81" t="s">
        <v>752</v>
      </c>
      <c r="B85" s="48" t="s">
        <v>278</v>
      </c>
      <c r="C85" s="50" t="s">
        <v>738</v>
      </c>
      <c r="D85" s="50">
        <v>1.42</v>
      </c>
      <c r="E85" s="50" t="s">
        <v>739</v>
      </c>
      <c r="G85" s="50"/>
      <c r="H85" s="14">
        <f>D85*313</f>
        <v>444.46</v>
      </c>
      <c r="I85" s="48" t="s">
        <v>754</v>
      </c>
      <c r="J85" s="1"/>
    </row>
    <row r="86" spans="1:10">
      <c r="A86" s="81"/>
      <c r="B86" s="5" t="s">
        <v>279</v>
      </c>
      <c r="C86" s="1"/>
      <c r="D86" s="1"/>
      <c r="E86" s="1"/>
      <c r="F86" s="1"/>
      <c r="G86" s="1"/>
      <c r="H86" s="14">
        <f>H85*0.6</f>
        <v>266.67599999999999</v>
      </c>
      <c r="I86" s="19" t="s">
        <v>262</v>
      </c>
      <c r="J86" s="1"/>
    </row>
    <row r="87" spans="1:10">
      <c r="A87" s="81"/>
      <c r="B87" s="1"/>
      <c r="C87" s="1"/>
      <c r="D87" s="1"/>
      <c r="E87" s="1"/>
      <c r="F87" s="1"/>
      <c r="G87" s="1"/>
      <c r="H87" s="14"/>
      <c r="I87" s="5"/>
      <c r="J87" s="1"/>
    </row>
    <row r="88" spans="1:10">
      <c r="A88" s="81" t="s">
        <v>604</v>
      </c>
      <c r="B88" s="5" t="s">
        <v>278</v>
      </c>
      <c r="C88" s="1"/>
      <c r="D88" s="1"/>
      <c r="E88" s="1"/>
      <c r="F88" s="1"/>
      <c r="G88" s="1"/>
      <c r="H88" s="14">
        <f>H85*0.928</f>
        <v>412.45888000000002</v>
      </c>
      <c r="I88" s="5" t="s">
        <v>238</v>
      </c>
      <c r="J88" s="1"/>
    </row>
    <row r="89" spans="1:10">
      <c r="A89" s="81"/>
      <c r="B89" s="5" t="s">
        <v>279</v>
      </c>
      <c r="C89" s="1"/>
      <c r="D89" s="1"/>
      <c r="E89" s="1"/>
      <c r="F89" s="1"/>
      <c r="G89" s="1"/>
      <c r="H89" s="14">
        <f>H88*0.6</f>
        <v>247.47532799999999</v>
      </c>
      <c r="I89" s="19" t="s">
        <v>262</v>
      </c>
      <c r="J89" s="1"/>
    </row>
    <row r="90" spans="1:10">
      <c r="A90" s="81"/>
      <c r="B90" s="19"/>
      <c r="C90" s="16"/>
      <c r="D90" s="16"/>
      <c r="E90" s="16"/>
      <c r="G90" s="16"/>
      <c r="H90" s="22"/>
      <c r="I90" s="19"/>
    </row>
    <row r="91" spans="1:10">
      <c r="A91" s="81" t="s">
        <v>402</v>
      </c>
      <c r="B91" s="3" t="s">
        <v>769</v>
      </c>
      <c r="C91" s="2" t="s">
        <v>770</v>
      </c>
      <c r="D91" s="2">
        <v>376.4</v>
      </c>
      <c r="E91" s="2" t="s">
        <v>739</v>
      </c>
      <c r="G91" s="2">
        <v>340.1</v>
      </c>
      <c r="H91" s="22">
        <f>D91</f>
        <v>376.4</v>
      </c>
      <c r="I91" s="37" t="s">
        <v>248</v>
      </c>
      <c r="J91" s="3" t="s">
        <v>691</v>
      </c>
    </row>
    <row r="92" spans="1:10">
      <c r="A92" s="81"/>
      <c r="B92" s="19" t="s">
        <v>769</v>
      </c>
      <c r="C92" s="16" t="s">
        <v>770</v>
      </c>
      <c r="D92" s="16">
        <v>362.1</v>
      </c>
      <c r="E92" s="16" t="s">
        <v>739</v>
      </c>
      <c r="G92" s="16">
        <v>348.8</v>
      </c>
      <c r="H92" s="13">
        <f>D92</f>
        <v>362.1</v>
      </c>
      <c r="I92" s="37" t="s">
        <v>249</v>
      </c>
      <c r="J92" s="19" t="s">
        <v>691</v>
      </c>
    </row>
    <row r="93" spans="1:10">
      <c r="A93" s="81"/>
      <c r="B93" s="7" t="s">
        <v>360</v>
      </c>
      <c r="C93" s="50"/>
      <c r="D93" s="50"/>
      <c r="E93" s="50"/>
      <c r="G93" s="50"/>
      <c r="H93" s="14">
        <f>SUM(H91:H92)/2</f>
        <v>369.25</v>
      </c>
      <c r="I93" s="48"/>
      <c r="J93" s="48"/>
    </row>
    <row r="94" spans="1:10">
      <c r="A94" s="81"/>
      <c r="B94" s="19"/>
      <c r="C94" s="16"/>
      <c r="D94" s="16"/>
      <c r="E94" s="16"/>
      <c r="G94" s="16"/>
      <c r="H94" s="14"/>
      <c r="I94" s="19"/>
      <c r="J94" s="19"/>
    </row>
    <row r="95" spans="1:10">
      <c r="A95" s="81"/>
      <c r="B95" s="19" t="s">
        <v>361</v>
      </c>
      <c r="C95" s="16" t="s">
        <v>770</v>
      </c>
      <c r="D95" s="22">
        <f>0.485*D91</f>
        <v>182.55399999999997</v>
      </c>
      <c r="E95" s="22"/>
      <c r="F95" s="22"/>
      <c r="G95" s="22">
        <f>0.485*G91</f>
        <v>164.9485</v>
      </c>
      <c r="H95" s="22">
        <f>0.485*H91</f>
        <v>182.55399999999997</v>
      </c>
      <c r="I95" s="37" t="s">
        <v>146</v>
      </c>
      <c r="J95" s="19" t="s">
        <v>691</v>
      </c>
    </row>
    <row r="96" spans="1:10">
      <c r="A96" s="81"/>
      <c r="B96" s="37" t="s">
        <v>361</v>
      </c>
      <c r="C96" s="38" t="s">
        <v>770</v>
      </c>
      <c r="D96" s="22">
        <f>0.485*D92</f>
        <v>175.61850000000001</v>
      </c>
      <c r="E96" s="22"/>
      <c r="F96" s="22"/>
      <c r="G96" s="22">
        <f>0.485*G92</f>
        <v>169.16800000000001</v>
      </c>
      <c r="H96" s="22">
        <f>0.485*H92</f>
        <v>175.61850000000001</v>
      </c>
      <c r="I96" s="37" t="s">
        <v>250</v>
      </c>
      <c r="J96" s="37"/>
    </row>
    <row r="97" spans="1:10">
      <c r="A97" s="81"/>
      <c r="B97" s="7" t="s">
        <v>360</v>
      </c>
      <c r="C97" s="50"/>
      <c r="D97" s="22"/>
      <c r="E97" s="22"/>
      <c r="F97" s="22"/>
      <c r="G97" s="22"/>
      <c r="H97" s="14">
        <f>SUM(H95:H96)/2</f>
        <v>179.08625000000001</v>
      </c>
      <c r="I97" s="48"/>
      <c r="J97" s="48"/>
    </row>
    <row r="98" spans="1:10">
      <c r="A98" s="81"/>
      <c r="B98" s="19"/>
      <c r="C98" s="16"/>
      <c r="D98" s="16"/>
      <c r="E98" s="16"/>
      <c r="G98" s="16"/>
      <c r="H98" s="22"/>
      <c r="I98" s="19"/>
      <c r="J98" s="19"/>
    </row>
    <row r="99" spans="1:10">
      <c r="A99" s="81" t="s">
        <v>603</v>
      </c>
      <c r="B99" s="48" t="s">
        <v>123</v>
      </c>
      <c r="C99" s="50" t="s">
        <v>770</v>
      </c>
      <c r="D99" s="50">
        <v>600</v>
      </c>
      <c r="E99" s="50" t="s">
        <v>148</v>
      </c>
      <c r="H99" s="49">
        <f>D99</f>
        <v>600</v>
      </c>
      <c r="I99" s="48" t="s">
        <v>147</v>
      </c>
      <c r="J99" s="48"/>
    </row>
    <row r="100" spans="1:10" s="107" customFormat="1">
      <c r="A100" s="82"/>
      <c r="B100" s="105"/>
      <c r="C100" s="106"/>
      <c r="D100" s="106"/>
      <c r="E100" s="106"/>
      <c r="G100" s="106"/>
      <c r="H100" s="125"/>
      <c r="I100" s="105"/>
      <c r="J100" s="105"/>
    </row>
    <row r="101" spans="1:10" s="107" customFormat="1">
      <c r="A101" s="82"/>
      <c r="B101" s="105" t="s">
        <v>493</v>
      </c>
      <c r="C101" s="106" t="s">
        <v>770</v>
      </c>
      <c r="D101" s="106">
        <v>2000</v>
      </c>
      <c r="E101" s="106" t="s">
        <v>739</v>
      </c>
      <c r="G101" s="108">
        <v>2750</v>
      </c>
      <c r="H101" s="125">
        <f>D101</f>
        <v>2000</v>
      </c>
      <c r="I101" s="105" t="s">
        <v>225</v>
      </c>
      <c r="J101" s="105"/>
    </row>
    <row r="102" spans="1:10" s="107" customFormat="1">
      <c r="A102" s="82"/>
      <c r="B102" s="105"/>
      <c r="C102" s="106"/>
      <c r="D102" s="106"/>
      <c r="E102" s="106"/>
      <c r="G102" s="106"/>
      <c r="H102" s="125"/>
      <c r="I102" s="105"/>
      <c r="J102" s="105"/>
    </row>
    <row r="103" spans="1:10" s="107" customFormat="1">
      <c r="A103" s="82"/>
      <c r="B103" s="105" t="s">
        <v>494</v>
      </c>
      <c r="C103" s="106" t="s">
        <v>770</v>
      </c>
      <c r="D103" s="126">
        <v>2535</v>
      </c>
      <c r="E103" s="106" t="s">
        <v>739</v>
      </c>
      <c r="G103" s="126"/>
      <c r="H103" s="125">
        <f>D103</f>
        <v>2535</v>
      </c>
      <c r="I103" s="105" t="s">
        <v>225</v>
      </c>
      <c r="J103" s="105"/>
    </row>
    <row r="104" spans="1:10" s="107" customFormat="1">
      <c r="A104" s="82"/>
      <c r="B104" s="105" t="s">
        <v>160</v>
      </c>
      <c r="C104" s="106" t="s">
        <v>770</v>
      </c>
      <c r="D104" s="126">
        <v>1000</v>
      </c>
      <c r="E104" s="106"/>
      <c r="G104" s="126"/>
      <c r="H104" s="125">
        <f>D104</f>
        <v>1000</v>
      </c>
      <c r="I104" s="105" t="s">
        <v>225</v>
      </c>
      <c r="J104" s="105"/>
    </row>
    <row r="105" spans="1:10" s="107" customFormat="1">
      <c r="A105" s="82"/>
      <c r="B105" s="105"/>
      <c r="C105" s="106"/>
      <c r="D105" s="126"/>
      <c r="E105" s="106"/>
      <c r="H105" s="127">
        <f>SUM(H103:H104)/2</f>
        <v>1767.5</v>
      </c>
      <c r="I105" s="105"/>
      <c r="J105" s="105"/>
    </row>
    <row r="106" spans="1:10" s="107" customFormat="1">
      <c r="A106" s="82"/>
      <c r="B106" s="105"/>
      <c r="C106" s="106"/>
      <c r="D106" s="126"/>
      <c r="E106" s="106"/>
      <c r="G106" s="126"/>
      <c r="H106" s="125"/>
      <c r="I106" s="105"/>
      <c r="J106" s="105"/>
    </row>
    <row r="107" spans="1:10" s="107" customFormat="1">
      <c r="A107" s="82"/>
      <c r="B107" s="105" t="s">
        <v>491</v>
      </c>
      <c r="C107" s="106" t="s">
        <v>770</v>
      </c>
      <c r="D107" s="126">
        <v>1000</v>
      </c>
      <c r="E107" s="106" t="s">
        <v>739</v>
      </c>
      <c r="G107" s="126"/>
      <c r="H107" s="125">
        <f>D107</f>
        <v>1000</v>
      </c>
      <c r="I107" s="105" t="s">
        <v>225</v>
      </c>
      <c r="J107" s="105"/>
    </row>
    <row r="108" spans="1:10" s="107" customFormat="1">
      <c r="A108" s="82"/>
      <c r="B108" s="105" t="s">
        <v>495</v>
      </c>
      <c r="C108" s="106" t="s">
        <v>770</v>
      </c>
      <c r="D108" s="126">
        <v>1500</v>
      </c>
      <c r="E108" s="106" t="s">
        <v>739</v>
      </c>
      <c r="G108" s="126"/>
      <c r="H108" s="125">
        <f>D108</f>
        <v>1500</v>
      </c>
      <c r="I108" s="105" t="s">
        <v>225</v>
      </c>
      <c r="J108" s="105"/>
    </row>
    <row r="109" spans="1:10" s="107" customFormat="1">
      <c r="A109" s="82"/>
      <c r="B109" s="105" t="s">
        <v>149</v>
      </c>
      <c r="C109" s="106" t="s">
        <v>770</v>
      </c>
      <c r="D109" s="126">
        <v>1700</v>
      </c>
      <c r="E109" s="106"/>
      <c r="G109" s="126"/>
      <c r="H109" s="125">
        <f>D109</f>
        <v>1700</v>
      </c>
      <c r="I109" s="105" t="s">
        <v>225</v>
      </c>
      <c r="J109" s="105"/>
    </row>
    <row r="110" spans="1:10" s="107" customFormat="1">
      <c r="A110" s="82"/>
      <c r="B110" s="104" t="s">
        <v>360</v>
      </c>
      <c r="C110" s="106"/>
      <c r="D110" s="126"/>
      <c r="E110" s="106"/>
      <c r="G110" s="126"/>
      <c r="H110" s="128">
        <f>SUM(H107:H109)/3</f>
        <v>1400</v>
      </c>
      <c r="I110" s="105"/>
      <c r="J110" s="105"/>
    </row>
    <row r="111" spans="1:10" s="107" customFormat="1">
      <c r="A111" s="82"/>
      <c r="B111" s="105"/>
      <c r="C111" s="106"/>
      <c r="D111" s="126"/>
      <c r="E111" s="106"/>
      <c r="H111" s="127"/>
      <c r="I111" s="105"/>
      <c r="J111" s="105"/>
    </row>
    <row r="112" spans="1:10" s="107" customFormat="1">
      <c r="A112" s="82"/>
      <c r="B112" s="105" t="s">
        <v>496</v>
      </c>
      <c r="C112" s="106" t="s">
        <v>770</v>
      </c>
      <c r="D112" s="126">
        <v>1600</v>
      </c>
      <c r="E112" s="106" t="s">
        <v>739</v>
      </c>
      <c r="G112" s="126"/>
      <c r="H112" s="125">
        <v>1500</v>
      </c>
      <c r="I112" s="105" t="s">
        <v>225</v>
      </c>
      <c r="J112" s="105"/>
    </row>
    <row r="113" spans="1:10" s="107" customFormat="1">
      <c r="A113" s="82"/>
      <c r="B113" s="129" t="s">
        <v>164</v>
      </c>
      <c r="C113" s="106" t="s">
        <v>770</v>
      </c>
      <c r="D113" s="126">
        <v>1000</v>
      </c>
      <c r="E113" s="106"/>
      <c r="G113" s="126"/>
      <c r="H113" s="130">
        <f>D113</f>
        <v>1000</v>
      </c>
      <c r="I113" s="105" t="s">
        <v>225</v>
      </c>
      <c r="J113" s="105"/>
    </row>
    <row r="114" spans="1:10" s="107" customFormat="1">
      <c r="A114" s="82"/>
      <c r="B114" s="129" t="s">
        <v>165</v>
      </c>
      <c r="C114" s="106" t="s">
        <v>770</v>
      </c>
      <c r="D114" s="126">
        <v>1450</v>
      </c>
      <c r="E114" s="106"/>
      <c r="G114" s="126"/>
      <c r="H114" s="130">
        <f>D114</f>
        <v>1450</v>
      </c>
      <c r="I114" s="105" t="s">
        <v>225</v>
      </c>
      <c r="J114" s="105"/>
    </row>
    <row r="115" spans="1:10" s="107" customFormat="1">
      <c r="A115" s="82"/>
      <c r="B115" s="104" t="s">
        <v>360</v>
      </c>
      <c r="C115" s="106"/>
      <c r="D115" s="126"/>
      <c r="E115" s="106"/>
      <c r="G115" s="126"/>
      <c r="H115" s="128">
        <f>SUM(H112:H114)/3</f>
        <v>1316.6666666666667</v>
      </c>
      <c r="I115" s="105"/>
      <c r="J115" s="105"/>
    </row>
    <row r="116" spans="1:10" s="107" customFormat="1">
      <c r="A116" s="82"/>
      <c r="B116" s="105"/>
      <c r="C116" s="106"/>
      <c r="D116" s="126"/>
      <c r="E116" s="106"/>
      <c r="G116" s="126"/>
      <c r="H116" s="125"/>
      <c r="I116" s="105"/>
      <c r="J116" s="105"/>
    </row>
    <row r="117" spans="1:10" s="107" customFormat="1">
      <c r="A117" s="82"/>
      <c r="B117" s="105" t="s">
        <v>497</v>
      </c>
      <c r="C117" s="106" t="s">
        <v>770</v>
      </c>
      <c r="D117" s="126">
        <v>2400</v>
      </c>
      <c r="E117" s="106" t="s">
        <v>739</v>
      </c>
      <c r="G117" s="126"/>
      <c r="H117" s="125">
        <f>D117</f>
        <v>2400</v>
      </c>
      <c r="I117" s="105" t="s">
        <v>225</v>
      </c>
      <c r="J117" s="105"/>
    </row>
    <row r="118" spans="1:10" s="107" customFormat="1">
      <c r="A118" s="82"/>
      <c r="B118" s="105" t="s">
        <v>505</v>
      </c>
      <c r="C118" s="106" t="s">
        <v>770</v>
      </c>
      <c r="D118" s="126">
        <v>1466.67</v>
      </c>
      <c r="E118" s="106" t="s">
        <v>739</v>
      </c>
      <c r="G118" s="126"/>
      <c r="H118" s="125">
        <f>D118</f>
        <v>1466.67</v>
      </c>
      <c r="I118" s="105" t="s">
        <v>225</v>
      </c>
      <c r="J118" s="105"/>
    </row>
    <row r="119" spans="1:10" s="107" customFormat="1">
      <c r="A119" s="82"/>
      <c r="B119" s="104" t="s">
        <v>360</v>
      </c>
      <c r="C119" s="106"/>
      <c r="D119" s="126"/>
      <c r="E119" s="106"/>
      <c r="G119" s="126"/>
      <c r="H119" s="128">
        <f>SUM(H117:H118)/2</f>
        <v>1933.335</v>
      </c>
      <c r="I119" s="105"/>
      <c r="J119" s="105"/>
    </row>
    <row r="120" spans="1:10" s="107" customFormat="1">
      <c r="A120" s="82"/>
      <c r="B120" s="105"/>
      <c r="C120" s="106"/>
      <c r="D120" s="126"/>
      <c r="E120" s="106"/>
      <c r="G120" s="126"/>
      <c r="H120" s="125"/>
      <c r="I120" s="105"/>
      <c r="J120" s="105"/>
    </row>
    <row r="121" spans="1:10" s="107" customFormat="1">
      <c r="A121" s="82"/>
      <c r="B121" s="105" t="s">
        <v>492</v>
      </c>
      <c r="C121" s="106" t="s">
        <v>770</v>
      </c>
      <c r="D121" s="126">
        <v>1800</v>
      </c>
      <c r="E121" s="106" t="s">
        <v>739</v>
      </c>
      <c r="G121" s="126"/>
      <c r="H121" s="125">
        <f>D121</f>
        <v>1800</v>
      </c>
      <c r="I121" s="105" t="s">
        <v>225</v>
      </c>
      <c r="J121" s="105"/>
    </row>
    <row r="122" spans="1:10" s="107" customFormat="1">
      <c r="A122" s="82"/>
      <c r="B122" s="105" t="s">
        <v>498</v>
      </c>
      <c r="C122" s="106" t="s">
        <v>770</v>
      </c>
      <c r="D122" s="126">
        <v>2622.57</v>
      </c>
      <c r="E122" s="106" t="s">
        <v>739</v>
      </c>
      <c r="G122" s="126"/>
      <c r="H122" s="125">
        <f>D122</f>
        <v>2622.57</v>
      </c>
      <c r="I122" s="105" t="s">
        <v>225</v>
      </c>
      <c r="J122" s="105"/>
    </row>
    <row r="123" spans="1:10" s="107" customFormat="1">
      <c r="A123" s="82"/>
      <c r="B123" s="105" t="s">
        <v>504</v>
      </c>
      <c r="C123" s="106" t="s">
        <v>770</v>
      </c>
      <c r="D123" s="126">
        <v>1833.6</v>
      </c>
      <c r="E123" s="106"/>
      <c r="G123" s="126"/>
      <c r="H123" s="125">
        <f>D123</f>
        <v>1833.6</v>
      </c>
      <c r="I123" s="105" t="s">
        <v>225</v>
      </c>
      <c r="J123" s="105"/>
    </row>
    <row r="124" spans="1:10" s="107" customFormat="1">
      <c r="A124" s="82"/>
      <c r="B124" s="104" t="s">
        <v>360</v>
      </c>
      <c r="C124" s="106"/>
      <c r="D124" s="126"/>
      <c r="E124" s="106"/>
      <c r="G124" s="126"/>
      <c r="H124" s="128">
        <f>SUM(H121:H123)/3</f>
        <v>2085.39</v>
      </c>
      <c r="I124" s="105"/>
      <c r="J124" s="105"/>
    </row>
    <row r="125" spans="1:10" s="107" customFormat="1">
      <c r="A125" s="82"/>
      <c r="B125" s="104"/>
      <c r="C125" s="106"/>
      <c r="D125" s="126"/>
      <c r="E125" s="106"/>
      <c r="G125" s="126"/>
      <c r="H125" s="128"/>
      <c r="I125" s="105"/>
      <c r="J125" s="105"/>
    </row>
    <row r="126" spans="1:10" s="107" customFormat="1">
      <c r="A126" s="82"/>
      <c r="B126" s="129" t="s">
        <v>161</v>
      </c>
      <c r="C126" s="106" t="s">
        <v>770</v>
      </c>
      <c r="D126" s="126">
        <v>1750</v>
      </c>
      <c r="E126" s="106"/>
      <c r="G126" s="126"/>
      <c r="H126" s="130">
        <f>D126</f>
        <v>1750</v>
      </c>
      <c r="I126" s="105" t="s">
        <v>144</v>
      </c>
      <c r="J126" s="105"/>
    </row>
    <row r="127" spans="1:10" s="107" customFormat="1">
      <c r="A127" s="82"/>
      <c r="B127" s="129" t="s">
        <v>162</v>
      </c>
      <c r="C127" s="106" t="s">
        <v>770</v>
      </c>
      <c r="D127" s="126">
        <v>1700</v>
      </c>
      <c r="E127" s="106"/>
      <c r="G127" s="126"/>
      <c r="H127" s="130">
        <f>D127</f>
        <v>1700</v>
      </c>
      <c r="I127" s="105" t="s">
        <v>144</v>
      </c>
      <c r="J127" s="105"/>
    </row>
    <row r="128" spans="1:10" s="107" customFormat="1">
      <c r="A128" s="82"/>
      <c r="B128" s="104" t="s">
        <v>360</v>
      </c>
      <c r="C128" s="106"/>
      <c r="D128" s="126"/>
      <c r="E128" s="106"/>
      <c r="G128" s="126"/>
      <c r="H128" s="128">
        <f>SUM(H126:H127)/2</f>
        <v>1725</v>
      </c>
      <c r="I128" s="105"/>
      <c r="J128" s="105"/>
    </row>
    <row r="129" spans="1:10" s="107" customFormat="1">
      <c r="A129" s="82"/>
      <c r="B129" s="129"/>
      <c r="C129" s="106"/>
      <c r="D129" s="126"/>
      <c r="E129" s="106"/>
      <c r="G129" s="126"/>
      <c r="H129" s="130"/>
      <c r="I129" s="105"/>
      <c r="J129" s="105"/>
    </row>
    <row r="130" spans="1:10" s="107" customFormat="1">
      <c r="A130" s="82"/>
      <c r="B130" s="129" t="s">
        <v>157</v>
      </c>
      <c r="C130" s="106" t="s">
        <v>770</v>
      </c>
      <c r="D130" s="106">
        <v>600</v>
      </c>
      <c r="E130" s="106"/>
      <c r="G130" s="126"/>
      <c r="H130" s="128">
        <f>D130</f>
        <v>600</v>
      </c>
      <c r="I130" s="105" t="s">
        <v>225</v>
      </c>
      <c r="J130" s="105"/>
    </row>
    <row r="131" spans="1:10" s="107" customFormat="1">
      <c r="A131" s="82"/>
      <c r="B131" s="104"/>
      <c r="C131" s="106"/>
      <c r="D131" s="106"/>
      <c r="E131" s="106"/>
      <c r="G131" s="126"/>
      <c r="H131" s="128"/>
      <c r="I131" s="105"/>
      <c r="J131" s="105"/>
    </row>
    <row r="132" spans="1:10">
      <c r="A132" s="81"/>
      <c r="B132" s="19" t="s">
        <v>371</v>
      </c>
      <c r="C132" s="16" t="s">
        <v>770</v>
      </c>
      <c r="H132" s="15">
        <v>616.80999999999995</v>
      </c>
      <c r="I132" s="19" t="s">
        <v>26</v>
      </c>
      <c r="J132" s="19"/>
    </row>
    <row r="133" spans="1:10" ht="18">
      <c r="A133" s="83" t="s">
        <v>729</v>
      </c>
      <c r="B133" s="19"/>
      <c r="C133" s="16"/>
      <c r="D133" s="16"/>
      <c r="E133" s="16"/>
      <c r="G133" s="16"/>
      <c r="H133" s="22"/>
      <c r="I133" s="19"/>
      <c r="J133" s="19"/>
    </row>
    <row r="134" spans="1:10">
      <c r="A134" s="81" t="s">
        <v>401</v>
      </c>
      <c r="B134" s="19" t="s">
        <v>371</v>
      </c>
      <c r="C134" s="16" t="s">
        <v>770</v>
      </c>
      <c r="H134" s="15">
        <v>187.44</v>
      </c>
      <c r="I134" s="48" t="s">
        <v>26</v>
      </c>
    </row>
    <row r="135" spans="1:10">
      <c r="A135" s="9"/>
      <c r="B135" s="19"/>
      <c r="C135" s="16"/>
      <c r="D135" s="17"/>
      <c r="E135" s="16"/>
      <c r="G135" s="17"/>
      <c r="H135" s="22"/>
      <c r="I135" s="19"/>
      <c r="J135" s="19"/>
    </row>
    <row r="136" spans="1:10" ht="18">
      <c r="A136" s="84" t="s">
        <v>730</v>
      </c>
      <c r="H136" s="23"/>
      <c r="J136" s="3"/>
    </row>
    <row r="137" spans="1:10">
      <c r="A137" s="85" t="s">
        <v>639</v>
      </c>
      <c r="B137" s="3" t="s">
        <v>737</v>
      </c>
      <c r="C137" s="2" t="s">
        <v>738</v>
      </c>
      <c r="D137" s="2">
        <v>0.90800000000000003</v>
      </c>
      <c r="E137" s="2" t="s">
        <v>739</v>
      </c>
      <c r="G137" s="2"/>
      <c r="H137" s="22">
        <f>D137*313</f>
        <v>284.20400000000001</v>
      </c>
      <c r="I137" s="3" t="s">
        <v>167</v>
      </c>
    </row>
    <row r="138" spans="1:10">
      <c r="A138" s="86"/>
      <c r="B138" s="3" t="s">
        <v>737</v>
      </c>
      <c r="C138" s="12" t="s">
        <v>738</v>
      </c>
      <c r="D138" s="50">
        <v>0.8</v>
      </c>
      <c r="E138" s="50" t="s">
        <v>739</v>
      </c>
      <c r="G138" s="50"/>
      <c r="H138" s="22">
        <f>D138*313</f>
        <v>250.4</v>
      </c>
      <c r="I138" s="3" t="s">
        <v>750</v>
      </c>
      <c r="J138" s="3"/>
    </row>
    <row r="139" spans="1:10">
      <c r="A139" s="86"/>
      <c r="B139" s="19"/>
      <c r="C139" s="16"/>
      <c r="D139" s="16"/>
      <c r="E139" s="16"/>
      <c r="G139" s="16"/>
      <c r="H139" s="14">
        <f>SUM(H137:H138)/2</f>
        <v>267.30200000000002</v>
      </c>
      <c r="I139" s="19"/>
      <c r="J139" s="19"/>
    </row>
    <row r="140" spans="1:10">
      <c r="A140" s="86"/>
      <c r="B140" s="19"/>
      <c r="C140" s="16"/>
      <c r="D140" s="16"/>
      <c r="E140" s="16"/>
      <c r="G140" s="16"/>
      <c r="H140" s="14"/>
      <c r="I140" s="19"/>
      <c r="J140" s="19"/>
    </row>
    <row r="141" spans="1:10">
      <c r="A141" s="85" t="s">
        <v>640</v>
      </c>
      <c r="B141" t="s">
        <v>595</v>
      </c>
      <c r="C141" s="16" t="s">
        <v>699</v>
      </c>
      <c r="D141" s="16">
        <v>1.06</v>
      </c>
      <c r="E141" s="16" t="s">
        <v>596</v>
      </c>
      <c r="F141" s="16">
        <f>D141</f>
        <v>1.06</v>
      </c>
      <c r="G141" s="22"/>
      <c r="H141" s="14">
        <v>138.32</v>
      </c>
      <c r="I141" s="19" t="s">
        <v>597</v>
      </c>
    </row>
    <row r="142" spans="1:10">
      <c r="A142" s="86"/>
      <c r="B142" s="19"/>
      <c r="C142" s="16"/>
      <c r="D142" s="16"/>
      <c r="E142" s="16"/>
      <c r="G142" s="16"/>
      <c r="I142" s="19"/>
      <c r="J142" s="19"/>
    </row>
    <row r="143" spans="1:10">
      <c r="A143" s="85" t="s">
        <v>752</v>
      </c>
      <c r="B143" s="3" t="s">
        <v>752</v>
      </c>
      <c r="C143" s="12" t="s">
        <v>738</v>
      </c>
      <c r="D143" s="12">
        <v>1.35</v>
      </c>
      <c r="E143" s="12" t="s">
        <v>739</v>
      </c>
      <c r="G143" s="12"/>
      <c r="H143" s="14">
        <f>D143*313</f>
        <v>422.55</v>
      </c>
      <c r="I143" s="3" t="s">
        <v>755</v>
      </c>
      <c r="J143" s="3"/>
    </row>
    <row r="144" spans="1:10">
      <c r="A144" s="85"/>
      <c r="B144" s="19"/>
      <c r="C144" s="16"/>
      <c r="D144" s="16"/>
      <c r="E144" s="16"/>
      <c r="G144" s="16"/>
      <c r="H144" s="14"/>
      <c r="I144" s="19"/>
      <c r="J144" s="19"/>
    </row>
    <row r="145" spans="1:10">
      <c r="A145" s="85" t="s">
        <v>604</v>
      </c>
      <c r="B145" s="1"/>
      <c r="C145" s="1"/>
      <c r="D145" s="1"/>
      <c r="E145" s="1"/>
      <c r="F145" s="1"/>
      <c r="G145" s="1"/>
      <c r="H145" s="14">
        <f>0.928*H143</f>
        <v>392.12640000000005</v>
      </c>
      <c r="I145" s="5" t="s">
        <v>238</v>
      </c>
      <c r="J145" s="1"/>
    </row>
    <row r="146" spans="1:10">
      <c r="A146" s="85"/>
      <c r="B146" s="19"/>
      <c r="C146" s="16"/>
      <c r="D146" s="16"/>
      <c r="E146" s="16"/>
      <c r="G146" s="16"/>
      <c r="H146" s="14"/>
      <c r="I146" s="19"/>
      <c r="J146" s="19"/>
    </row>
    <row r="147" spans="1:10">
      <c r="A147" s="85" t="s">
        <v>605</v>
      </c>
      <c r="B147" s="37" t="s">
        <v>771</v>
      </c>
      <c r="C147" s="38" t="s">
        <v>770</v>
      </c>
      <c r="D147" s="22">
        <f>348.8*1.065</f>
        <v>371.47199999999998</v>
      </c>
      <c r="E147" s="38" t="s">
        <v>739</v>
      </c>
      <c r="G147" s="22"/>
      <c r="H147" s="14">
        <f>0.845*H93</f>
        <v>312.01625000000001</v>
      </c>
      <c r="I147" s="37" t="s">
        <v>132</v>
      </c>
      <c r="J147" s="37"/>
    </row>
    <row r="148" spans="1:10">
      <c r="A148" s="86"/>
      <c r="B148" s="5"/>
      <c r="C148" s="38"/>
      <c r="D148" s="38"/>
      <c r="E148" s="38"/>
      <c r="F148" s="38"/>
      <c r="G148" s="22"/>
      <c r="H148" s="22"/>
    </row>
    <row r="149" spans="1:10">
      <c r="A149" s="85"/>
      <c r="B149" s="5" t="s">
        <v>365</v>
      </c>
      <c r="C149" s="38" t="s">
        <v>770</v>
      </c>
      <c r="D149" s="22">
        <f>0.506*D147</f>
        <v>187.964832</v>
      </c>
      <c r="E149" s="38" t="s">
        <v>739</v>
      </c>
      <c r="F149" s="38"/>
      <c r="G149" s="22"/>
      <c r="H149" s="14">
        <f>0.485*H147</f>
        <v>151.32788124999999</v>
      </c>
      <c r="I149" s="37" t="s">
        <v>168</v>
      </c>
    </row>
    <row r="150" spans="1:10">
      <c r="A150" s="85"/>
      <c r="B150" s="37"/>
      <c r="C150" s="38"/>
      <c r="D150" s="38"/>
      <c r="E150" s="38"/>
      <c r="G150" s="38"/>
      <c r="H150" s="14"/>
      <c r="I150" s="37"/>
      <c r="J150" s="37"/>
    </row>
    <row r="151" spans="1:10">
      <c r="A151" s="85" t="s">
        <v>603</v>
      </c>
      <c r="B151" s="3" t="s">
        <v>758</v>
      </c>
      <c r="C151" s="12" t="s">
        <v>759</v>
      </c>
      <c r="D151" s="12">
        <v>47.12</v>
      </c>
      <c r="E151" s="12" t="s">
        <v>739</v>
      </c>
      <c r="G151" s="12"/>
      <c r="H151" s="14">
        <f>D151*12</f>
        <v>565.43999999999994</v>
      </c>
      <c r="I151" s="3" t="s">
        <v>763</v>
      </c>
      <c r="J151" s="3"/>
    </row>
    <row r="152" spans="1:10">
      <c r="A152" s="87"/>
      <c r="B152" s="19"/>
      <c r="C152" s="16"/>
      <c r="D152" s="16"/>
      <c r="E152" s="16"/>
      <c r="G152" s="16"/>
      <c r="H152" s="22"/>
      <c r="I152" s="19"/>
      <c r="J152" s="19"/>
    </row>
    <row r="153" spans="1:10">
      <c r="A153" s="87"/>
      <c r="B153" s="3" t="s">
        <v>675</v>
      </c>
      <c r="C153" s="12" t="s">
        <v>770</v>
      </c>
      <c r="D153" s="12">
        <v>600</v>
      </c>
      <c r="E153" s="12" t="s">
        <v>739</v>
      </c>
      <c r="G153" s="12"/>
      <c r="H153" s="22">
        <v>600</v>
      </c>
      <c r="I153" s="3" t="s">
        <v>676</v>
      </c>
      <c r="J153" s="3"/>
    </row>
    <row r="154" spans="1:10">
      <c r="A154" s="88"/>
      <c r="B154" s="19" t="s">
        <v>406</v>
      </c>
      <c r="C154" s="16" t="s">
        <v>770</v>
      </c>
      <c r="D154" s="16">
        <v>500</v>
      </c>
      <c r="E154" s="16" t="s">
        <v>739</v>
      </c>
      <c r="G154" s="16">
        <v>500</v>
      </c>
      <c r="H154" s="22">
        <v>500</v>
      </c>
      <c r="I154" s="19" t="s">
        <v>359</v>
      </c>
      <c r="J154" s="19"/>
    </row>
    <row r="155" spans="1:10">
      <c r="A155" s="88"/>
      <c r="B155" s="19" t="s">
        <v>675</v>
      </c>
      <c r="C155" s="16" t="s">
        <v>770</v>
      </c>
      <c r="D155" s="16">
        <v>400</v>
      </c>
      <c r="E155" s="16" t="s">
        <v>739</v>
      </c>
      <c r="G155" s="16">
        <v>400</v>
      </c>
      <c r="H155" s="22">
        <v>400</v>
      </c>
      <c r="I155" s="19" t="s">
        <v>676</v>
      </c>
      <c r="J155" s="19"/>
    </row>
    <row r="156" spans="1:10">
      <c r="A156" s="88"/>
      <c r="B156" s="7" t="s">
        <v>360</v>
      </c>
      <c r="C156" s="16"/>
      <c r="D156" s="16"/>
      <c r="E156" s="16"/>
      <c r="G156" s="16"/>
      <c r="H156" s="14">
        <f>SUM(H153:H155)/3</f>
        <v>500</v>
      </c>
      <c r="I156" s="19"/>
      <c r="J156" s="19"/>
    </row>
    <row r="157" spans="1:10">
      <c r="A157" s="88"/>
      <c r="B157" s="19"/>
      <c r="C157" s="16"/>
      <c r="D157" s="16"/>
      <c r="E157" s="16"/>
      <c r="G157" s="16"/>
      <c r="H157" s="16"/>
      <c r="I157" s="19"/>
      <c r="J157" s="19"/>
    </row>
    <row r="158" spans="1:10">
      <c r="A158" s="87"/>
      <c r="B158" s="3" t="s">
        <v>459</v>
      </c>
      <c r="C158" s="12" t="s">
        <v>770</v>
      </c>
      <c r="D158" s="12">
        <v>1000</v>
      </c>
      <c r="E158" s="12" t="s">
        <v>739</v>
      </c>
      <c r="G158" s="12"/>
      <c r="H158" s="22">
        <f>D158</f>
        <v>1000</v>
      </c>
      <c r="I158" s="3" t="s">
        <v>225</v>
      </c>
      <c r="J158" s="3"/>
    </row>
    <row r="159" spans="1:10">
      <c r="A159" s="87"/>
      <c r="B159" s="3" t="s">
        <v>461</v>
      </c>
      <c r="C159" s="12" t="s">
        <v>770</v>
      </c>
      <c r="D159" s="12">
        <v>1083</v>
      </c>
      <c r="E159" s="12" t="s">
        <v>739</v>
      </c>
      <c r="G159" s="12"/>
      <c r="H159" s="22">
        <f t="shared" ref="H159:H161" si="3">D159</f>
        <v>1083</v>
      </c>
      <c r="I159" s="48" t="s">
        <v>225</v>
      </c>
      <c r="J159" s="3"/>
    </row>
    <row r="160" spans="1:10">
      <c r="A160" s="87"/>
      <c r="B160" s="3" t="s">
        <v>484</v>
      </c>
      <c r="C160" s="12" t="s">
        <v>770</v>
      </c>
      <c r="D160" s="12">
        <v>1083</v>
      </c>
      <c r="E160" s="12" t="s">
        <v>739</v>
      </c>
      <c r="G160" s="12"/>
      <c r="H160" s="22">
        <f t="shared" si="3"/>
        <v>1083</v>
      </c>
      <c r="I160" s="48" t="s">
        <v>225</v>
      </c>
      <c r="J160" s="3"/>
    </row>
    <row r="161" spans="1:10">
      <c r="A161" s="87"/>
      <c r="B161" s="3" t="s">
        <v>332</v>
      </c>
      <c r="C161" s="12" t="s">
        <v>770</v>
      </c>
      <c r="D161" s="12">
        <v>1500</v>
      </c>
      <c r="E161" s="12" t="s">
        <v>739</v>
      </c>
      <c r="G161" s="12"/>
      <c r="H161" s="22">
        <f t="shared" si="3"/>
        <v>1500</v>
      </c>
      <c r="I161" s="48" t="s">
        <v>225</v>
      </c>
      <c r="J161" s="3"/>
    </row>
    <row r="162" spans="1:10">
      <c r="A162" s="87"/>
      <c r="B162" s="19"/>
      <c r="C162" s="16"/>
      <c r="D162" s="16"/>
      <c r="E162" s="16"/>
      <c r="G162" s="16"/>
      <c r="H162" s="14">
        <f>SUM(H158:H161)/4</f>
        <v>1166.5</v>
      </c>
      <c r="I162" s="19"/>
      <c r="J162" s="19"/>
    </row>
    <row r="163" spans="1:10">
      <c r="A163" s="87"/>
      <c r="B163" s="19"/>
      <c r="C163" s="16"/>
      <c r="D163" s="16"/>
      <c r="E163" s="16"/>
      <c r="G163" s="16"/>
      <c r="H163" s="22"/>
      <c r="I163" s="19"/>
      <c r="J163" s="19"/>
    </row>
    <row r="164" spans="1:10">
      <c r="A164" s="87"/>
      <c r="B164" s="3" t="s">
        <v>333</v>
      </c>
      <c r="C164" s="12" t="s">
        <v>770</v>
      </c>
      <c r="D164" s="12">
        <v>800</v>
      </c>
      <c r="E164" s="12" t="s">
        <v>739</v>
      </c>
      <c r="G164" s="12"/>
      <c r="H164" s="22">
        <f>D164</f>
        <v>800</v>
      </c>
      <c r="I164" s="3" t="s">
        <v>225</v>
      </c>
      <c r="J164" s="3"/>
    </row>
    <row r="165" spans="1:10">
      <c r="A165" s="87"/>
      <c r="B165" s="3" t="s">
        <v>169</v>
      </c>
      <c r="C165" s="12" t="s">
        <v>770</v>
      </c>
      <c r="D165" s="12">
        <v>1000</v>
      </c>
      <c r="E165" s="12" t="s">
        <v>739</v>
      </c>
      <c r="G165" s="12">
        <v>1000</v>
      </c>
      <c r="H165" s="22">
        <f>0.8645*H162</f>
        <v>1008.43925</v>
      </c>
      <c r="I165" s="3" t="s">
        <v>170</v>
      </c>
      <c r="J165" s="3"/>
    </row>
    <row r="166" spans="1:10">
      <c r="A166" s="87"/>
      <c r="B166" s="19"/>
      <c r="C166" s="16"/>
      <c r="D166" s="16"/>
      <c r="E166" s="16"/>
      <c r="G166" s="16"/>
      <c r="H166" s="14">
        <f>SUM(H164:H165)/2</f>
        <v>904.21962499999995</v>
      </c>
      <c r="I166" s="19"/>
      <c r="J166" s="19"/>
    </row>
    <row r="167" spans="1:10">
      <c r="A167" s="87"/>
      <c r="B167" s="48"/>
      <c r="C167" s="50"/>
      <c r="D167" s="50"/>
      <c r="E167" s="50"/>
      <c r="G167" s="50"/>
      <c r="H167" s="14"/>
      <c r="I167" s="48"/>
      <c r="J167" s="48"/>
    </row>
    <row r="168" spans="1:10">
      <c r="A168" s="87"/>
      <c r="B168" s="48" t="s">
        <v>501</v>
      </c>
      <c r="C168" s="50" t="s">
        <v>770</v>
      </c>
      <c r="D168" s="50">
        <v>850</v>
      </c>
      <c r="E168" s="50"/>
      <c r="H168" s="50">
        <f>D168</f>
        <v>850</v>
      </c>
      <c r="I168" s="48" t="s">
        <v>225</v>
      </c>
      <c r="J168" s="48"/>
    </row>
    <row r="169" spans="1:10">
      <c r="A169" s="86"/>
      <c r="B169" s="5" t="s">
        <v>177</v>
      </c>
      <c r="C169" s="50" t="s">
        <v>770</v>
      </c>
      <c r="D169" s="50">
        <v>600</v>
      </c>
      <c r="E169" s="50" t="s">
        <v>739</v>
      </c>
      <c r="G169" s="50"/>
      <c r="H169" s="13">
        <f t="shared" ref="H169" si="4">D169</f>
        <v>600</v>
      </c>
      <c r="I169" s="48" t="s">
        <v>225</v>
      </c>
      <c r="J169" s="48"/>
    </row>
    <row r="170" spans="1:10">
      <c r="A170" s="86"/>
      <c r="B170" s="5" t="s">
        <v>178</v>
      </c>
      <c r="C170" s="50" t="s">
        <v>770</v>
      </c>
      <c r="D170" s="50">
        <v>1000</v>
      </c>
      <c r="E170" s="50" t="s">
        <v>739</v>
      </c>
      <c r="G170" s="50"/>
      <c r="H170" s="13">
        <f t="shared" ref="H170" si="5">D170</f>
        <v>1000</v>
      </c>
      <c r="I170" s="48" t="s">
        <v>225</v>
      </c>
      <c r="J170" s="48"/>
    </row>
    <row r="171" spans="1:10">
      <c r="A171" s="86"/>
      <c r="B171" s="5" t="s">
        <v>179</v>
      </c>
      <c r="C171" s="50" t="s">
        <v>770</v>
      </c>
      <c r="D171" s="50">
        <v>900</v>
      </c>
      <c r="E171" s="50"/>
      <c r="G171" s="50"/>
      <c r="H171" s="13">
        <f>D171</f>
        <v>900</v>
      </c>
      <c r="I171" s="48" t="s">
        <v>225</v>
      </c>
      <c r="J171" s="48"/>
    </row>
    <row r="172" spans="1:10">
      <c r="A172" s="86"/>
      <c r="B172" s="5" t="s">
        <v>180</v>
      </c>
      <c r="C172" s="50" t="s">
        <v>770</v>
      </c>
      <c r="D172" s="50">
        <v>1000</v>
      </c>
      <c r="E172" s="50"/>
      <c r="G172" s="50"/>
      <c r="H172" s="13">
        <f>D172</f>
        <v>1000</v>
      </c>
      <c r="I172" s="48" t="s">
        <v>225</v>
      </c>
      <c r="J172" s="48"/>
    </row>
    <row r="173" spans="1:10">
      <c r="A173" s="87"/>
      <c r="B173" s="48"/>
      <c r="C173" s="50"/>
      <c r="D173" s="50"/>
      <c r="E173" s="50"/>
      <c r="H173" s="49">
        <f>SUM(H168:H172)/5</f>
        <v>870</v>
      </c>
      <c r="I173" s="48"/>
      <c r="J173" s="48"/>
    </row>
    <row r="174" spans="1:10">
      <c r="A174" s="87"/>
      <c r="B174" s="48"/>
      <c r="C174" s="50"/>
      <c r="D174" s="50"/>
      <c r="E174" s="50"/>
      <c r="H174" s="50"/>
      <c r="I174" s="48"/>
      <c r="J174" s="48"/>
    </row>
    <row r="175" spans="1:10">
      <c r="A175" s="87"/>
      <c r="B175" s="19"/>
      <c r="C175" s="16"/>
      <c r="D175" s="16"/>
      <c r="E175" s="16"/>
      <c r="G175" s="16"/>
      <c r="H175" s="22"/>
      <c r="I175" s="19"/>
      <c r="J175" s="19"/>
    </row>
    <row r="176" spans="1:10">
      <c r="A176" s="87"/>
      <c r="B176" s="3" t="s">
        <v>460</v>
      </c>
      <c r="C176" s="12" t="s">
        <v>770</v>
      </c>
      <c r="D176" s="12">
        <v>800</v>
      </c>
      <c r="E176" s="12" t="s">
        <v>739</v>
      </c>
      <c r="G176" s="12"/>
      <c r="H176" s="22">
        <f>D176</f>
        <v>800</v>
      </c>
      <c r="I176" s="3" t="s">
        <v>225</v>
      </c>
      <c r="J176" s="3"/>
    </row>
    <row r="177" spans="1:10">
      <c r="A177" s="87"/>
      <c r="B177" s="3" t="s">
        <v>462</v>
      </c>
      <c r="C177" s="12" t="s">
        <v>770</v>
      </c>
      <c r="D177" s="12">
        <v>1000</v>
      </c>
      <c r="E177" s="12" t="s">
        <v>739</v>
      </c>
      <c r="G177" s="12"/>
      <c r="H177" s="22">
        <f t="shared" ref="H177:H179" si="6">D177</f>
        <v>1000</v>
      </c>
      <c r="I177" s="48" t="s">
        <v>225</v>
      </c>
      <c r="J177" s="3"/>
    </row>
    <row r="178" spans="1:10">
      <c r="A178" s="87"/>
      <c r="B178" s="3" t="s">
        <v>334</v>
      </c>
      <c r="C178" s="12" t="s">
        <v>770</v>
      </c>
      <c r="D178" s="12">
        <v>800</v>
      </c>
      <c r="E178" s="12" t="s">
        <v>739</v>
      </c>
      <c r="G178" s="12"/>
      <c r="H178" s="22">
        <f t="shared" si="6"/>
        <v>800</v>
      </c>
      <c r="I178" s="48" t="s">
        <v>225</v>
      </c>
      <c r="J178" s="3"/>
    </row>
    <row r="179" spans="1:10">
      <c r="A179" s="87"/>
      <c r="B179" s="3" t="s">
        <v>502</v>
      </c>
      <c r="C179" s="12" t="s">
        <v>770</v>
      </c>
      <c r="D179" s="12">
        <v>1000</v>
      </c>
      <c r="E179" s="12" t="s">
        <v>739</v>
      </c>
      <c r="G179" s="12"/>
      <c r="H179" s="22">
        <f t="shared" si="6"/>
        <v>1000</v>
      </c>
      <c r="I179" s="48" t="s">
        <v>225</v>
      </c>
      <c r="J179" s="3"/>
    </row>
    <row r="180" spans="1:10">
      <c r="A180" s="87"/>
      <c r="B180" s="19"/>
      <c r="C180" s="16"/>
      <c r="D180" s="16"/>
      <c r="E180" s="16"/>
      <c r="G180" s="16"/>
      <c r="H180" s="14">
        <f>SUM(H176:H179)/4</f>
        <v>900</v>
      </c>
      <c r="I180" s="19"/>
      <c r="J180" s="19"/>
    </row>
    <row r="181" spans="1:10">
      <c r="A181" s="87"/>
      <c r="B181" s="48"/>
      <c r="C181" s="50"/>
      <c r="D181" s="50"/>
      <c r="E181" s="50"/>
      <c r="G181" s="50"/>
      <c r="H181" s="14"/>
      <c r="I181" s="48"/>
      <c r="J181" s="48"/>
    </row>
    <row r="182" spans="1:10">
      <c r="A182" s="86"/>
      <c r="B182" s="5" t="s">
        <v>171</v>
      </c>
      <c r="C182" s="50" t="s">
        <v>770</v>
      </c>
      <c r="D182" s="50">
        <v>500</v>
      </c>
      <c r="E182" s="50" t="s">
        <v>739</v>
      </c>
      <c r="G182" s="50"/>
      <c r="H182" s="22">
        <f t="shared" ref="H182" si="7">D182</f>
        <v>500</v>
      </c>
      <c r="I182" s="48" t="s">
        <v>225</v>
      </c>
      <c r="J182" s="48"/>
    </row>
    <row r="183" spans="1:10">
      <c r="A183" s="86"/>
      <c r="B183" s="5" t="s">
        <v>172</v>
      </c>
      <c r="C183" s="50" t="s">
        <v>770</v>
      </c>
      <c r="D183" s="50">
        <v>750</v>
      </c>
      <c r="E183" s="50" t="s">
        <v>739</v>
      </c>
      <c r="G183" s="50"/>
      <c r="H183" s="22">
        <f t="shared" ref="H183:H184" si="8">D183</f>
        <v>750</v>
      </c>
      <c r="I183" s="48" t="s">
        <v>225</v>
      </c>
      <c r="J183" s="48"/>
    </row>
    <row r="184" spans="1:10">
      <c r="A184" s="86"/>
      <c r="B184" s="5" t="s">
        <v>173</v>
      </c>
      <c r="C184" s="50" t="s">
        <v>770</v>
      </c>
      <c r="D184" s="50">
        <v>500</v>
      </c>
      <c r="E184" s="50" t="s">
        <v>739</v>
      </c>
      <c r="G184" s="50"/>
      <c r="H184" s="22">
        <f t="shared" si="8"/>
        <v>500</v>
      </c>
      <c r="I184" s="48" t="s">
        <v>225</v>
      </c>
      <c r="J184" s="48"/>
    </row>
    <row r="185" spans="1:10">
      <c r="A185" s="87"/>
      <c r="B185" s="7" t="s">
        <v>360</v>
      </c>
      <c r="C185" s="50"/>
      <c r="D185" s="50"/>
      <c r="E185" s="50"/>
      <c r="G185" s="50"/>
      <c r="H185" s="14">
        <f>SUM(H182:H184)/3</f>
        <v>583.33333333333337</v>
      </c>
      <c r="I185" s="48"/>
      <c r="J185" s="48"/>
    </row>
    <row r="186" spans="1:10">
      <c r="A186" s="87"/>
      <c r="B186" s="48"/>
      <c r="C186" s="50"/>
      <c r="D186" s="50"/>
      <c r="E186" s="50"/>
      <c r="G186" s="50"/>
      <c r="H186" s="14"/>
      <c r="I186" s="48"/>
      <c r="J186" s="48"/>
    </row>
    <row r="187" spans="1:10">
      <c r="A187" s="86"/>
      <c r="B187" s="5" t="s">
        <v>503</v>
      </c>
      <c r="C187" s="50" t="s">
        <v>770</v>
      </c>
      <c r="D187" s="50">
        <v>778</v>
      </c>
      <c r="E187" s="50" t="s">
        <v>739</v>
      </c>
      <c r="G187" s="50"/>
      <c r="H187" s="14">
        <f t="shared" ref="H187" si="9">D187</f>
        <v>778</v>
      </c>
      <c r="I187" s="48" t="s">
        <v>225</v>
      </c>
      <c r="J187" s="48"/>
    </row>
    <row r="188" spans="1:10">
      <c r="A188" s="87"/>
      <c r="B188" s="48"/>
      <c r="C188" s="50"/>
      <c r="D188" s="50"/>
      <c r="E188" s="50"/>
      <c r="G188" s="50"/>
      <c r="H188" s="14"/>
      <c r="I188" s="48"/>
      <c r="J188" s="48"/>
    </row>
    <row r="189" spans="1:10">
      <c r="A189" s="86"/>
      <c r="B189" s="5" t="s">
        <v>174</v>
      </c>
      <c r="C189" s="50" t="s">
        <v>770</v>
      </c>
      <c r="D189" s="50">
        <v>1200</v>
      </c>
      <c r="E189" s="50" t="s">
        <v>739</v>
      </c>
      <c r="G189" s="50"/>
      <c r="H189" s="13">
        <f t="shared" ref="H189" si="10">D189</f>
        <v>1200</v>
      </c>
      <c r="I189" s="48" t="s">
        <v>225</v>
      </c>
      <c r="J189" s="48"/>
    </row>
    <row r="190" spans="1:10">
      <c r="A190" s="86"/>
      <c r="B190" s="5" t="s">
        <v>175</v>
      </c>
      <c r="C190" s="50" t="s">
        <v>770</v>
      </c>
      <c r="D190" s="50">
        <v>1000</v>
      </c>
      <c r="E190" s="50" t="s">
        <v>739</v>
      </c>
      <c r="G190" s="50"/>
      <c r="H190" s="13">
        <f t="shared" ref="H190:H191" si="11">D190</f>
        <v>1000</v>
      </c>
      <c r="I190" s="48" t="s">
        <v>225</v>
      </c>
      <c r="J190" s="48"/>
    </row>
    <row r="191" spans="1:10">
      <c r="A191" s="86"/>
      <c r="B191" s="5" t="s">
        <v>176</v>
      </c>
      <c r="C191" s="50" t="s">
        <v>770</v>
      </c>
      <c r="D191" s="50">
        <v>1000</v>
      </c>
      <c r="E191" s="50" t="s">
        <v>739</v>
      </c>
      <c r="G191" s="50"/>
      <c r="H191" s="13">
        <f t="shared" si="11"/>
        <v>1000</v>
      </c>
      <c r="I191" s="48" t="s">
        <v>225</v>
      </c>
      <c r="J191" s="48"/>
    </row>
    <row r="192" spans="1:10">
      <c r="A192" s="86"/>
      <c r="B192" s="7" t="s">
        <v>360</v>
      </c>
      <c r="C192" s="50"/>
      <c r="D192" s="50"/>
      <c r="E192" s="50"/>
      <c r="G192" s="50"/>
      <c r="H192" s="14">
        <f>SUM(H189:H191)/3</f>
        <v>1066.6666666666667</v>
      </c>
      <c r="I192" s="48"/>
      <c r="J192" s="48"/>
    </row>
    <row r="193" spans="1:10">
      <c r="A193" s="86"/>
      <c r="J193" s="48"/>
    </row>
    <row r="194" spans="1:10">
      <c r="A194" s="85"/>
      <c r="B194" s="19" t="s">
        <v>371</v>
      </c>
      <c r="C194" s="16" t="s">
        <v>770</v>
      </c>
      <c r="H194" s="15">
        <v>462.98</v>
      </c>
      <c r="I194" s="19" t="s">
        <v>26</v>
      </c>
      <c r="J194" s="19"/>
    </row>
    <row r="195" spans="1:10" ht="18">
      <c r="A195" s="84" t="s">
        <v>730</v>
      </c>
      <c r="B195" s="19"/>
      <c r="C195" s="16"/>
      <c r="D195" s="16"/>
      <c r="E195" s="16"/>
      <c r="G195" s="16"/>
      <c r="H195" s="22"/>
      <c r="I195" s="19"/>
      <c r="J195" s="19"/>
    </row>
    <row r="196" spans="1:10">
      <c r="A196" s="85" t="s">
        <v>401</v>
      </c>
      <c r="B196" s="19" t="s">
        <v>371</v>
      </c>
      <c r="C196" s="16" t="s">
        <v>770</v>
      </c>
      <c r="H196" s="15">
        <v>182.47</v>
      </c>
      <c r="I196" s="48" t="s">
        <v>26</v>
      </c>
    </row>
    <row r="197" spans="1:10">
      <c r="H197" s="14"/>
    </row>
    <row r="198" spans="1:10" ht="18">
      <c r="A198" s="89" t="s">
        <v>731</v>
      </c>
      <c r="B198" s="3"/>
      <c r="C198" s="2"/>
      <c r="D198" s="2"/>
      <c r="E198" s="2"/>
      <c r="G198" s="2"/>
      <c r="H198" s="22"/>
      <c r="I198" s="3"/>
    </row>
    <row r="199" spans="1:10">
      <c r="A199" s="90" t="s">
        <v>639</v>
      </c>
      <c r="B199" s="3" t="s">
        <v>737</v>
      </c>
      <c r="C199" s="2" t="s">
        <v>738</v>
      </c>
      <c r="D199" s="2">
        <v>1.17</v>
      </c>
      <c r="E199" s="2" t="s">
        <v>739</v>
      </c>
      <c r="G199" s="2"/>
      <c r="H199" s="14">
        <f>D199*313</f>
        <v>366.21</v>
      </c>
      <c r="I199" s="3" t="s">
        <v>742</v>
      </c>
    </row>
    <row r="200" spans="1:10">
      <c r="A200" s="91"/>
      <c r="B200" s="19"/>
      <c r="C200" s="16"/>
      <c r="D200" s="16"/>
      <c r="E200" s="16"/>
      <c r="G200" s="16"/>
      <c r="H200" s="14"/>
      <c r="I200" s="19"/>
      <c r="J200" s="19"/>
    </row>
    <row r="201" spans="1:10">
      <c r="A201" s="90" t="s">
        <v>640</v>
      </c>
      <c r="B201" t="s">
        <v>595</v>
      </c>
      <c r="C201" s="16" t="s">
        <v>699</v>
      </c>
      <c r="D201" s="16">
        <v>1.28</v>
      </c>
      <c r="E201" s="16" t="s">
        <v>596</v>
      </c>
      <c r="F201" s="16">
        <f>D201</f>
        <v>1.28</v>
      </c>
      <c r="G201" s="22">
        <f>D201+F201</f>
        <v>2.56</v>
      </c>
      <c r="H201" s="14">
        <f>G201*52</f>
        <v>133.12</v>
      </c>
      <c r="I201" s="19" t="s">
        <v>597</v>
      </c>
    </row>
    <row r="202" spans="1:10">
      <c r="A202" s="91"/>
      <c r="B202" s="19"/>
      <c r="C202" s="16"/>
      <c r="D202" s="16"/>
      <c r="E202" s="16"/>
      <c r="G202" s="16"/>
      <c r="H202" s="22"/>
      <c r="I202" s="19"/>
      <c r="J202" s="19"/>
    </row>
    <row r="203" spans="1:10">
      <c r="A203" s="90" t="s">
        <v>752</v>
      </c>
      <c r="B203" s="3" t="s">
        <v>752</v>
      </c>
      <c r="C203" s="2" t="s">
        <v>738</v>
      </c>
      <c r="D203" s="2">
        <v>1.75</v>
      </c>
      <c r="E203" s="2" t="s">
        <v>739</v>
      </c>
      <c r="G203" s="2">
        <v>1.75</v>
      </c>
      <c r="H203" s="14">
        <f>H199*1.5808</f>
        <v>578.90476799999999</v>
      </c>
      <c r="I203" s="3" t="s">
        <v>181</v>
      </c>
      <c r="J203" s="3"/>
    </row>
    <row r="204" spans="1:10">
      <c r="A204" s="90"/>
      <c r="B204" s="19"/>
      <c r="C204" s="16"/>
      <c r="D204" s="16"/>
      <c r="E204" s="16"/>
      <c r="G204" s="16"/>
      <c r="H204" s="14"/>
      <c r="I204" s="19"/>
      <c r="J204" s="19"/>
    </row>
    <row r="205" spans="1:10">
      <c r="A205" s="90" t="s">
        <v>604</v>
      </c>
      <c r="B205" s="1"/>
      <c r="C205" s="1"/>
      <c r="D205" s="1"/>
      <c r="E205" s="1"/>
      <c r="F205" s="1"/>
      <c r="G205" s="1"/>
      <c r="H205" s="14">
        <f>0.928*H203</f>
        <v>537.22362470400003</v>
      </c>
      <c r="I205" s="5" t="s">
        <v>200</v>
      </c>
      <c r="J205" s="1"/>
    </row>
    <row r="206" spans="1:10">
      <c r="A206" s="90"/>
      <c r="B206" s="1"/>
      <c r="C206" s="1"/>
      <c r="D206" s="1"/>
      <c r="E206" s="1"/>
      <c r="F206" s="1"/>
      <c r="G206" s="1"/>
      <c r="H206" s="14"/>
      <c r="I206" s="5"/>
      <c r="J206" s="1"/>
    </row>
    <row r="207" spans="1:10">
      <c r="A207" s="90" t="s">
        <v>605</v>
      </c>
      <c r="B207" s="37" t="s">
        <v>771</v>
      </c>
      <c r="C207" s="38" t="s">
        <v>770</v>
      </c>
      <c r="D207" s="22">
        <f>H207</f>
        <v>286.53800000000001</v>
      </c>
      <c r="E207" s="38" t="s">
        <v>739</v>
      </c>
      <c r="G207" s="22"/>
      <c r="H207" s="14">
        <f>0.776*H93</f>
        <v>286.53800000000001</v>
      </c>
      <c r="I207" s="48" t="s">
        <v>133</v>
      </c>
      <c r="J207" s="37"/>
    </row>
    <row r="208" spans="1:10">
      <c r="A208" s="91"/>
      <c r="B208" s="5"/>
      <c r="C208" s="38"/>
      <c r="D208" s="38"/>
      <c r="E208" s="38"/>
      <c r="F208" s="38"/>
      <c r="G208" s="22"/>
      <c r="H208" s="22"/>
    </row>
    <row r="209" spans="1:10">
      <c r="A209" s="90"/>
      <c r="B209" s="5" t="s">
        <v>365</v>
      </c>
      <c r="C209" s="38" t="s">
        <v>770</v>
      </c>
      <c r="D209" s="22">
        <f>0.485*D207</f>
        <v>138.97093000000001</v>
      </c>
      <c r="E209" s="38" t="s">
        <v>739</v>
      </c>
      <c r="F209" s="38"/>
      <c r="G209" s="22"/>
      <c r="H209" s="14">
        <f>0.485*H207</f>
        <v>138.97093000000001</v>
      </c>
      <c r="I209" s="37" t="s">
        <v>182</v>
      </c>
    </row>
    <row r="210" spans="1:10">
      <c r="A210" s="90"/>
      <c r="B210" s="19"/>
      <c r="C210" s="16"/>
      <c r="D210" s="16"/>
      <c r="E210" s="16"/>
      <c r="G210" s="16"/>
      <c r="H210" s="22"/>
      <c r="I210" s="19"/>
      <c r="J210" s="19"/>
    </row>
    <row r="211" spans="1:10">
      <c r="A211" s="90" t="s">
        <v>603</v>
      </c>
      <c r="B211" s="3" t="s">
        <v>758</v>
      </c>
      <c r="C211" s="2" t="s">
        <v>759</v>
      </c>
      <c r="D211" s="2">
        <v>47.12</v>
      </c>
      <c r="E211" s="2" t="s">
        <v>739</v>
      </c>
      <c r="G211" s="2"/>
      <c r="H211" s="14">
        <f>D211*12</f>
        <v>565.43999999999994</v>
      </c>
      <c r="I211" s="3" t="s">
        <v>763</v>
      </c>
      <c r="J211" s="3"/>
    </row>
    <row r="212" spans="1:10">
      <c r="A212" s="92"/>
      <c r="B212" s="19"/>
      <c r="C212" s="16"/>
      <c r="D212" s="16"/>
      <c r="E212" s="16"/>
      <c r="G212" s="16"/>
      <c r="H212" s="22"/>
      <c r="I212" s="19"/>
      <c r="J212" s="19"/>
    </row>
    <row r="213" spans="1:10">
      <c r="A213" s="92"/>
      <c r="B213" s="3" t="s">
        <v>675</v>
      </c>
      <c r="C213" s="12" t="s">
        <v>770</v>
      </c>
      <c r="D213" s="12">
        <v>400</v>
      </c>
      <c r="E213" s="12" t="s">
        <v>739</v>
      </c>
      <c r="G213" s="12"/>
      <c r="H213" s="14">
        <f>D213</f>
        <v>400</v>
      </c>
      <c r="I213" s="3" t="s">
        <v>676</v>
      </c>
      <c r="J213" s="3"/>
    </row>
    <row r="214" spans="1:10">
      <c r="A214" s="92"/>
      <c r="B214" s="19"/>
      <c r="C214" s="16"/>
      <c r="D214" s="16"/>
      <c r="E214" s="16"/>
      <c r="G214" s="16"/>
      <c r="H214" s="22"/>
      <c r="I214" s="19"/>
      <c r="J214" s="19"/>
    </row>
    <row r="215" spans="1:10">
      <c r="A215" s="91"/>
      <c r="B215" s="3" t="s">
        <v>463</v>
      </c>
      <c r="C215" s="12" t="s">
        <v>770</v>
      </c>
      <c r="D215" s="12">
        <v>1000</v>
      </c>
      <c r="E215" s="12" t="s">
        <v>739</v>
      </c>
      <c r="G215" s="12"/>
      <c r="H215" s="22">
        <f>D215</f>
        <v>1000</v>
      </c>
      <c r="I215" s="3" t="s">
        <v>225</v>
      </c>
    </row>
    <row r="216" spans="1:10">
      <c r="A216" s="91"/>
      <c r="B216" s="3" t="s">
        <v>488</v>
      </c>
      <c r="C216" s="12" t="s">
        <v>770</v>
      </c>
      <c r="D216" s="12">
        <v>1034</v>
      </c>
      <c r="E216" s="12" t="s">
        <v>739</v>
      </c>
      <c r="G216" s="12"/>
      <c r="H216" s="22">
        <f t="shared" ref="H216" si="12">D216</f>
        <v>1034</v>
      </c>
      <c r="I216" s="3" t="s">
        <v>225</v>
      </c>
    </row>
    <row r="217" spans="1:10">
      <c r="A217" s="91"/>
      <c r="B217" s="7" t="s">
        <v>360</v>
      </c>
      <c r="C217" s="16"/>
      <c r="D217" s="16"/>
      <c r="E217" s="16"/>
      <c r="G217" s="16"/>
      <c r="H217" s="14">
        <f>SUM(H215:H216)/2</f>
        <v>1017</v>
      </c>
      <c r="I217" s="19"/>
    </row>
    <row r="218" spans="1:10">
      <c r="A218" s="91"/>
      <c r="B218" s="19"/>
      <c r="C218" s="16"/>
      <c r="D218" s="16"/>
      <c r="E218" s="16"/>
      <c r="G218" s="16"/>
      <c r="H218" s="22"/>
      <c r="I218" s="19"/>
    </row>
    <row r="219" spans="1:10">
      <c r="A219" s="91"/>
      <c r="B219" s="3" t="s">
        <v>169</v>
      </c>
      <c r="C219" s="12" t="s">
        <v>770</v>
      </c>
      <c r="D219" s="12">
        <v>800</v>
      </c>
      <c r="E219" s="12" t="s">
        <v>739</v>
      </c>
      <c r="G219" s="12"/>
      <c r="H219" s="14">
        <f>0.7752*H217</f>
        <v>788.37840000000006</v>
      </c>
      <c r="I219" s="3" t="s">
        <v>186</v>
      </c>
    </row>
    <row r="220" spans="1:10">
      <c r="A220" s="91"/>
      <c r="B220" s="19"/>
      <c r="C220" s="16"/>
      <c r="D220" s="16"/>
      <c r="E220" s="16"/>
      <c r="G220" s="16"/>
      <c r="H220" s="22"/>
      <c r="I220" s="19"/>
    </row>
    <row r="221" spans="1:10">
      <c r="A221" s="91"/>
      <c r="B221" s="3" t="s">
        <v>464</v>
      </c>
      <c r="C221" s="12" t="s">
        <v>770</v>
      </c>
      <c r="D221" s="12">
        <v>400</v>
      </c>
      <c r="E221" s="12" t="s">
        <v>739</v>
      </c>
      <c r="G221" s="12"/>
      <c r="H221" s="22">
        <f>D221</f>
        <v>400</v>
      </c>
      <c r="I221" s="48" t="s">
        <v>225</v>
      </c>
    </row>
    <row r="222" spans="1:10">
      <c r="A222" s="91"/>
      <c r="B222" s="3" t="s">
        <v>489</v>
      </c>
      <c r="C222" s="12" t="s">
        <v>770</v>
      </c>
      <c r="D222" s="12">
        <v>1675</v>
      </c>
      <c r="E222" s="12" t="s">
        <v>739</v>
      </c>
      <c r="G222" s="12"/>
      <c r="H222" s="22">
        <f t="shared" ref="H222" si="13">D222</f>
        <v>1675</v>
      </c>
      <c r="I222" s="48" t="s">
        <v>225</v>
      </c>
    </row>
    <row r="223" spans="1:10">
      <c r="A223" s="91"/>
      <c r="B223" s="7" t="s">
        <v>360</v>
      </c>
      <c r="C223" s="16"/>
      <c r="D223" s="16"/>
      <c r="E223" s="16"/>
      <c r="G223" s="16"/>
      <c r="H223" s="14">
        <f>SUM(H221:H222)/2</f>
        <v>1037.5</v>
      </c>
      <c r="I223" s="19"/>
    </row>
    <row r="224" spans="1:10">
      <c r="A224" s="91"/>
      <c r="B224" s="48"/>
      <c r="C224" s="50"/>
      <c r="D224" s="50"/>
      <c r="E224" s="50"/>
      <c r="G224" s="50"/>
      <c r="H224" s="14"/>
      <c r="I224" s="48"/>
    </row>
    <row r="225" spans="1:10">
      <c r="A225" s="91"/>
      <c r="B225" s="5" t="s">
        <v>183</v>
      </c>
      <c r="C225" s="50" t="s">
        <v>770</v>
      </c>
      <c r="D225" s="50">
        <v>1500</v>
      </c>
      <c r="E225" s="50" t="s">
        <v>739</v>
      </c>
      <c r="G225" s="50"/>
      <c r="H225" s="14">
        <f t="shared" ref="H225" si="14">D225</f>
        <v>1500</v>
      </c>
      <c r="I225" s="48" t="s">
        <v>225</v>
      </c>
      <c r="J225" s="48"/>
    </row>
    <row r="226" spans="1:10">
      <c r="A226" s="92"/>
      <c r="B226" s="48"/>
      <c r="C226" s="50"/>
      <c r="D226" s="50"/>
      <c r="E226" s="50"/>
      <c r="G226" s="50"/>
      <c r="H226" s="14"/>
      <c r="I226" s="48"/>
      <c r="J226" s="48"/>
    </row>
    <row r="227" spans="1:10">
      <c r="A227" s="91"/>
      <c r="B227" s="5" t="s">
        <v>184</v>
      </c>
      <c r="C227" s="50" t="s">
        <v>770</v>
      </c>
      <c r="D227" s="50">
        <v>1600</v>
      </c>
      <c r="E227" s="50" t="s">
        <v>739</v>
      </c>
      <c r="G227" s="50"/>
      <c r="H227" s="13">
        <f t="shared" ref="H227:H228" si="15">D227</f>
        <v>1600</v>
      </c>
      <c r="I227" s="48" t="s">
        <v>225</v>
      </c>
      <c r="J227" s="48"/>
    </row>
    <row r="228" spans="1:10">
      <c r="A228" s="91"/>
      <c r="B228" s="5" t="s">
        <v>185</v>
      </c>
      <c r="C228" s="50" t="s">
        <v>770</v>
      </c>
      <c r="D228" s="50">
        <v>600</v>
      </c>
      <c r="E228" s="50" t="s">
        <v>739</v>
      </c>
      <c r="G228" s="50"/>
      <c r="H228" s="13">
        <f t="shared" si="15"/>
        <v>600</v>
      </c>
      <c r="I228" s="48" t="s">
        <v>225</v>
      </c>
      <c r="J228" s="48"/>
    </row>
    <row r="229" spans="1:10">
      <c r="A229" s="91"/>
      <c r="B229" s="7" t="s">
        <v>360</v>
      </c>
      <c r="C229" s="50"/>
      <c r="D229" s="50"/>
      <c r="E229" s="50"/>
      <c r="G229" s="50"/>
      <c r="H229" s="14">
        <f>SUM(H227:H228)/2</f>
        <v>1100</v>
      </c>
      <c r="I229" s="48"/>
      <c r="J229" s="48"/>
    </row>
    <row r="230" spans="1:10">
      <c r="A230" s="91"/>
      <c r="B230" s="5"/>
      <c r="C230" s="50"/>
      <c r="D230" s="50"/>
      <c r="E230" s="50"/>
      <c r="G230" s="50"/>
      <c r="H230" s="14"/>
      <c r="I230" s="48"/>
      <c r="J230" s="48"/>
    </row>
    <row r="231" spans="1:10">
      <c r="A231" s="91"/>
      <c r="B231" s="5" t="s">
        <v>177</v>
      </c>
      <c r="C231" s="50" t="s">
        <v>770</v>
      </c>
      <c r="D231" s="50">
        <v>600</v>
      </c>
      <c r="E231" s="50" t="s">
        <v>739</v>
      </c>
      <c r="G231" s="50"/>
      <c r="H231" s="13">
        <f t="shared" ref="H231:H232" si="16">D231</f>
        <v>600</v>
      </c>
      <c r="I231" s="48" t="s">
        <v>225</v>
      </c>
      <c r="J231" s="48"/>
    </row>
    <row r="232" spans="1:10">
      <c r="A232" s="91"/>
      <c r="B232" s="5" t="s">
        <v>178</v>
      </c>
      <c r="C232" s="50" t="s">
        <v>770</v>
      </c>
      <c r="D232" s="50">
        <v>1000</v>
      </c>
      <c r="E232" s="50" t="s">
        <v>739</v>
      </c>
      <c r="G232" s="50"/>
      <c r="H232" s="13">
        <f t="shared" si="16"/>
        <v>1000</v>
      </c>
      <c r="I232" s="48" t="s">
        <v>225</v>
      </c>
      <c r="J232" s="48"/>
    </row>
    <row r="233" spans="1:10">
      <c r="A233" s="91"/>
      <c r="B233" s="5" t="s">
        <v>187</v>
      </c>
      <c r="C233" s="50" t="s">
        <v>770</v>
      </c>
      <c r="D233" s="50">
        <v>1200</v>
      </c>
      <c r="E233" s="50"/>
      <c r="G233" s="50"/>
      <c r="H233" s="13">
        <f>D233</f>
        <v>1200</v>
      </c>
      <c r="I233" s="48" t="s">
        <v>225</v>
      </c>
      <c r="J233" s="48"/>
    </row>
    <row r="234" spans="1:10">
      <c r="A234" s="91"/>
      <c r="B234" s="5" t="s">
        <v>180</v>
      </c>
      <c r="C234" s="50" t="s">
        <v>770</v>
      </c>
      <c r="D234" s="50">
        <v>1300</v>
      </c>
      <c r="E234" s="50"/>
      <c r="G234" s="50"/>
      <c r="H234" s="13">
        <f>D234</f>
        <v>1300</v>
      </c>
      <c r="I234" s="48" t="s">
        <v>225</v>
      </c>
      <c r="J234" s="48"/>
    </row>
    <row r="235" spans="1:10">
      <c r="A235" s="91"/>
      <c r="B235" s="7" t="s">
        <v>360</v>
      </c>
      <c r="H235" s="14">
        <f>SUM(H231:H234)/4</f>
        <v>1025</v>
      </c>
    </row>
    <row r="236" spans="1:10">
      <c r="A236" s="91"/>
      <c r="B236" s="48"/>
      <c r="C236" s="50"/>
      <c r="D236" s="50"/>
      <c r="E236" s="50"/>
      <c r="G236" s="50"/>
      <c r="H236" s="14"/>
      <c r="I236" s="48"/>
    </row>
    <row r="237" spans="1:10">
      <c r="A237" s="90"/>
      <c r="B237" s="19" t="s">
        <v>371</v>
      </c>
      <c r="C237" s="16" t="s">
        <v>770</v>
      </c>
      <c r="H237" s="15">
        <v>462.23</v>
      </c>
      <c r="I237" s="19" t="s">
        <v>27</v>
      </c>
      <c r="J237" s="19"/>
    </row>
    <row r="238" spans="1:10" ht="18">
      <c r="A238" s="89" t="s">
        <v>731</v>
      </c>
      <c r="B238" s="19"/>
      <c r="C238" s="16"/>
      <c r="D238" s="16"/>
      <c r="E238" s="16"/>
      <c r="G238" s="16"/>
      <c r="H238" s="22"/>
      <c r="I238" s="19"/>
      <c r="J238" s="19"/>
    </row>
    <row r="239" spans="1:10">
      <c r="A239" s="90" t="s">
        <v>401</v>
      </c>
      <c r="B239" s="19" t="s">
        <v>371</v>
      </c>
      <c r="C239" s="16" t="s">
        <v>770</v>
      </c>
      <c r="H239" s="15">
        <v>180.25</v>
      </c>
      <c r="I239" s="48" t="s">
        <v>27</v>
      </c>
    </row>
    <row r="240" spans="1:10">
      <c r="H240" s="14"/>
    </row>
    <row r="241" spans="1:10" ht="18">
      <c r="A241" s="93" t="s">
        <v>732</v>
      </c>
      <c r="B241" s="3"/>
      <c r="C241" s="2"/>
      <c r="D241" s="2"/>
      <c r="E241" s="2"/>
      <c r="G241" s="2"/>
      <c r="H241" s="22"/>
      <c r="I241" s="3"/>
    </row>
    <row r="242" spans="1:10">
      <c r="A242" s="94" t="s">
        <v>639</v>
      </c>
      <c r="B242" s="3" t="s">
        <v>737</v>
      </c>
      <c r="C242" s="2" t="s">
        <v>738</v>
      </c>
      <c r="D242" s="2">
        <v>0.9</v>
      </c>
      <c r="E242" s="2" t="s">
        <v>739</v>
      </c>
      <c r="G242" s="2"/>
      <c r="H242" s="22">
        <f>313*D242</f>
        <v>281.7</v>
      </c>
      <c r="I242" s="3" t="s">
        <v>188</v>
      </c>
    </row>
    <row r="243" spans="1:10">
      <c r="A243" s="94"/>
      <c r="B243" s="3" t="s">
        <v>737</v>
      </c>
      <c r="C243" s="12" t="s">
        <v>738</v>
      </c>
      <c r="D243" s="12">
        <v>0.85</v>
      </c>
      <c r="E243" s="12" t="s">
        <v>739</v>
      </c>
      <c r="G243" s="12"/>
      <c r="H243" s="22">
        <f>313*D243</f>
        <v>266.05</v>
      </c>
      <c r="I243" s="3" t="s">
        <v>750</v>
      </c>
    </row>
    <row r="244" spans="1:10">
      <c r="A244" s="94"/>
      <c r="B244" s="19"/>
      <c r="C244" s="16"/>
      <c r="D244" s="16"/>
      <c r="E244" s="16"/>
      <c r="G244" s="16"/>
      <c r="H244" s="14">
        <f>SUM(H242:H243)/2</f>
        <v>273.875</v>
      </c>
      <c r="I244" s="19"/>
    </row>
    <row r="245" spans="1:10">
      <c r="A245" s="94"/>
      <c r="B245" s="19" t="s">
        <v>280</v>
      </c>
      <c r="C245" s="16"/>
      <c r="D245" s="16"/>
      <c r="E245" s="16"/>
      <c r="G245" s="16"/>
      <c r="H245" s="14">
        <f>H244*0.6</f>
        <v>164.32499999999999</v>
      </c>
      <c r="I245" s="19" t="s">
        <v>262</v>
      </c>
    </row>
    <row r="246" spans="1:10">
      <c r="A246" s="94"/>
      <c r="B246" s="19"/>
      <c r="C246" s="16"/>
      <c r="D246" s="16"/>
      <c r="E246" s="16"/>
      <c r="G246" s="16"/>
      <c r="H246" s="14"/>
      <c r="I246" s="19"/>
    </row>
    <row r="247" spans="1:10">
      <c r="A247" s="94" t="s">
        <v>640</v>
      </c>
      <c r="B247" t="s">
        <v>595</v>
      </c>
      <c r="C247" s="16" t="s">
        <v>699</v>
      </c>
      <c r="D247" s="16">
        <v>1.18</v>
      </c>
      <c r="E247" s="16" t="s">
        <v>596</v>
      </c>
      <c r="F247" s="16">
        <v>1.18</v>
      </c>
      <c r="G247" s="22">
        <f>D247+F247</f>
        <v>2.36</v>
      </c>
      <c r="H247" s="14">
        <f>G247*52</f>
        <v>122.72</v>
      </c>
      <c r="I247" s="19" t="s">
        <v>597</v>
      </c>
    </row>
    <row r="248" spans="1:10">
      <c r="A248" s="94"/>
      <c r="B248" s="19" t="s">
        <v>281</v>
      </c>
      <c r="C248" s="16"/>
      <c r="D248" s="16"/>
      <c r="E248" s="16"/>
      <c r="F248" s="16"/>
      <c r="G248" s="22"/>
      <c r="H248" s="14">
        <f>H247*0.6</f>
        <v>73.631999999999991</v>
      </c>
      <c r="I248" s="19" t="s">
        <v>262</v>
      </c>
    </row>
    <row r="249" spans="1:10">
      <c r="A249" s="94"/>
      <c r="B249" s="19"/>
      <c r="C249" s="16"/>
      <c r="D249" s="16"/>
      <c r="E249" s="16"/>
      <c r="G249" s="16"/>
      <c r="H249" s="22"/>
      <c r="I249" s="19"/>
    </row>
    <row r="250" spans="1:10">
      <c r="A250" s="94" t="s">
        <v>752</v>
      </c>
      <c r="B250" s="3" t="s">
        <v>752</v>
      </c>
      <c r="C250" s="12" t="s">
        <v>738</v>
      </c>
      <c r="D250" s="12">
        <v>1.81</v>
      </c>
      <c r="E250" s="12" t="s">
        <v>739</v>
      </c>
      <c r="G250" s="12"/>
      <c r="H250" s="14">
        <f>313*D250</f>
        <v>566.53</v>
      </c>
      <c r="I250" s="3" t="s">
        <v>757</v>
      </c>
    </row>
    <row r="251" spans="1:10">
      <c r="A251" s="94"/>
      <c r="B251" s="19" t="s">
        <v>279</v>
      </c>
      <c r="C251" s="16"/>
      <c r="D251" s="16"/>
      <c r="E251" s="16"/>
      <c r="G251" s="16"/>
      <c r="H251" s="14">
        <f>H250*0.6</f>
        <v>339.91799999999995</v>
      </c>
      <c r="I251" s="19" t="s">
        <v>262</v>
      </c>
    </row>
    <row r="252" spans="1:10">
      <c r="A252" s="94"/>
      <c r="B252" s="19"/>
      <c r="C252" s="16"/>
      <c r="D252" s="16"/>
      <c r="E252" s="16"/>
      <c r="G252" s="16"/>
      <c r="H252" s="14"/>
      <c r="I252" s="19"/>
    </row>
    <row r="253" spans="1:10">
      <c r="A253" s="94" t="s">
        <v>604</v>
      </c>
      <c r="B253" s="1" t="s">
        <v>278</v>
      </c>
      <c r="C253" s="1"/>
      <c r="D253" s="1"/>
      <c r="E253" s="1"/>
      <c r="F253" s="1"/>
      <c r="G253" s="1"/>
      <c r="H253" s="14">
        <f>0.928*H250</f>
        <v>525.73983999999996</v>
      </c>
      <c r="I253" s="5" t="s">
        <v>189</v>
      </c>
      <c r="J253" s="1"/>
    </row>
    <row r="254" spans="1:10">
      <c r="A254" s="94"/>
      <c r="B254" s="19" t="s">
        <v>279</v>
      </c>
      <c r="C254" s="16"/>
      <c r="D254" s="16"/>
      <c r="E254" s="16"/>
      <c r="G254" s="16"/>
      <c r="H254" s="14">
        <f>H253*0.6</f>
        <v>315.44390399999997</v>
      </c>
      <c r="I254" s="19" t="s">
        <v>262</v>
      </c>
    </row>
    <row r="255" spans="1:10">
      <c r="A255" s="94"/>
      <c r="B255" s="37"/>
      <c r="C255" s="38"/>
      <c r="D255" s="38"/>
      <c r="E255" s="38"/>
      <c r="G255" s="38"/>
      <c r="H255" s="14"/>
      <c r="I255" s="37"/>
    </row>
    <row r="256" spans="1:10">
      <c r="A256" s="94" t="s">
        <v>605</v>
      </c>
      <c r="B256" s="37" t="s">
        <v>771</v>
      </c>
      <c r="C256" s="38" t="s">
        <v>770</v>
      </c>
      <c r="D256" s="22">
        <f>348.8*0.848</f>
        <v>295.7824</v>
      </c>
      <c r="E256" s="38" t="s">
        <v>739</v>
      </c>
      <c r="G256" s="22"/>
      <c r="H256" s="14">
        <f>H93*0.696</f>
        <v>256.99799999999999</v>
      </c>
      <c r="I256" s="37" t="s">
        <v>134</v>
      </c>
      <c r="J256" s="37"/>
    </row>
    <row r="257" spans="1:10">
      <c r="A257" s="95"/>
      <c r="B257" s="5"/>
      <c r="C257" s="38"/>
      <c r="D257" s="38"/>
      <c r="E257" s="38"/>
      <c r="F257" s="38"/>
      <c r="G257" s="22"/>
      <c r="H257" s="22"/>
    </row>
    <row r="258" spans="1:10">
      <c r="A258" s="94"/>
      <c r="B258" s="5" t="s">
        <v>365</v>
      </c>
      <c r="C258" s="38" t="s">
        <v>770</v>
      </c>
      <c r="D258" s="22">
        <f>0.506*D256</f>
        <v>149.66589440000001</v>
      </c>
      <c r="E258" s="38" t="s">
        <v>739</v>
      </c>
      <c r="F258" s="38"/>
      <c r="G258" s="22">
        <f>D258</f>
        <v>149.66589440000001</v>
      </c>
      <c r="H258" s="14">
        <f>0.485*H256</f>
        <v>124.64402999999999</v>
      </c>
      <c r="I258" s="37" t="s">
        <v>190</v>
      </c>
    </row>
    <row r="259" spans="1:10">
      <c r="A259" s="94"/>
      <c r="B259" s="19"/>
      <c r="C259" s="16"/>
      <c r="D259" s="16"/>
      <c r="E259" s="16"/>
      <c r="G259" s="16"/>
      <c r="H259" s="22"/>
      <c r="I259" s="19"/>
    </row>
    <row r="260" spans="1:10">
      <c r="A260" s="94" t="s">
        <v>603</v>
      </c>
      <c r="B260" s="3" t="s">
        <v>465</v>
      </c>
      <c r="C260" s="12" t="s">
        <v>770</v>
      </c>
      <c r="D260" s="12">
        <v>1261.8599999999999</v>
      </c>
      <c r="E260" s="12" t="s">
        <v>739</v>
      </c>
      <c r="G260" s="12"/>
      <c r="H260" s="22">
        <f>D260</f>
        <v>1261.8599999999999</v>
      </c>
      <c r="I260" s="3" t="s">
        <v>225</v>
      </c>
    </row>
    <row r="261" spans="1:10">
      <c r="A261" s="94"/>
      <c r="B261" s="3" t="s">
        <v>325</v>
      </c>
      <c r="C261" s="12" t="s">
        <v>770</v>
      </c>
      <c r="D261" s="12">
        <v>1500</v>
      </c>
      <c r="E261" s="12" t="s">
        <v>739</v>
      </c>
      <c r="G261" s="12"/>
      <c r="H261" s="22">
        <f t="shared" ref="H261:H263" si="17">D261</f>
        <v>1500</v>
      </c>
      <c r="I261" s="48" t="s">
        <v>225</v>
      </c>
    </row>
    <row r="262" spans="1:10">
      <c r="A262" s="96"/>
      <c r="B262" s="3" t="s">
        <v>452</v>
      </c>
      <c r="C262" s="12" t="s">
        <v>770</v>
      </c>
      <c r="D262" s="12">
        <v>1500</v>
      </c>
      <c r="E262" s="12" t="s">
        <v>739</v>
      </c>
      <c r="G262" s="12"/>
      <c r="H262" s="22">
        <f t="shared" si="17"/>
        <v>1500</v>
      </c>
      <c r="I262" s="48" t="s">
        <v>225</v>
      </c>
      <c r="J262" s="3"/>
    </row>
    <row r="263" spans="1:10">
      <c r="A263" s="96"/>
      <c r="B263" s="3" t="s">
        <v>485</v>
      </c>
      <c r="C263" s="12" t="s">
        <v>770</v>
      </c>
      <c r="D263" s="12">
        <v>2600</v>
      </c>
      <c r="E263" s="12" t="s">
        <v>739</v>
      </c>
      <c r="G263" s="12"/>
      <c r="H263" s="22">
        <f t="shared" si="17"/>
        <v>2600</v>
      </c>
      <c r="I263" s="48" t="s">
        <v>225</v>
      </c>
      <c r="J263" s="3"/>
    </row>
    <row r="264" spans="1:10">
      <c r="A264" s="96"/>
      <c r="B264" s="19"/>
      <c r="C264" s="16"/>
      <c r="D264" s="16"/>
      <c r="E264" s="16"/>
      <c r="G264" s="16"/>
      <c r="H264" s="14">
        <f>SUM(H260:H263)/4</f>
        <v>1715.4649999999999</v>
      </c>
      <c r="I264" s="19"/>
      <c r="J264" s="19"/>
    </row>
    <row r="265" spans="1:10">
      <c r="A265" s="96"/>
      <c r="B265" s="19"/>
      <c r="C265" s="16"/>
      <c r="D265" s="16"/>
      <c r="E265" s="16"/>
      <c r="G265" s="16"/>
      <c r="H265" s="22"/>
      <c r="I265" s="19"/>
      <c r="J265" s="19"/>
    </row>
    <row r="266" spans="1:10">
      <c r="A266" s="94"/>
      <c r="B266" s="3" t="s">
        <v>191</v>
      </c>
      <c r="C266" s="12" t="s">
        <v>770</v>
      </c>
      <c r="D266" s="12">
        <v>1000</v>
      </c>
      <c r="E266" s="12" t="s">
        <v>739</v>
      </c>
      <c r="G266" s="12">
        <f>D266</f>
        <v>1000</v>
      </c>
      <c r="H266" s="22">
        <f t="shared" ref="H266:H267" si="18">D266</f>
        <v>1000</v>
      </c>
      <c r="I266" s="3" t="s">
        <v>225</v>
      </c>
    </row>
    <row r="267" spans="1:10">
      <c r="A267" s="96"/>
      <c r="B267" s="3" t="s">
        <v>451</v>
      </c>
      <c r="C267" s="12" t="s">
        <v>770</v>
      </c>
      <c r="D267" s="12">
        <v>1000</v>
      </c>
      <c r="E267" s="12" t="s">
        <v>739</v>
      </c>
      <c r="G267" s="50">
        <f t="shared" ref="G267:G268" si="19">D267</f>
        <v>1000</v>
      </c>
      <c r="H267" s="22">
        <f t="shared" si="18"/>
        <v>1000</v>
      </c>
      <c r="I267" s="48" t="s">
        <v>225</v>
      </c>
      <c r="J267" s="3"/>
    </row>
    <row r="268" spans="1:10">
      <c r="A268" s="96"/>
      <c r="B268" s="3" t="s">
        <v>486</v>
      </c>
      <c r="C268" s="12" t="s">
        <v>770</v>
      </c>
      <c r="D268" s="12">
        <v>1000</v>
      </c>
      <c r="E268" s="12" t="s">
        <v>739</v>
      </c>
      <c r="G268" s="50">
        <f t="shared" si="19"/>
        <v>1000</v>
      </c>
      <c r="H268" s="22">
        <f>D268</f>
        <v>1000</v>
      </c>
      <c r="I268" s="48" t="s">
        <v>225</v>
      </c>
      <c r="J268" s="3"/>
    </row>
    <row r="269" spans="1:10">
      <c r="A269" s="96"/>
      <c r="B269" s="19"/>
      <c r="C269" s="16"/>
      <c r="D269" s="16"/>
      <c r="E269" s="16"/>
      <c r="G269" s="49">
        <f>SUM(G266:G268)/3</f>
        <v>1000</v>
      </c>
      <c r="H269" s="14">
        <f>SUM(H266:H268)/3</f>
        <v>1000</v>
      </c>
      <c r="I269" s="19"/>
      <c r="J269" s="19"/>
    </row>
    <row r="270" spans="1:10">
      <c r="A270" s="96"/>
      <c r="B270" s="48"/>
      <c r="C270" s="50"/>
      <c r="D270" s="50"/>
      <c r="E270" s="50"/>
      <c r="G270" s="49"/>
      <c r="H270" s="14"/>
      <c r="I270" s="48"/>
      <c r="J270" s="48"/>
    </row>
    <row r="271" spans="1:10">
      <c r="A271" s="94"/>
      <c r="B271" s="48" t="s">
        <v>192</v>
      </c>
      <c r="C271" s="50" t="s">
        <v>770</v>
      </c>
      <c r="D271" s="50">
        <v>1500</v>
      </c>
      <c r="E271" s="50" t="s">
        <v>739</v>
      </c>
      <c r="G271" s="50"/>
      <c r="H271" s="22">
        <f>D271</f>
        <v>1500</v>
      </c>
      <c r="I271" s="48" t="s">
        <v>225</v>
      </c>
    </row>
    <row r="272" spans="1:10">
      <c r="A272" s="94"/>
      <c r="B272" s="48" t="s">
        <v>487</v>
      </c>
      <c r="C272" s="50" t="s">
        <v>770</v>
      </c>
      <c r="D272" s="50">
        <v>1500</v>
      </c>
      <c r="E272" s="50" t="s">
        <v>739</v>
      </c>
      <c r="G272" s="50"/>
      <c r="H272" s="22">
        <f t="shared" ref="H272:H273" si="20">D272</f>
        <v>1500</v>
      </c>
      <c r="I272" s="48" t="s">
        <v>225</v>
      </c>
    </row>
    <row r="273" spans="1:10">
      <c r="A273" s="94"/>
      <c r="B273" s="48" t="s">
        <v>466</v>
      </c>
      <c r="C273" s="50" t="s">
        <v>770</v>
      </c>
      <c r="D273" s="50">
        <v>1500</v>
      </c>
      <c r="E273" s="50" t="s">
        <v>739</v>
      </c>
      <c r="G273" s="50"/>
      <c r="H273" s="22">
        <f t="shared" si="20"/>
        <v>1500</v>
      </c>
      <c r="I273" s="48" t="s">
        <v>225</v>
      </c>
      <c r="J273" s="3"/>
    </row>
    <row r="274" spans="1:10">
      <c r="A274" s="94"/>
      <c r="B274" s="48" t="s">
        <v>193</v>
      </c>
      <c r="C274" s="50" t="s">
        <v>770</v>
      </c>
      <c r="D274" s="50">
        <v>1750</v>
      </c>
      <c r="E274" s="50" t="s">
        <v>739</v>
      </c>
      <c r="G274" s="50"/>
      <c r="H274" s="22">
        <f t="shared" ref="H274" si="21">D274</f>
        <v>1750</v>
      </c>
      <c r="I274" s="48" t="s">
        <v>225</v>
      </c>
      <c r="J274" s="48"/>
    </row>
    <row r="275" spans="1:10">
      <c r="A275" s="94"/>
      <c r="B275" s="19"/>
      <c r="C275" s="16"/>
      <c r="D275" s="16"/>
      <c r="E275" s="16"/>
      <c r="G275" s="16"/>
      <c r="H275" s="14">
        <f>SUM(H271:H274)/4</f>
        <v>1562.5</v>
      </c>
      <c r="I275" s="19"/>
      <c r="J275" s="19"/>
    </row>
    <row r="276" spans="1:10">
      <c r="A276" s="94"/>
      <c r="B276" s="19"/>
      <c r="C276" s="16"/>
      <c r="D276" s="16"/>
      <c r="E276" s="16"/>
      <c r="G276" s="16"/>
      <c r="H276" s="22"/>
      <c r="I276" s="19"/>
      <c r="J276" s="19"/>
    </row>
    <row r="277" spans="1:10">
      <c r="A277" s="94"/>
      <c r="B277" s="3" t="s">
        <v>467</v>
      </c>
      <c r="C277" s="12" t="s">
        <v>770</v>
      </c>
      <c r="D277" s="12">
        <v>1000</v>
      </c>
      <c r="E277" s="12" t="s">
        <v>739</v>
      </c>
      <c r="H277" s="6">
        <f>D277</f>
        <v>1000</v>
      </c>
      <c r="I277" s="3" t="s">
        <v>225</v>
      </c>
    </row>
    <row r="278" spans="1:10">
      <c r="A278" s="94"/>
      <c r="B278" s="48" t="s">
        <v>194</v>
      </c>
      <c r="C278" s="50" t="s">
        <v>770</v>
      </c>
      <c r="D278" s="50">
        <v>750</v>
      </c>
      <c r="E278" s="50" t="s">
        <v>739</v>
      </c>
      <c r="H278" s="6">
        <f>D278</f>
        <v>750</v>
      </c>
      <c r="I278" s="48" t="s">
        <v>225</v>
      </c>
    </row>
    <row r="279" spans="1:10">
      <c r="A279" s="94"/>
      <c r="B279" s="48" t="s">
        <v>199</v>
      </c>
      <c r="C279" s="50" t="s">
        <v>770</v>
      </c>
      <c r="D279" s="50">
        <v>1500</v>
      </c>
      <c r="E279" s="50" t="s">
        <v>739</v>
      </c>
      <c r="H279" s="6">
        <f>D279</f>
        <v>1500</v>
      </c>
      <c r="I279" s="48" t="s">
        <v>225</v>
      </c>
    </row>
    <row r="280" spans="1:10">
      <c r="A280" s="94"/>
      <c r="B280" s="48"/>
      <c r="C280" s="50"/>
      <c r="D280" s="50"/>
      <c r="E280" s="50"/>
      <c r="H280" s="14">
        <f>SUM(H277:H279)/3</f>
        <v>1083.3333333333333</v>
      </c>
      <c r="I280" s="48"/>
    </row>
    <row r="281" spans="1:10">
      <c r="A281" s="94"/>
      <c r="B281" s="48"/>
      <c r="C281" s="50"/>
      <c r="D281" s="50"/>
      <c r="E281" s="50"/>
      <c r="H281" s="49"/>
      <c r="I281" s="48"/>
    </row>
    <row r="282" spans="1:10">
      <c r="A282" s="94"/>
      <c r="B282" s="48" t="s">
        <v>195</v>
      </c>
      <c r="C282" s="50" t="s">
        <v>770</v>
      </c>
      <c r="D282" s="50">
        <v>250</v>
      </c>
      <c r="E282" s="50"/>
      <c r="H282" s="6">
        <f>D282</f>
        <v>250</v>
      </c>
      <c r="I282" s="48" t="s">
        <v>225</v>
      </c>
    </row>
    <row r="283" spans="1:10">
      <c r="A283" s="94"/>
      <c r="B283" s="48" t="s">
        <v>196</v>
      </c>
      <c r="C283" s="50" t="s">
        <v>770</v>
      </c>
      <c r="D283" s="50">
        <v>500</v>
      </c>
      <c r="E283" s="50"/>
      <c r="H283" s="6">
        <f>D283</f>
        <v>500</v>
      </c>
      <c r="I283" s="48" t="s">
        <v>225</v>
      </c>
    </row>
    <row r="284" spans="1:10">
      <c r="A284" s="94"/>
      <c r="B284" s="48"/>
      <c r="C284" s="50"/>
      <c r="D284" s="50"/>
      <c r="E284" s="50"/>
      <c r="H284" s="49">
        <f>SUM(H282:H283)/2</f>
        <v>375</v>
      </c>
      <c r="I284" s="48"/>
    </row>
    <row r="285" spans="1:10">
      <c r="A285" s="94"/>
      <c r="B285" s="48"/>
      <c r="C285" s="50"/>
      <c r="D285" s="50"/>
      <c r="E285" s="50"/>
      <c r="H285" s="49"/>
      <c r="I285" s="48"/>
    </row>
    <row r="286" spans="1:10">
      <c r="A286" s="94"/>
      <c r="B286" s="48" t="s">
        <v>197</v>
      </c>
      <c r="C286" s="50" t="s">
        <v>770</v>
      </c>
      <c r="D286" s="50">
        <v>1625</v>
      </c>
      <c r="E286" s="50"/>
      <c r="H286" s="6">
        <f>D286</f>
        <v>1625</v>
      </c>
      <c r="I286" s="48" t="s">
        <v>225</v>
      </c>
    </row>
    <row r="287" spans="1:10">
      <c r="A287" s="94"/>
      <c r="B287" s="48" t="s">
        <v>198</v>
      </c>
      <c r="C287" s="50" t="s">
        <v>770</v>
      </c>
      <c r="D287" s="50">
        <v>1500</v>
      </c>
      <c r="E287" s="50"/>
      <c r="H287" s="6">
        <f>D287</f>
        <v>1500</v>
      </c>
      <c r="I287" s="48" t="s">
        <v>225</v>
      </c>
    </row>
    <row r="288" spans="1:10">
      <c r="A288" s="94"/>
      <c r="B288" s="48"/>
      <c r="C288" s="50"/>
      <c r="D288" s="50"/>
      <c r="E288" s="50"/>
      <c r="H288" s="14">
        <f>SUM(H286:H287)/2</f>
        <v>1562.5</v>
      </c>
      <c r="I288" s="48"/>
    </row>
    <row r="289" spans="1:10">
      <c r="A289" s="94"/>
      <c r="B289" s="48"/>
      <c r="C289" s="50"/>
      <c r="D289" s="50"/>
      <c r="E289" s="50"/>
      <c r="H289" s="49"/>
      <c r="I289" s="48"/>
    </row>
    <row r="290" spans="1:10">
      <c r="A290" s="94"/>
      <c r="B290" s="3" t="s">
        <v>468</v>
      </c>
      <c r="C290" s="12" t="s">
        <v>770</v>
      </c>
      <c r="D290" s="12">
        <v>875</v>
      </c>
      <c r="E290" s="12" t="s">
        <v>739</v>
      </c>
      <c r="G290" s="12"/>
      <c r="H290" s="22">
        <f>D290</f>
        <v>875</v>
      </c>
      <c r="I290" s="3" t="s">
        <v>225</v>
      </c>
    </row>
    <row r="291" spans="1:10">
      <c r="A291" s="94"/>
      <c r="B291" s="3" t="s">
        <v>758</v>
      </c>
      <c r="C291" s="12" t="s">
        <v>759</v>
      </c>
      <c r="D291" s="12">
        <v>60.84</v>
      </c>
      <c r="E291" s="12" t="s">
        <v>739</v>
      </c>
      <c r="G291" s="12"/>
      <c r="H291" s="22">
        <f>12*D291</f>
        <v>730.08</v>
      </c>
      <c r="I291" s="3" t="s">
        <v>765</v>
      </c>
    </row>
    <row r="292" spans="1:10">
      <c r="A292" s="94"/>
      <c r="B292" s="7" t="s">
        <v>360</v>
      </c>
      <c r="C292" s="16"/>
      <c r="D292" s="16"/>
      <c r="E292" s="16"/>
      <c r="G292" s="16"/>
      <c r="H292" s="14">
        <f>SUM(H290:H291)/2</f>
        <v>802.54</v>
      </c>
      <c r="I292" s="19"/>
    </row>
    <row r="293" spans="1:10">
      <c r="A293" s="94"/>
      <c r="B293" s="48"/>
      <c r="C293" s="50"/>
      <c r="D293" s="50"/>
      <c r="E293" s="50"/>
      <c r="G293" s="50"/>
      <c r="H293" s="14"/>
      <c r="I293" s="48"/>
    </row>
    <row r="294" spans="1:10">
      <c r="A294" s="94"/>
      <c r="B294" s="48" t="s">
        <v>123</v>
      </c>
      <c r="C294" s="50" t="s">
        <v>770</v>
      </c>
      <c r="D294">
        <v>500</v>
      </c>
      <c r="E294" t="s">
        <v>695</v>
      </c>
      <c r="H294" s="49">
        <f>D294</f>
        <v>500</v>
      </c>
      <c r="I294" s="48" t="s">
        <v>147</v>
      </c>
      <c r="J294" s="48"/>
    </row>
    <row r="295" spans="1:10">
      <c r="A295" s="94"/>
      <c r="B295" s="48"/>
      <c r="C295" s="50"/>
      <c r="H295" s="49"/>
      <c r="I295" s="48"/>
      <c r="J295" s="48"/>
    </row>
    <row r="296" spans="1:10">
      <c r="A296" s="94"/>
      <c r="B296" s="19" t="s">
        <v>371</v>
      </c>
      <c r="C296" s="16" t="s">
        <v>770</v>
      </c>
      <c r="H296" s="15">
        <v>575.91</v>
      </c>
      <c r="I296" s="19" t="s">
        <v>27</v>
      </c>
      <c r="J296" s="19"/>
    </row>
    <row r="297" spans="1:10" ht="18">
      <c r="A297" s="93" t="s">
        <v>732</v>
      </c>
      <c r="B297" s="19"/>
      <c r="C297" s="16"/>
      <c r="D297" s="16"/>
      <c r="E297" s="16"/>
      <c r="G297" s="16"/>
      <c r="H297" s="22"/>
      <c r="I297" s="19"/>
      <c r="J297" s="19"/>
    </row>
    <row r="298" spans="1:10">
      <c r="A298" s="94" t="s">
        <v>401</v>
      </c>
      <c r="B298" s="19" t="s">
        <v>371</v>
      </c>
      <c r="C298" s="16" t="s">
        <v>770</v>
      </c>
      <c r="H298" s="15">
        <v>212.31</v>
      </c>
      <c r="I298" s="48" t="s">
        <v>27</v>
      </c>
    </row>
    <row r="299" spans="1:10">
      <c r="A299" s="7"/>
      <c r="B299" s="19"/>
      <c r="C299" s="16"/>
      <c r="D299" s="16"/>
      <c r="E299" s="16"/>
      <c r="G299" s="16"/>
      <c r="H299" s="14"/>
      <c r="I299" s="19"/>
    </row>
    <row r="300" spans="1:10" ht="18">
      <c r="A300" s="97" t="s">
        <v>734</v>
      </c>
      <c r="B300" s="3"/>
      <c r="C300" s="2"/>
      <c r="D300" s="2"/>
      <c r="E300" s="2"/>
      <c r="G300" s="2"/>
      <c r="H300" s="22"/>
      <c r="I300" s="3"/>
    </row>
    <row r="301" spans="1:10">
      <c r="A301" s="98" t="s">
        <v>639</v>
      </c>
      <c r="B301" s="3" t="s">
        <v>737</v>
      </c>
      <c r="C301" s="2" t="s">
        <v>738</v>
      </c>
      <c r="D301" s="2">
        <v>0.85</v>
      </c>
      <c r="E301" s="2" t="s">
        <v>739</v>
      </c>
      <c r="G301" s="2"/>
      <c r="H301" s="14">
        <f>313*D301</f>
        <v>266.05</v>
      </c>
      <c r="I301" s="3" t="s">
        <v>750</v>
      </c>
      <c r="J301" s="3"/>
    </row>
    <row r="302" spans="1:10">
      <c r="A302" s="98"/>
      <c r="B302" s="19" t="s">
        <v>281</v>
      </c>
      <c r="C302" s="16"/>
      <c r="D302" s="16"/>
      <c r="E302" s="16"/>
      <c r="F302" s="16"/>
      <c r="G302" s="22"/>
      <c r="H302" s="14">
        <f>H301*0.6</f>
        <v>159.63</v>
      </c>
      <c r="I302" s="19" t="s">
        <v>262</v>
      </c>
    </row>
    <row r="303" spans="1:10">
      <c r="A303" s="98"/>
      <c r="B303" s="19"/>
      <c r="C303" s="16"/>
      <c r="D303" s="16"/>
      <c r="E303" s="16"/>
      <c r="G303" s="16"/>
      <c r="H303" s="14"/>
      <c r="I303" s="19"/>
      <c r="J303" s="19"/>
    </row>
    <row r="304" spans="1:10">
      <c r="A304" s="98" t="s">
        <v>640</v>
      </c>
      <c r="B304" t="s">
        <v>595</v>
      </c>
      <c r="C304" s="16" t="s">
        <v>699</v>
      </c>
      <c r="D304" s="16">
        <v>2.2999999999999998</v>
      </c>
      <c r="E304" s="16" t="s">
        <v>596</v>
      </c>
      <c r="F304" s="16">
        <f>D304</f>
        <v>2.2999999999999998</v>
      </c>
      <c r="G304" s="22">
        <f>D304+F304</f>
        <v>4.5999999999999996</v>
      </c>
      <c r="H304" s="14">
        <f>52*G304</f>
        <v>239.2</v>
      </c>
      <c r="I304" s="19" t="s">
        <v>597</v>
      </c>
    </row>
    <row r="305" spans="1:10">
      <c r="A305" s="98"/>
      <c r="B305" s="19" t="s">
        <v>280</v>
      </c>
      <c r="C305" s="16"/>
      <c r="D305" s="16"/>
      <c r="E305" s="16"/>
      <c r="G305" s="16"/>
      <c r="H305" s="14">
        <f>H304*0.6</f>
        <v>143.51999999999998</v>
      </c>
      <c r="I305" s="19" t="s">
        <v>262</v>
      </c>
    </row>
    <row r="306" spans="1:10">
      <c r="A306" s="98"/>
      <c r="B306" s="19"/>
      <c r="C306" s="16"/>
      <c r="D306" s="16"/>
      <c r="E306" s="16"/>
      <c r="G306" s="16"/>
      <c r="H306" s="22"/>
      <c r="I306" s="19"/>
      <c r="J306" s="19"/>
    </row>
    <row r="307" spans="1:10">
      <c r="A307" s="98" t="s">
        <v>752</v>
      </c>
      <c r="B307" s="3" t="s">
        <v>278</v>
      </c>
      <c r="C307" s="2" t="s">
        <v>738</v>
      </c>
      <c r="D307" s="2">
        <v>1.81</v>
      </c>
      <c r="E307" s="2" t="s">
        <v>739</v>
      </c>
      <c r="G307" s="2"/>
      <c r="H307" s="14">
        <f>313*D307</f>
        <v>566.53</v>
      </c>
      <c r="I307" s="3" t="s">
        <v>757</v>
      </c>
    </row>
    <row r="308" spans="1:10">
      <c r="A308" s="98"/>
      <c r="B308" s="19" t="s">
        <v>279</v>
      </c>
      <c r="C308" s="16"/>
      <c r="D308" s="16"/>
      <c r="E308" s="16"/>
      <c r="G308" s="16"/>
      <c r="H308" s="14">
        <f>H307*0.6</f>
        <v>339.91799999999995</v>
      </c>
      <c r="I308" s="19" t="s">
        <v>262</v>
      </c>
    </row>
    <row r="309" spans="1:10">
      <c r="A309" s="98"/>
      <c r="B309" s="19"/>
      <c r="C309" s="16"/>
      <c r="D309" s="16"/>
      <c r="E309" s="16"/>
      <c r="G309" s="16"/>
      <c r="H309" s="14"/>
      <c r="I309" s="19"/>
    </row>
    <row r="310" spans="1:10">
      <c r="A310" s="98" t="s">
        <v>604</v>
      </c>
      <c r="B310" s="1" t="s">
        <v>278</v>
      </c>
      <c r="C310" s="1"/>
      <c r="D310" s="1"/>
      <c r="E310" s="1"/>
      <c r="F310" s="1"/>
      <c r="G310" s="1"/>
      <c r="H310" s="14">
        <f>0.928*H307</f>
        <v>525.73983999999996</v>
      </c>
      <c r="I310" s="5" t="s">
        <v>200</v>
      </c>
      <c r="J310" s="1"/>
    </row>
    <row r="311" spans="1:10">
      <c r="A311" s="98"/>
      <c r="B311" s="19" t="s">
        <v>279</v>
      </c>
      <c r="C311" s="16"/>
      <c r="D311" s="16"/>
      <c r="E311" s="16"/>
      <c r="G311" s="16"/>
      <c r="H311" s="14">
        <f>H310*0.6</f>
        <v>315.44390399999997</v>
      </c>
      <c r="I311" s="19" t="s">
        <v>262</v>
      </c>
    </row>
    <row r="312" spans="1:10">
      <c r="A312" s="98"/>
      <c r="B312" s="37"/>
      <c r="C312" s="38"/>
      <c r="D312" s="38"/>
      <c r="E312" s="38"/>
      <c r="G312" s="38"/>
      <c r="H312" s="14"/>
      <c r="I312" s="37"/>
    </row>
    <row r="313" spans="1:10">
      <c r="A313" s="98" t="s">
        <v>605</v>
      </c>
      <c r="B313" s="37" t="s">
        <v>771</v>
      </c>
      <c r="C313" s="38" t="s">
        <v>770</v>
      </c>
      <c r="D313" s="22">
        <f>348.8*1.041</f>
        <v>363.10079999999999</v>
      </c>
      <c r="E313" s="38" t="s">
        <v>739</v>
      </c>
      <c r="G313" s="22">
        <f>D313</f>
        <v>363.10079999999999</v>
      </c>
      <c r="H313" s="14">
        <f>H93*1.041</f>
        <v>384.38924999999995</v>
      </c>
      <c r="I313" s="37" t="s">
        <v>135</v>
      </c>
      <c r="J313" s="37"/>
    </row>
    <row r="314" spans="1:10">
      <c r="A314" s="99"/>
      <c r="B314" s="5"/>
      <c r="C314" s="38"/>
      <c r="D314" s="38"/>
      <c r="E314" s="38"/>
      <c r="F314" s="38"/>
      <c r="G314" s="22"/>
      <c r="H314" s="22"/>
    </row>
    <row r="315" spans="1:10">
      <c r="A315" s="98"/>
      <c r="B315" s="5" t="s">
        <v>365</v>
      </c>
      <c r="C315" s="38" t="s">
        <v>770</v>
      </c>
      <c r="D315" s="22">
        <f>0.506*D313</f>
        <v>183.72900479999998</v>
      </c>
      <c r="E315" s="38" t="s">
        <v>739</v>
      </c>
      <c r="F315" s="38"/>
      <c r="G315" s="22">
        <f>D315</f>
        <v>183.72900479999998</v>
      </c>
      <c r="H315" s="14">
        <f>0.485*H313</f>
        <v>186.42878624999997</v>
      </c>
      <c r="I315" s="37" t="s">
        <v>201</v>
      </c>
    </row>
    <row r="316" spans="1:10">
      <c r="A316" s="98"/>
      <c r="B316" s="19"/>
      <c r="C316" s="16"/>
      <c r="D316" s="16"/>
      <c r="E316" s="16"/>
      <c r="G316" s="16"/>
      <c r="H316" s="22"/>
      <c r="I316" s="19"/>
    </row>
    <row r="317" spans="1:10">
      <c r="A317" s="98" t="s">
        <v>603</v>
      </c>
      <c r="B317" s="3" t="s">
        <v>455</v>
      </c>
      <c r="C317" s="12" t="s">
        <v>770</v>
      </c>
      <c r="D317" s="17">
        <v>1250</v>
      </c>
      <c r="E317" s="12" t="s">
        <v>739</v>
      </c>
      <c r="G317" s="17"/>
      <c r="H317" s="22">
        <f>D317</f>
        <v>1250</v>
      </c>
      <c r="I317" s="3" t="s">
        <v>225</v>
      </c>
    </row>
    <row r="318" spans="1:10">
      <c r="A318" s="98"/>
      <c r="B318" s="3" t="s">
        <v>469</v>
      </c>
      <c r="C318" s="12" t="s">
        <v>770</v>
      </c>
      <c r="D318" s="17">
        <v>3500</v>
      </c>
      <c r="E318" s="16" t="s">
        <v>739</v>
      </c>
      <c r="G318" s="17"/>
      <c r="H318" s="22">
        <f t="shared" ref="H318:H319" si="22">D318</f>
        <v>3500</v>
      </c>
      <c r="I318" s="48" t="s">
        <v>225</v>
      </c>
    </row>
    <row r="319" spans="1:10">
      <c r="A319" s="98"/>
      <c r="B319" s="3" t="s">
        <v>326</v>
      </c>
      <c r="C319" s="12" t="s">
        <v>770</v>
      </c>
      <c r="D319" s="17">
        <v>1750</v>
      </c>
      <c r="E319" s="16" t="s">
        <v>739</v>
      </c>
      <c r="G319" s="17"/>
      <c r="H319" s="22">
        <f t="shared" si="22"/>
        <v>1750</v>
      </c>
      <c r="I319" s="48" t="s">
        <v>225</v>
      </c>
    </row>
    <row r="320" spans="1:10">
      <c r="A320" s="98"/>
      <c r="B320" s="19"/>
      <c r="C320" s="16"/>
      <c r="D320" s="17"/>
      <c r="E320" s="16"/>
      <c r="G320" s="17"/>
      <c r="H320" s="28">
        <f>SUM(H317:H319)/3</f>
        <v>2166.6666666666665</v>
      </c>
      <c r="I320" s="19"/>
    </row>
    <row r="321" spans="1:9">
      <c r="A321" s="98"/>
      <c r="B321" s="19"/>
      <c r="C321" s="16"/>
      <c r="D321" s="17"/>
      <c r="E321" s="16"/>
      <c r="G321" s="17"/>
      <c r="H321" s="27"/>
      <c r="I321" s="19"/>
    </row>
    <row r="322" spans="1:9">
      <c r="A322" s="98"/>
      <c r="B322" s="3" t="s">
        <v>456</v>
      </c>
      <c r="C322" s="12" t="s">
        <v>770</v>
      </c>
      <c r="D322" s="12">
        <v>600</v>
      </c>
      <c r="E322" s="12" t="s">
        <v>739</v>
      </c>
      <c r="G322" s="12"/>
      <c r="H322" s="22">
        <f>D322</f>
        <v>600</v>
      </c>
      <c r="I322" s="48" t="s">
        <v>225</v>
      </c>
    </row>
    <row r="323" spans="1:9">
      <c r="A323" s="98"/>
      <c r="B323" s="3" t="s">
        <v>470</v>
      </c>
      <c r="C323" s="12" t="s">
        <v>770</v>
      </c>
      <c r="D323" s="12">
        <v>3000</v>
      </c>
      <c r="E323" s="12" t="s">
        <v>739</v>
      </c>
      <c r="G323" s="12"/>
      <c r="H323" s="22">
        <f>D323</f>
        <v>3000</v>
      </c>
      <c r="I323" s="19" t="s">
        <v>225</v>
      </c>
    </row>
    <row r="324" spans="1:9">
      <c r="A324" s="98"/>
      <c r="B324" s="3" t="s">
        <v>327</v>
      </c>
      <c r="C324" s="12" t="s">
        <v>770</v>
      </c>
      <c r="D324" s="12">
        <v>1500</v>
      </c>
      <c r="E324" s="16" t="s">
        <v>739</v>
      </c>
      <c r="G324" s="16"/>
      <c r="H324" s="22">
        <f>D324</f>
        <v>1500</v>
      </c>
      <c r="I324" s="19" t="s">
        <v>225</v>
      </c>
    </row>
    <row r="325" spans="1:9">
      <c r="A325" s="98"/>
      <c r="B325" s="19"/>
      <c r="C325" s="16"/>
      <c r="D325" s="16"/>
      <c r="E325" s="16"/>
      <c r="G325" s="16"/>
      <c r="H325" s="14">
        <f>SUM(H322:H324)/3</f>
        <v>1700</v>
      </c>
      <c r="I325" s="19"/>
    </row>
    <row r="326" spans="1:9">
      <c r="A326" s="98"/>
      <c r="B326" s="19"/>
      <c r="C326" s="16"/>
      <c r="D326" s="16"/>
      <c r="E326" s="16"/>
      <c r="G326" s="16"/>
      <c r="H326" s="22"/>
      <c r="I326" s="19"/>
    </row>
    <row r="327" spans="1:9">
      <c r="A327" s="98"/>
      <c r="B327" s="3" t="s">
        <v>329</v>
      </c>
      <c r="C327" s="12" t="s">
        <v>770</v>
      </c>
      <c r="D327" s="12">
        <v>1350</v>
      </c>
      <c r="E327" s="16" t="s">
        <v>739</v>
      </c>
      <c r="G327" s="16"/>
      <c r="H327" s="13">
        <f>D327</f>
        <v>1350</v>
      </c>
      <c r="I327" s="19" t="s">
        <v>225</v>
      </c>
    </row>
    <row r="328" spans="1:9">
      <c r="A328" s="98"/>
      <c r="B328" s="48" t="s">
        <v>471</v>
      </c>
      <c r="C328" s="50" t="s">
        <v>770</v>
      </c>
      <c r="D328" s="50">
        <v>2500</v>
      </c>
      <c r="E328" s="50" t="s">
        <v>739</v>
      </c>
      <c r="G328" s="50"/>
      <c r="H328" s="13">
        <f>D328</f>
        <v>2500</v>
      </c>
      <c r="I328" s="48" t="s">
        <v>225</v>
      </c>
    </row>
    <row r="329" spans="1:9">
      <c r="A329" s="98"/>
      <c r="B329" s="48"/>
      <c r="C329" s="50"/>
      <c r="D329" s="50"/>
      <c r="E329" s="50"/>
      <c r="G329" s="50"/>
      <c r="H329" s="14">
        <f>SUM(H327:H328)/2</f>
        <v>1925</v>
      </c>
      <c r="I329" s="48"/>
    </row>
    <row r="330" spans="1:9">
      <c r="A330" s="98"/>
      <c r="B330" s="19"/>
      <c r="C330" s="16"/>
      <c r="D330" s="16"/>
      <c r="E330" s="16"/>
      <c r="G330" s="16"/>
      <c r="H330" s="22"/>
      <c r="I330" s="19"/>
    </row>
    <row r="331" spans="1:9">
      <c r="A331" s="98"/>
      <c r="B331" s="3" t="s">
        <v>328</v>
      </c>
      <c r="C331" s="12" t="s">
        <v>770</v>
      </c>
      <c r="D331" s="12">
        <v>1500</v>
      </c>
      <c r="E331" s="16" t="s">
        <v>739</v>
      </c>
      <c r="G331" s="16"/>
      <c r="H331" s="14">
        <f>D331</f>
        <v>1500</v>
      </c>
      <c r="I331" s="19" t="s">
        <v>225</v>
      </c>
    </row>
    <row r="332" spans="1:9">
      <c r="A332" s="99"/>
      <c r="B332" s="47" t="s">
        <v>126</v>
      </c>
      <c r="C332" s="50" t="s">
        <v>444</v>
      </c>
      <c r="D332" s="50">
        <v>1000</v>
      </c>
      <c r="E332" s="50"/>
      <c r="G332" s="50"/>
      <c r="H332" s="14">
        <f>D332</f>
        <v>1000</v>
      </c>
      <c r="I332" s="48" t="s">
        <v>225</v>
      </c>
    </row>
    <row r="333" spans="1:9">
      <c r="A333" s="99"/>
      <c r="B333" s="47" t="s">
        <v>127</v>
      </c>
      <c r="C333" s="50" t="s">
        <v>444</v>
      </c>
      <c r="D333" s="50">
        <v>3000</v>
      </c>
      <c r="E333" s="50"/>
      <c r="G333" s="50"/>
      <c r="H333" s="14">
        <f>D333</f>
        <v>3000</v>
      </c>
      <c r="I333" s="48" t="s">
        <v>225</v>
      </c>
    </row>
    <row r="334" spans="1:9">
      <c r="A334" s="98"/>
      <c r="B334" s="48"/>
      <c r="C334" s="50"/>
      <c r="D334" s="50"/>
      <c r="E334" s="50"/>
      <c r="G334" s="50"/>
      <c r="H334" s="14">
        <f>SUM(H331:H333)/3</f>
        <v>1833.3333333333333</v>
      </c>
      <c r="I334" s="48"/>
    </row>
    <row r="335" spans="1:9">
      <c r="A335" s="98"/>
      <c r="B335" s="48"/>
      <c r="C335" s="50"/>
      <c r="D335" s="50"/>
      <c r="E335" s="50"/>
      <c r="G335" s="50"/>
      <c r="H335" s="14"/>
      <c r="I335" s="48"/>
    </row>
    <row r="336" spans="1:9">
      <c r="A336" s="98"/>
      <c r="B336" s="48" t="s">
        <v>124</v>
      </c>
      <c r="C336" s="50" t="s">
        <v>770</v>
      </c>
      <c r="D336" s="50">
        <v>1000</v>
      </c>
      <c r="E336" s="50"/>
      <c r="G336" s="50"/>
      <c r="H336" s="13">
        <f>D336</f>
        <v>1000</v>
      </c>
      <c r="I336" s="48" t="s">
        <v>225</v>
      </c>
    </row>
    <row r="337" spans="1:10">
      <c r="A337" s="98"/>
      <c r="B337" s="48" t="s">
        <v>125</v>
      </c>
      <c r="C337" s="50" t="s">
        <v>770</v>
      </c>
      <c r="D337" s="50">
        <v>4000</v>
      </c>
      <c r="E337" s="50"/>
      <c r="G337" s="50"/>
      <c r="H337" s="13">
        <f>D337</f>
        <v>4000</v>
      </c>
      <c r="I337" s="48" t="s">
        <v>225</v>
      </c>
    </row>
    <row r="338" spans="1:10">
      <c r="A338" s="98"/>
      <c r="B338" s="48"/>
      <c r="C338" s="50"/>
      <c r="D338" s="50"/>
      <c r="E338" s="50"/>
      <c r="G338" s="50"/>
      <c r="H338" s="14">
        <f>SUM(H336:H337)/2</f>
        <v>2500</v>
      </c>
      <c r="I338" s="48"/>
    </row>
    <row r="339" spans="1:10">
      <c r="A339" s="99"/>
      <c r="B339" s="47"/>
      <c r="C339" s="50"/>
      <c r="D339" s="50"/>
      <c r="E339" s="50"/>
      <c r="G339" s="50"/>
      <c r="H339" s="14"/>
      <c r="I339" s="48"/>
    </row>
    <row r="340" spans="1:10">
      <c r="A340" s="99"/>
      <c r="B340" s="47" t="s">
        <v>128</v>
      </c>
      <c r="C340" s="50" t="s">
        <v>444</v>
      </c>
      <c r="D340" s="50">
        <v>600</v>
      </c>
      <c r="E340" s="50"/>
      <c r="G340" s="50"/>
      <c r="H340" s="14">
        <f>D340</f>
        <v>600</v>
      </c>
      <c r="I340" s="48" t="s">
        <v>225</v>
      </c>
    </row>
    <row r="341" spans="1:10">
      <c r="A341" s="99"/>
      <c r="B341" s="47"/>
      <c r="C341" s="50"/>
      <c r="D341" s="50"/>
      <c r="E341" s="50"/>
      <c r="G341" s="50"/>
      <c r="H341" s="14"/>
      <c r="I341" s="48"/>
    </row>
    <row r="342" spans="1:10">
      <c r="A342" s="98"/>
      <c r="B342" s="3" t="s">
        <v>758</v>
      </c>
      <c r="C342" s="2" t="s">
        <v>759</v>
      </c>
      <c r="D342" s="2">
        <v>60.84</v>
      </c>
      <c r="E342" s="2" t="s">
        <v>739</v>
      </c>
      <c r="G342" s="2"/>
      <c r="H342" s="14">
        <f>D342*12</f>
        <v>730.08</v>
      </c>
      <c r="I342" s="3" t="s">
        <v>765</v>
      </c>
    </row>
    <row r="343" spans="1:10">
      <c r="A343" s="98"/>
      <c r="B343" s="48"/>
      <c r="C343" s="50"/>
      <c r="D343" s="50"/>
      <c r="E343" s="50"/>
      <c r="G343" s="50"/>
      <c r="H343" s="14"/>
      <c r="I343" s="48"/>
    </row>
    <row r="344" spans="1:10">
      <c r="A344" s="98"/>
      <c r="B344" s="48" t="s">
        <v>123</v>
      </c>
      <c r="C344" s="50" t="s">
        <v>770</v>
      </c>
      <c r="D344">
        <v>500</v>
      </c>
      <c r="E344" t="s">
        <v>695</v>
      </c>
      <c r="H344" s="49">
        <f>D344</f>
        <v>500</v>
      </c>
      <c r="I344" s="48" t="s">
        <v>147</v>
      </c>
      <c r="J344" s="48"/>
    </row>
    <row r="345" spans="1:10">
      <c r="A345" s="98"/>
      <c r="B345" s="48"/>
      <c r="C345" s="50"/>
      <c r="H345" s="49"/>
      <c r="I345" s="48"/>
      <c r="J345" s="48"/>
    </row>
    <row r="346" spans="1:10">
      <c r="A346" s="98"/>
      <c r="B346" s="19" t="s">
        <v>371</v>
      </c>
      <c r="C346" s="16" t="s">
        <v>770</v>
      </c>
      <c r="H346" s="15">
        <v>612.37</v>
      </c>
      <c r="I346" s="19" t="s">
        <v>27</v>
      </c>
      <c r="J346" s="19"/>
    </row>
    <row r="347" spans="1:10" ht="18">
      <c r="A347" s="97" t="s">
        <v>734</v>
      </c>
      <c r="B347" s="19"/>
      <c r="C347" s="16"/>
      <c r="D347" s="16"/>
      <c r="E347" s="16"/>
      <c r="G347" s="16"/>
      <c r="H347" s="22"/>
      <c r="I347" s="19"/>
      <c r="J347" s="19"/>
    </row>
    <row r="348" spans="1:10">
      <c r="A348" s="98" t="s">
        <v>401</v>
      </c>
      <c r="B348" s="19" t="s">
        <v>371</v>
      </c>
      <c r="C348" s="16" t="s">
        <v>770</v>
      </c>
      <c r="H348" s="15">
        <v>265.16000000000003</v>
      </c>
      <c r="I348" s="48" t="s">
        <v>27</v>
      </c>
    </row>
    <row r="349" spans="1:10">
      <c r="A349" s="7"/>
      <c r="B349" s="19"/>
      <c r="C349" s="16"/>
      <c r="D349" s="16"/>
      <c r="E349" s="16"/>
      <c r="G349" s="16"/>
      <c r="H349" s="14"/>
      <c r="I349" s="19"/>
    </row>
    <row r="350" spans="1:10" ht="18">
      <c r="A350" s="136" t="s">
        <v>733</v>
      </c>
      <c r="B350" s="3"/>
      <c r="C350" s="2"/>
      <c r="D350" s="2"/>
      <c r="E350" s="2"/>
      <c r="G350" s="2"/>
      <c r="H350" s="22"/>
    </row>
    <row r="351" spans="1:10">
      <c r="A351" s="137" t="s">
        <v>639</v>
      </c>
      <c r="B351" s="3" t="s">
        <v>737</v>
      </c>
      <c r="C351" s="2" t="s">
        <v>738</v>
      </c>
      <c r="D351" s="2">
        <v>0.77</v>
      </c>
      <c r="E351" s="2" t="s">
        <v>739</v>
      </c>
      <c r="G351" s="2"/>
      <c r="H351" s="22">
        <f>D351*313</f>
        <v>241.01000000000002</v>
      </c>
      <c r="I351" s="3" t="s">
        <v>129</v>
      </c>
    </row>
    <row r="352" spans="1:10">
      <c r="A352" s="138"/>
      <c r="B352" s="3" t="s">
        <v>737</v>
      </c>
      <c r="C352" s="2" t="s">
        <v>738</v>
      </c>
      <c r="D352" s="2">
        <v>0.68</v>
      </c>
      <c r="E352" s="2" t="s">
        <v>739</v>
      </c>
      <c r="G352" s="2"/>
      <c r="H352" s="22">
        <f>D352*313</f>
        <v>212.84</v>
      </c>
      <c r="I352" s="3" t="s">
        <v>751</v>
      </c>
      <c r="J352" s="3"/>
    </row>
    <row r="353" spans="1:10">
      <c r="A353" s="138"/>
      <c r="B353" s="19"/>
      <c r="C353" s="16"/>
      <c r="D353" s="16"/>
      <c r="E353" s="16"/>
      <c r="G353" s="16"/>
      <c r="H353" s="14">
        <f>SUM(H351:H352)/2</f>
        <v>226.92500000000001</v>
      </c>
      <c r="I353" s="19"/>
      <c r="J353" s="19"/>
    </row>
    <row r="354" spans="1:10">
      <c r="A354" s="137"/>
      <c r="B354" s="19" t="s">
        <v>281</v>
      </c>
      <c r="C354" s="16"/>
      <c r="D354" s="16"/>
      <c r="E354" s="16"/>
      <c r="F354" s="16"/>
      <c r="G354" s="22"/>
      <c r="H354" s="14">
        <f>H353*0.6</f>
        <v>136.155</v>
      </c>
      <c r="I354" s="19" t="s">
        <v>262</v>
      </c>
    </row>
    <row r="355" spans="1:10">
      <c r="A355" s="138"/>
      <c r="B355" s="19"/>
      <c r="C355" s="16"/>
      <c r="D355" s="16"/>
      <c r="E355" s="16"/>
      <c r="G355" s="16"/>
      <c r="H355" s="14"/>
      <c r="I355" s="19"/>
      <c r="J355" s="19"/>
    </row>
    <row r="356" spans="1:10">
      <c r="A356" s="137" t="s">
        <v>640</v>
      </c>
      <c r="B356" t="s">
        <v>595</v>
      </c>
      <c r="C356" s="16" t="s">
        <v>699</v>
      </c>
      <c r="D356" s="16">
        <v>0.99</v>
      </c>
      <c r="E356" s="16" t="s">
        <v>596</v>
      </c>
      <c r="F356" s="16">
        <f>D356</f>
        <v>0.99</v>
      </c>
      <c r="G356" s="22">
        <f>D356+F356</f>
        <v>1.98</v>
      </c>
      <c r="H356" s="14">
        <f>52*G356</f>
        <v>102.96</v>
      </c>
      <c r="I356" s="19" t="s">
        <v>597</v>
      </c>
    </row>
    <row r="357" spans="1:10">
      <c r="A357" s="137"/>
      <c r="B357" s="19" t="s">
        <v>280</v>
      </c>
      <c r="C357" s="16"/>
      <c r="D357" s="16"/>
      <c r="E357" s="16"/>
      <c r="G357" s="16"/>
      <c r="H357" s="14">
        <f>H356*0.6</f>
        <v>61.775999999999996</v>
      </c>
      <c r="I357" s="19" t="s">
        <v>262</v>
      </c>
    </row>
    <row r="358" spans="1:10">
      <c r="A358" s="138"/>
      <c r="B358" s="19"/>
      <c r="C358" s="16"/>
      <c r="D358" s="16"/>
      <c r="E358" s="16"/>
      <c r="G358" s="16"/>
      <c r="H358" s="22"/>
      <c r="I358" s="19"/>
      <c r="J358" s="19"/>
    </row>
    <row r="359" spans="1:10">
      <c r="A359" s="137" t="s">
        <v>752</v>
      </c>
      <c r="B359" s="3" t="s">
        <v>278</v>
      </c>
      <c r="C359" s="2" t="s">
        <v>738</v>
      </c>
      <c r="D359" s="2">
        <v>1.44</v>
      </c>
      <c r="E359" s="2" t="s">
        <v>739</v>
      </c>
      <c r="G359" s="2"/>
      <c r="H359" s="14">
        <f>D359*313</f>
        <v>450.71999999999997</v>
      </c>
      <c r="I359" s="3" t="s">
        <v>756</v>
      </c>
      <c r="J359" s="3"/>
    </row>
    <row r="360" spans="1:10">
      <c r="A360" s="137"/>
      <c r="B360" s="19" t="s">
        <v>279</v>
      </c>
      <c r="C360" s="16"/>
      <c r="D360" s="16"/>
      <c r="E360" s="16"/>
      <c r="G360" s="16"/>
      <c r="H360" s="14">
        <f>H359*0.6</f>
        <v>270.43199999999996</v>
      </c>
      <c r="I360" s="19" t="s">
        <v>262</v>
      </c>
    </row>
    <row r="361" spans="1:10">
      <c r="A361" s="137"/>
      <c r="B361" s="19"/>
      <c r="C361" s="16"/>
      <c r="D361" s="16"/>
      <c r="E361" s="16"/>
      <c r="G361" s="16"/>
      <c r="H361" s="14"/>
      <c r="I361" s="19"/>
      <c r="J361" s="19"/>
    </row>
    <row r="362" spans="1:10">
      <c r="A362" s="137" t="s">
        <v>604</v>
      </c>
      <c r="B362" s="1" t="s">
        <v>278</v>
      </c>
      <c r="C362" s="1"/>
      <c r="D362" s="1"/>
      <c r="E362" s="1"/>
      <c r="F362" s="1"/>
      <c r="G362" s="1"/>
      <c r="H362" s="14">
        <f>0.928*H359</f>
        <v>418.26815999999997</v>
      </c>
      <c r="I362" s="5" t="s">
        <v>130</v>
      </c>
      <c r="J362" s="1"/>
    </row>
    <row r="363" spans="1:10">
      <c r="A363" s="137"/>
      <c r="B363" s="19" t="s">
        <v>279</v>
      </c>
      <c r="C363" s="16"/>
      <c r="D363" s="16"/>
      <c r="E363" s="16"/>
      <c r="G363" s="16"/>
      <c r="H363" s="14">
        <f>H362*0.6</f>
        <v>250.96089599999996</v>
      </c>
      <c r="I363" s="19" t="s">
        <v>262</v>
      </c>
    </row>
    <row r="364" spans="1:10">
      <c r="A364" s="137"/>
      <c r="B364" s="37"/>
      <c r="C364" s="38"/>
      <c r="D364" s="38"/>
      <c r="E364" s="38"/>
      <c r="G364" s="38"/>
      <c r="H364" s="14"/>
      <c r="I364" s="37"/>
    </row>
    <row r="365" spans="1:10">
      <c r="A365" s="137" t="s">
        <v>605</v>
      </c>
      <c r="B365" s="37" t="s">
        <v>771</v>
      </c>
      <c r="C365" s="38" t="s">
        <v>770</v>
      </c>
      <c r="D365" s="22">
        <f>348.8*0.913</f>
        <v>318.45440000000002</v>
      </c>
      <c r="E365" s="38" t="s">
        <v>739</v>
      </c>
      <c r="G365" s="22">
        <f>D365</f>
        <v>318.45440000000002</v>
      </c>
      <c r="H365" s="14">
        <f>H93*0.739</f>
        <v>272.87574999999998</v>
      </c>
      <c r="I365" s="37" t="s">
        <v>131</v>
      </c>
      <c r="J365" s="37"/>
    </row>
    <row r="366" spans="1:10">
      <c r="A366" s="139"/>
      <c r="B366" s="5"/>
      <c r="C366" s="38"/>
      <c r="D366" s="38"/>
      <c r="E366" s="38"/>
      <c r="F366" s="38"/>
      <c r="G366" s="22"/>
      <c r="H366" s="22"/>
    </row>
    <row r="367" spans="1:10">
      <c r="A367" s="137"/>
      <c r="B367" s="5" t="s">
        <v>365</v>
      </c>
      <c r="C367" s="38" t="s">
        <v>770</v>
      </c>
      <c r="D367" s="22">
        <f>0.506*D365</f>
        <v>161.13792640000003</v>
      </c>
      <c r="E367" s="38" t="s">
        <v>739</v>
      </c>
      <c r="F367" s="38"/>
      <c r="G367" s="22">
        <f>D367</f>
        <v>161.13792640000003</v>
      </c>
      <c r="H367" s="22">
        <f>G367</f>
        <v>161.13792640000003</v>
      </c>
      <c r="I367" s="37" t="s">
        <v>145</v>
      </c>
    </row>
    <row r="368" spans="1:10">
      <c r="A368" s="137"/>
      <c r="B368" s="19"/>
      <c r="C368" s="16"/>
      <c r="D368" s="16"/>
      <c r="E368" s="16"/>
      <c r="G368" s="16"/>
      <c r="H368" s="22"/>
      <c r="I368" s="19"/>
      <c r="J368" s="19"/>
    </row>
    <row r="369" spans="1:10">
      <c r="A369" s="137" t="s">
        <v>603</v>
      </c>
      <c r="B369" s="3" t="s">
        <v>758</v>
      </c>
      <c r="C369" s="2" t="s">
        <v>759</v>
      </c>
      <c r="D369" s="2">
        <v>42.95</v>
      </c>
      <c r="E369" s="2" t="s">
        <v>739</v>
      </c>
      <c r="G369" s="2"/>
      <c r="H369" s="22">
        <f>D369*12</f>
        <v>515.40000000000009</v>
      </c>
      <c r="I369" s="3" t="s">
        <v>764</v>
      </c>
      <c r="J369" s="3"/>
    </row>
    <row r="370" spans="1:10">
      <c r="A370" s="137"/>
      <c r="B370" s="19" t="s">
        <v>458</v>
      </c>
      <c r="C370" s="16" t="s">
        <v>770</v>
      </c>
      <c r="D370" s="16">
        <v>500</v>
      </c>
      <c r="E370" s="16" t="s">
        <v>739</v>
      </c>
      <c r="G370" s="16"/>
      <c r="H370" s="22">
        <f>D370</f>
        <v>500</v>
      </c>
      <c r="I370" s="19" t="s">
        <v>225</v>
      </c>
      <c r="J370" s="19"/>
    </row>
    <row r="371" spans="1:10">
      <c r="A371" s="137"/>
      <c r="B371" s="19" t="s">
        <v>500</v>
      </c>
      <c r="C371" s="16" t="s">
        <v>770</v>
      </c>
      <c r="D371" s="16">
        <v>500</v>
      </c>
      <c r="E371" s="16" t="s">
        <v>739</v>
      </c>
      <c r="G371" s="16">
        <v>750</v>
      </c>
      <c r="H371" s="22">
        <f t="shared" ref="H371:H373" si="23">D371</f>
        <v>500</v>
      </c>
      <c r="I371" s="48" t="s">
        <v>225</v>
      </c>
      <c r="J371" s="19"/>
    </row>
    <row r="372" spans="1:10">
      <c r="A372" s="137"/>
      <c r="B372" s="19" t="s">
        <v>324</v>
      </c>
      <c r="C372" s="16" t="s">
        <v>770</v>
      </c>
      <c r="D372" s="16">
        <v>1000</v>
      </c>
      <c r="E372" s="16" t="s">
        <v>739</v>
      </c>
      <c r="G372" s="16">
        <v>1500</v>
      </c>
      <c r="H372" s="22">
        <f t="shared" si="23"/>
        <v>1000</v>
      </c>
      <c r="I372" s="48" t="s">
        <v>225</v>
      </c>
      <c r="J372" s="19"/>
    </row>
    <row r="373" spans="1:10">
      <c r="A373" s="137"/>
      <c r="B373" s="19" t="s">
        <v>331</v>
      </c>
      <c r="C373" s="16" t="s">
        <v>770</v>
      </c>
      <c r="D373" s="16">
        <v>1000</v>
      </c>
      <c r="E373" s="16" t="s">
        <v>739</v>
      </c>
      <c r="G373" s="16">
        <v>2000</v>
      </c>
      <c r="H373" s="22">
        <f t="shared" si="23"/>
        <v>1000</v>
      </c>
      <c r="I373" s="48" t="s">
        <v>225</v>
      </c>
      <c r="J373" s="19"/>
    </row>
    <row r="374" spans="1:10" s="107" customFormat="1">
      <c r="A374" s="140"/>
      <c r="B374" s="105" t="s">
        <v>446</v>
      </c>
      <c r="C374" s="106" t="s">
        <v>770</v>
      </c>
      <c r="D374" s="106">
        <v>1594.38</v>
      </c>
      <c r="E374" s="106" t="s">
        <v>739</v>
      </c>
      <c r="G374" s="106"/>
      <c r="H374" s="125">
        <f>D374</f>
        <v>1594.38</v>
      </c>
      <c r="I374" s="105" t="s">
        <v>225</v>
      </c>
      <c r="J374" s="105"/>
    </row>
    <row r="375" spans="1:10" s="107" customFormat="1">
      <c r="A375" s="137"/>
      <c r="B375" s="105"/>
      <c r="C375" s="106"/>
      <c r="D375" s="106"/>
      <c r="E375" s="106"/>
      <c r="G375" s="106"/>
      <c r="H375" s="128">
        <f>SUM(H369:H374)/6</f>
        <v>851.63000000000011</v>
      </c>
      <c r="I375" s="105"/>
      <c r="J375" s="105"/>
    </row>
    <row r="376" spans="1:10" s="107" customFormat="1">
      <c r="A376" s="137"/>
      <c r="B376" s="105"/>
      <c r="C376" s="106"/>
      <c r="D376" s="106"/>
      <c r="E376" s="106"/>
      <c r="G376" s="106"/>
      <c r="H376" s="125"/>
      <c r="I376" s="105"/>
      <c r="J376" s="105"/>
    </row>
    <row r="377" spans="1:10" s="107" customFormat="1">
      <c r="A377" s="137"/>
      <c r="B377" s="105" t="s">
        <v>457</v>
      </c>
      <c r="C377" s="106" t="s">
        <v>770</v>
      </c>
      <c r="D377" s="106">
        <v>1285</v>
      </c>
      <c r="E377" s="106" t="s">
        <v>739</v>
      </c>
      <c r="G377" s="106"/>
      <c r="H377" s="125">
        <f>D377</f>
        <v>1285</v>
      </c>
      <c r="I377" s="105" t="s">
        <v>225</v>
      </c>
      <c r="J377" s="105"/>
    </row>
    <row r="378" spans="1:10" s="107" customFormat="1">
      <c r="A378" s="138"/>
      <c r="B378" s="105" t="s">
        <v>453</v>
      </c>
      <c r="C378" s="106" t="s">
        <v>770</v>
      </c>
      <c r="D378" s="106">
        <v>2000</v>
      </c>
      <c r="E378" s="106" t="s">
        <v>739</v>
      </c>
      <c r="G378" s="106"/>
      <c r="H378" s="125">
        <f t="shared" ref="H378:H381" si="24">D378</f>
        <v>2000</v>
      </c>
      <c r="I378" s="105" t="s">
        <v>225</v>
      </c>
      <c r="J378" s="105"/>
    </row>
    <row r="379" spans="1:10" s="107" customFormat="1">
      <c r="A379" s="138"/>
      <c r="B379" s="105" t="s">
        <v>499</v>
      </c>
      <c r="C379" s="106" t="s">
        <v>770</v>
      </c>
      <c r="D379" s="106">
        <v>1950</v>
      </c>
      <c r="E379" s="106" t="s">
        <v>739</v>
      </c>
      <c r="G379" s="106"/>
      <c r="H379" s="125">
        <f t="shared" si="24"/>
        <v>1950</v>
      </c>
      <c r="I379" s="105" t="s">
        <v>225</v>
      </c>
      <c r="J379" s="105"/>
    </row>
    <row r="380" spans="1:10" s="107" customFormat="1">
      <c r="A380" s="138"/>
      <c r="B380" s="105" t="s">
        <v>323</v>
      </c>
      <c r="C380" s="106" t="s">
        <v>770</v>
      </c>
      <c r="D380" s="106">
        <v>3000</v>
      </c>
      <c r="E380" s="106" t="s">
        <v>739</v>
      </c>
      <c r="G380" s="106"/>
      <c r="H380" s="125">
        <f t="shared" si="24"/>
        <v>3000</v>
      </c>
      <c r="I380" s="105" t="s">
        <v>225</v>
      </c>
      <c r="J380" s="105"/>
    </row>
    <row r="381" spans="1:10" s="107" customFormat="1">
      <c r="A381" s="138"/>
      <c r="B381" s="105" t="s">
        <v>330</v>
      </c>
      <c r="C381" s="106" t="s">
        <v>770</v>
      </c>
      <c r="D381" s="106">
        <v>1936.12</v>
      </c>
      <c r="E381" s="106" t="s">
        <v>739</v>
      </c>
      <c r="G381" s="106"/>
      <c r="H381" s="125">
        <f t="shared" si="24"/>
        <v>1936.12</v>
      </c>
      <c r="I381" s="105" t="s">
        <v>225</v>
      </c>
      <c r="J381" s="105"/>
    </row>
    <row r="382" spans="1:10" s="107" customFormat="1">
      <c r="A382" s="140"/>
      <c r="B382" s="105" t="s">
        <v>475</v>
      </c>
      <c r="C382" s="106" t="s">
        <v>770</v>
      </c>
      <c r="D382" s="126">
        <v>1980</v>
      </c>
      <c r="E382" s="106" t="s">
        <v>739</v>
      </c>
      <c r="G382" s="126"/>
      <c r="H382" s="125">
        <f>D382</f>
        <v>1980</v>
      </c>
      <c r="I382" s="105" t="s">
        <v>225</v>
      </c>
      <c r="J382" s="105"/>
    </row>
    <row r="383" spans="1:10" s="107" customFormat="1">
      <c r="A383" s="138"/>
      <c r="B383" s="105"/>
      <c r="C383" s="106"/>
      <c r="D383" s="106"/>
      <c r="E383" s="106"/>
      <c r="G383" s="106"/>
      <c r="H383" s="128">
        <f>SUM(H377:H382)/6</f>
        <v>2025.1866666666665</v>
      </c>
      <c r="I383" s="105"/>
      <c r="J383" s="105"/>
    </row>
    <row r="384" spans="1:10" s="107" customFormat="1">
      <c r="A384" s="138"/>
      <c r="B384" s="105"/>
      <c r="C384" s="106"/>
      <c r="D384" s="106"/>
      <c r="E384" s="106"/>
      <c r="G384" s="106"/>
      <c r="H384" s="125"/>
      <c r="I384" s="105"/>
      <c r="J384" s="105"/>
    </row>
    <row r="385" spans="1:10" s="107" customFormat="1">
      <c r="A385" s="140"/>
      <c r="B385" s="105" t="s">
        <v>450</v>
      </c>
      <c r="C385" s="106" t="s">
        <v>770</v>
      </c>
      <c r="D385" s="126">
        <v>3000</v>
      </c>
      <c r="E385" s="106" t="s">
        <v>739</v>
      </c>
      <c r="G385" s="126"/>
      <c r="H385" s="125">
        <f>D385</f>
        <v>3000</v>
      </c>
      <c r="I385" s="105" t="s">
        <v>225</v>
      </c>
      <c r="J385" s="105"/>
    </row>
    <row r="386" spans="1:10" s="107" customFormat="1">
      <c r="A386" s="140"/>
      <c r="B386" s="105" t="s">
        <v>477</v>
      </c>
      <c r="C386" s="106" t="s">
        <v>770</v>
      </c>
      <c r="D386" s="126">
        <v>2500</v>
      </c>
      <c r="E386" s="106" t="s">
        <v>739</v>
      </c>
      <c r="G386" s="126"/>
      <c r="H386" s="125">
        <f>D386</f>
        <v>2500</v>
      </c>
      <c r="I386" s="105" t="s">
        <v>225</v>
      </c>
      <c r="J386" s="105"/>
    </row>
    <row r="387" spans="1:10" s="107" customFormat="1">
      <c r="A387" s="140"/>
      <c r="B387" s="104" t="s">
        <v>360</v>
      </c>
      <c r="C387" s="106"/>
      <c r="D387" s="126"/>
      <c r="E387" s="106"/>
      <c r="G387" s="126"/>
      <c r="H387" s="128">
        <f>SUM(H385:H386)/2</f>
        <v>2750</v>
      </c>
      <c r="I387" s="105"/>
      <c r="J387" s="105"/>
    </row>
    <row r="388" spans="1:10" s="107" customFormat="1">
      <c r="A388" s="140"/>
      <c r="B388" s="105"/>
      <c r="C388" s="106"/>
      <c r="D388" s="126"/>
      <c r="E388" s="106"/>
      <c r="G388" s="126"/>
      <c r="H388" s="125"/>
      <c r="I388" s="105"/>
      <c r="J388" s="105"/>
    </row>
    <row r="389" spans="1:10" s="107" customFormat="1">
      <c r="A389" s="140"/>
      <c r="B389" s="105" t="s">
        <v>447</v>
      </c>
      <c r="C389" s="106" t="s">
        <v>770</v>
      </c>
      <c r="D389" s="126">
        <v>3200</v>
      </c>
      <c r="E389" s="106" t="s">
        <v>739</v>
      </c>
      <c r="G389" s="126"/>
      <c r="H389" s="125">
        <f>D389</f>
        <v>3200</v>
      </c>
      <c r="I389" s="105" t="s">
        <v>225</v>
      </c>
      <c r="J389" s="105"/>
    </row>
    <row r="390" spans="1:10" s="107" customFormat="1">
      <c r="A390" s="140"/>
      <c r="B390" s="105" t="s">
        <v>476</v>
      </c>
      <c r="C390" s="106" t="s">
        <v>770</v>
      </c>
      <c r="D390" s="126">
        <v>1500</v>
      </c>
      <c r="E390" s="106" t="s">
        <v>739</v>
      </c>
      <c r="G390" s="126"/>
      <c r="H390" s="125">
        <f>D390</f>
        <v>1500</v>
      </c>
      <c r="I390" s="105" t="s">
        <v>225</v>
      </c>
      <c r="J390" s="105"/>
    </row>
    <row r="391" spans="1:10" s="107" customFormat="1">
      <c r="A391" s="140"/>
      <c r="B391" s="104" t="s">
        <v>360</v>
      </c>
      <c r="C391" s="106"/>
      <c r="D391" s="126"/>
      <c r="E391" s="106"/>
      <c r="G391" s="126"/>
      <c r="H391" s="128">
        <f>SUM(H389:H390)/2</f>
        <v>2350</v>
      </c>
      <c r="I391" s="105"/>
      <c r="J391" s="105"/>
    </row>
    <row r="392" spans="1:10" s="107" customFormat="1">
      <c r="A392" s="140"/>
      <c r="B392" s="105"/>
      <c r="C392" s="106"/>
      <c r="D392" s="126"/>
      <c r="E392" s="106"/>
      <c r="G392" s="126"/>
      <c r="H392" s="125"/>
      <c r="I392" s="105"/>
      <c r="J392" s="105"/>
    </row>
    <row r="393" spans="1:10" s="107" customFormat="1">
      <c r="A393" s="140"/>
      <c r="B393" s="105" t="s">
        <v>478</v>
      </c>
      <c r="C393" s="106" t="s">
        <v>770</v>
      </c>
      <c r="D393" s="126">
        <v>2646.86</v>
      </c>
      <c r="E393" s="106" t="s">
        <v>739</v>
      </c>
      <c r="G393" s="126"/>
      <c r="H393" s="125">
        <f>D393</f>
        <v>2646.86</v>
      </c>
      <c r="I393" s="105" t="s">
        <v>225</v>
      </c>
      <c r="J393" s="105"/>
    </row>
    <row r="394" spans="1:10" s="107" customFormat="1">
      <c r="A394" s="140"/>
      <c r="B394" s="129" t="s">
        <v>163</v>
      </c>
      <c r="C394" s="106" t="s">
        <v>770</v>
      </c>
      <c r="D394" s="126">
        <v>1500</v>
      </c>
      <c r="E394" s="106"/>
      <c r="G394" s="126"/>
      <c r="H394" s="130">
        <f>D394</f>
        <v>1500</v>
      </c>
      <c r="I394" s="105" t="s">
        <v>225</v>
      </c>
      <c r="J394" s="105"/>
    </row>
    <row r="395" spans="1:10" s="107" customFormat="1">
      <c r="A395" s="140"/>
      <c r="B395" s="104" t="s">
        <v>360</v>
      </c>
      <c r="C395" s="106"/>
      <c r="D395" s="126"/>
      <c r="E395" s="106"/>
      <c r="G395" s="126"/>
      <c r="H395" s="128">
        <f>SUM(H393:H394)/2</f>
        <v>2073.4300000000003</v>
      </c>
      <c r="I395" s="105"/>
      <c r="J395" s="105"/>
    </row>
    <row r="396" spans="1:10" s="107" customFormat="1">
      <c r="A396" s="140"/>
      <c r="B396" s="129"/>
      <c r="C396" s="106"/>
      <c r="D396" s="126"/>
      <c r="E396" s="106"/>
      <c r="G396" s="126"/>
      <c r="H396" s="128"/>
      <c r="I396" s="105"/>
      <c r="J396" s="105"/>
    </row>
    <row r="397" spans="1:10" s="107" customFormat="1">
      <c r="A397" s="140"/>
      <c r="B397" s="105" t="s">
        <v>448</v>
      </c>
      <c r="C397" s="106" t="s">
        <v>770</v>
      </c>
      <c r="D397" s="126">
        <v>1225</v>
      </c>
      <c r="E397" s="106" t="s">
        <v>739</v>
      </c>
      <c r="G397" s="126"/>
      <c r="H397" s="125">
        <f t="shared" ref="H397:H402" si="25">D397</f>
        <v>1225</v>
      </c>
      <c r="I397" s="105" t="s">
        <v>225</v>
      </c>
      <c r="J397" s="105"/>
    </row>
    <row r="398" spans="1:10" s="107" customFormat="1">
      <c r="A398" s="140"/>
      <c r="B398" s="105" t="s">
        <v>479</v>
      </c>
      <c r="C398" s="106" t="s">
        <v>770</v>
      </c>
      <c r="D398" s="126">
        <v>2000</v>
      </c>
      <c r="E398" s="106" t="s">
        <v>739</v>
      </c>
      <c r="G398" s="126"/>
      <c r="H398" s="125">
        <f t="shared" si="25"/>
        <v>2000</v>
      </c>
      <c r="I398" s="105" t="s">
        <v>225</v>
      </c>
      <c r="J398" s="105"/>
    </row>
    <row r="399" spans="1:10" s="107" customFormat="1">
      <c r="A399" s="140"/>
      <c r="B399" s="129" t="s">
        <v>155</v>
      </c>
      <c r="C399" s="106" t="s">
        <v>770</v>
      </c>
      <c r="D399" s="106">
        <v>1400</v>
      </c>
      <c r="E399" s="106"/>
      <c r="G399" s="126"/>
      <c r="H399" s="130">
        <f t="shared" si="25"/>
        <v>1400</v>
      </c>
      <c r="I399" s="105" t="s">
        <v>225</v>
      </c>
      <c r="J399" s="105"/>
    </row>
    <row r="400" spans="1:10" s="107" customFormat="1">
      <c r="A400" s="140"/>
      <c r="B400" s="129" t="s">
        <v>156</v>
      </c>
      <c r="C400" s="106" t="s">
        <v>770</v>
      </c>
      <c r="D400" s="106">
        <v>1000</v>
      </c>
      <c r="E400" s="106"/>
      <c r="G400" s="126"/>
      <c r="H400" s="130">
        <f t="shared" si="25"/>
        <v>1000</v>
      </c>
      <c r="I400" s="105" t="s">
        <v>225</v>
      </c>
      <c r="J400" s="105"/>
    </row>
    <row r="401" spans="1:10" s="107" customFormat="1">
      <c r="A401" s="140"/>
      <c r="B401" s="129" t="s">
        <v>153</v>
      </c>
      <c r="C401" s="106" t="s">
        <v>770</v>
      </c>
      <c r="D401" s="106">
        <v>1180</v>
      </c>
      <c r="E401" s="106"/>
      <c r="G401" s="126"/>
      <c r="H401" s="130">
        <f t="shared" si="25"/>
        <v>1180</v>
      </c>
      <c r="I401" s="105" t="s">
        <v>225</v>
      </c>
      <c r="J401" s="105"/>
    </row>
    <row r="402" spans="1:10" s="107" customFormat="1">
      <c r="A402" s="140"/>
      <c r="B402" s="105" t="s">
        <v>154</v>
      </c>
      <c r="C402" s="106" t="s">
        <v>770</v>
      </c>
      <c r="D402" s="106">
        <v>2070</v>
      </c>
      <c r="E402" s="106"/>
      <c r="G402" s="126"/>
      <c r="H402" s="130">
        <f t="shared" si="25"/>
        <v>2070</v>
      </c>
      <c r="I402" s="105"/>
      <c r="J402" s="105"/>
    </row>
    <row r="403" spans="1:10" s="107" customFormat="1">
      <c r="A403" s="140"/>
      <c r="B403" s="104" t="s">
        <v>360</v>
      </c>
      <c r="C403" s="106"/>
      <c r="D403" s="126"/>
      <c r="E403" s="106"/>
      <c r="G403" s="126"/>
      <c r="H403" s="128">
        <f>SUM(H397:H402)/6</f>
        <v>1479.1666666666667</v>
      </c>
      <c r="I403" s="105"/>
      <c r="J403" s="105"/>
    </row>
    <row r="404" spans="1:10" s="107" customFormat="1">
      <c r="A404" s="139"/>
    </row>
    <row r="405" spans="1:10" s="107" customFormat="1">
      <c r="A405" s="140"/>
      <c r="B405" s="129" t="s">
        <v>150</v>
      </c>
      <c r="C405" s="106" t="s">
        <v>770</v>
      </c>
      <c r="D405" s="126">
        <v>2434.67</v>
      </c>
      <c r="E405" s="106"/>
      <c r="G405" s="126"/>
      <c r="H405" s="130">
        <f>D405</f>
        <v>2434.67</v>
      </c>
      <c r="I405" s="105" t="s">
        <v>144</v>
      </c>
      <c r="J405" s="105"/>
    </row>
    <row r="406" spans="1:10" s="107" customFormat="1">
      <c r="A406" s="140"/>
      <c r="B406" s="129" t="s">
        <v>158</v>
      </c>
      <c r="C406" s="106" t="s">
        <v>770</v>
      </c>
      <c r="D406" s="126">
        <v>1000</v>
      </c>
      <c r="E406" s="106"/>
      <c r="G406" s="126"/>
      <c r="H406" s="130">
        <f>D406</f>
        <v>1000</v>
      </c>
      <c r="I406" s="105" t="s">
        <v>144</v>
      </c>
      <c r="J406" s="105"/>
    </row>
    <row r="407" spans="1:10" s="107" customFormat="1">
      <c r="A407" s="140"/>
      <c r="B407" s="129" t="s">
        <v>159</v>
      </c>
      <c r="C407" s="106" t="s">
        <v>770</v>
      </c>
      <c r="D407" s="126">
        <v>800</v>
      </c>
      <c r="E407" s="106"/>
      <c r="G407" s="126"/>
      <c r="H407" s="130">
        <f>D407</f>
        <v>800</v>
      </c>
      <c r="I407" s="105" t="s">
        <v>144</v>
      </c>
      <c r="J407" s="105"/>
    </row>
    <row r="408" spans="1:10" s="107" customFormat="1">
      <c r="A408" s="140"/>
      <c r="B408" s="104" t="s">
        <v>360</v>
      </c>
      <c r="C408" s="106"/>
      <c r="D408" s="126"/>
      <c r="E408" s="106"/>
      <c r="G408" s="126"/>
      <c r="H408" s="128">
        <f>SUM(H405:H407)/3</f>
        <v>1411.5566666666666</v>
      </c>
      <c r="I408" s="105"/>
      <c r="J408" s="105"/>
    </row>
    <row r="409" spans="1:10" s="107" customFormat="1">
      <c r="A409" s="140"/>
      <c r="B409" s="129"/>
      <c r="C409" s="106"/>
      <c r="D409" s="126"/>
      <c r="E409" s="106"/>
      <c r="G409" s="126"/>
      <c r="H409" s="130"/>
      <c r="I409" s="105"/>
      <c r="J409" s="105"/>
    </row>
    <row r="410" spans="1:10" s="107" customFormat="1">
      <c r="A410" s="140"/>
      <c r="B410" s="129" t="s">
        <v>151</v>
      </c>
      <c r="C410" s="106" t="s">
        <v>770</v>
      </c>
      <c r="D410" s="126">
        <v>1912</v>
      </c>
      <c r="E410" s="106"/>
      <c r="G410" s="126"/>
      <c r="H410" s="128">
        <f>D410</f>
        <v>1912</v>
      </c>
      <c r="I410" s="105" t="s">
        <v>225</v>
      </c>
      <c r="J410" s="105"/>
    </row>
    <row r="411" spans="1:10" s="107" customFormat="1">
      <c r="A411" s="140"/>
      <c r="B411" s="129"/>
      <c r="C411" s="106"/>
      <c r="D411" s="126"/>
      <c r="E411" s="106"/>
      <c r="G411" s="126"/>
      <c r="H411" s="128"/>
      <c r="I411" s="105"/>
      <c r="J411" s="105"/>
    </row>
    <row r="412" spans="1:10" s="107" customFormat="1">
      <c r="A412" s="137"/>
      <c r="B412" s="105" t="s">
        <v>123</v>
      </c>
      <c r="C412" s="106" t="s">
        <v>770</v>
      </c>
      <c r="D412" s="107">
        <v>500</v>
      </c>
      <c r="E412" s="107" t="s">
        <v>695</v>
      </c>
      <c r="H412" s="108">
        <f>D412</f>
        <v>500</v>
      </c>
      <c r="I412" s="105" t="s">
        <v>147</v>
      </c>
      <c r="J412" s="105"/>
    </row>
    <row r="413" spans="1:10" s="107" customFormat="1">
      <c r="A413" s="137"/>
      <c r="B413" s="105"/>
      <c r="C413" s="106"/>
      <c r="H413" s="108"/>
      <c r="I413" s="105"/>
      <c r="J413" s="105"/>
    </row>
    <row r="414" spans="1:10" s="107" customFormat="1">
      <c r="A414" s="137"/>
      <c r="B414" s="105" t="s">
        <v>371</v>
      </c>
      <c r="C414" s="106" t="s">
        <v>770</v>
      </c>
      <c r="H414" s="131">
        <v>573.92999999999995</v>
      </c>
      <c r="I414" s="105" t="s">
        <v>27</v>
      </c>
      <c r="J414" s="105"/>
    </row>
    <row r="415" spans="1:10" s="107" customFormat="1">
      <c r="A415" s="140"/>
      <c r="B415" s="129" t="s">
        <v>152</v>
      </c>
      <c r="C415" s="106" t="s">
        <v>770</v>
      </c>
      <c r="D415" s="106">
        <v>720</v>
      </c>
      <c r="E415" s="106"/>
      <c r="G415" s="126"/>
      <c r="H415" s="130">
        <f>D415</f>
        <v>720</v>
      </c>
      <c r="I415" s="105" t="s">
        <v>225</v>
      </c>
      <c r="J415" s="105"/>
    </row>
    <row r="416" spans="1:10" s="107" customFormat="1">
      <c r="A416" s="137"/>
      <c r="B416" s="104" t="s">
        <v>360</v>
      </c>
      <c r="C416" s="106"/>
      <c r="H416" s="108">
        <f>SUM(H414:H415)/2</f>
        <v>646.96499999999992</v>
      </c>
      <c r="I416" s="105"/>
      <c r="J416" s="105"/>
    </row>
    <row r="417" spans="1:10" ht="18">
      <c r="A417" s="136"/>
      <c r="B417" s="19"/>
      <c r="C417" s="16"/>
      <c r="D417" s="16"/>
      <c r="E417" s="16"/>
      <c r="G417" s="16"/>
      <c r="H417" s="22"/>
      <c r="I417" s="19"/>
      <c r="J417" s="19"/>
    </row>
    <row r="418" spans="1:10">
      <c r="A418" s="137" t="s">
        <v>401</v>
      </c>
      <c r="B418" s="19" t="s">
        <v>371</v>
      </c>
      <c r="C418" s="16" t="s">
        <v>770</v>
      </c>
      <c r="H418" s="15">
        <v>204.82</v>
      </c>
      <c r="I418" s="48" t="s">
        <v>27</v>
      </c>
    </row>
    <row r="419" spans="1:10" s="107" customFormat="1">
      <c r="A419" s="104"/>
      <c r="B419" s="105"/>
      <c r="C419" s="106"/>
      <c r="H419" s="108"/>
      <c r="I419" s="105"/>
    </row>
    <row r="420" spans="1:10" ht="18">
      <c r="A420" s="110" t="s">
        <v>736</v>
      </c>
      <c r="B420" s="3"/>
      <c r="C420" s="2"/>
      <c r="D420" s="2"/>
      <c r="E420" s="2"/>
      <c r="G420" s="2"/>
      <c r="H420" s="22"/>
    </row>
    <row r="421" spans="1:10">
      <c r="A421" s="111" t="s">
        <v>639</v>
      </c>
      <c r="B421" s="3" t="s">
        <v>403</v>
      </c>
      <c r="C421" s="2" t="s">
        <v>738</v>
      </c>
      <c r="D421" s="2">
        <v>4.2</v>
      </c>
      <c r="E421" s="2" t="s">
        <v>739</v>
      </c>
      <c r="G421" s="2"/>
      <c r="H421" s="14">
        <f>313*D421</f>
        <v>1314.6000000000001</v>
      </c>
      <c r="I421" s="3" t="s">
        <v>768</v>
      </c>
    </row>
    <row r="422" spans="1:10">
      <c r="A422" s="111"/>
      <c r="B422" s="19"/>
      <c r="C422" s="16"/>
      <c r="D422" s="16"/>
      <c r="E422" s="16"/>
      <c r="G422" s="16"/>
      <c r="H422" s="14"/>
      <c r="I422" s="19"/>
    </row>
    <row r="423" spans="1:10">
      <c r="A423" s="111" t="s">
        <v>640</v>
      </c>
      <c r="B423" t="s">
        <v>398</v>
      </c>
      <c r="C423" s="16" t="s">
        <v>699</v>
      </c>
      <c r="D423" s="16">
        <v>13</v>
      </c>
      <c r="E423" s="16" t="s">
        <v>596</v>
      </c>
      <c r="F423" s="16">
        <f>D423</f>
        <v>13</v>
      </c>
      <c r="G423" s="22">
        <f>D423+F423</f>
        <v>26</v>
      </c>
      <c r="H423" s="13">
        <f>G423*52</f>
        <v>1352</v>
      </c>
      <c r="I423" s="19" t="s">
        <v>597</v>
      </c>
    </row>
    <row r="424" spans="1:10">
      <c r="A424" s="111"/>
      <c r="B424" t="s">
        <v>399</v>
      </c>
      <c r="C424" s="50" t="s">
        <v>699</v>
      </c>
      <c r="D424" s="50">
        <v>10</v>
      </c>
      <c r="E424" s="50" t="s">
        <v>596</v>
      </c>
      <c r="F424" s="50">
        <f>D424</f>
        <v>10</v>
      </c>
      <c r="G424" s="22">
        <f>D424+F424</f>
        <v>20</v>
      </c>
      <c r="H424" s="13">
        <f>G424*52</f>
        <v>1040</v>
      </c>
      <c r="I424" s="48" t="s">
        <v>597</v>
      </c>
    </row>
    <row r="425" spans="1:10">
      <c r="A425" s="111"/>
      <c r="C425" s="50"/>
      <c r="D425" s="50"/>
      <c r="E425" s="50"/>
      <c r="F425" s="50"/>
      <c r="G425" s="22"/>
      <c r="H425" s="14">
        <f>SUM(H423:H424)/2</f>
        <v>1196</v>
      </c>
      <c r="I425" s="48"/>
    </row>
    <row r="426" spans="1:10">
      <c r="A426" s="111"/>
      <c r="B426" s="19"/>
      <c r="C426" s="16"/>
      <c r="D426" s="16"/>
      <c r="E426" s="16"/>
      <c r="G426" s="16"/>
      <c r="H426" s="22"/>
      <c r="I426" s="19"/>
    </row>
    <row r="427" spans="1:10">
      <c r="A427" s="111" t="s">
        <v>752</v>
      </c>
      <c r="B427" s="3" t="s">
        <v>405</v>
      </c>
      <c r="C427" s="2" t="s">
        <v>738</v>
      </c>
      <c r="D427" s="2">
        <v>6.42</v>
      </c>
      <c r="E427" s="2" t="s">
        <v>739</v>
      </c>
      <c r="G427" s="2"/>
      <c r="H427" s="14">
        <f>313*D427</f>
        <v>2009.46</v>
      </c>
      <c r="I427" s="3" t="s">
        <v>767</v>
      </c>
    </row>
    <row r="428" spans="1:10">
      <c r="A428" s="111"/>
      <c r="B428" s="19"/>
      <c r="C428" s="16"/>
      <c r="D428" s="16"/>
      <c r="E428" s="16"/>
      <c r="G428" s="16"/>
      <c r="H428" s="14"/>
      <c r="I428" s="19"/>
    </row>
    <row r="429" spans="1:10">
      <c r="A429" s="111" t="s">
        <v>604</v>
      </c>
      <c r="B429" s="1"/>
      <c r="C429" s="1"/>
      <c r="D429" s="1"/>
      <c r="E429" s="1"/>
      <c r="F429" s="1"/>
      <c r="G429" s="1"/>
      <c r="H429" s="14">
        <f>0.928*H427</f>
        <v>1864.7788800000001</v>
      </c>
      <c r="I429" s="5" t="s">
        <v>200</v>
      </c>
      <c r="J429" s="1"/>
    </row>
    <row r="430" spans="1:10">
      <c r="A430" s="111"/>
      <c r="B430" s="19"/>
      <c r="C430" s="16"/>
      <c r="D430" s="16"/>
      <c r="E430" s="16"/>
      <c r="G430" s="16"/>
      <c r="H430" s="22"/>
      <c r="I430" s="19"/>
    </row>
    <row r="431" spans="1:10">
      <c r="A431" s="111" t="s">
        <v>603</v>
      </c>
      <c r="B431" s="3" t="s">
        <v>404</v>
      </c>
      <c r="C431" s="2" t="s">
        <v>759</v>
      </c>
      <c r="D431" s="2">
        <v>194.35</v>
      </c>
      <c r="E431" s="2" t="s">
        <v>739</v>
      </c>
      <c r="G431" s="2"/>
      <c r="H431" s="14">
        <f>D431*12</f>
        <v>2332.1999999999998</v>
      </c>
      <c r="I431" s="3" t="s">
        <v>766</v>
      </c>
    </row>
    <row r="432" spans="1:10">
      <c r="A432" s="111"/>
      <c r="B432" s="19"/>
      <c r="C432" s="16"/>
      <c r="D432" s="16"/>
      <c r="E432" s="16"/>
      <c r="G432" s="16"/>
      <c r="H432" s="14"/>
      <c r="I432" s="19"/>
    </row>
    <row r="433" spans="1:10">
      <c r="A433" s="111"/>
      <c r="B433" s="3" t="s">
        <v>136</v>
      </c>
      <c r="C433" s="12" t="s">
        <v>770</v>
      </c>
      <c r="D433" s="12">
        <v>8500</v>
      </c>
      <c r="E433" s="12" t="s">
        <v>739</v>
      </c>
      <c r="G433" s="12"/>
      <c r="H433" s="14">
        <f>D433</f>
        <v>8500</v>
      </c>
      <c r="I433" s="3" t="s">
        <v>225</v>
      </c>
    </row>
    <row r="434" spans="1:10">
      <c r="A434" s="111"/>
      <c r="B434" s="19"/>
      <c r="C434" s="16"/>
      <c r="D434" s="16"/>
      <c r="E434" s="16"/>
      <c r="G434" s="16"/>
      <c r="H434" s="22"/>
      <c r="I434" s="19"/>
    </row>
    <row r="435" spans="1:10">
      <c r="A435" s="111"/>
      <c r="B435" s="3" t="s">
        <v>454</v>
      </c>
      <c r="C435" s="12" t="s">
        <v>770</v>
      </c>
      <c r="D435" s="12">
        <v>7500</v>
      </c>
      <c r="E435" s="12" t="s">
        <v>739</v>
      </c>
      <c r="G435" s="12"/>
      <c r="H435" s="14">
        <f>D435</f>
        <v>7500</v>
      </c>
      <c r="I435" s="3" t="s">
        <v>225</v>
      </c>
    </row>
    <row r="436" spans="1:10">
      <c r="A436" s="111"/>
      <c r="B436" s="48"/>
      <c r="C436" s="50"/>
      <c r="D436" s="50"/>
      <c r="E436" s="50"/>
      <c r="G436" s="50"/>
      <c r="H436" s="14"/>
      <c r="I436" s="48"/>
    </row>
    <row r="437" spans="1:10">
      <c r="A437" s="112"/>
      <c r="B437" s="47" t="s">
        <v>137</v>
      </c>
      <c r="C437" s="50" t="s">
        <v>770</v>
      </c>
      <c r="D437" s="50">
        <v>2000</v>
      </c>
      <c r="E437" s="50"/>
      <c r="G437" s="50"/>
      <c r="H437" s="14">
        <f>D437</f>
        <v>2000</v>
      </c>
      <c r="I437" s="48" t="s">
        <v>225</v>
      </c>
    </row>
    <row r="438" spans="1:10">
      <c r="A438" s="112"/>
      <c r="B438" s="47"/>
      <c r="C438" s="50"/>
      <c r="D438" s="50"/>
      <c r="E438" s="50"/>
      <c r="G438" s="50"/>
      <c r="H438" s="14"/>
      <c r="I438" s="48"/>
    </row>
    <row r="439" spans="1:10">
      <c r="A439" s="112"/>
      <c r="B439" t="s">
        <v>138</v>
      </c>
      <c r="C439" s="50" t="s">
        <v>770</v>
      </c>
      <c r="D439" s="50">
        <v>7500</v>
      </c>
      <c r="E439" s="50"/>
      <c r="G439" s="50"/>
      <c r="H439" s="14">
        <f>D439</f>
        <v>7500</v>
      </c>
      <c r="I439" s="48" t="s">
        <v>225</v>
      </c>
    </row>
    <row r="440" spans="1:10">
      <c r="A440" s="111"/>
      <c r="B440" s="48"/>
      <c r="C440" s="50"/>
      <c r="D440" s="50"/>
      <c r="E440" s="50"/>
      <c r="G440" s="50"/>
      <c r="H440" s="14"/>
      <c r="I440" s="48"/>
    </row>
    <row r="441" spans="1:10">
      <c r="A441" s="111"/>
      <c r="B441" s="19" t="s">
        <v>371</v>
      </c>
      <c r="C441" s="16" t="s">
        <v>770</v>
      </c>
      <c r="H441" s="15">
        <v>2080.9499999999998</v>
      </c>
      <c r="I441" s="19" t="s">
        <v>27</v>
      </c>
      <c r="J441" s="19"/>
    </row>
    <row r="442" spans="1:10" ht="18">
      <c r="A442" s="110" t="s">
        <v>736</v>
      </c>
      <c r="B442" s="19"/>
      <c r="C442" s="16"/>
      <c r="D442" s="16"/>
      <c r="E442" s="16"/>
      <c r="G442" s="16"/>
      <c r="H442" s="22"/>
      <c r="I442" s="19"/>
      <c r="J442" s="19"/>
    </row>
    <row r="443" spans="1:10">
      <c r="A443" s="111" t="s">
        <v>401</v>
      </c>
      <c r="B443" s="19" t="s">
        <v>371</v>
      </c>
      <c r="C443" s="16" t="s">
        <v>770</v>
      </c>
      <c r="H443" s="15">
        <v>1034.8900000000001</v>
      </c>
      <c r="I443" s="48" t="s">
        <v>27</v>
      </c>
    </row>
    <row r="446" spans="1:10" ht="18">
      <c r="A446" s="109" t="s">
        <v>789</v>
      </c>
    </row>
  </sheetData>
  <mergeCells count="1">
    <mergeCell ref="A3:I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workbookViewId="0">
      <selection activeCell="D2" sqref="D2"/>
    </sheetView>
  </sheetViews>
  <sheetFormatPr baseColWidth="10" defaultColWidth="8.83203125" defaultRowHeight="14" x14ac:dyDescent="0"/>
  <cols>
    <col min="1" max="1" width="23.6640625" customWidth="1"/>
    <col min="2" max="2" width="24.5" customWidth="1"/>
    <col min="4" max="4" width="13.5" customWidth="1"/>
    <col min="5" max="5" width="25.6640625" customWidth="1"/>
    <col min="6" max="6" width="9.83203125" customWidth="1"/>
    <col min="7" max="7" width="14.5" customWidth="1"/>
    <col min="8" max="8" width="15.6640625" customWidth="1"/>
    <col min="9" max="9" width="38.1640625" customWidth="1"/>
  </cols>
  <sheetData>
    <row r="1" spans="1:10" ht="20">
      <c r="A1" s="122" t="s">
        <v>28</v>
      </c>
      <c r="B1" s="40" t="s">
        <v>793</v>
      </c>
    </row>
    <row r="2" spans="1:10" ht="20">
      <c r="A2" s="40"/>
      <c r="B2" s="40"/>
    </row>
    <row r="3" spans="1:10" ht="20">
      <c r="A3" s="54" t="s">
        <v>791</v>
      </c>
      <c r="B3" s="40"/>
    </row>
    <row r="4" spans="1:10" ht="20">
      <c r="A4" s="121" t="s">
        <v>112</v>
      </c>
      <c r="B4" s="40"/>
    </row>
    <row r="5" spans="1:10" ht="20">
      <c r="A5" s="121" t="s">
        <v>113</v>
      </c>
      <c r="B5" s="40"/>
    </row>
    <row r="6" spans="1:10" ht="20">
      <c r="A6" s="121" t="s">
        <v>792</v>
      </c>
      <c r="B6" s="40"/>
    </row>
    <row r="7" spans="1:10" ht="20">
      <c r="A7" s="121" t="s">
        <v>114</v>
      </c>
      <c r="B7" s="40"/>
    </row>
    <row r="8" spans="1:10" ht="20">
      <c r="A8" s="121" t="s">
        <v>66</v>
      </c>
      <c r="B8" s="40"/>
    </row>
    <row r="9" spans="1:10" ht="20">
      <c r="A9" s="55"/>
      <c r="B9" s="40"/>
    </row>
    <row r="10" spans="1:10">
      <c r="A10" s="1" t="s">
        <v>407</v>
      </c>
      <c r="B10" s="1" t="s">
        <v>724</v>
      </c>
      <c r="C10" s="1" t="s">
        <v>725</v>
      </c>
      <c r="D10" s="1" t="s">
        <v>700</v>
      </c>
      <c r="E10" s="1" t="s">
        <v>740</v>
      </c>
      <c r="F10" s="1" t="s">
        <v>728</v>
      </c>
      <c r="G10" s="1" t="s">
        <v>701</v>
      </c>
      <c r="H10" s="1" t="s">
        <v>449</v>
      </c>
      <c r="I10" s="1" t="s">
        <v>727</v>
      </c>
      <c r="J10" s="1" t="s">
        <v>743</v>
      </c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8">
      <c r="A12" s="78" t="s">
        <v>694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76" t="s">
        <v>639</v>
      </c>
      <c r="B13" s="5" t="s">
        <v>616</v>
      </c>
      <c r="C13" s="16" t="s">
        <v>738</v>
      </c>
      <c r="D13" s="16">
        <v>1</v>
      </c>
      <c r="E13" s="16" t="s">
        <v>739</v>
      </c>
      <c r="G13" s="22"/>
      <c r="H13" s="22">
        <f>D13*313</f>
        <v>313</v>
      </c>
      <c r="I13" s="19" t="s">
        <v>593</v>
      </c>
    </row>
    <row r="14" spans="1:10">
      <c r="A14" s="77"/>
      <c r="B14" s="5" t="s">
        <v>617</v>
      </c>
      <c r="C14" s="16" t="s">
        <v>738</v>
      </c>
      <c r="D14" s="16">
        <v>0.89</v>
      </c>
      <c r="E14" s="16" t="s">
        <v>739</v>
      </c>
      <c r="G14" s="22"/>
      <c r="H14" s="22">
        <f t="shared" ref="H14:H15" si="0">D14*313</f>
        <v>278.57</v>
      </c>
      <c r="I14" s="19" t="s">
        <v>593</v>
      </c>
    </row>
    <row r="15" spans="1:10">
      <c r="A15" s="77"/>
      <c r="B15" s="5" t="s">
        <v>618</v>
      </c>
      <c r="C15" s="16" t="s">
        <v>738</v>
      </c>
      <c r="D15" s="16">
        <v>0.97</v>
      </c>
      <c r="E15" s="16" t="s">
        <v>739</v>
      </c>
      <c r="G15" s="22"/>
      <c r="H15" s="22">
        <f t="shared" si="0"/>
        <v>303.61</v>
      </c>
      <c r="I15" s="19" t="s">
        <v>593</v>
      </c>
    </row>
    <row r="16" spans="1:10">
      <c r="A16" s="77"/>
      <c r="B16" s="5"/>
      <c r="C16" s="16"/>
      <c r="D16" s="16"/>
      <c r="E16" s="16"/>
      <c r="G16" s="22"/>
      <c r="H16" s="14">
        <f>SUM(H13:H15)/3</f>
        <v>298.39333333333332</v>
      </c>
      <c r="I16" s="8" t="s">
        <v>104</v>
      </c>
    </row>
    <row r="17" spans="1:10">
      <c r="A17" s="77"/>
      <c r="B17" s="5"/>
      <c r="C17" s="16"/>
      <c r="D17" s="16"/>
      <c r="E17" s="16"/>
      <c r="G17" s="22"/>
      <c r="H17" s="14"/>
      <c r="I17" s="19"/>
    </row>
    <row r="18" spans="1:10">
      <c r="A18" s="76" t="s">
        <v>640</v>
      </c>
      <c r="B18" t="s">
        <v>609</v>
      </c>
      <c r="C18" s="16" t="s">
        <v>699</v>
      </c>
      <c r="D18" s="16">
        <v>1.0900000000000001</v>
      </c>
      <c r="E18" s="16" t="s">
        <v>596</v>
      </c>
      <c r="F18" s="16">
        <f>D18</f>
        <v>1.0900000000000001</v>
      </c>
      <c r="G18" s="22">
        <f>D18+F18</f>
        <v>2.1800000000000002</v>
      </c>
      <c r="H18" s="22">
        <f>G18*52</f>
        <v>113.36000000000001</v>
      </c>
      <c r="I18" s="19" t="s">
        <v>597</v>
      </c>
    </row>
    <row r="19" spans="1:10">
      <c r="A19" s="77"/>
      <c r="B19" t="s">
        <v>610</v>
      </c>
      <c r="C19" s="16" t="s">
        <v>699</v>
      </c>
      <c r="D19" s="16">
        <v>1.27</v>
      </c>
      <c r="E19" s="16" t="s">
        <v>596</v>
      </c>
      <c r="F19" s="16">
        <f>D19</f>
        <v>1.27</v>
      </c>
      <c r="G19" s="22">
        <f>D19+F19</f>
        <v>2.54</v>
      </c>
      <c r="H19" s="22">
        <f t="shared" ref="H19:H20" si="1">G19*52</f>
        <v>132.08000000000001</v>
      </c>
      <c r="I19" s="19" t="s">
        <v>597</v>
      </c>
    </row>
    <row r="20" spans="1:10">
      <c r="A20" s="77"/>
      <c r="B20" t="s">
        <v>611</v>
      </c>
      <c r="C20" s="16" t="s">
        <v>699</v>
      </c>
      <c r="D20" s="16">
        <v>1.19</v>
      </c>
      <c r="E20" s="16" t="s">
        <v>596</v>
      </c>
      <c r="F20" s="16">
        <f>D20</f>
        <v>1.19</v>
      </c>
      <c r="G20" s="22">
        <f>D20+F20</f>
        <v>2.38</v>
      </c>
      <c r="H20" s="22">
        <f t="shared" si="1"/>
        <v>123.75999999999999</v>
      </c>
      <c r="I20" s="19" t="s">
        <v>597</v>
      </c>
    </row>
    <row r="21" spans="1:10">
      <c r="A21" s="75"/>
      <c r="B21" s="1"/>
      <c r="C21" s="1"/>
      <c r="D21" s="1"/>
      <c r="E21" s="1"/>
      <c r="F21" s="1"/>
      <c r="G21" s="1"/>
      <c r="H21" s="14">
        <f>SUM(H18:H20)/3</f>
        <v>123.06666666666668</v>
      </c>
      <c r="I21" s="1" t="s">
        <v>103</v>
      </c>
      <c r="J21" s="1"/>
    </row>
    <row r="22" spans="1:10">
      <c r="A22" s="75"/>
      <c r="B22" s="1"/>
      <c r="C22" s="1"/>
      <c r="D22" s="1"/>
      <c r="E22" s="1"/>
      <c r="F22" s="1"/>
      <c r="G22" s="1"/>
      <c r="H22" s="14"/>
      <c r="I22" s="1"/>
      <c r="J22" s="1"/>
    </row>
    <row r="23" spans="1:10">
      <c r="A23" s="76" t="s">
        <v>752</v>
      </c>
      <c r="B23" s="1"/>
      <c r="C23" s="1"/>
      <c r="D23" s="1"/>
      <c r="E23" s="1"/>
      <c r="F23" s="1"/>
      <c r="G23" s="1"/>
      <c r="H23" s="14">
        <f>0.943*444.46</f>
        <v>419.12577999999996</v>
      </c>
      <c r="I23" s="5" t="s">
        <v>106</v>
      </c>
      <c r="J23" s="1"/>
    </row>
    <row r="24" spans="1:10">
      <c r="A24" s="76"/>
      <c r="B24" s="1"/>
      <c r="C24" s="1"/>
      <c r="D24" s="1"/>
      <c r="E24" s="1"/>
      <c r="F24" s="1"/>
      <c r="G24" s="1"/>
      <c r="H24" s="14"/>
      <c r="I24" s="5"/>
      <c r="J24" s="1"/>
    </row>
    <row r="25" spans="1:10">
      <c r="A25" s="76" t="s">
        <v>604</v>
      </c>
      <c r="B25" s="1"/>
      <c r="C25" s="1"/>
      <c r="D25" s="1"/>
      <c r="E25" s="1"/>
      <c r="F25" s="1"/>
      <c r="G25" s="1"/>
      <c r="H25" s="14">
        <f>0.943*412.46</f>
        <v>388.94977999999998</v>
      </c>
      <c r="I25" s="5" t="s">
        <v>106</v>
      </c>
      <c r="J25" s="1"/>
    </row>
    <row r="26" spans="1:10">
      <c r="A26" s="75"/>
      <c r="B26" s="1"/>
      <c r="C26" s="1"/>
      <c r="D26" s="1"/>
      <c r="E26" s="1"/>
      <c r="F26" s="1"/>
      <c r="G26" s="1"/>
      <c r="H26" s="14"/>
      <c r="I26" s="1"/>
      <c r="J26" s="1"/>
    </row>
    <row r="27" spans="1:10">
      <c r="A27" s="76" t="s">
        <v>605</v>
      </c>
      <c r="B27" s="37" t="s">
        <v>769</v>
      </c>
      <c r="C27" s="38" t="s">
        <v>770</v>
      </c>
      <c r="D27" s="38">
        <v>313.5</v>
      </c>
      <c r="E27" s="38" t="s">
        <v>739</v>
      </c>
      <c r="G27" s="38"/>
      <c r="H27" s="14">
        <f>D27</f>
        <v>313.5</v>
      </c>
      <c r="I27" s="37" t="s">
        <v>251</v>
      </c>
      <c r="J27" s="37" t="s">
        <v>692</v>
      </c>
    </row>
    <row r="28" spans="1:10">
      <c r="A28" s="76"/>
      <c r="B28" s="37"/>
      <c r="C28" s="38"/>
      <c r="D28" s="38"/>
      <c r="E28" s="38"/>
      <c r="G28" s="38"/>
      <c r="H28" s="14"/>
      <c r="I28" s="8" t="s">
        <v>105</v>
      </c>
      <c r="J28" s="37"/>
    </row>
    <row r="29" spans="1:10">
      <c r="A29" s="76"/>
      <c r="B29" s="37" t="s">
        <v>361</v>
      </c>
      <c r="C29" s="38" t="s">
        <v>770</v>
      </c>
      <c r="D29" s="22">
        <f>0.485*D27</f>
        <v>152.04749999999999</v>
      </c>
      <c r="E29" s="38" t="s">
        <v>739</v>
      </c>
      <c r="G29" s="22"/>
      <c r="H29" s="14">
        <f>D29</f>
        <v>152.04749999999999</v>
      </c>
      <c r="I29" s="37" t="s">
        <v>182</v>
      </c>
      <c r="J29" s="37"/>
    </row>
    <row r="30" spans="1:10">
      <c r="A30" s="76"/>
      <c r="B30" s="5"/>
      <c r="C30" s="16"/>
      <c r="D30" s="16"/>
      <c r="E30" s="16"/>
      <c r="F30" s="16"/>
      <c r="G30" s="22"/>
      <c r="H30" s="14"/>
    </row>
    <row r="31" spans="1:10">
      <c r="A31" s="76" t="s">
        <v>603</v>
      </c>
      <c r="B31" s="5" t="s">
        <v>364</v>
      </c>
      <c r="C31" s="16" t="s">
        <v>770</v>
      </c>
      <c r="D31" s="16">
        <f>0.943*600</f>
        <v>565.79999999999995</v>
      </c>
      <c r="E31" s="16"/>
      <c r="F31" s="16"/>
      <c r="G31" s="22"/>
      <c r="H31" s="14">
        <f>D31</f>
        <v>565.79999999999995</v>
      </c>
      <c r="I31" s="5" t="s">
        <v>106</v>
      </c>
    </row>
    <row r="32" spans="1:10">
      <c r="A32" s="76"/>
      <c r="B32" s="5" t="s">
        <v>374</v>
      </c>
      <c r="C32" s="16"/>
      <c r="D32" s="16"/>
      <c r="E32" s="16"/>
      <c r="F32" s="16"/>
      <c r="G32" s="22"/>
      <c r="H32" s="14">
        <v>301.52</v>
      </c>
      <c r="I32" t="s">
        <v>29</v>
      </c>
    </row>
    <row r="33" spans="1:10" ht="18">
      <c r="A33" s="78"/>
      <c r="B33" s="5"/>
      <c r="C33" s="16"/>
      <c r="D33" s="16"/>
      <c r="E33" s="16"/>
      <c r="F33" s="16"/>
      <c r="G33" s="22"/>
      <c r="H33" s="14"/>
    </row>
    <row r="34" spans="1:10">
      <c r="A34" s="76" t="s">
        <v>375</v>
      </c>
      <c r="B34" s="5" t="s">
        <v>374</v>
      </c>
      <c r="C34" s="16"/>
      <c r="D34" s="16"/>
      <c r="E34" s="16"/>
      <c r="F34" s="16"/>
      <c r="G34" s="22"/>
      <c r="H34" s="14">
        <v>165.49</v>
      </c>
      <c r="I34" t="s">
        <v>29</v>
      </c>
    </row>
    <row r="35" spans="1:10">
      <c r="A35" s="7"/>
      <c r="B35" s="5"/>
      <c r="C35" s="16"/>
      <c r="D35" s="16"/>
      <c r="E35" s="16"/>
      <c r="F35" s="16"/>
      <c r="G35" s="22"/>
      <c r="H35" s="14"/>
    </row>
    <row r="36" spans="1:10" ht="18">
      <c r="A36" s="120" t="s">
        <v>729</v>
      </c>
      <c r="B36" s="3"/>
      <c r="C36" s="2"/>
      <c r="D36" s="2"/>
      <c r="E36" s="2"/>
      <c r="G36" s="2"/>
      <c r="H36" s="12"/>
      <c r="I36" s="3"/>
    </row>
    <row r="37" spans="1:10">
      <c r="A37" s="81" t="s">
        <v>639</v>
      </c>
      <c r="B37" s="5" t="s">
        <v>642</v>
      </c>
      <c r="C37" s="16" t="s">
        <v>738</v>
      </c>
      <c r="D37" s="16">
        <v>0.88</v>
      </c>
      <c r="E37" s="16" t="s">
        <v>739</v>
      </c>
      <c r="G37" s="22"/>
      <c r="H37" s="13">
        <f>D37*313</f>
        <v>275.44</v>
      </c>
      <c r="I37" s="19" t="s">
        <v>593</v>
      </c>
    </row>
    <row r="38" spans="1:10">
      <c r="A38" s="81"/>
      <c r="B38" s="5" t="s">
        <v>643</v>
      </c>
      <c r="C38" s="50" t="s">
        <v>738</v>
      </c>
      <c r="D38" s="50">
        <v>0.8</v>
      </c>
      <c r="E38" s="50" t="s">
        <v>739</v>
      </c>
      <c r="G38" s="22"/>
      <c r="H38" s="13">
        <f>D38*313</f>
        <v>250.4</v>
      </c>
      <c r="I38" s="48" t="s">
        <v>593</v>
      </c>
    </row>
    <row r="39" spans="1:10">
      <c r="A39" s="81"/>
      <c r="B39" s="5"/>
      <c r="C39" s="50"/>
      <c r="D39" s="50"/>
      <c r="E39" s="50"/>
      <c r="G39" s="22"/>
      <c r="H39" s="14">
        <f>SUM(H37:H38)/2</f>
        <v>262.92</v>
      </c>
      <c r="I39" s="8" t="s">
        <v>107</v>
      </c>
    </row>
    <row r="40" spans="1:10">
      <c r="A40" s="81"/>
      <c r="B40" s="5" t="s">
        <v>281</v>
      </c>
      <c r="C40" s="16"/>
      <c r="D40" s="16"/>
      <c r="E40" s="16"/>
      <c r="G40" s="22"/>
      <c r="H40" s="14">
        <f>0.53*H37</f>
        <v>145.98320000000001</v>
      </c>
      <c r="I40" s="19" t="s">
        <v>262</v>
      </c>
    </row>
    <row r="41" spans="1:10">
      <c r="A41" s="80"/>
      <c r="B41" s="19"/>
      <c r="C41" s="16"/>
      <c r="D41" s="16"/>
      <c r="E41" s="16"/>
      <c r="G41" s="16"/>
      <c r="H41" s="16"/>
      <c r="I41" s="19"/>
    </row>
    <row r="42" spans="1:10">
      <c r="A42" s="81" t="s">
        <v>640</v>
      </c>
      <c r="B42" t="s">
        <v>645</v>
      </c>
      <c r="C42" s="16" t="s">
        <v>699</v>
      </c>
      <c r="D42" s="16">
        <v>0.97</v>
      </c>
      <c r="E42" s="16" t="s">
        <v>596</v>
      </c>
      <c r="F42" s="16">
        <f>D42</f>
        <v>0.97</v>
      </c>
      <c r="G42" s="22">
        <f>D42+F42</f>
        <v>1.94</v>
      </c>
      <c r="H42" s="13">
        <f>G42*52</f>
        <v>100.88</v>
      </c>
      <c r="I42" s="19" t="s">
        <v>597</v>
      </c>
    </row>
    <row r="43" spans="1:10">
      <c r="A43" s="81"/>
      <c r="B43" t="s">
        <v>646</v>
      </c>
      <c r="C43" s="50" t="s">
        <v>699</v>
      </c>
      <c r="D43" s="50">
        <v>0.8</v>
      </c>
      <c r="E43" s="50" t="s">
        <v>596</v>
      </c>
      <c r="F43" s="50">
        <f>D43</f>
        <v>0.8</v>
      </c>
      <c r="G43" s="22">
        <f>D43+F43</f>
        <v>1.6</v>
      </c>
      <c r="H43" s="13">
        <f>G43*52</f>
        <v>83.2</v>
      </c>
      <c r="I43" s="48" t="s">
        <v>597</v>
      </c>
    </row>
    <row r="44" spans="1:10">
      <c r="A44" s="81"/>
      <c r="C44" s="50"/>
      <c r="D44" s="50"/>
      <c r="E44" s="50"/>
      <c r="F44" s="50"/>
      <c r="G44" s="22"/>
      <c r="H44" s="14">
        <f>SUM(H42:H43)/2</f>
        <v>92.039999999999992</v>
      </c>
      <c r="I44" s="8" t="s">
        <v>108</v>
      </c>
    </row>
    <row r="45" spans="1:10">
      <c r="A45" s="81"/>
      <c r="B45" s="5" t="s">
        <v>281</v>
      </c>
      <c r="C45" s="16"/>
      <c r="D45" s="16"/>
      <c r="E45" s="16"/>
      <c r="G45" s="22"/>
      <c r="H45" s="14">
        <f>0.53*H42</f>
        <v>53.4664</v>
      </c>
      <c r="I45" s="19" t="s">
        <v>262</v>
      </c>
    </row>
    <row r="46" spans="1:10">
      <c r="A46" s="81"/>
      <c r="C46" s="16"/>
      <c r="D46" s="16"/>
      <c r="E46" s="16"/>
      <c r="F46" s="16"/>
      <c r="G46" s="22"/>
      <c r="H46" s="14"/>
      <c r="I46" s="19"/>
    </row>
    <row r="47" spans="1:10">
      <c r="A47" s="81" t="s">
        <v>752</v>
      </c>
      <c r="B47" s="1" t="s">
        <v>278</v>
      </c>
      <c r="C47" s="1"/>
      <c r="D47" s="1"/>
      <c r="E47" s="1"/>
      <c r="F47" s="1"/>
      <c r="G47" s="1"/>
      <c r="H47" s="14">
        <f>0.811*444.46</f>
        <v>360.45706000000001</v>
      </c>
      <c r="I47" s="5" t="s">
        <v>110</v>
      </c>
      <c r="J47" s="1"/>
    </row>
    <row r="48" spans="1:10">
      <c r="A48" s="81"/>
      <c r="B48" s="1" t="s">
        <v>279</v>
      </c>
      <c r="C48" s="1"/>
      <c r="D48" s="1"/>
      <c r="E48" s="1"/>
      <c r="F48" s="1"/>
      <c r="G48" s="1"/>
      <c r="H48" s="14">
        <f>0.53*H47</f>
        <v>191.04224180000003</v>
      </c>
      <c r="I48" s="19" t="s">
        <v>262</v>
      </c>
      <c r="J48" s="1"/>
    </row>
    <row r="49" spans="1:10">
      <c r="A49" s="81"/>
      <c r="B49" s="1"/>
      <c r="C49" s="1"/>
      <c r="D49" s="1"/>
      <c r="E49" s="1"/>
      <c r="F49" s="1"/>
      <c r="G49" s="1"/>
      <c r="H49" s="14"/>
      <c r="I49" s="5"/>
      <c r="J49" s="1"/>
    </row>
    <row r="50" spans="1:10">
      <c r="A50" s="81" t="s">
        <v>604</v>
      </c>
      <c r="B50" s="1" t="s">
        <v>278</v>
      </c>
      <c r="C50" s="1"/>
      <c r="D50" s="1"/>
      <c r="E50" s="1"/>
      <c r="F50" s="1"/>
      <c r="G50" s="1"/>
      <c r="H50" s="14">
        <f>0.811*412.46</f>
        <v>334.50506000000001</v>
      </c>
      <c r="I50" s="5" t="s">
        <v>110</v>
      </c>
      <c r="J50" s="1"/>
    </row>
    <row r="51" spans="1:10">
      <c r="A51" s="81"/>
      <c r="B51" s="1" t="s">
        <v>279</v>
      </c>
      <c r="C51" s="1"/>
      <c r="D51" s="1"/>
      <c r="E51" s="1"/>
      <c r="F51" s="1"/>
      <c r="G51" s="1"/>
      <c r="H51" s="14">
        <f>0.53*H50</f>
        <v>177.28768180000003</v>
      </c>
      <c r="I51" s="19" t="s">
        <v>262</v>
      </c>
      <c r="J51" s="1"/>
    </row>
    <row r="52" spans="1:10">
      <c r="A52" s="80"/>
      <c r="B52" s="19"/>
      <c r="C52" s="16"/>
      <c r="D52" s="16"/>
      <c r="E52" s="16"/>
      <c r="G52" s="16"/>
      <c r="H52" s="16"/>
      <c r="I52" s="19"/>
    </row>
    <row r="53" spans="1:10">
      <c r="A53" s="81" t="s">
        <v>605</v>
      </c>
      <c r="B53" s="37" t="s">
        <v>769</v>
      </c>
      <c r="C53" s="38" t="s">
        <v>770</v>
      </c>
      <c r="D53" s="38">
        <v>287.2</v>
      </c>
      <c r="E53" s="38" t="s">
        <v>739</v>
      </c>
      <c r="G53" s="38"/>
      <c r="H53" s="14">
        <f>D53</f>
        <v>287.2</v>
      </c>
      <c r="I53" s="37" t="s">
        <v>251</v>
      </c>
      <c r="J53" s="37" t="s">
        <v>692</v>
      </c>
    </row>
    <row r="54" spans="1:10">
      <c r="A54" s="81"/>
      <c r="B54" s="37"/>
      <c r="C54" s="38"/>
      <c r="D54" s="38"/>
      <c r="E54" s="38"/>
      <c r="G54" s="38"/>
      <c r="H54" s="14"/>
      <c r="I54" s="8" t="s">
        <v>109</v>
      </c>
      <c r="J54" s="37"/>
    </row>
    <row r="55" spans="1:10">
      <c r="A55" s="81"/>
      <c r="B55" s="37" t="s">
        <v>361</v>
      </c>
      <c r="C55" s="38" t="s">
        <v>770</v>
      </c>
      <c r="D55" s="22">
        <f>0.485*D53</f>
        <v>139.292</v>
      </c>
      <c r="E55" s="38" t="s">
        <v>739</v>
      </c>
      <c r="G55" s="22"/>
      <c r="H55" s="14">
        <f>D55</f>
        <v>139.292</v>
      </c>
      <c r="I55" s="37" t="s">
        <v>168</v>
      </c>
      <c r="J55" s="37"/>
    </row>
    <row r="56" spans="1:10">
      <c r="A56" s="82"/>
      <c r="B56" s="19"/>
      <c r="C56" s="16"/>
      <c r="D56" s="16"/>
      <c r="E56" s="16"/>
      <c r="G56" s="16"/>
      <c r="H56" s="14"/>
      <c r="I56" s="19"/>
      <c r="J56" s="19"/>
    </row>
    <row r="57" spans="1:10">
      <c r="A57" s="81" t="s">
        <v>603</v>
      </c>
      <c r="B57" s="5" t="s">
        <v>364</v>
      </c>
      <c r="C57" s="16" t="s">
        <v>770</v>
      </c>
      <c r="D57" s="16"/>
      <c r="E57" s="16"/>
      <c r="F57" s="16"/>
      <c r="G57" s="22"/>
      <c r="H57" s="14">
        <f>600*0.811</f>
        <v>486.6</v>
      </c>
      <c r="I57" s="5" t="s">
        <v>110</v>
      </c>
    </row>
    <row r="58" spans="1:10">
      <c r="A58" s="81"/>
      <c r="B58" s="5" t="s">
        <v>374</v>
      </c>
      <c r="C58" s="16"/>
      <c r="D58" s="16"/>
      <c r="E58" s="16"/>
      <c r="F58" s="16"/>
      <c r="G58" s="22"/>
      <c r="H58" s="14">
        <v>286.95</v>
      </c>
      <c r="I58" t="s">
        <v>29</v>
      </c>
    </row>
    <row r="59" spans="1:10">
      <c r="A59" s="81"/>
      <c r="B59" s="5"/>
      <c r="C59" s="16"/>
      <c r="D59" s="16"/>
      <c r="E59" s="16"/>
      <c r="F59" s="16"/>
      <c r="G59" s="22"/>
      <c r="H59" s="14"/>
    </row>
    <row r="60" spans="1:10">
      <c r="A60" s="81" t="s">
        <v>375</v>
      </c>
      <c r="B60" s="5" t="s">
        <v>374</v>
      </c>
      <c r="C60" s="16"/>
      <c r="D60" s="16"/>
      <c r="E60" s="16"/>
      <c r="F60" s="16"/>
      <c r="G60" s="22"/>
      <c r="H60" s="14">
        <v>152</v>
      </c>
      <c r="I60" t="s">
        <v>29</v>
      </c>
    </row>
    <row r="61" spans="1:10">
      <c r="A61" s="81"/>
      <c r="B61" s="5"/>
      <c r="C61" s="16"/>
      <c r="D61" s="16"/>
      <c r="E61" s="16"/>
      <c r="F61" s="16"/>
      <c r="G61" s="22"/>
      <c r="H61" s="14"/>
    </row>
    <row r="62" spans="1:10">
      <c r="A62" s="81"/>
      <c r="B62" s="5"/>
      <c r="C62" s="16"/>
      <c r="D62" s="16"/>
      <c r="E62" s="16"/>
      <c r="F62" s="16"/>
      <c r="G62" s="22"/>
      <c r="H62" s="14"/>
    </row>
    <row r="63" spans="1:10">
      <c r="A63" s="81" t="s">
        <v>606</v>
      </c>
      <c r="B63" s="5" t="s">
        <v>656</v>
      </c>
      <c r="C63" s="16" t="s">
        <v>770</v>
      </c>
      <c r="D63" s="16">
        <v>269</v>
      </c>
      <c r="E63" s="16" t="s">
        <v>739</v>
      </c>
      <c r="F63" s="16"/>
      <c r="G63" s="22"/>
      <c r="H63" s="14">
        <f>D63</f>
        <v>269</v>
      </c>
      <c r="I63" t="s">
        <v>111</v>
      </c>
    </row>
    <row r="64" spans="1:10">
      <c r="A64" s="81"/>
      <c r="B64" s="5" t="s">
        <v>291</v>
      </c>
      <c r="C64" s="35" t="s">
        <v>770</v>
      </c>
      <c r="D64" s="35">
        <v>224</v>
      </c>
      <c r="E64" s="35" t="s">
        <v>739</v>
      </c>
      <c r="F64" s="35"/>
      <c r="G64" s="22">
        <v>284</v>
      </c>
      <c r="H64" s="14">
        <f>D64</f>
        <v>224</v>
      </c>
      <c r="I64" t="s">
        <v>111</v>
      </c>
    </row>
    <row r="65" spans="1:10" ht="18">
      <c r="A65" s="120"/>
      <c r="B65" s="5" t="s">
        <v>292</v>
      </c>
      <c r="C65" s="35" t="s">
        <v>770</v>
      </c>
      <c r="D65" s="35">
        <v>224</v>
      </c>
      <c r="E65" s="35" t="s">
        <v>739</v>
      </c>
      <c r="F65" s="35"/>
      <c r="G65" s="22">
        <v>284</v>
      </c>
      <c r="H65" s="14">
        <f>D65</f>
        <v>224</v>
      </c>
      <c r="I65" t="s">
        <v>111</v>
      </c>
    </row>
    <row r="66" spans="1:10">
      <c r="A66" s="7"/>
      <c r="B66" s="5"/>
      <c r="C66" s="74"/>
      <c r="D66" s="74"/>
      <c r="E66" s="74"/>
      <c r="F66" s="74"/>
      <c r="G66" s="22"/>
      <c r="H66" s="14"/>
    </row>
    <row r="67" spans="1:10" ht="18">
      <c r="A67" s="84" t="s">
        <v>730</v>
      </c>
      <c r="B67" s="3"/>
      <c r="C67" s="12"/>
      <c r="D67" s="12"/>
      <c r="E67" s="12"/>
      <c r="G67" s="12"/>
      <c r="H67" s="22"/>
      <c r="I67" s="3"/>
      <c r="J67" s="3"/>
    </row>
    <row r="68" spans="1:10">
      <c r="A68" s="85" t="s">
        <v>639</v>
      </c>
      <c r="B68" s="3" t="s">
        <v>775</v>
      </c>
      <c r="C68" s="2" t="s">
        <v>738</v>
      </c>
      <c r="D68" s="2">
        <v>0.87</v>
      </c>
      <c r="E68" s="2" t="s">
        <v>739</v>
      </c>
      <c r="G68" s="2"/>
      <c r="H68" s="14">
        <f>D68*313</f>
        <v>272.31</v>
      </c>
      <c r="I68" s="48" t="s">
        <v>593</v>
      </c>
      <c r="J68" s="3" t="s">
        <v>335</v>
      </c>
    </row>
    <row r="69" spans="1:10">
      <c r="A69" s="86"/>
      <c r="J69" s="3"/>
    </row>
    <row r="70" spans="1:10">
      <c r="A70" s="85" t="s">
        <v>640</v>
      </c>
      <c r="B70" t="s">
        <v>595</v>
      </c>
      <c r="C70" s="16" t="s">
        <v>699</v>
      </c>
      <c r="D70" s="16">
        <v>1.06</v>
      </c>
      <c r="E70" s="16" t="s">
        <v>596</v>
      </c>
      <c r="F70" s="16">
        <f>D70</f>
        <v>1.06</v>
      </c>
      <c r="G70" s="22">
        <f>D70+F70</f>
        <v>2.12</v>
      </c>
      <c r="H70" s="14">
        <f>G70*52</f>
        <v>110.24000000000001</v>
      </c>
      <c r="I70" s="19" t="s">
        <v>597</v>
      </c>
    </row>
    <row r="71" spans="1:10">
      <c r="A71" s="85"/>
      <c r="B71" s="5"/>
      <c r="C71" s="16"/>
      <c r="D71" s="16"/>
      <c r="E71" s="16"/>
      <c r="G71" s="22"/>
      <c r="H71" s="14"/>
      <c r="I71" s="19"/>
    </row>
    <row r="72" spans="1:10">
      <c r="A72" s="85" t="s">
        <v>752</v>
      </c>
      <c r="B72" s="1" t="s">
        <v>278</v>
      </c>
      <c r="C72" s="1"/>
      <c r="D72" s="1"/>
      <c r="E72" s="1"/>
      <c r="F72" s="1"/>
      <c r="G72" s="1"/>
      <c r="H72" s="14">
        <f>0.811*422.55</f>
        <v>342.68805000000003</v>
      </c>
      <c r="I72" s="5" t="s">
        <v>64</v>
      </c>
      <c r="J72" s="1"/>
    </row>
    <row r="73" spans="1:10">
      <c r="A73" s="85"/>
      <c r="B73" s="1"/>
      <c r="C73" s="1"/>
      <c r="D73" s="1"/>
      <c r="E73" s="1"/>
      <c r="F73" s="1"/>
      <c r="G73" s="1"/>
      <c r="H73" s="14"/>
      <c r="I73" s="5"/>
      <c r="J73" s="1"/>
    </row>
    <row r="74" spans="1:10">
      <c r="A74" s="85" t="s">
        <v>604</v>
      </c>
      <c r="B74" s="1"/>
      <c r="C74" s="1"/>
      <c r="D74" s="1"/>
      <c r="E74" s="1"/>
      <c r="F74" s="1"/>
      <c r="G74" s="1"/>
      <c r="H74" s="14">
        <f>0.811*392.13</f>
        <v>318.01742999999999</v>
      </c>
      <c r="I74" s="5" t="s">
        <v>64</v>
      </c>
      <c r="J74" s="1"/>
    </row>
    <row r="75" spans="1:10">
      <c r="A75" s="85"/>
      <c r="C75" s="16"/>
      <c r="D75" s="16"/>
      <c r="E75" s="16"/>
      <c r="F75" s="16"/>
      <c r="G75" s="22"/>
      <c r="H75" s="22"/>
      <c r="I75" s="19"/>
    </row>
    <row r="76" spans="1:10">
      <c r="A76" s="85" t="s">
        <v>603</v>
      </c>
      <c r="B76" s="3" t="s">
        <v>675</v>
      </c>
      <c r="C76" s="2" t="s">
        <v>770</v>
      </c>
      <c r="D76" s="2">
        <v>250</v>
      </c>
      <c r="E76" s="2" t="s">
        <v>695</v>
      </c>
      <c r="F76">
        <v>200</v>
      </c>
      <c r="G76" s="22">
        <f>D76+F76</f>
        <v>450</v>
      </c>
      <c r="H76" s="13">
        <f>G76</f>
        <v>450</v>
      </c>
      <c r="I76" s="3" t="s">
        <v>362</v>
      </c>
      <c r="J76" s="3"/>
    </row>
    <row r="77" spans="1:10">
      <c r="A77" s="88"/>
      <c r="B77" s="19" t="s">
        <v>675</v>
      </c>
      <c r="C77" s="16" t="s">
        <v>770</v>
      </c>
      <c r="D77" s="16">
        <v>250</v>
      </c>
      <c r="E77" s="16" t="s">
        <v>695</v>
      </c>
      <c r="F77">
        <v>100</v>
      </c>
      <c r="G77" s="16"/>
      <c r="H77" s="22">
        <f>D77+F77</f>
        <v>350</v>
      </c>
      <c r="I77" s="19" t="s">
        <v>363</v>
      </c>
      <c r="J77" s="19"/>
    </row>
    <row r="78" spans="1:10">
      <c r="A78" s="88"/>
      <c r="B78" s="19"/>
      <c r="C78" s="16"/>
      <c r="D78" s="16"/>
      <c r="E78" s="16"/>
      <c r="G78" s="16"/>
      <c r="H78" s="14">
        <f>SUM(H76:H77)/2</f>
        <v>400</v>
      </c>
      <c r="I78" s="19"/>
      <c r="J78" s="19"/>
    </row>
    <row r="79" spans="1:10">
      <c r="A79" s="88"/>
      <c r="B79" s="48"/>
      <c r="C79" s="50"/>
      <c r="D79" s="50"/>
      <c r="E79" s="50"/>
      <c r="G79" s="50"/>
      <c r="H79" s="14"/>
      <c r="I79" s="48"/>
      <c r="J79" s="48"/>
    </row>
    <row r="80" spans="1:10">
      <c r="A80" s="85"/>
      <c r="B80" s="5" t="s">
        <v>374</v>
      </c>
      <c r="C80" s="16"/>
      <c r="D80" s="16"/>
      <c r="E80" s="16"/>
      <c r="F80" s="16"/>
      <c r="G80" s="22"/>
      <c r="H80" s="14">
        <v>267.64</v>
      </c>
      <c r="I80" t="s">
        <v>29</v>
      </c>
    </row>
    <row r="81" spans="1:10">
      <c r="A81" s="85"/>
      <c r="B81" s="5"/>
      <c r="C81" s="16"/>
      <c r="D81" s="16"/>
      <c r="E81" s="16"/>
      <c r="F81" s="16"/>
      <c r="G81" s="22"/>
      <c r="H81" s="14"/>
    </row>
    <row r="82" spans="1:10">
      <c r="A82" s="85" t="s">
        <v>375</v>
      </c>
      <c r="B82" s="5" t="s">
        <v>374</v>
      </c>
      <c r="C82" s="16"/>
      <c r="D82" s="16"/>
      <c r="E82" s="16"/>
      <c r="F82" s="16"/>
      <c r="G82" s="22"/>
      <c r="H82" s="14">
        <v>155.91999999999999</v>
      </c>
      <c r="I82" t="s">
        <v>29</v>
      </c>
    </row>
    <row r="83" spans="1:10">
      <c r="A83" s="88"/>
      <c r="B83" s="19"/>
      <c r="C83" s="16"/>
      <c r="D83" s="16"/>
      <c r="E83" s="16"/>
      <c r="G83" s="16"/>
      <c r="H83" s="14"/>
      <c r="J83" s="19"/>
    </row>
    <row r="84" spans="1:10">
      <c r="A84" s="85" t="s">
        <v>605</v>
      </c>
      <c r="B84" s="3" t="s">
        <v>771</v>
      </c>
      <c r="C84" s="2" t="s">
        <v>770</v>
      </c>
      <c r="D84" s="22"/>
      <c r="E84" s="2" t="s">
        <v>739</v>
      </c>
      <c r="G84" s="22"/>
      <c r="H84" s="14">
        <f>0.845*H53</f>
        <v>242.68399999999997</v>
      </c>
      <c r="I84" s="3" t="s">
        <v>115</v>
      </c>
      <c r="J84" s="3"/>
    </row>
    <row r="85" spans="1:10">
      <c r="A85" s="86"/>
      <c r="B85" s="5"/>
      <c r="C85" s="16"/>
      <c r="D85" s="38"/>
      <c r="E85" s="16"/>
      <c r="F85" s="16"/>
      <c r="G85" s="22"/>
      <c r="H85" s="22"/>
    </row>
    <row r="86" spans="1:10">
      <c r="A86" s="85"/>
      <c r="B86" s="5" t="s">
        <v>365</v>
      </c>
      <c r="C86" s="16" t="s">
        <v>770</v>
      </c>
      <c r="D86" s="22"/>
      <c r="E86" s="16" t="s">
        <v>739</v>
      </c>
      <c r="F86" s="16"/>
      <c r="G86" s="22"/>
      <c r="H86" s="14">
        <f>0.485*H84</f>
        <v>117.70173999999999</v>
      </c>
      <c r="I86" s="37" t="s">
        <v>168</v>
      </c>
    </row>
    <row r="87" spans="1:10">
      <c r="A87" s="85"/>
      <c r="B87" s="5"/>
      <c r="C87" s="38"/>
      <c r="D87" s="38"/>
      <c r="E87" s="38"/>
      <c r="F87" s="38"/>
      <c r="G87" s="22"/>
      <c r="H87" s="14"/>
    </row>
    <row r="88" spans="1:10">
      <c r="A88" s="85" t="s">
        <v>606</v>
      </c>
      <c r="B88" s="5" t="s">
        <v>284</v>
      </c>
      <c r="C88" s="16" t="s">
        <v>770</v>
      </c>
      <c r="D88" s="16">
        <v>224</v>
      </c>
      <c r="E88" s="16" t="s">
        <v>739</v>
      </c>
      <c r="F88" s="16"/>
      <c r="G88" s="22"/>
      <c r="H88" s="14">
        <f>D88</f>
        <v>224</v>
      </c>
      <c r="I88" t="s">
        <v>680</v>
      </c>
    </row>
    <row r="89" spans="1:10">
      <c r="A89" s="85"/>
      <c r="B89" s="5" t="s">
        <v>285</v>
      </c>
      <c r="C89" s="35" t="s">
        <v>770</v>
      </c>
      <c r="D89" s="35">
        <v>224</v>
      </c>
      <c r="E89" s="35" t="s">
        <v>739</v>
      </c>
      <c r="F89" s="35"/>
      <c r="G89" s="22"/>
      <c r="H89" s="14">
        <f t="shared" ref="H89:H91" si="2">D89</f>
        <v>224</v>
      </c>
      <c r="I89" t="s">
        <v>680</v>
      </c>
    </row>
    <row r="90" spans="1:10">
      <c r="A90" s="85"/>
      <c r="B90" s="5" t="s">
        <v>527</v>
      </c>
      <c r="C90" s="35" t="s">
        <v>770</v>
      </c>
      <c r="D90" s="35">
        <v>375</v>
      </c>
      <c r="E90" s="35" t="s">
        <v>739</v>
      </c>
      <c r="F90" s="35"/>
      <c r="G90" s="22"/>
      <c r="H90" s="14">
        <f t="shared" si="2"/>
        <v>375</v>
      </c>
      <c r="I90" t="s">
        <v>680</v>
      </c>
    </row>
    <row r="91" spans="1:10" ht="18">
      <c r="A91" s="84"/>
      <c r="B91" s="5" t="s">
        <v>290</v>
      </c>
      <c r="C91" s="35" t="s">
        <v>770</v>
      </c>
      <c r="D91" s="35">
        <v>375</v>
      </c>
      <c r="E91" s="35" t="s">
        <v>739</v>
      </c>
      <c r="F91" s="35"/>
      <c r="G91" s="22"/>
      <c r="H91" s="14">
        <f t="shared" si="2"/>
        <v>375</v>
      </c>
      <c r="I91" t="s">
        <v>680</v>
      </c>
    </row>
    <row r="92" spans="1:10">
      <c r="A92" s="7"/>
      <c r="B92" s="5"/>
      <c r="C92" s="74"/>
      <c r="D92" s="74"/>
      <c r="E92" s="74"/>
      <c r="F92" s="74"/>
      <c r="G92" s="22"/>
      <c r="H92" s="14"/>
    </row>
    <row r="93" spans="1:10" ht="18">
      <c r="A93" s="115" t="s">
        <v>731</v>
      </c>
      <c r="B93" s="3"/>
      <c r="C93" s="12"/>
      <c r="D93" s="12"/>
      <c r="E93" s="12"/>
      <c r="G93" s="12"/>
      <c r="H93" s="22"/>
      <c r="I93" s="3"/>
      <c r="J93" s="3"/>
    </row>
    <row r="94" spans="1:10">
      <c r="A94" s="90" t="s">
        <v>639</v>
      </c>
      <c r="B94" s="5" t="s">
        <v>775</v>
      </c>
      <c r="C94" s="16" t="s">
        <v>738</v>
      </c>
      <c r="D94" s="16">
        <v>0.77</v>
      </c>
      <c r="E94" s="16" t="s">
        <v>739</v>
      </c>
      <c r="H94" s="14">
        <f>D94*313</f>
        <v>241.01000000000002</v>
      </c>
      <c r="I94" s="19" t="s">
        <v>593</v>
      </c>
    </row>
    <row r="95" spans="1:10">
      <c r="A95" s="90"/>
      <c r="B95" s="5"/>
      <c r="C95" s="16"/>
      <c r="D95" s="16"/>
      <c r="E95" s="16"/>
      <c r="G95" s="22"/>
      <c r="H95" s="14"/>
      <c r="I95" s="19"/>
    </row>
    <row r="96" spans="1:10">
      <c r="A96" s="90" t="s">
        <v>640</v>
      </c>
      <c r="B96" t="s">
        <v>595</v>
      </c>
      <c r="C96" s="16" t="s">
        <v>699</v>
      </c>
      <c r="D96" s="16">
        <v>1.28</v>
      </c>
      <c r="E96" s="16" t="s">
        <v>596</v>
      </c>
      <c r="F96" s="16">
        <f>D96</f>
        <v>1.28</v>
      </c>
      <c r="G96" s="22">
        <f>D96+F96</f>
        <v>2.56</v>
      </c>
      <c r="H96" s="14">
        <f>G96*52</f>
        <v>133.12</v>
      </c>
      <c r="I96" s="19" t="s">
        <v>597</v>
      </c>
    </row>
    <row r="97" spans="1:10">
      <c r="A97" s="90"/>
      <c r="C97" s="16"/>
      <c r="D97" s="16"/>
      <c r="E97" s="16"/>
      <c r="F97" s="16"/>
      <c r="G97" s="22"/>
      <c r="H97" s="14"/>
      <c r="I97" s="19"/>
    </row>
    <row r="98" spans="1:10">
      <c r="A98" s="90" t="s">
        <v>752</v>
      </c>
      <c r="B98" s="1"/>
      <c r="C98" s="1"/>
      <c r="D98" s="1"/>
      <c r="E98" s="1"/>
      <c r="F98" s="1"/>
      <c r="G98" s="1"/>
      <c r="H98" s="14">
        <f>0.811*578.9</f>
        <v>469.48790000000002</v>
      </c>
      <c r="I98" s="5" t="s">
        <v>64</v>
      </c>
      <c r="J98" s="1"/>
    </row>
    <row r="99" spans="1:10">
      <c r="A99" s="90"/>
      <c r="B99" s="1"/>
      <c r="C99" s="1"/>
      <c r="D99" s="1"/>
      <c r="E99" s="1"/>
      <c r="F99" s="1"/>
      <c r="G99" s="1"/>
      <c r="H99" s="14"/>
      <c r="I99" s="5"/>
      <c r="J99" s="1"/>
    </row>
    <row r="100" spans="1:10">
      <c r="A100" s="90" t="s">
        <v>604</v>
      </c>
      <c r="B100" s="1"/>
      <c r="C100" s="1"/>
      <c r="D100" s="1"/>
      <c r="E100" s="1"/>
      <c r="F100" s="1"/>
      <c r="G100" s="1"/>
      <c r="H100" s="14">
        <f>0.811*537.22</f>
        <v>435.68542000000008</v>
      </c>
      <c r="I100" s="5" t="s">
        <v>64</v>
      </c>
      <c r="J100" s="1"/>
    </row>
    <row r="101" spans="1:10">
      <c r="A101" s="90"/>
      <c r="B101" s="1"/>
      <c r="C101" s="1"/>
      <c r="D101" s="1"/>
      <c r="E101" s="1"/>
      <c r="F101" s="1"/>
      <c r="G101" s="1"/>
      <c r="H101" s="14"/>
      <c r="I101" s="5"/>
      <c r="J101" s="1"/>
    </row>
    <row r="102" spans="1:10">
      <c r="A102" s="90" t="s">
        <v>603</v>
      </c>
      <c r="B102" s="5" t="s">
        <v>364</v>
      </c>
      <c r="C102" s="16" t="s">
        <v>770</v>
      </c>
      <c r="D102" s="16"/>
      <c r="E102" s="16"/>
      <c r="F102" s="16"/>
      <c r="G102" s="22"/>
      <c r="H102" s="14">
        <f>H78</f>
        <v>400</v>
      </c>
      <c r="I102" t="s">
        <v>116</v>
      </c>
    </row>
    <row r="103" spans="1:10">
      <c r="A103" s="90"/>
      <c r="B103" s="5"/>
      <c r="C103" s="50"/>
      <c r="D103" s="50"/>
      <c r="E103" s="50"/>
      <c r="F103" s="50"/>
      <c r="G103" s="22"/>
      <c r="H103" s="14"/>
    </row>
    <row r="104" spans="1:10">
      <c r="A104" s="90"/>
      <c r="B104" s="5" t="s">
        <v>374</v>
      </c>
      <c r="C104" s="16"/>
      <c r="D104" s="16"/>
      <c r="E104" s="16"/>
      <c r="F104" s="16"/>
      <c r="G104" s="22"/>
      <c r="H104" s="14">
        <v>269.52</v>
      </c>
      <c r="I104" t="s">
        <v>29</v>
      </c>
    </row>
    <row r="105" spans="1:10">
      <c r="A105" s="90"/>
      <c r="B105" s="5"/>
      <c r="C105" s="16"/>
      <c r="D105" s="16"/>
      <c r="E105" s="16"/>
      <c r="F105" s="16"/>
      <c r="G105" s="22"/>
      <c r="H105" s="14"/>
    </row>
    <row r="106" spans="1:10">
      <c r="A106" s="90" t="s">
        <v>375</v>
      </c>
      <c r="B106" s="5" t="s">
        <v>374</v>
      </c>
      <c r="C106" s="16"/>
      <c r="D106" s="16"/>
      <c r="E106" s="16"/>
      <c r="F106" s="16"/>
      <c r="G106" s="22"/>
      <c r="H106" s="14">
        <v>167.17</v>
      </c>
      <c r="I106" t="s">
        <v>29</v>
      </c>
    </row>
    <row r="107" spans="1:10">
      <c r="A107" s="90"/>
      <c r="B107" s="5"/>
      <c r="C107" s="16"/>
      <c r="D107" s="16"/>
      <c r="E107" s="16"/>
      <c r="F107" s="16"/>
      <c r="G107" s="22"/>
      <c r="H107" s="14"/>
    </row>
    <row r="108" spans="1:10">
      <c r="A108" s="90" t="s">
        <v>605</v>
      </c>
      <c r="B108" s="37" t="s">
        <v>771</v>
      </c>
      <c r="C108" s="38" t="s">
        <v>770</v>
      </c>
      <c r="D108" s="13">
        <f>0.776*D53</f>
        <v>222.8672</v>
      </c>
      <c r="E108" s="38" t="s">
        <v>739</v>
      </c>
      <c r="G108" s="22"/>
      <c r="H108" s="14">
        <f>D108</f>
        <v>222.8672</v>
      </c>
      <c r="I108" s="37" t="s">
        <v>117</v>
      </c>
      <c r="J108" s="37"/>
    </row>
    <row r="109" spans="1:10">
      <c r="A109" s="91"/>
      <c r="B109" s="5"/>
      <c r="C109" s="38"/>
      <c r="D109" s="38"/>
      <c r="E109" s="38"/>
      <c r="F109" s="38"/>
      <c r="G109" s="22"/>
      <c r="H109" s="22"/>
    </row>
    <row r="110" spans="1:10">
      <c r="A110" s="90"/>
      <c r="B110" s="5" t="s">
        <v>365</v>
      </c>
      <c r="C110" s="38" t="s">
        <v>770</v>
      </c>
      <c r="D110" s="22">
        <f>0.485*D108</f>
        <v>108.090592</v>
      </c>
      <c r="E110" s="38" t="s">
        <v>739</v>
      </c>
      <c r="F110" s="38"/>
      <c r="G110" s="22"/>
      <c r="H110" s="14">
        <f>D110</f>
        <v>108.090592</v>
      </c>
      <c r="I110" s="37" t="s">
        <v>182</v>
      </c>
    </row>
    <row r="111" spans="1:10" ht="18">
      <c r="A111" s="115"/>
      <c r="B111" s="5"/>
      <c r="C111" s="38"/>
      <c r="D111" s="38"/>
      <c r="E111" s="38"/>
      <c r="F111" s="38"/>
      <c r="G111" s="22"/>
      <c r="H111" s="14"/>
    </row>
    <row r="112" spans="1:10">
      <c r="A112" s="90" t="s">
        <v>606</v>
      </c>
      <c r="B112" s="5" t="s">
        <v>286</v>
      </c>
      <c r="C112" s="16" t="s">
        <v>770</v>
      </c>
      <c r="D112" s="16">
        <v>224</v>
      </c>
      <c r="E112" s="16" t="s">
        <v>739</v>
      </c>
      <c r="F112" s="16"/>
      <c r="G112" s="22"/>
      <c r="H112" s="14">
        <f>D112</f>
        <v>224</v>
      </c>
      <c r="I112" t="s">
        <v>680</v>
      </c>
    </row>
    <row r="113" spans="1:10">
      <c r="A113" s="7"/>
      <c r="B113" s="5"/>
      <c r="C113" s="74"/>
      <c r="D113" s="74"/>
      <c r="E113" s="74"/>
      <c r="F113" s="74"/>
      <c r="G113" s="22"/>
      <c r="H113" s="14"/>
    </row>
    <row r="114" spans="1:10" ht="18">
      <c r="A114" s="100" t="s">
        <v>733</v>
      </c>
      <c r="H114" s="23"/>
    </row>
    <row r="115" spans="1:10">
      <c r="A115" s="101" t="s">
        <v>639</v>
      </c>
      <c r="B115" s="5" t="s">
        <v>540</v>
      </c>
      <c r="C115" s="16" t="s">
        <v>738</v>
      </c>
      <c r="D115" s="16">
        <v>0.65</v>
      </c>
      <c r="E115" s="16" t="s">
        <v>739</v>
      </c>
      <c r="G115" s="22"/>
      <c r="H115" s="14">
        <f>D115*313</f>
        <v>203.45000000000002</v>
      </c>
      <c r="I115" s="19" t="s">
        <v>593</v>
      </c>
    </row>
    <row r="116" spans="1:10">
      <c r="A116" s="101"/>
      <c r="B116" s="5" t="s">
        <v>541</v>
      </c>
      <c r="C116" s="50" t="s">
        <v>738</v>
      </c>
      <c r="D116" s="50">
        <v>0.54</v>
      </c>
      <c r="E116" s="50" t="s">
        <v>739</v>
      </c>
      <c r="G116" s="22"/>
      <c r="H116" s="14">
        <f t="shared" ref="H116:H117" si="3">D116*313</f>
        <v>169.02</v>
      </c>
      <c r="I116" s="48" t="s">
        <v>593</v>
      </c>
    </row>
    <row r="117" spans="1:10">
      <c r="A117" s="101"/>
      <c r="B117" s="5" t="s">
        <v>543</v>
      </c>
      <c r="C117" s="50" t="s">
        <v>738</v>
      </c>
      <c r="D117" s="50">
        <v>0.72</v>
      </c>
      <c r="E117" s="50" t="s">
        <v>739</v>
      </c>
      <c r="G117" s="22"/>
      <c r="H117" s="14">
        <f t="shared" si="3"/>
        <v>225.35999999999999</v>
      </c>
      <c r="I117" s="48" t="s">
        <v>593</v>
      </c>
    </row>
    <row r="118" spans="1:10">
      <c r="A118" s="101"/>
      <c r="B118" s="7" t="s">
        <v>360</v>
      </c>
      <c r="C118" s="50"/>
      <c r="D118" s="50"/>
      <c r="E118" s="50"/>
      <c r="G118" s="22"/>
      <c r="H118" s="14">
        <f>SUM(H115:H117)/3</f>
        <v>199.27666666666667</v>
      </c>
      <c r="I118" s="8" t="s">
        <v>118</v>
      </c>
    </row>
    <row r="119" spans="1:10">
      <c r="A119" s="101"/>
      <c r="B119" s="5" t="s">
        <v>281</v>
      </c>
      <c r="C119" s="16"/>
      <c r="D119" s="16"/>
      <c r="E119" s="16"/>
      <c r="G119" s="22"/>
      <c r="H119" s="14">
        <f>0.53*H115</f>
        <v>107.82850000000002</v>
      </c>
      <c r="I119" s="19" t="s">
        <v>262</v>
      </c>
    </row>
    <row r="120" spans="1:10">
      <c r="A120" s="102"/>
      <c r="H120" s="23"/>
    </row>
    <row r="121" spans="1:10">
      <c r="A121" s="101" t="s">
        <v>640</v>
      </c>
      <c r="B121" t="s">
        <v>547</v>
      </c>
      <c r="C121" s="16" t="s">
        <v>699</v>
      </c>
      <c r="D121" s="16">
        <v>0.96</v>
      </c>
      <c r="E121" s="16" t="s">
        <v>596</v>
      </c>
      <c r="F121" s="16">
        <f>D121</f>
        <v>0.96</v>
      </c>
      <c r="G121" s="22">
        <f>D121+F121</f>
        <v>1.92</v>
      </c>
      <c r="H121" s="14">
        <f>G121*52</f>
        <v>99.84</v>
      </c>
      <c r="I121" s="19" t="s">
        <v>597</v>
      </c>
    </row>
    <row r="122" spans="1:10">
      <c r="A122" s="101"/>
      <c r="B122" t="s">
        <v>548</v>
      </c>
      <c r="C122" s="50" t="s">
        <v>699</v>
      </c>
      <c r="D122" s="50">
        <v>0.87</v>
      </c>
      <c r="E122" s="50" t="s">
        <v>596</v>
      </c>
      <c r="F122" s="50">
        <f t="shared" ref="F122:F123" si="4">D122</f>
        <v>0.87</v>
      </c>
      <c r="G122" s="22">
        <f t="shared" ref="G122:G123" si="5">D122+F122</f>
        <v>1.74</v>
      </c>
      <c r="H122" s="14">
        <f t="shared" ref="H122:H123" si="6">G122*52</f>
        <v>90.48</v>
      </c>
      <c r="I122" s="48" t="s">
        <v>597</v>
      </c>
    </row>
    <row r="123" spans="1:10">
      <c r="A123" s="101"/>
      <c r="B123" t="s">
        <v>550</v>
      </c>
      <c r="C123" s="50" t="s">
        <v>699</v>
      </c>
      <c r="D123" s="50">
        <v>1.52</v>
      </c>
      <c r="E123" s="50" t="s">
        <v>596</v>
      </c>
      <c r="F123" s="50">
        <f t="shared" si="4"/>
        <v>1.52</v>
      </c>
      <c r="G123" s="22">
        <f t="shared" si="5"/>
        <v>3.04</v>
      </c>
      <c r="H123" s="14">
        <f t="shared" si="6"/>
        <v>158.08000000000001</v>
      </c>
      <c r="I123" s="48" t="s">
        <v>597</v>
      </c>
    </row>
    <row r="124" spans="1:10">
      <c r="A124" s="101"/>
      <c r="B124" s="7" t="s">
        <v>360</v>
      </c>
      <c r="C124" s="50"/>
      <c r="D124" s="50"/>
      <c r="E124" s="50"/>
      <c r="F124" s="50"/>
      <c r="G124" s="22"/>
      <c r="H124" s="14">
        <f>SUM(H121:H123)/3</f>
        <v>116.13333333333333</v>
      </c>
      <c r="I124" s="48"/>
    </row>
    <row r="125" spans="1:10">
      <c r="A125" s="101"/>
      <c r="B125" s="5" t="s">
        <v>281</v>
      </c>
      <c r="C125" s="16"/>
      <c r="D125" s="16"/>
      <c r="E125" s="16"/>
      <c r="G125" s="22"/>
      <c r="H125" s="14">
        <f>0.53*H121</f>
        <v>52.915200000000006</v>
      </c>
      <c r="I125" s="19" t="s">
        <v>262</v>
      </c>
    </row>
    <row r="126" spans="1:10">
      <c r="A126" s="101"/>
      <c r="C126" s="16"/>
      <c r="D126" s="16"/>
      <c r="E126" s="16"/>
      <c r="F126" s="16"/>
      <c r="G126" s="22"/>
      <c r="H126" s="14"/>
      <c r="I126" s="19"/>
    </row>
    <row r="127" spans="1:10">
      <c r="A127" s="101" t="s">
        <v>752</v>
      </c>
      <c r="B127" s="5" t="s">
        <v>278</v>
      </c>
      <c r="C127" s="1"/>
      <c r="D127" s="1"/>
      <c r="E127" s="1"/>
      <c r="F127" s="1"/>
      <c r="G127" s="1"/>
      <c r="H127" s="14">
        <f>0.923*450.72</f>
        <v>416.01456000000002</v>
      </c>
      <c r="I127" s="5" t="s">
        <v>119</v>
      </c>
      <c r="J127" s="1"/>
    </row>
    <row r="128" spans="1:10">
      <c r="A128" s="101"/>
      <c r="B128" s="5" t="s">
        <v>279</v>
      </c>
      <c r="C128" s="1"/>
      <c r="D128" s="1"/>
      <c r="E128" s="1"/>
      <c r="F128" s="1"/>
      <c r="G128" s="1"/>
      <c r="H128" s="14">
        <f>0.53*H127</f>
        <v>220.48771680000002</v>
      </c>
      <c r="I128" s="19" t="s">
        <v>262</v>
      </c>
      <c r="J128" s="1"/>
    </row>
    <row r="129" spans="1:10">
      <c r="A129" s="101"/>
      <c r="B129" s="1"/>
      <c r="C129" s="1"/>
      <c r="D129" s="1"/>
      <c r="E129" s="1"/>
      <c r="F129" s="1"/>
      <c r="G129" s="1"/>
      <c r="H129" s="14"/>
      <c r="I129" s="5"/>
      <c r="J129" s="1"/>
    </row>
    <row r="130" spans="1:10">
      <c r="A130" s="101" t="s">
        <v>604</v>
      </c>
      <c r="B130" s="5" t="s">
        <v>278</v>
      </c>
      <c r="C130" s="1"/>
      <c r="D130" s="1"/>
      <c r="E130" s="1"/>
      <c r="F130" s="1"/>
      <c r="G130" s="1"/>
      <c r="H130" s="14">
        <f>0.923*418.27</f>
        <v>386.06321000000003</v>
      </c>
      <c r="I130" s="5" t="s">
        <v>119</v>
      </c>
      <c r="J130" s="1"/>
    </row>
    <row r="131" spans="1:10">
      <c r="A131" s="101"/>
      <c r="B131" s="5" t="s">
        <v>279</v>
      </c>
      <c r="C131" s="1"/>
      <c r="D131" s="1"/>
      <c r="E131" s="1"/>
      <c r="F131" s="1"/>
      <c r="G131" s="1"/>
      <c r="H131" s="14">
        <f>0.53*H130</f>
        <v>204.61350130000002</v>
      </c>
      <c r="I131" s="19" t="s">
        <v>262</v>
      </c>
      <c r="J131" s="1"/>
    </row>
    <row r="132" spans="1:10">
      <c r="A132" s="101"/>
      <c r="B132" s="1"/>
      <c r="C132" s="1"/>
      <c r="D132" s="1"/>
      <c r="E132" s="1"/>
      <c r="F132" s="1"/>
      <c r="G132" s="1"/>
      <c r="H132" s="14"/>
      <c r="I132" s="5"/>
      <c r="J132" s="1"/>
    </row>
    <row r="133" spans="1:10">
      <c r="A133" s="101" t="s">
        <v>603</v>
      </c>
      <c r="B133" s="5" t="s">
        <v>364</v>
      </c>
      <c r="C133" s="16" t="s">
        <v>770</v>
      </c>
      <c r="D133" s="16"/>
      <c r="E133" s="16"/>
      <c r="F133" s="16"/>
      <c r="G133" s="22"/>
      <c r="H133" s="14">
        <f>H78</f>
        <v>400</v>
      </c>
      <c r="I133" t="s">
        <v>116</v>
      </c>
    </row>
    <row r="134" spans="1:10">
      <c r="A134" s="101"/>
      <c r="B134" s="5"/>
      <c r="C134" s="50"/>
      <c r="D134" s="50"/>
      <c r="E134" s="50"/>
      <c r="F134" s="50"/>
      <c r="G134" s="22"/>
      <c r="H134" s="14"/>
    </row>
    <row r="135" spans="1:10">
      <c r="A135" s="101"/>
      <c r="B135" s="5" t="s">
        <v>374</v>
      </c>
      <c r="C135" s="16"/>
      <c r="D135" s="16"/>
      <c r="E135" s="16"/>
      <c r="F135" s="16"/>
      <c r="G135" s="22"/>
      <c r="H135" s="14">
        <v>290.8</v>
      </c>
      <c r="I135" t="s">
        <v>29</v>
      </c>
    </row>
    <row r="136" spans="1:10">
      <c r="A136" s="101"/>
      <c r="B136" s="5"/>
      <c r="C136" s="16"/>
      <c r="D136" s="16"/>
      <c r="E136" s="16"/>
      <c r="F136" s="16"/>
      <c r="G136" s="22"/>
      <c r="H136" s="14"/>
    </row>
    <row r="137" spans="1:10">
      <c r="A137" s="101" t="s">
        <v>375</v>
      </c>
      <c r="B137" s="5" t="s">
        <v>374</v>
      </c>
      <c r="C137" s="16"/>
      <c r="D137" s="16"/>
      <c r="E137" s="16"/>
      <c r="F137" s="16"/>
      <c r="G137" s="22"/>
      <c r="H137" s="14">
        <v>189.09</v>
      </c>
      <c r="I137" t="s">
        <v>29</v>
      </c>
    </row>
    <row r="138" spans="1:10">
      <c r="A138" s="102"/>
      <c r="H138" s="23"/>
    </row>
    <row r="139" spans="1:10">
      <c r="A139" s="101" t="s">
        <v>605</v>
      </c>
      <c r="B139" s="37" t="s">
        <v>771</v>
      </c>
      <c r="C139" s="38" t="s">
        <v>770</v>
      </c>
      <c r="D139" s="22"/>
      <c r="E139" s="38" t="s">
        <v>739</v>
      </c>
      <c r="G139" s="22"/>
      <c r="H139" s="14">
        <f>0.739*H53</f>
        <v>212.24079999999998</v>
      </c>
      <c r="I139" s="37" t="s">
        <v>120</v>
      </c>
      <c r="J139" s="37"/>
    </row>
    <row r="140" spans="1:10">
      <c r="A140" s="103"/>
      <c r="B140" s="5"/>
      <c r="C140" s="38"/>
      <c r="D140" s="38"/>
      <c r="E140" s="38"/>
      <c r="F140" s="38"/>
      <c r="G140" s="22"/>
      <c r="H140" s="22"/>
    </row>
    <row r="141" spans="1:10">
      <c r="A141" s="101"/>
      <c r="B141" s="5" t="s">
        <v>365</v>
      </c>
      <c r="C141" s="38" t="s">
        <v>770</v>
      </c>
      <c r="D141" s="22"/>
      <c r="E141" s="38" t="s">
        <v>739</v>
      </c>
      <c r="F141" s="38"/>
      <c r="G141" s="22"/>
      <c r="H141" s="14">
        <f>0.485*H139</f>
        <v>102.93678799999999</v>
      </c>
      <c r="I141" s="37" t="s">
        <v>168</v>
      </c>
    </row>
    <row r="142" spans="1:10" ht="18">
      <c r="A142" s="100"/>
      <c r="B142" s="5"/>
      <c r="C142" s="38"/>
      <c r="D142" s="38"/>
      <c r="E142" s="38"/>
      <c r="F142" s="38"/>
      <c r="G142" s="22"/>
      <c r="H142" s="14"/>
    </row>
    <row r="143" spans="1:10">
      <c r="A143" s="101" t="s">
        <v>606</v>
      </c>
      <c r="B143" s="5" t="s">
        <v>289</v>
      </c>
      <c r="C143" s="35" t="s">
        <v>770</v>
      </c>
      <c r="D143" s="35">
        <v>269</v>
      </c>
      <c r="E143" s="35" t="s">
        <v>739</v>
      </c>
      <c r="F143" s="35"/>
      <c r="G143" s="22"/>
      <c r="H143" s="14">
        <f>D143</f>
        <v>269</v>
      </c>
      <c r="I143" t="s">
        <v>111</v>
      </c>
    </row>
    <row r="144" spans="1:10">
      <c r="A144" s="7"/>
      <c r="B144" s="5"/>
      <c r="C144" s="74"/>
      <c r="D144" s="74"/>
      <c r="E144" s="74"/>
      <c r="F144" s="74"/>
      <c r="G144" s="22"/>
      <c r="H144" s="14"/>
    </row>
    <row r="145" spans="1:10" ht="18">
      <c r="A145" s="116" t="s">
        <v>732</v>
      </c>
      <c r="H145" s="23"/>
    </row>
    <row r="146" spans="1:10">
      <c r="A146" s="117" t="s">
        <v>639</v>
      </c>
      <c r="B146" s="5" t="s">
        <v>775</v>
      </c>
      <c r="C146" s="16" t="s">
        <v>738</v>
      </c>
      <c r="D146" s="16">
        <v>0.68</v>
      </c>
      <c r="E146" s="16" t="s">
        <v>739</v>
      </c>
      <c r="G146" s="22"/>
      <c r="H146" s="14">
        <f>D146*313</f>
        <v>212.84</v>
      </c>
      <c r="I146" s="19" t="s">
        <v>593</v>
      </c>
    </row>
    <row r="147" spans="1:10">
      <c r="A147" s="117"/>
      <c r="B147" s="5" t="s">
        <v>281</v>
      </c>
      <c r="C147" s="16"/>
      <c r="D147" s="16"/>
      <c r="E147" s="16"/>
      <c r="G147" s="22"/>
      <c r="H147" s="14">
        <f>0.53*H146</f>
        <v>112.80520000000001</v>
      </c>
      <c r="I147" s="19" t="s">
        <v>262</v>
      </c>
    </row>
    <row r="148" spans="1:10">
      <c r="A148" s="118"/>
      <c r="H148" s="23"/>
    </row>
    <row r="149" spans="1:10">
      <c r="A149" s="117" t="s">
        <v>640</v>
      </c>
      <c r="B149" t="s">
        <v>595</v>
      </c>
      <c r="C149" s="16" t="s">
        <v>699</v>
      </c>
      <c r="D149" s="16">
        <v>1.18</v>
      </c>
      <c r="E149" s="16" t="s">
        <v>596</v>
      </c>
      <c r="F149" s="16">
        <f>D149</f>
        <v>1.18</v>
      </c>
      <c r="G149" s="22">
        <f>D149+F149</f>
        <v>2.36</v>
      </c>
      <c r="H149" s="14">
        <f>G149*52</f>
        <v>122.72</v>
      </c>
      <c r="I149" s="19" t="s">
        <v>597</v>
      </c>
    </row>
    <row r="150" spans="1:10">
      <c r="A150" s="117"/>
      <c r="B150" s="5" t="s">
        <v>281</v>
      </c>
      <c r="C150" s="16"/>
      <c r="D150" s="16"/>
      <c r="E150" s="16"/>
      <c r="G150" s="22"/>
      <c r="H150" s="14">
        <f>0.53*H149</f>
        <v>65.041600000000003</v>
      </c>
      <c r="I150" s="19" t="s">
        <v>262</v>
      </c>
    </row>
    <row r="151" spans="1:10">
      <c r="A151" s="117"/>
      <c r="C151" s="16"/>
      <c r="D151" s="16"/>
      <c r="E151" s="16"/>
      <c r="F151" s="16"/>
      <c r="G151" s="22"/>
      <c r="H151" s="14"/>
      <c r="I151" s="19"/>
    </row>
    <row r="152" spans="1:10">
      <c r="A152" s="117" t="s">
        <v>752</v>
      </c>
      <c r="B152" s="5" t="s">
        <v>278</v>
      </c>
      <c r="C152" s="1"/>
      <c r="D152" s="1"/>
      <c r="E152" s="1"/>
      <c r="F152" s="1"/>
      <c r="G152" s="1"/>
      <c r="H152" s="14">
        <f>0.923*566.53</f>
        <v>522.90719000000001</v>
      </c>
      <c r="I152" s="5" t="s">
        <v>68</v>
      </c>
      <c r="J152" s="1"/>
    </row>
    <row r="153" spans="1:10">
      <c r="A153" s="117"/>
      <c r="B153" s="5" t="s">
        <v>279</v>
      </c>
      <c r="C153" s="1"/>
      <c r="D153" s="1"/>
      <c r="E153" s="1"/>
      <c r="F153" s="1"/>
      <c r="G153" s="1"/>
      <c r="H153" s="14">
        <f>0.53*H152</f>
        <v>277.14081070000003</v>
      </c>
      <c r="I153" s="19" t="s">
        <v>262</v>
      </c>
      <c r="J153" s="1"/>
    </row>
    <row r="154" spans="1:10">
      <c r="A154" s="117"/>
      <c r="B154" s="1"/>
      <c r="C154" s="1"/>
      <c r="D154" s="1"/>
      <c r="E154" s="1"/>
      <c r="F154" s="1"/>
      <c r="G154" s="1"/>
      <c r="H154" s="14"/>
      <c r="I154" s="5"/>
      <c r="J154" s="1"/>
    </row>
    <row r="155" spans="1:10">
      <c r="A155" s="117" t="s">
        <v>604</v>
      </c>
      <c r="B155" s="1" t="s">
        <v>278</v>
      </c>
      <c r="C155" s="1"/>
      <c r="D155" s="1"/>
      <c r="E155" s="1"/>
      <c r="F155" s="1"/>
      <c r="G155" s="1"/>
      <c r="H155" s="14">
        <f>0.923*525.74</f>
        <v>485.25802000000004</v>
      </c>
      <c r="I155" s="5" t="s">
        <v>68</v>
      </c>
      <c r="J155" s="1"/>
    </row>
    <row r="156" spans="1:10">
      <c r="A156" s="117"/>
      <c r="B156" s="5" t="s">
        <v>279</v>
      </c>
      <c r="C156" s="1"/>
      <c r="D156" s="1"/>
      <c r="E156" s="1"/>
      <c r="F156" s="1"/>
      <c r="G156" s="1"/>
      <c r="H156" s="14">
        <f>0.53*H155</f>
        <v>257.18675060000004</v>
      </c>
      <c r="I156" s="19" t="s">
        <v>262</v>
      </c>
      <c r="J156" s="1"/>
    </row>
    <row r="157" spans="1:10">
      <c r="A157" s="117"/>
      <c r="B157" s="5"/>
      <c r="C157" s="1"/>
      <c r="D157" s="1"/>
      <c r="E157" s="1"/>
      <c r="F157" s="1"/>
      <c r="G157" s="1"/>
      <c r="H157" s="14"/>
      <c r="I157" s="37"/>
      <c r="J157" s="1"/>
    </row>
    <row r="158" spans="1:10">
      <c r="A158" s="117" t="s">
        <v>605</v>
      </c>
      <c r="B158" s="37" t="s">
        <v>771</v>
      </c>
      <c r="C158" s="38" t="s">
        <v>770</v>
      </c>
      <c r="D158" s="14">
        <f>0.697*H53</f>
        <v>200.17839999999998</v>
      </c>
      <c r="E158" s="38" t="s">
        <v>739</v>
      </c>
      <c r="G158" s="22"/>
      <c r="H158" s="14">
        <f>D158</f>
        <v>200.17839999999998</v>
      </c>
      <c r="I158" s="37" t="s">
        <v>122</v>
      </c>
      <c r="J158" s="37"/>
    </row>
    <row r="159" spans="1:10">
      <c r="A159" s="119"/>
      <c r="B159" s="5"/>
      <c r="C159" s="38"/>
      <c r="D159" s="38"/>
      <c r="E159" s="38"/>
      <c r="F159" s="38"/>
      <c r="G159" s="22"/>
      <c r="H159" s="22"/>
    </row>
    <row r="160" spans="1:10">
      <c r="A160" s="117"/>
      <c r="B160" s="5" t="s">
        <v>365</v>
      </c>
      <c r="C160" s="38" t="s">
        <v>770</v>
      </c>
      <c r="D160" s="13">
        <f>0.485*D158</f>
        <v>97.086523999999983</v>
      </c>
      <c r="E160" s="38" t="s">
        <v>739</v>
      </c>
      <c r="F160" s="38"/>
      <c r="G160" s="22"/>
      <c r="H160" s="14">
        <f>D160</f>
        <v>97.086523999999983</v>
      </c>
      <c r="I160" s="37" t="s">
        <v>168</v>
      </c>
    </row>
    <row r="161" spans="1:9">
      <c r="A161" s="117"/>
      <c r="B161" s="19"/>
      <c r="C161" s="16"/>
      <c r="D161" s="16"/>
      <c r="E161" s="16"/>
      <c r="G161" s="22"/>
      <c r="H161" s="14"/>
    </row>
    <row r="162" spans="1:9">
      <c r="A162" s="117" t="s">
        <v>606</v>
      </c>
      <c r="B162" s="5" t="s">
        <v>287</v>
      </c>
      <c r="C162" s="16" t="s">
        <v>770</v>
      </c>
      <c r="D162" s="16">
        <v>224</v>
      </c>
      <c r="E162" s="16" t="s">
        <v>739</v>
      </c>
      <c r="F162" s="16"/>
      <c r="G162" s="22"/>
      <c r="H162" s="14">
        <f>D162</f>
        <v>224</v>
      </c>
      <c r="I162" t="s">
        <v>680</v>
      </c>
    </row>
    <row r="163" spans="1:9">
      <c r="A163" s="117"/>
      <c r="B163" s="5" t="s">
        <v>288</v>
      </c>
      <c r="C163" s="35" t="s">
        <v>770</v>
      </c>
      <c r="D163" s="35">
        <v>269</v>
      </c>
      <c r="E163" s="35" t="s">
        <v>739</v>
      </c>
      <c r="F163" s="35"/>
      <c r="G163" s="22"/>
      <c r="H163" s="14">
        <f>D163</f>
        <v>269</v>
      </c>
      <c r="I163" t="s">
        <v>680</v>
      </c>
    </row>
    <row r="164" spans="1:9">
      <c r="A164" s="117"/>
      <c r="B164" s="5"/>
      <c r="C164" s="50"/>
      <c r="D164" s="50"/>
      <c r="E164" s="50"/>
      <c r="F164" s="50"/>
      <c r="G164" s="22"/>
      <c r="H164" s="14"/>
    </row>
    <row r="165" spans="1:9">
      <c r="A165" s="117" t="s">
        <v>603</v>
      </c>
      <c r="B165" s="5" t="s">
        <v>374</v>
      </c>
      <c r="C165" s="16"/>
      <c r="D165" s="16"/>
      <c r="E165" s="16"/>
      <c r="F165" s="16"/>
      <c r="G165" s="22"/>
      <c r="H165" s="14">
        <v>293.41000000000003</v>
      </c>
      <c r="I165" t="s">
        <v>29</v>
      </c>
    </row>
    <row r="166" spans="1:9">
      <c r="A166" s="117"/>
      <c r="B166" s="5"/>
      <c r="C166" s="50"/>
      <c r="D166" s="50"/>
      <c r="E166" s="50"/>
      <c r="F166" s="50"/>
      <c r="G166" s="22"/>
      <c r="H166" s="14"/>
    </row>
    <row r="167" spans="1:9">
      <c r="A167" s="117"/>
      <c r="B167" s="5" t="s">
        <v>364</v>
      </c>
      <c r="C167" s="50" t="s">
        <v>770</v>
      </c>
      <c r="D167" s="50"/>
      <c r="E167" s="50"/>
      <c r="F167" s="50"/>
      <c r="G167" s="22"/>
      <c r="H167" s="14">
        <v>400</v>
      </c>
      <c r="I167" t="s">
        <v>116</v>
      </c>
    </row>
    <row r="168" spans="1:9" ht="18">
      <c r="A168" s="116"/>
      <c r="B168" s="5"/>
      <c r="C168" s="50"/>
      <c r="D168" s="50"/>
      <c r="E168" s="50"/>
      <c r="F168" s="50"/>
      <c r="G168" s="22"/>
      <c r="H168" s="14"/>
    </row>
    <row r="169" spans="1:9">
      <c r="A169" s="117" t="s">
        <v>375</v>
      </c>
      <c r="B169" s="5" t="s">
        <v>374</v>
      </c>
      <c r="C169" s="16"/>
      <c r="D169" s="16"/>
      <c r="E169" s="16"/>
      <c r="F169" s="16"/>
      <c r="G169" s="22"/>
      <c r="H169" s="14">
        <v>191.81</v>
      </c>
      <c r="I169" t="s">
        <v>29</v>
      </c>
    </row>
    <row r="170" spans="1:9">
      <c r="A170" s="7"/>
      <c r="B170" s="5"/>
      <c r="C170" s="74"/>
      <c r="D170" s="74"/>
      <c r="E170" s="74"/>
      <c r="F170" s="74"/>
      <c r="G170" s="22"/>
      <c r="H170" s="14"/>
    </row>
    <row r="171" spans="1:9" ht="18">
      <c r="A171" s="132" t="s">
        <v>734</v>
      </c>
      <c r="B171" s="2"/>
      <c r="C171" s="2"/>
      <c r="D171" s="2"/>
      <c r="E171" s="2"/>
      <c r="F171" s="2"/>
      <c r="G171" s="2"/>
      <c r="H171" s="22"/>
      <c r="I171" s="3"/>
    </row>
    <row r="172" spans="1:9">
      <c r="A172" s="133" t="s">
        <v>639</v>
      </c>
      <c r="B172" s="5" t="s">
        <v>775</v>
      </c>
      <c r="C172" s="16" t="s">
        <v>738</v>
      </c>
      <c r="D172" s="16">
        <v>1.27</v>
      </c>
      <c r="E172" s="16" t="s">
        <v>739</v>
      </c>
      <c r="G172" s="22">
        <v>1.27</v>
      </c>
      <c r="H172" s="14">
        <v>397.51</v>
      </c>
      <c r="I172" s="19" t="s">
        <v>593</v>
      </c>
    </row>
    <row r="173" spans="1:9">
      <c r="A173" s="133"/>
      <c r="B173" s="5" t="s">
        <v>281</v>
      </c>
      <c r="C173" s="16"/>
      <c r="D173" s="16"/>
      <c r="E173" s="16"/>
      <c r="G173" s="22"/>
      <c r="H173" s="14">
        <f>0.53*H172</f>
        <v>210.68030000000002</v>
      </c>
      <c r="I173" s="19" t="s">
        <v>262</v>
      </c>
    </row>
    <row r="174" spans="1:9">
      <c r="A174" s="134"/>
      <c r="B174" s="16"/>
      <c r="C174" s="16"/>
      <c r="D174" s="16"/>
      <c r="E174" s="16"/>
      <c r="F174" s="16"/>
      <c r="G174" s="16"/>
      <c r="H174" s="22"/>
      <c r="I174" s="19"/>
    </row>
    <row r="175" spans="1:9">
      <c r="A175" s="133" t="s">
        <v>640</v>
      </c>
      <c r="B175" t="s">
        <v>595</v>
      </c>
      <c r="C175" s="16" t="s">
        <v>699</v>
      </c>
      <c r="D175" s="16">
        <v>2.95</v>
      </c>
      <c r="E175" s="16" t="s">
        <v>596</v>
      </c>
      <c r="F175" s="16">
        <f>D175</f>
        <v>2.95</v>
      </c>
      <c r="G175" s="22">
        <f>D175+F175</f>
        <v>5.9</v>
      </c>
      <c r="H175" s="14">
        <v>306.8</v>
      </c>
      <c r="I175" s="19" t="s">
        <v>597</v>
      </c>
    </row>
    <row r="176" spans="1:9">
      <c r="A176" s="133"/>
      <c r="B176" s="5" t="s">
        <v>281</v>
      </c>
      <c r="C176" s="16"/>
      <c r="D176" s="16"/>
      <c r="E176" s="16"/>
      <c r="G176" s="22"/>
      <c r="H176" s="14">
        <f>0.53*H175</f>
        <v>162.60400000000001</v>
      </c>
      <c r="I176" s="19" t="s">
        <v>262</v>
      </c>
    </row>
    <row r="177" spans="1:10">
      <c r="A177" s="133"/>
      <c r="C177" s="16"/>
      <c r="D177" s="16"/>
      <c r="E177" s="16"/>
      <c r="F177" s="16"/>
      <c r="G177" s="22"/>
      <c r="H177" s="14"/>
      <c r="I177" s="19"/>
    </row>
    <row r="178" spans="1:10">
      <c r="A178" s="133" t="s">
        <v>752</v>
      </c>
      <c r="B178" s="5" t="s">
        <v>278</v>
      </c>
      <c r="C178" s="1"/>
      <c r="D178" s="1"/>
      <c r="E178" s="1"/>
      <c r="F178" s="1"/>
      <c r="G178" s="1"/>
      <c r="H178" s="14">
        <f>0.923*566.53</f>
        <v>522.90719000000001</v>
      </c>
      <c r="I178" s="5" t="s">
        <v>68</v>
      </c>
      <c r="J178" s="1"/>
    </row>
    <row r="179" spans="1:10">
      <c r="A179" s="133"/>
      <c r="B179" s="5" t="s">
        <v>279</v>
      </c>
      <c r="C179" s="1"/>
      <c r="D179" s="1"/>
      <c r="E179" s="1"/>
      <c r="F179" s="1"/>
      <c r="G179" s="1"/>
      <c r="H179" s="14">
        <f>0.53*H178</f>
        <v>277.14081070000003</v>
      </c>
      <c r="I179" s="19" t="s">
        <v>262</v>
      </c>
      <c r="J179" s="1"/>
    </row>
    <row r="180" spans="1:10">
      <c r="A180" s="133"/>
      <c r="B180" s="1"/>
      <c r="C180" s="1"/>
      <c r="D180" s="1"/>
      <c r="E180" s="1"/>
      <c r="F180" s="1"/>
      <c r="G180" s="1"/>
      <c r="H180" s="14"/>
      <c r="I180" s="5"/>
      <c r="J180" s="1"/>
    </row>
    <row r="181" spans="1:10">
      <c r="A181" s="133" t="s">
        <v>604</v>
      </c>
      <c r="B181" s="1" t="s">
        <v>278</v>
      </c>
      <c r="C181" s="1"/>
      <c r="D181" s="1"/>
      <c r="E181" s="1"/>
      <c r="F181" s="1"/>
      <c r="G181" s="1"/>
      <c r="H181" s="14">
        <f>0.923*525.74</f>
        <v>485.25802000000004</v>
      </c>
      <c r="I181" s="5" t="s">
        <v>121</v>
      </c>
      <c r="J181" s="1"/>
    </row>
    <row r="182" spans="1:10">
      <c r="A182" s="133"/>
      <c r="B182" s="5" t="s">
        <v>279</v>
      </c>
      <c r="C182" s="1"/>
      <c r="D182" s="1"/>
      <c r="E182" s="1"/>
      <c r="F182" s="1"/>
      <c r="G182" s="1"/>
      <c r="H182" s="14">
        <f>0.53*H181</f>
        <v>257.18675060000004</v>
      </c>
      <c r="I182" s="19" t="s">
        <v>262</v>
      </c>
      <c r="J182" s="1"/>
    </row>
    <row r="183" spans="1:10">
      <c r="A183" s="133"/>
      <c r="B183" s="5"/>
      <c r="C183" s="1"/>
      <c r="D183" s="1"/>
      <c r="E183" s="1"/>
      <c r="F183" s="1"/>
      <c r="G183" s="1"/>
      <c r="H183" s="14"/>
      <c r="I183" s="37"/>
      <c r="J183" s="1"/>
    </row>
    <row r="184" spans="1:10">
      <c r="A184" s="133" t="s">
        <v>605</v>
      </c>
      <c r="B184" s="37" t="s">
        <v>771</v>
      </c>
      <c r="C184" s="38" t="s">
        <v>770</v>
      </c>
      <c r="D184" s="22">
        <f>374.7*1.041</f>
        <v>390.06269999999995</v>
      </c>
      <c r="E184" s="38" t="s">
        <v>739</v>
      </c>
      <c r="G184" s="22"/>
      <c r="H184" s="14">
        <f>D184</f>
        <v>390.06269999999995</v>
      </c>
      <c r="I184" s="37" t="s">
        <v>67</v>
      </c>
      <c r="J184" s="37"/>
    </row>
    <row r="185" spans="1:10">
      <c r="A185" s="135"/>
      <c r="B185" s="5"/>
      <c r="C185" s="38"/>
      <c r="D185" s="38"/>
      <c r="E185" s="38"/>
      <c r="F185" s="38"/>
      <c r="G185" s="22"/>
      <c r="H185" s="22"/>
    </row>
    <row r="186" spans="1:10">
      <c r="A186" s="133"/>
      <c r="B186" s="5" t="s">
        <v>365</v>
      </c>
      <c r="C186" s="38" t="s">
        <v>770</v>
      </c>
      <c r="D186" s="22">
        <f>0.485*D184</f>
        <v>189.18040949999997</v>
      </c>
      <c r="E186" s="38" t="s">
        <v>739</v>
      </c>
      <c r="F186" s="38"/>
      <c r="G186" s="22"/>
      <c r="H186" s="22">
        <f>D186</f>
        <v>189.18040949999997</v>
      </c>
      <c r="I186" s="37" t="s">
        <v>168</v>
      </c>
    </row>
    <row r="187" spans="1:10">
      <c r="A187" s="133"/>
      <c r="B187" s="1"/>
      <c r="C187" s="1"/>
      <c r="D187" s="1"/>
      <c r="E187" s="1"/>
      <c r="F187" s="1"/>
      <c r="G187" s="1"/>
      <c r="H187" s="14"/>
      <c r="I187" s="5"/>
      <c r="J187" s="1"/>
    </row>
    <row r="188" spans="1:10">
      <c r="A188" s="133" t="s">
        <v>603</v>
      </c>
      <c r="B188" s="5" t="s">
        <v>374</v>
      </c>
      <c r="C188" s="16"/>
      <c r="D188" s="16"/>
      <c r="E188" s="16"/>
      <c r="F188" s="16"/>
      <c r="G188" s="22"/>
      <c r="H188" s="14">
        <v>346.15</v>
      </c>
      <c r="I188" t="s">
        <v>29</v>
      </c>
    </row>
    <row r="189" spans="1:10">
      <c r="A189" s="133"/>
      <c r="B189" s="5"/>
      <c r="C189" s="50"/>
      <c r="D189" s="50"/>
      <c r="E189" s="50"/>
      <c r="F189" s="50"/>
      <c r="G189" s="22"/>
      <c r="H189" s="14"/>
    </row>
    <row r="190" spans="1:10">
      <c r="A190" s="133"/>
      <c r="B190" s="5" t="s">
        <v>364</v>
      </c>
      <c r="C190" s="50" t="s">
        <v>770</v>
      </c>
      <c r="D190" s="50"/>
      <c r="E190" s="50"/>
      <c r="F190" s="50"/>
      <c r="G190" s="22"/>
      <c r="H190" s="14">
        <v>400</v>
      </c>
      <c r="I190" t="s">
        <v>116</v>
      </c>
    </row>
    <row r="191" spans="1:10" ht="18">
      <c r="A191" s="132"/>
      <c r="B191" s="5"/>
      <c r="C191" s="50"/>
      <c r="D191" s="50"/>
      <c r="E191" s="50"/>
      <c r="F191" s="50"/>
      <c r="G191" s="22"/>
      <c r="H191" s="14"/>
    </row>
    <row r="192" spans="1:10">
      <c r="A192" s="133" t="s">
        <v>375</v>
      </c>
      <c r="B192" s="5" t="s">
        <v>374</v>
      </c>
      <c r="C192" s="16"/>
      <c r="D192" s="16"/>
      <c r="E192" s="16"/>
      <c r="F192" s="16"/>
      <c r="G192" s="22"/>
      <c r="H192" s="14">
        <v>279.57</v>
      </c>
      <c r="I192" t="s">
        <v>29</v>
      </c>
    </row>
    <row r="193" spans="1:10">
      <c r="A193" s="7"/>
      <c r="B193" s="5"/>
      <c r="C193" s="74"/>
      <c r="D193" s="74"/>
      <c r="E193" s="74"/>
      <c r="F193" s="74"/>
      <c r="G193" s="22"/>
      <c r="H193" s="14"/>
    </row>
    <row r="194" spans="1:10" ht="18">
      <c r="A194" s="110" t="s">
        <v>736</v>
      </c>
      <c r="B194" s="2"/>
      <c r="C194" s="2"/>
      <c r="D194" s="2"/>
      <c r="E194" s="2"/>
      <c r="F194" s="2"/>
      <c r="G194" s="2"/>
      <c r="H194" s="12"/>
      <c r="I194" s="3"/>
    </row>
    <row r="195" spans="1:10">
      <c r="A195" s="111" t="s">
        <v>639</v>
      </c>
      <c r="B195" s="5" t="s">
        <v>775</v>
      </c>
      <c r="C195" s="16" t="s">
        <v>738</v>
      </c>
      <c r="D195" s="16">
        <v>5</v>
      </c>
      <c r="E195" s="16" t="s">
        <v>739</v>
      </c>
      <c r="G195" s="22"/>
      <c r="H195" s="14">
        <f>D195*313</f>
        <v>1565</v>
      </c>
      <c r="I195" s="19" t="s">
        <v>593</v>
      </c>
    </row>
    <row r="196" spans="1:10">
      <c r="A196" s="113"/>
      <c r="B196" s="16"/>
      <c r="C196" s="16"/>
      <c r="D196" s="16"/>
      <c r="E196" s="16"/>
      <c r="F196" s="16"/>
      <c r="G196" s="16"/>
      <c r="H196" s="16"/>
      <c r="I196" s="19"/>
    </row>
    <row r="197" spans="1:10">
      <c r="A197" s="111" t="s">
        <v>640</v>
      </c>
      <c r="B197" t="s">
        <v>398</v>
      </c>
      <c r="C197" s="16" t="s">
        <v>699</v>
      </c>
      <c r="D197" s="16">
        <v>13</v>
      </c>
      <c r="E197" s="16" t="s">
        <v>596</v>
      </c>
      <c r="F197" s="16">
        <f>D197</f>
        <v>13</v>
      </c>
      <c r="G197" s="22">
        <f>D197+F197</f>
        <v>26</v>
      </c>
      <c r="H197" s="22">
        <f>G197*52</f>
        <v>1352</v>
      </c>
      <c r="I197" s="19" t="s">
        <v>597</v>
      </c>
    </row>
    <row r="198" spans="1:10">
      <c r="A198" s="114"/>
      <c r="B198" t="s">
        <v>399</v>
      </c>
      <c r="C198" s="16" t="s">
        <v>699</v>
      </c>
      <c r="D198" s="16">
        <v>10</v>
      </c>
      <c r="E198" s="16" t="s">
        <v>596</v>
      </c>
      <c r="F198" s="16">
        <f>D198</f>
        <v>10</v>
      </c>
      <c r="G198" s="22">
        <f>D198+F198</f>
        <v>20</v>
      </c>
      <c r="H198" s="22">
        <f>G198*52</f>
        <v>1040</v>
      </c>
      <c r="I198" s="19" t="s">
        <v>597</v>
      </c>
    </row>
    <row r="199" spans="1:10">
      <c r="A199" s="113"/>
      <c r="B199" s="16"/>
      <c r="C199" s="16"/>
      <c r="D199" s="16"/>
      <c r="E199" s="16"/>
      <c r="F199" s="16"/>
      <c r="G199" s="16"/>
      <c r="H199" s="14">
        <f>SUM(H197:H198)/2</f>
        <v>1196</v>
      </c>
      <c r="I199" s="19"/>
    </row>
    <row r="200" spans="1:10">
      <c r="A200" s="113"/>
      <c r="B200" s="16"/>
      <c r="C200" s="16"/>
      <c r="D200" s="16"/>
      <c r="E200" s="16"/>
      <c r="F200" s="16"/>
      <c r="G200" s="16"/>
      <c r="H200" s="14"/>
      <c r="I200" s="19"/>
    </row>
    <row r="201" spans="1:10">
      <c r="A201" s="111" t="s">
        <v>752</v>
      </c>
      <c r="B201" s="1"/>
      <c r="C201" s="1"/>
      <c r="D201" s="1"/>
      <c r="E201" s="1"/>
      <c r="F201" s="1"/>
      <c r="G201" s="1"/>
      <c r="H201" s="14">
        <f>0.877*2009.46</f>
        <v>1762.2964200000001</v>
      </c>
      <c r="I201" s="5" t="s">
        <v>65</v>
      </c>
      <c r="J201" s="1"/>
    </row>
    <row r="202" spans="1:10">
      <c r="A202" s="111"/>
      <c r="B202" s="1"/>
      <c r="C202" s="1"/>
      <c r="D202" s="1"/>
      <c r="E202" s="1"/>
      <c r="F202" s="1"/>
      <c r="G202" s="1"/>
      <c r="H202" s="14"/>
      <c r="I202" s="5"/>
      <c r="J202" s="1"/>
    </row>
    <row r="203" spans="1:10">
      <c r="A203" s="111" t="s">
        <v>604</v>
      </c>
      <c r="B203" s="1"/>
      <c r="C203" s="1"/>
      <c r="D203" s="1"/>
      <c r="E203" s="1"/>
      <c r="F203" s="1"/>
      <c r="G203" s="1"/>
      <c r="H203" s="14">
        <f>0.877*1864.78</f>
        <v>1635.4120599999999</v>
      </c>
      <c r="I203" s="5" t="s">
        <v>65</v>
      </c>
      <c r="J203" s="1"/>
    </row>
    <row r="204" spans="1:10">
      <c r="A204" s="111"/>
      <c r="B204" s="1"/>
      <c r="C204" s="1"/>
      <c r="D204" s="1"/>
      <c r="E204" s="1"/>
      <c r="F204" s="1"/>
      <c r="G204" s="1"/>
      <c r="H204" s="14"/>
      <c r="I204" s="5"/>
      <c r="J204" s="1"/>
    </row>
    <row r="205" spans="1:10">
      <c r="A205" s="111" t="s">
        <v>603</v>
      </c>
      <c r="B205" s="5" t="s">
        <v>374</v>
      </c>
      <c r="C205" s="16"/>
      <c r="D205" s="16"/>
      <c r="E205" s="16"/>
      <c r="F205" s="16"/>
      <c r="G205" s="22"/>
      <c r="H205" s="14">
        <v>1517.49</v>
      </c>
      <c r="I205" t="s">
        <v>29</v>
      </c>
    </row>
    <row r="206" spans="1:10" ht="18">
      <c r="A206" s="110"/>
      <c r="B206" s="5"/>
      <c r="C206" s="16"/>
      <c r="D206" s="16"/>
      <c r="E206" s="16"/>
      <c r="F206" s="16"/>
      <c r="G206" s="22"/>
      <c r="H206" s="14"/>
    </row>
    <row r="207" spans="1:10">
      <c r="A207" s="111" t="s">
        <v>375</v>
      </c>
      <c r="B207" s="5" t="s">
        <v>374</v>
      </c>
      <c r="C207" s="16"/>
      <c r="D207" s="16"/>
      <c r="E207" s="16"/>
      <c r="F207" s="16"/>
      <c r="G207" s="22"/>
      <c r="H207" s="14">
        <v>1197.49</v>
      </c>
      <c r="I207" t="s">
        <v>29</v>
      </c>
    </row>
    <row r="208" spans="1:10">
      <c r="A208" s="7"/>
      <c r="B208" s="1"/>
      <c r="C208" s="1"/>
      <c r="D208" s="1"/>
      <c r="E208" s="1"/>
      <c r="F208" s="1"/>
      <c r="G208" s="1"/>
      <c r="H208" s="14"/>
      <c r="I208" s="5"/>
      <c r="J208" s="1"/>
    </row>
    <row r="209" spans="1:9">
      <c r="A209" s="1"/>
      <c r="B209" s="2"/>
      <c r="C209" s="2"/>
      <c r="D209" s="2"/>
      <c r="E209" s="2"/>
      <c r="I209" s="3"/>
    </row>
    <row r="210" spans="1:9" ht="18">
      <c r="A210" s="109" t="s">
        <v>790</v>
      </c>
      <c r="E210" s="2"/>
      <c r="I210" s="3"/>
    </row>
    <row r="211" spans="1:9">
      <c r="B211" s="2"/>
      <c r="C211" s="2"/>
      <c r="D211" s="2"/>
      <c r="E211" s="2"/>
      <c r="I211" s="3"/>
    </row>
    <row r="212" spans="1:9">
      <c r="B212" s="2"/>
      <c r="C212" s="2"/>
      <c r="D212" s="2"/>
      <c r="E212" s="2"/>
      <c r="I212" s="3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B8" workbookViewId="0">
      <selection activeCell="C82" sqref="C82"/>
    </sheetView>
  </sheetViews>
  <sheetFormatPr baseColWidth="10" defaultColWidth="8.83203125" defaultRowHeight="14" x14ac:dyDescent="0"/>
  <cols>
    <col min="1" max="1" width="18.6640625" customWidth="1"/>
    <col min="2" max="2" width="18.83203125" customWidth="1"/>
    <col min="5" max="5" width="18.6640625" customWidth="1"/>
    <col min="6" max="8" width="10.1640625" customWidth="1"/>
    <col min="9" max="9" width="31.6640625" customWidth="1"/>
  </cols>
  <sheetData>
    <row r="1" spans="1:10" ht="20">
      <c r="A1" s="123" t="s">
        <v>257</v>
      </c>
      <c r="B1" s="44" t="s">
        <v>794</v>
      </c>
    </row>
    <row r="3" spans="1:10">
      <c r="A3" s="1" t="s">
        <v>776</v>
      </c>
      <c r="B3" s="1" t="s">
        <v>724</v>
      </c>
      <c r="C3" s="1" t="s">
        <v>725</v>
      </c>
      <c r="D3" s="1" t="s">
        <v>726</v>
      </c>
      <c r="E3" s="1" t="s">
        <v>740</v>
      </c>
      <c r="F3" s="1" t="s">
        <v>728</v>
      </c>
      <c r="G3" s="148" t="s">
        <v>666</v>
      </c>
      <c r="H3" s="149"/>
      <c r="I3" s="1" t="s">
        <v>727</v>
      </c>
      <c r="J3" s="1" t="s">
        <v>743</v>
      </c>
    </row>
    <row r="4" spans="1:10">
      <c r="B4" s="1"/>
      <c r="C4" s="1"/>
      <c r="D4" s="1"/>
      <c r="E4" s="1"/>
      <c r="F4" s="1"/>
      <c r="G4" s="1" t="s">
        <v>443</v>
      </c>
      <c r="H4" s="1" t="s">
        <v>444</v>
      </c>
      <c r="I4" s="1"/>
      <c r="J4" s="1"/>
    </row>
    <row r="5" spans="1:10">
      <c r="A5" s="1" t="s">
        <v>693</v>
      </c>
      <c r="B5" s="10" t="s">
        <v>282</v>
      </c>
      <c r="C5" s="6" t="s">
        <v>759</v>
      </c>
      <c r="D5" s="6">
        <v>10.85</v>
      </c>
      <c r="E5" s="6" t="s">
        <v>589</v>
      </c>
      <c r="F5" s="6">
        <f>D5*0.5</f>
        <v>5.4249999999999998</v>
      </c>
      <c r="G5" s="6">
        <f>D5+F5</f>
        <v>16.274999999999999</v>
      </c>
      <c r="H5" s="6">
        <f>G5*12</f>
        <v>195.29999999999998</v>
      </c>
      <c r="I5" s="5" t="s">
        <v>590</v>
      </c>
      <c r="J5" s="3" t="s">
        <v>253</v>
      </c>
    </row>
    <row r="6" spans="1:10">
      <c r="A6" s="1"/>
      <c r="B6" s="10"/>
      <c r="C6" s="6"/>
      <c r="D6" s="6"/>
      <c r="E6" s="6"/>
      <c r="F6" s="6"/>
      <c r="G6" s="6"/>
      <c r="H6" s="6"/>
      <c r="I6" s="5"/>
      <c r="J6" s="3"/>
    </row>
    <row r="7" spans="1:10">
      <c r="A7" s="1" t="s">
        <v>696</v>
      </c>
      <c r="B7" s="3" t="s">
        <v>779</v>
      </c>
      <c r="C7" s="2" t="s">
        <v>759</v>
      </c>
      <c r="D7" s="2">
        <v>12.98</v>
      </c>
      <c r="E7" s="2" t="s">
        <v>780</v>
      </c>
      <c r="F7" s="6">
        <f>D7*0.5</f>
        <v>6.49</v>
      </c>
      <c r="G7" s="2">
        <f>D7+F7</f>
        <v>19.47</v>
      </c>
      <c r="H7" s="13">
        <f t="shared" ref="H7:H73" si="0">G7*12</f>
        <v>233.64</v>
      </c>
      <c r="I7" s="5" t="s">
        <v>590</v>
      </c>
      <c r="J7" s="3" t="s">
        <v>253</v>
      </c>
    </row>
    <row r="8" spans="1:10">
      <c r="A8" s="9" t="s">
        <v>408</v>
      </c>
      <c r="B8" s="10" t="s">
        <v>779</v>
      </c>
      <c r="C8" s="6" t="s">
        <v>759</v>
      </c>
      <c r="D8" s="6">
        <v>13.12</v>
      </c>
      <c r="E8" s="6" t="s">
        <v>589</v>
      </c>
      <c r="F8" s="6">
        <f t="shared" ref="F8:F13" si="1">D8*0.5</f>
        <v>6.56</v>
      </c>
      <c r="G8" s="6">
        <f>D8+F8</f>
        <v>19.68</v>
      </c>
      <c r="H8" s="13">
        <f t="shared" si="0"/>
        <v>236.16</v>
      </c>
      <c r="I8" s="5" t="s">
        <v>590</v>
      </c>
      <c r="J8" s="3" t="s">
        <v>667</v>
      </c>
    </row>
    <row r="9" spans="1:10">
      <c r="A9" s="9" t="s">
        <v>409</v>
      </c>
      <c r="B9" s="10" t="s">
        <v>779</v>
      </c>
      <c r="C9" s="6" t="s">
        <v>759</v>
      </c>
      <c r="D9" s="6">
        <v>12.12</v>
      </c>
      <c r="E9" s="6" t="s">
        <v>589</v>
      </c>
      <c r="F9" s="6">
        <f t="shared" si="1"/>
        <v>6.06</v>
      </c>
      <c r="G9" s="6">
        <f>D8+F9</f>
        <v>19.18</v>
      </c>
      <c r="H9" s="13">
        <f t="shared" si="0"/>
        <v>230.16</v>
      </c>
      <c r="I9" s="5" t="s">
        <v>590</v>
      </c>
      <c r="J9" s="3" t="s">
        <v>667</v>
      </c>
    </row>
    <row r="10" spans="1:10">
      <c r="A10" s="9" t="s">
        <v>410</v>
      </c>
      <c r="B10" s="10" t="s">
        <v>779</v>
      </c>
      <c r="C10" s="6" t="s">
        <v>759</v>
      </c>
      <c r="D10" s="6">
        <v>13</v>
      </c>
      <c r="E10" s="6" t="s">
        <v>589</v>
      </c>
      <c r="F10" s="6">
        <f t="shared" si="1"/>
        <v>6.5</v>
      </c>
      <c r="G10" s="6">
        <f>D9+F10</f>
        <v>18.619999999999997</v>
      </c>
      <c r="H10" s="13">
        <f t="shared" si="0"/>
        <v>223.43999999999997</v>
      </c>
      <c r="I10" s="5" t="s">
        <v>590</v>
      </c>
      <c r="J10" s="3" t="s">
        <v>667</v>
      </c>
    </row>
    <row r="11" spans="1:10">
      <c r="A11" s="9" t="s">
        <v>411</v>
      </c>
      <c r="B11" s="10" t="s">
        <v>779</v>
      </c>
      <c r="C11" s="6" t="s">
        <v>759</v>
      </c>
      <c r="D11" s="6">
        <v>13.55</v>
      </c>
      <c r="E11" s="6" t="s">
        <v>589</v>
      </c>
      <c r="F11" s="6">
        <f t="shared" si="1"/>
        <v>6.7750000000000004</v>
      </c>
      <c r="G11" s="6">
        <f>D10+F11</f>
        <v>19.774999999999999</v>
      </c>
      <c r="H11" s="13">
        <f t="shared" si="0"/>
        <v>237.29999999999998</v>
      </c>
      <c r="I11" s="5" t="s">
        <v>590</v>
      </c>
      <c r="J11" s="3" t="s">
        <v>667</v>
      </c>
    </row>
    <row r="12" spans="1:10">
      <c r="A12" s="9" t="s">
        <v>412</v>
      </c>
      <c r="B12" s="10" t="s">
        <v>779</v>
      </c>
      <c r="C12" s="6" t="s">
        <v>759</v>
      </c>
      <c r="D12" s="6">
        <v>13.52</v>
      </c>
      <c r="E12" s="6" t="s">
        <v>589</v>
      </c>
      <c r="F12" s="6">
        <f t="shared" si="1"/>
        <v>6.76</v>
      </c>
      <c r="G12" s="6">
        <f>D11+F12</f>
        <v>20.310000000000002</v>
      </c>
      <c r="H12" s="13">
        <f t="shared" si="0"/>
        <v>243.72000000000003</v>
      </c>
      <c r="I12" s="5" t="s">
        <v>590</v>
      </c>
      <c r="J12" s="3" t="s">
        <v>667</v>
      </c>
    </row>
    <row r="13" spans="1:10">
      <c r="A13" s="9" t="s">
        <v>413</v>
      </c>
      <c r="B13" s="10" t="s">
        <v>779</v>
      </c>
      <c r="C13" s="6" t="s">
        <v>759</v>
      </c>
      <c r="D13" s="6">
        <v>12.72</v>
      </c>
      <c r="E13" s="6" t="s">
        <v>589</v>
      </c>
      <c r="F13" s="6">
        <f t="shared" si="1"/>
        <v>6.36</v>
      </c>
      <c r="G13" s="6">
        <f>D12+F13</f>
        <v>19.88</v>
      </c>
      <c r="H13" s="13">
        <f t="shared" si="0"/>
        <v>238.56</v>
      </c>
      <c r="I13" s="5" t="s">
        <v>590</v>
      </c>
      <c r="J13" s="3" t="s">
        <v>667</v>
      </c>
    </row>
    <row r="14" spans="1:10">
      <c r="A14" s="7" t="s">
        <v>445</v>
      </c>
      <c r="B14" s="18" t="s">
        <v>282</v>
      </c>
      <c r="C14" s="6"/>
      <c r="D14" s="6"/>
      <c r="E14" s="6"/>
      <c r="F14" s="6"/>
      <c r="G14" s="6"/>
      <c r="H14" s="14">
        <f>SUM(H8:H13)/6</f>
        <v>234.89</v>
      </c>
      <c r="I14" s="5"/>
      <c r="J14" s="3"/>
    </row>
    <row r="15" spans="1:10">
      <c r="A15" s="7"/>
      <c r="B15" s="10"/>
      <c r="C15" s="6"/>
      <c r="D15" s="6"/>
      <c r="E15" s="6"/>
      <c r="F15" s="6"/>
      <c r="G15" s="6"/>
      <c r="H15" s="13"/>
      <c r="I15" s="5"/>
      <c r="J15" s="3"/>
    </row>
    <row r="16" spans="1:10">
      <c r="A16" s="1" t="s">
        <v>729</v>
      </c>
      <c r="B16" s="3" t="s">
        <v>779</v>
      </c>
      <c r="C16" s="2" t="s">
        <v>759</v>
      </c>
      <c r="D16" s="2">
        <v>11.17</v>
      </c>
      <c r="E16" s="2" t="s">
        <v>780</v>
      </c>
      <c r="F16" s="2">
        <f>0.5*D16</f>
        <v>5.585</v>
      </c>
      <c r="G16" s="2">
        <f>D16+F16</f>
        <v>16.754999999999999</v>
      </c>
      <c r="H16" s="13">
        <f t="shared" si="0"/>
        <v>201.06</v>
      </c>
      <c r="I16" s="5" t="s">
        <v>590</v>
      </c>
      <c r="J16" s="3" t="s">
        <v>253</v>
      </c>
    </row>
    <row r="17" spans="1:10">
      <c r="A17" s="9" t="s">
        <v>414</v>
      </c>
      <c r="B17" s="10" t="s">
        <v>779</v>
      </c>
      <c r="C17" s="6" t="s">
        <v>759</v>
      </c>
      <c r="D17" s="6">
        <v>11.5</v>
      </c>
      <c r="E17" s="6" t="s">
        <v>589</v>
      </c>
      <c r="F17" s="6">
        <f>D17*0.5</f>
        <v>5.75</v>
      </c>
      <c r="G17" s="6">
        <f t="shared" ref="G17:G27" si="2">D17+F17</f>
        <v>17.25</v>
      </c>
      <c r="H17" s="13">
        <f t="shared" si="0"/>
        <v>207</v>
      </c>
      <c r="I17" s="5" t="s">
        <v>590</v>
      </c>
      <c r="J17" s="3" t="s">
        <v>667</v>
      </c>
    </row>
    <row r="18" spans="1:10">
      <c r="A18" s="9" t="s">
        <v>415</v>
      </c>
      <c r="B18" s="10" t="s">
        <v>779</v>
      </c>
      <c r="C18" s="6" t="s">
        <v>759</v>
      </c>
      <c r="D18" s="6">
        <v>10.18</v>
      </c>
      <c r="E18" s="6" t="s">
        <v>589</v>
      </c>
      <c r="F18" s="6">
        <f>D18*0.5</f>
        <v>5.09</v>
      </c>
      <c r="G18" s="6">
        <f t="shared" si="2"/>
        <v>15.27</v>
      </c>
      <c r="H18" s="13">
        <f t="shared" si="0"/>
        <v>183.24</v>
      </c>
      <c r="I18" s="5" t="s">
        <v>590</v>
      </c>
      <c r="J18" s="3" t="s">
        <v>667</v>
      </c>
    </row>
    <row r="19" spans="1:10">
      <c r="A19" s="9" t="s">
        <v>416</v>
      </c>
      <c r="B19" s="10" t="s">
        <v>779</v>
      </c>
      <c r="C19" s="6" t="s">
        <v>759</v>
      </c>
      <c r="D19" s="6">
        <v>10.82</v>
      </c>
      <c r="E19" s="6" t="s">
        <v>589</v>
      </c>
      <c r="F19" s="6">
        <f>D19*0.5</f>
        <v>5.41</v>
      </c>
      <c r="G19" s="6">
        <f t="shared" si="2"/>
        <v>16.23</v>
      </c>
      <c r="H19" s="13">
        <f t="shared" si="0"/>
        <v>194.76</v>
      </c>
      <c r="I19" s="5" t="s">
        <v>590</v>
      </c>
      <c r="J19" s="3" t="s">
        <v>667</v>
      </c>
    </row>
    <row r="20" spans="1:10">
      <c r="A20" s="7" t="s">
        <v>445</v>
      </c>
      <c r="B20" s="10" t="s">
        <v>282</v>
      </c>
      <c r="C20" s="6"/>
      <c r="D20" s="6"/>
      <c r="E20" s="6"/>
      <c r="F20" s="6"/>
      <c r="G20" s="6"/>
      <c r="H20" s="14">
        <f>SUM(H17:H19)/3</f>
        <v>195</v>
      </c>
      <c r="I20" s="5" t="s">
        <v>252</v>
      </c>
      <c r="J20" s="3"/>
    </row>
    <row r="21" spans="1:10">
      <c r="A21" s="9"/>
      <c r="B21" s="10"/>
      <c r="C21" s="6"/>
      <c r="D21" s="6"/>
      <c r="E21" s="6"/>
      <c r="F21" s="6"/>
      <c r="G21" s="6"/>
      <c r="H21" s="13"/>
      <c r="I21" s="5"/>
      <c r="J21" s="3"/>
    </row>
    <row r="22" spans="1:10">
      <c r="A22" s="1" t="s">
        <v>730</v>
      </c>
      <c r="B22" s="3" t="s">
        <v>779</v>
      </c>
      <c r="C22" s="2" t="s">
        <v>759</v>
      </c>
      <c r="D22" s="2">
        <v>11.44</v>
      </c>
      <c r="E22" s="2" t="s">
        <v>780</v>
      </c>
      <c r="F22" s="2">
        <f>0.5*D22</f>
        <v>5.72</v>
      </c>
      <c r="G22" s="2">
        <f t="shared" si="2"/>
        <v>17.16</v>
      </c>
      <c r="H22" s="13">
        <f t="shared" si="0"/>
        <v>205.92000000000002</v>
      </c>
      <c r="I22" s="5" t="s">
        <v>590</v>
      </c>
      <c r="J22" s="3" t="s">
        <v>253</v>
      </c>
    </row>
    <row r="23" spans="1:10">
      <c r="A23" s="9" t="s">
        <v>417</v>
      </c>
      <c r="B23" s="10" t="s">
        <v>779</v>
      </c>
      <c r="C23" s="6" t="s">
        <v>759</v>
      </c>
      <c r="D23" s="6">
        <v>11.1</v>
      </c>
      <c r="E23" s="6" t="s">
        <v>589</v>
      </c>
      <c r="F23" s="6">
        <f>D23*0.5</f>
        <v>5.55</v>
      </c>
      <c r="G23" s="6">
        <f t="shared" si="2"/>
        <v>16.649999999999999</v>
      </c>
      <c r="H23" s="13">
        <f t="shared" si="0"/>
        <v>199.79999999999998</v>
      </c>
      <c r="I23" s="5" t="s">
        <v>590</v>
      </c>
      <c r="J23" s="3" t="s">
        <v>667</v>
      </c>
    </row>
    <row r="24" spans="1:10">
      <c r="A24" s="9" t="s">
        <v>418</v>
      </c>
      <c r="B24" s="10" t="s">
        <v>779</v>
      </c>
      <c r="C24" s="6" t="s">
        <v>759</v>
      </c>
      <c r="D24" s="6">
        <v>10.5</v>
      </c>
      <c r="E24" s="6" t="s">
        <v>589</v>
      </c>
      <c r="F24" s="6">
        <f>D24*0.5</f>
        <v>5.25</v>
      </c>
      <c r="G24" s="6">
        <f t="shared" si="2"/>
        <v>15.75</v>
      </c>
      <c r="H24" s="13">
        <f t="shared" si="0"/>
        <v>189</v>
      </c>
      <c r="I24" s="5" t="s">
        <v>590</v>
      </c>
      <c r="J24" s="3" t="s">
        <v>667</v>
      </c>
    </row>
    <row r="25" spans="1:10">
      <c r="A25" s="9" t="s">
        <v>419</v>
      </c>
      <c r="B25" s="10" t="s">
        <v>779</v>
      </c>
      <c r="C25" s="6" t="s">
        <v>759</v>
      </c>
      <c r="D25" s="6">
        <v>12.55</v>
      </c>
      <c r="E25" s="6" t="s">
        <v>589</v>
      </c>
      <c r="F25" s="6">
        <f>D25*0.5</f>
        <v>6.2750000000000004</v>
      </c>
      <c r="G25" s="6">
        <f t="shared" si="2"/>
        <v>18.825000000000003</v>
      </c>
      <c r="H25" s="13">
        <f t="shared" si="0"/>
        <v>225.90000000000003</v>
      </c>
      <c r="I25" s="5" t="s">
        <v>590</v>
      </c>
      <c r="J25" s="3" t="s">
        <v>667</v>
      </c>
    </row>
    <row r="26" spans="1:10">
      <c r="A26" s="9" t="s">
        <v>420</v>
      </c>
      <c r="B26" s="10" t="s">
        <v>779</v>
      </c>
      <c r="C26" s="6" t="s">
        <v>759</v>
      </c>
      <c r="D26" s="6">
        <v>12</v>
      </c>
      <c r="E26" s="6" t="s">
        <v>589</v>
      </c>
      <c r="F26" s="6">
        <f>D26*0.5</f>
        <v>6</v>
      </c>
      <c r="G26" s="6">
        <f t="shared" si="2"/>
        <v>18</v>
      </c>
      <c r="H26" s="13">
        <f t="shared" si="0"/>
        <v>216</v>
      </c>
      <c r="I26" s="5" t="s">
        <v>590</v>
      </c>
      <c r="J26" s="3" t="s">
        <v>667</v>
      </c>
    </row>
    <row r="27" spans="1:10">
      <c r="A27" s="9" t="s">
        <v>421</v>
      </c>
      <c r="B27" s="10" t="s">
        <v>779</v>
      </c>
      <c r="C27" s="6" t="s">
        <v>759</v>
      </c>
      <c r="D27" s="6">
        <v>12.69</v>
      </c>
      <c r="E27" s="6" t="s">
        <v>589</v>
      </c>
      <c r="F27" s="6">
        <f>D27*0.5</f>
        <v>6.3449999999999998</v>
      </c>
      <c r="G27" s="6">
        <f t="shared" si="2"/>
        <v>19.035</v>
      </c>
      <c r="H27" s="13">
        <f t="shared" si="0"/>
        <v>228.42000000000002</v>
      </c>
      <c r="I27" s="5" t="s">
        <v>590</v>
      </c>
      <c r="J27" s="3" t="s">
        <v>667</v>
      </c>
    </row>
    <row r="28" spans="1:10">
      <c r="A28" s="7" t="s">
        <v>445</v>
      </c>
      <c r="B28" s="18" t="s">
        <v>282</v>
      </c>
      <c r="C28" s="6"/>
      <c r="D28" s="6"/>
      <c r="E28" s="6"/>
      <c r="F28" s="6"/>
      <c r="G28" s="6"/>
      <c r="H28" s="14">
        <f>SUM(H23:H27)/5</f>
        <v>211.82400000000001</v>
      </c>
      <c r="I28" s="5" t="s">
        <v>252</v>
      </c>
      <c r="J28" s="3"/>
    </row>
    <row r="29" spans="1:10">
      <c r="A29" s="9"/>
      <c r="B29" s="10"/>
      <c r="C29" s="6"/>
      <c r="D29" s="6"/>
      <c r="E29" s="6"/>
      <c r="F29" s="6"/>
      <c r="G29" s="6"/>
      <c r="H29" s="13"/>
      <c r="I29" s="5"/>
      <c r="J29" s="3"/>
    </row>
    <row r="30" spans="1:10">
      <c r="A30" s="1" t="s">
        <v>731</v>
      </c>
      <c r="B30" s="3" t="s">
        <v>779</v>
      </c>
      <c r="C30" s="2" t="s">
        <v>759</v>
      </c>
      <c r="D30" s="2">
        <v>12</v>
      </c>
      <c r="E30" s="2" t="s">
        <v>780</v>
      </c>
      <c r="F30" s="2">
        <f>0.5*D30</f>
        <v>6</v>
      </c>
      <c r="G30" s="2">
        <f t="shared" ref="G30:G71" si="3">D30+F30</f>
        <v>18</v>
      </c>
      <c r="H30" s="13">
        <f t="shared" si="0"/>
        <v>216</v>
      </c>
      <c r="I30" s="5" t="s">
        <v>590</v>
      </c>
      <c r="J30" s="3" t="s">
        <v>253</v>
      </c>
    </row>
    <row r="31" spans="1:10">
      <c r="A31" s="9" t="s">
        <v>422</v>
      </c>
      <c r="B31" s="10" t="s">
        <v>779</v>
      </c>
      <c r="C31" s="6" t="s">
        <v>759</v>
      </c>
      <c r="D31" s="6">
        <v>17</v>
      </c>
      <c r="E31" s="6" t="s">
        <v>589</v>
      </c>
      <c r="F31" s="6">
        <f>D31*0.5</f>
        <v>8.5</v>
      </c>
      <c r="G31" s="6">
        <f t="shared" si="3"/>
        <v>25.5</v>
      </c>
      <c r="H31" s="13">
        <f t="shared" si="0"/>
        <v>306</v>
      </c>
      <c r="I31" s="5" t="s">
        <v>590</v>
      </c>
      <c r="J31" s="3" t="s">
        <v>667</v>
      </c>
    </row>
    <row r="32" spans="1:10">
      <c r="A32" s="9" t="s">
        <v>423</v>
      </c>
      <c r="B32" s="10" t="s">
        <v>779</v>
      </c>
      <c r="C32" s="6" t="s">
        <v>759</v>
      </c>
      <c r="D32" s="6">
        <v>11.8</v>
      </c>
      <c r="E32" s="6" t="s">
        <v>589</v>
      </c>
      <c r="F32" s="6">
        <f>D32*0.5</f>
        <v>5.9</v>
      </c>
      <c r="G32" s="6">
        <f t="shared" si="3"/>
        <v>17.700000000000003</v>
      </c>
      <c r="H32" s="13">
        <f t="shared" si="0"/>
        <v>212.40000000000003</v>
      </c>
      <c r="I32" s="5" t="s">
        <v>590</v>
      </c>
      <c r="J32" s="3" t="s">
        <v>667</v>
      </c>
    </row>
    <row r="33" spans="1:10">
      <c r="A33" s="9" t="s">
        <v>424</v>
      </c>
      <c r="B33" s="10" t="s">
        <v>779</v>
      </c>
      <c r="C33" s="6" t="s">
        <v>759</v>
      </c>
      <c r="D33" s="6">
        <v>11.81</v>
      </c>
      <c r="E33" s="6" t="s">
        <v>589</v>
      </c>
      <c r="F33" s="6">
        <f>D33*0.5</f>
        <v>5.9050000000000002</v>
      </c>
      <c r="G33" s="6">
        <f t="shared" si="3"/>
        <v>17.715</v>
      </c>
      <c r="H33" s="13">
        <f t="shared" si="0"/>
        <v>212.57999999999998</v>
      </c>
      <c r="I33" s="5" t="s">
        <v>590</v>
      </c>
      <c r="J33" s="3" t="s">
        <v>667</v>
      </c>
    </row>
    <row r="34" spans="1:10">
      <c r="A34" s="7" t="s">
        <v>445</v>
      </c>
      <c r="B34" s="18" t="s">
        <v>282</v>
      </c>
      <c r="C34" s="6"/>
      <c r="D34" s="6"/>
      <c r="E34" s="6"/>
      <c r="F34" s="6"/>
      <c r="G34" s="6"/>
      <c r="H34" s="14">
        <f>SUM(H31:H33)/3</f>
        <v>243.66</v>
      </c>
      <c r="I34" s="5" t="s">
        <v>252</v>
      </c>
      <c r="J34" s="3"/>
    </row>
    <row r="35" spans="1:10">
      <c r="A35" s="9"/>
      <c r="B35" s="10"/>
      <c r="C35" s="6"/>
      <c r="D35" s="6"/>
      <c r="E35" s="6"/>
      <c r="F35" s="6"/>
      <c r="G35" s="6"/>
      <c r="H35" s="13"/>
      <c r="I35" s="5"/>
      <c r="J35" s="3"/>
    </row>
    <row r="36" spans="1:10">
      <c r="A36" s="1" t="s">
        <v>732</v>
      </c>
      <c r="B36" s="3" t="s">
        <v>779</v>
      </c>
      <c r="C36" s="2" t="s">
        <v>759</v>
      </c>
      <c r="D36" s="2">
        <v>9.6</v>
      </c>
      <c r="E36" s="2" t="s">
        <v>780</v>
      </c>
      <c r="F36" s="2">
        <f>0.5*D36</f>
        <v>4.8</v>
      </c>
      <c r="G36" s="2">
        <f t="shared" si="3"/>
        <v>14.399999999999999</v>
      </c>
      <c r="H36" s="13">
        <f t="shared" si="0"/>
        <v>172.79999999999998</v>
      </c>
      <c r="I36" s="5" t="s">
        <v>590</v>
      </c>
      <c r="J36" s="3" t="s">
        <v>253</v>
      </c>
    </row>
    <row r="37" spans="1:10">
      <c r="A37" s="9" t="s">
        <v>425</v>
      </c>
      <c r="B37" s="10" t="s">
        <v>779</v>
      </c>
      <c r="C37" s="6" t="s">
        <v>759</v>
      </c>
      <c r="D37" s="6">
        <v>10</v>
      </c>
      <c r="E37" s="6" t="s">
        <v>589</v>
      </c>
      <c r="F37" s="6">
        <f>D37*0.5</f>
        <v>5</v>
      </c>
      <c r="G37" s="6">
        <f>D37+F37</f>
        <v>15</v>
      </c>
      <c r="H37" s="13">
        <f t="shared" si="0"/>
        <v>180</v>
      </c>
      <c r="I37" s="5" t="s">
        <v>590</v>
      </c>
      <c r="J37" s="3" t="s">
        <v>667</v>
      </c>
    </row>
    <row r="38" spans="1:10">
      <c r="A38" s="9" t="s">
        <v>426</v>
      </c>
      <c r="B38" s="10" t="s">
        <v>779</v>
      </c>
      <c r="C38" s="6" t="s">
        <v>759</v>
      </c>
      <c r="D38" s="6">
        <v>8.67</v>
      </c>
      <c r="E38" s="6" t="s">
        <v>589</v>
      </c>
      <c r="F38" s="6">
        <f>D38*0.5</f>
        <v>4.335</v>
      </c>
      <c r="G38" s="6">
        <f>D38+F38</f>
        <v>13.004999999999999</v>
      </c>
      <c r="H38" s="13">
        <f t="shared" si="0"/>
        <v>156.06</v>
      </c>
      <c r="I38" s="5" t="s">
        <v>590</v>
      </c>
      <c r="J38" s="3" t="s">
        <v>667</v>
      </c>
    </row>
    <row r="39" spans="1:10">
      <c r="A39" s="9" t="s">
        <v>427</v>
      </c>
      <c r="B39" s="10" t="s">
        <v>779</v>
      </c>
      <c r="C39" s="6" t="s">
        <v>759</v>
      </c>
      <c r="D39" s="6">
        <v>9.6199999999999992</v>
      </c>
      <c r="E39" s="6" t="s">
        <v>589</v>
      </c>
      <c r="F39" s="6">
        <f>D39*0.5</f>
        <v>4.8099999999999996</v>
      </c>
      <c r="G39" s="6">
        <f>D39+F39</f>
        <v>14.43</v>
      </c>
      <c r="H39" s="13">
        <f t="shared" si="0"/>
        <v>173.16</v>
      </c>
      <c r="I39" s="5" t="s">
        <v>590</v>
      </c>
      <c r="J39" s="3" t="s">
        <v>667</v>
      </c>
    </row>
    <row r="40" spans="1:10">
      <c r="A40" s="9" t="s">
        <v>428</v>
      </c>
      <c r="B40" s="10" t="s">
        <v>779</v>
      </c>
      <c r="C40" s="6" t="s">
        <v>759</v>
      </c>
      <c r="D40" s="6">
        <v>11</v>
      </c>
      <c r="E40" s="6" t="s">
        <v>589</v>
      </c>
      <c r="F40" s="6">
        <f>D40*0.5</f>
        <v>5.5</v>
      </c>
      <c r="G40" s="6">
        <f>D40+F40</f>
        <v>16.5</v>
      </c>
      <c r="H40" s="13">
        <f t="shared" si="0"/>
        <v>198</v>
      </c>
      <c r="I40" s="5" t="s">
        <v>590</v>
      </c>
      <c r="J40" s="3" t="s">
        <v>667</v>
      </c>
    </row>
    <row r="41" spans="1:10">
      <c r="A41" s="7" t="s">
        <v>445</v>
      </c>
      <c r="B41" s="18" t="s">
        <v>282</v>
      </c>
      <c r="C41" s="6"/>
      <c r="D41" s="6"/>
      <c r="E41" s="6"/>
      <c r="F41" s="6"/>
      <c r="G41" s="6"/>
      <c r="H41" s="14">
        <f>SUM(H37:H40)/4</f>
        <v>176.80500000000001</v>
      </c>
      <c r="I41" s="5" t="s">
        <v>252</v>
      </c>
      <c r="J41" s="3"/>
    </row>
    <row r="42" spans="1:10">
      <c r="A42" s="7"/>
      <c r="B42" s="18" t="s">
        <v>283</v>
      </c>
      <c r="C42" s="6"/>
      <c r="D42" s="6"/>
      <c r="E42" s="6"/>
      <c r="F42" s="6"/>
      <c r="G42" s="6"/>
      <c r="H42" s="14">
        <f>0.5*H41</f>
        <v>88.402500000000003</v>
      </c>
      <c r="I42" s="19" t="s">
        <v>262</v>
      </c>
      <c r="J42" s="19"/>
    </row>
    <row r="43" spans="1:10">
      <c r="A43" s="7"/>
      <c r="B43" s="18"/>
      <c r="C43" s="6"/>
      <c r="D43" s="6"/>
      <c r="E43" s="6"/>
      <c r="F43" s="6"/>
      <c r="G43" s="6"/>
      <c r="H43" s="14"/>
      <c r="I43" s="19"/>
      <c r="J43" s="19"/>
    </row>
    <row r="44" spans="1:10">
      <c r="A44" s="1" t="s">
        <v>733</v>
      </c>
      <c r="B44" s="3" t="s">
        <v>779</v>
      </c>
      <c r="C44" s="2" t="s">
        <v>759</v>
      </c>
      <c r="D44" s="2">
        <v>8.1999999999999993</v>
      </c>
      <c r="E44" s="2" t="s">
        <v>780</v>
      </c>
      <c r="F44" s="2">
        <f>0.5*D44</f>
        <v>4.0999999999999996</v>
      </c>
      <c r="G44" s="2">
        <f t="shared" si="3"/>
        <v>12.299999999999999</v>
      </c>
      <c r="H44" s="13">
        <f t="shared" si="0"/>
        <v>147.6</v>
      </c>
      <c r="I44" s="5" t="s">
        <v>590</v>
      </c>
      <c r="J44" s="3" t="s">
        <v>253</v>
      </c>
    </row>
    <row r="45" spans="1:10">
      <c r="A45" s="9" t="s">
        <v>429</v>
      </c>
      <c r="B45" s="10" t="s">
        <v>779</v>
      </c>
      <c r="C45" s="6" t="s">
        <v>759</v>
      </c>
      <c r="D45" s="6">
        <v>8.7899999999999991</v>
      </c>
      <c r="E45" s="6" t="s">
        <v>589</v>
      </c>
      <c r="F45" s="6">
        <f t="shared" ref="F45:F52" si="4">D45*0.5</f>
        <v>4.3949999999999996</v>
      </c>
      <c r="G45" s="6">
        <f t="shared" si="3"/>
        <v>13.184999999999999</v>
      </c>
      <c r="H45" s="13">
        <f t="shared" si="0"/>
        <v>158.21999999999997</v>
      </c>
      <c r="I45" s="5" t="s">
        <v>590</v>
      </c>
      <c r="J45" s="3" t="s">
        <v>667</v>
      </c>
    </row>
    <row r="46" spans="1:10">
      <c r="A46" s="9" t="s">
        <v>430</v>
      </c>
      <c r="B46" s="10" t="s">
        <v>779</v>
      </c>
      <c r="C46" s="6" t="s">
        <v>759</v>
      </c>
      <c r="D46" s="6">
        <v>7.88</v>
      </c>
      <c r="E46" s="6" t="s">
        <v>589</v>
      </c>
      <c r="F46" s="6">
        <f t="shared" si="4"/>
        <v>3.94</v>
      </c>
      <c r="G46" s="6">
        <f t="shared" si="3"/>
        <v>11.82</v>
      </c>
      <c r="H46" s="13">
        <f t="shared" si="0"/>
        <v>141.84</v>
      </c>
      <c r="I46" s="5" t="s">
        <v>590</v>
      </c>
      <c r="J46" s="3" t="s">
        <v>667</v>
      </c>
    </row>
    <row r="47" spans="1:10">
      <c r="A47" s="9" t="s">
        <v>431</v>
      </c>
      <c r="B47" s="10" t="s">
        <v>779</v>
      </c>
      <c r="C47" s="6" t="s">
        <v>759</v>
      </c>
      <c r="D47" s="6">
        <v>8.43</v>
      </c>
      <c r="E47" s="6" t="s">
        <v>589</v>
      </c>
      <c r="F47" s="6">
        <f t="shared" si="4"/>
        <v>4.2149999999999999</v>
      </c>
      <c r="G47" s="6">
        <f t="shared" si="3"/>
        <v>12.645</v>
      </c>
      <c r="H47" s="13">
        <f t="shared" si="0"/>
        <v>151.74</v>
      </c>
      <c r="I47" s="5" t="s">
        <v>590</v>
      </c>
      <c r="J47" s="3" t="s">
        <v>667</v>
      </c>
    </row>
    <row r="48" spans="1:10">
      <c r="A48" s="9" t="s">
        <v>302</v>
      </c>
      <c r="B48" s="47" t="s">
        <v>779</v>
      </c>
      <c r="C48" s="6" t="s">
        <v>759</v>
      </c>
      <c r="D48" s="6">
        <v>11.05</v>
      </c>
      <c r="E48" s="6" t="s">
        <v>589</v>
      </c>
      <c r="F48" s="6">
        <f t="shared" ref="F48" si="5">D48*0.5</f>
        <v>5.5250000000000004</v>
      </c>
      <c r="G48" s="6">
        <f t="shared" ref="G48" si="6">D48+F48</f>
        <v>16.575000000000003</v>
      </c>
      <c r="H48" s="13">
        <f t="shared" ref="H48" si="7">G48*12</f>
        <v>198.90000000000003</v>
      </c>
      <c r="I48" s="5" t="s">
        <v>258</v>
      </c>
      <c r="J48" s="48"/>
    </row>
    <row r="49" spans="1:10">
      <c r="A49" s="9" t="s">
        <v>432</v>
      </c>
      <c r="B49" s="10" t="s">
        <v>779</v>
      </c>
      <c r="C49" s="6" t="s">
        <v>759</v>
      </c>
      <c r="D49" s="6">
        <v>7.21</v>
      </c>
      <c r="E49" s="6" t="s">
        <v>589</v>
      </c>
      <c r="F49" s="6">
        <f t="shared" si="4"/>
        <v>3.605</v>
      </c>
      <c r="G49" s="6">
        <f t="shared" si="3"/>
        <v>10.815</v>
      </c>
      <c r="H49" s="13">
        <f t="shared" si="0"/>
        <v>129.78</v>
      </c>
      <c r="I49" s="5" t="s">
        <v>590</v>
      </c>
      <c r="J49" s="3" t="s">
        <v>667</v>
      </c>
    </row>
    <row r="50" spans="1:10">
      <c r="A50" s="9" t="s">
        <v>433</v>
      </c>
      <c r="B50" s="10" t="s">
        <v>779</v>
      </c>
      <c r="C50" s="6" t="s">
        <v>759</v>
      </c>
      <c r="D50" s="6">
        <v>7.72</v>
      </c>
      <c r="E50" s="6" t="s">
        <v>589</v>
      </c>
      <c r="F50" s="6">
        <f t="shared" si="4"/>
        <v>3.86</v>
      </c>
      <c r="G50" s="6">
        <f t="shared" si="3"/>
        <v>11.58</v>
      </c>
      <c r="H50" s="13">
        <f t="shared" si="0"/>
        <v>138.96</v>
      </c>
      <c r="I50" s="5" t="s">
        <v>590</v>
      </c>
      <c r="J50" s="3" t="s">
        <v>667</v>
      </c>
    </row>
    <row r="51" spans="1:10">
      <c r="A51" s="9" t="s">
        <v>434</v>
      </c>
      <c r="B51" s="10" t="s">
        <v>779</v>
      </c>
      <c r="C51" s="6" t="s">
        <v>759</v>
      </c>
      <c r="D51" s="6">
        <v>9.0299999999999994</v>
      </c>
      <c r="E51" s="6" t="s">
        <v>589</v>
      </c>
      <c r="F51" s="6">
        <f t="shared" si="4"/>
        <v>4.5149999999999997</v>
      </c>
      <c r="G51" s="6">
        <f t="shared" si="3"/>
        <v>13.544999999999998</v>
      </c>
      <c r="H51" s="13">
        <f t="shared" si="0"/>
        <v>162.53999999999996</v>
      </c>
      <c r="I51" s="5" t="s">
        <v>590</v>
      </c>
      <c r="J51" s="3" t="s">
        <v>667</v>
      </c>
    </row>
    <row r="52" spans="1:10">
      <c r="A52" s="9" t="s">
        <v>435</v>
      </c>
      <c r="B52" s="10" t="s">
        <v>779</v>
      </c>
      <c r="C52" s="6" t="s">
        <v>759</v>
      </c>
      <c r="D52" s="6">
        <v>10</v>
      </c>
      <c r="E52" s="6" t="s">
        <v>589</v>
      </c>
      <c r="F52" s="6">
        <f t="shared" si="4"/>
        <v>5</v>
      </c>
      <c r="G52" s="6">
        <f t="shared" si="3"/>
        <v>15</v>
      </c>
      <c r="H52" s="13">
        <f t="shared" si="0"/>
        <v>180</v>
      </c>
      <c r="I52" s="5" t="s">
        <v>590</v>
      </c>
      <c r="J52" s="3" t="s">
        <v>667</v>
      </c>
    </row>
    <row r="53" spans="1:10">
      <c r="A53" s="7" t="s">
        <v>445</v>
      </c>
      <c r="B53" s="10" t="s">
        <v>282</v>
      </c>
      <c r="C53" s="6"/>
      <c r="D53" s="6"/>
      <c r="E53" s="6"/>
      <c r="F53" s="6"/>
      <c r="G53" s="6"/>
      <c r="H53" s="14">
        <f>SUM(H45:H52)/8</f>
        <v>157.7475</v>
      </c>
      <c r="I53" s="5" t="s">
        <v>252</v>
      </c>
      <c r="J53" s="3"/>
    </row>
    <row r="54" spans="1:10">
      <c r="A54" s="7"/>
      <c r="B54" s="18" t="s">
        <v>283</v>
      </c>
      <c r="C54" s="6"/>
      <c r="D54" s="6"/>
      <c r="E54" s="6"/>
      <c r="F54" s="6"/>
      <c r="G54" s="6"/>
      <c r="H54" s="14">
        <f>0.5*H53</f>
        <v>78.873750000000001</v>
      </c>
      <c r="I54" s="19" t="s">
        <v>262</v>
      </c>
      <c r="J54" s="19"/>
    </row>
    <row r="55" spans="1:10">
      <c r="A55" s="7"/>
      <c r="B55" s="47"/>
      <c r="C55" s="6"/>
      <c r="D55" s="6"/>
      <c r="E55" s="6"/>
      <c r="F55" s="6"/>
      <c r="G55" s="6"/>
      <c r="H55" s="14"/>
      <c r="I55" s="48"/>
      <c r="J55" s="48"/>
    </row>
    <row r="56" spans="1:10">
      <c r="A56" s="9" t="s">
        <v>430</v>
      </c>
      <c r="B56" s="3" t="s">
        <v>698</v>
      </c>
      <c r="C56" s="2" t="s">
        <v>759</v>
      </c>
      <c r="D56" s="2">
        <f>0.6*D46</f>
        <v>4.7279999999999998</v>
      </c>
      <c r="E56" s="2" t="s">
        <v>780</v>
      </c>
      <c r="F56" s="2">
        <f>0.5*D56</f>
        <v>2.3639999999999999</v>
      </c>
      <c r="G56" s="2">
        <f>D56+F56</f>
        <v>7.0919999999999996</v>
      </c>
      <c r="H56" s="13">
        <f>G56*12</f>
        <v>85.103999999999999</v>
      </c>
      <c r="I56" s="3" t="s">
        <v>591</v>
      </c>
      <c r="J56" s="3" t="s">
        <v>592</v>
      </c>
    </row>
    <row r="57" spans="1:10">
      <c r="A57" s="9" t="s">
        <v>430</v>
      </c>
      <c r="B57" s="3" t="s">
        <v>697</v>
      </c>
      <c r="C57" s="2" t="s">
        <v>759</v>
      </c>
      <c r="D57" s="2">
        <f>0.6*D46</f>
        <v>4.7279999999999998</v>
      </c>
      <c r="E57" s="2" t="s">
        <v>780</v>
      </c>
      <c r="F57" s="2">
        <f>0.5*D57</f>
        <v>2.3639999999999999</v>
      </c>
      <c r="G57" s="2">
        <f>D57+F57</f>
        <v>7.0919999999999996</v>
      </c>
      <c r="H57" s="13">
        <f>G57*12</f>
        <v>85.103999999999999</v>
      </c>
      <c r="I57" s="3" t="s">
        <v>591</v>
      </c>
      <c r="J57" s="3" t="s">
        <v>592</v>
      </c>
    </row>
    <row r="58" spans="1:10">
      <c r="A58" s="7"/>
      <c r="B58" s="18"/>
      <c r="C58" s="6"/>
      <c r="D58" s="6"/>
      <c r="E58" s="6"/>
      <c r="F58" s="6"/>
      <c r="G58" s="6"/>
      <c r="H58" s="14"/>
      <c r="I58" s="19"/>
      <c r="J58" s="19"/>
    </row>
    <row r="59" spans="1:10">
      <c r="A59" s="1" t="s">
        <v>734</v>
      </c>
      <c r="B59" s="3" t="s">
        <v>779</v>
      </c>
      <c r="C59" s="2" t="s">
        <v>759</v>
      </c>
      <c r="D59" s="2">
        <v>11.28</v>
      </c>
      <c r="E59" s="2" t="s">
        <v>780</v>
      </c>
      <c r="F59" s="2">
        <f>0.5*D59</f>
        <v>5.64</v>
      </c>
      <c r="G59" s="2">
        <f t="shared" si="3"/>
        <v>16.919999999999998</v>
      </c>
      <c r="H59" s="13">
        <f t="shared" si="0"/>
        <v>203.03999999999996</v>
      </c>
      <c r="I59" s="5" t="s">
        <v>590</v>
      </c>
      <c r="J59" s="3" t="s">
        <v>253</v>
      </c>
    </row>
    <row r="60" spans="1:10">
      <c r="A60" s="9" t="s">
        <v>436</v>
      </c>
      <c r="B60" s="10" t="s">
        <v>779</v>
      </c>
      <c r="C60" s="6" t="s">
        <v>759</v>
      </c>
      <c r="D60" s="6">
        <v>10.63</v>
      </c>
      <c r="E60" s="6" t="s">
        <v>589</v>
      </c>
      <c r="F60" s="6">
        <f>D60*0.5</f>
        <v>5.3150000000000004</v>
      </c>
      <c r="G60" s="6">
        <f t="shared" si="3"/>
        <v>15.945</v>
      </c>
      <c r="H60" s="13">
        <f t="shared" si="0"/>
        <v>191.34</v>
      </c>
      <c r="I60" s="5" t="s">
        <v>590</v>
      </c>
      <c r="J60" s="3" t="s">
        <v>667</v>
      </c>
    </row>
    <row r="61" spans="1:10">
      <c r="A61" s="9" t="s">
        <v>437</v>
      </c>
      <c r="B61" s="10" t="s">
        <v>779</v>
      </c>
      <c r="C61" s="6" t="s">
        <v>759</v>
      </c>
      <c r="D61" s="6">
        <v>12.8</v>
      </c>
      <c r="E61" s="6" t="s">
        <v>589</v>
      </c>
      <c r="F61" s="6">
        <f>D61*0.5</f>
        <v>6.4</v>
      </c>
      <c r="G61" s="6">
        <f t="shared" si="3"/>
        <v>19.200000000000003</v>
      </c>
      <c r="H61" s="13">
        <f t="shared" si="0"/>
        <v>230.40000000000003</v>
      </c>
      <c r="I61" s="5" t="s">
        <v>590</v>
      </c>
      <c r="J61" s="3" t="s">
        <v>667</v>
      </c>
    </row>
    <row r="62" spans="1:10">
      <c r="A62" s="9" t="s">
        <v>438</v>
      </c>
      <c r="B62" s="10" t="s">
        <v>779</v>
      </c>
      <c r="C62" s="6" t="s">
        <v>759</v>
      </c>
      <c r="D62" s="6">
        <v>12</v>
      </c>
      <c r="E62" s="6" t="s">
        <v>589</v>
      </c>
      <c r="F62" s="6">
        <f>D62*0.5</f>
        <v>6</v>
      </c>
      <c r="G62" s="6">
        <f t="shared" si="3"/>
        <v>18</v>
      </c>
      <c r="H62" s="13">
        <f t="shared" si="0"/>
        <v>216</v>
      </c>
      <c r="I62" s="5" t="s">
        <v>590</v>
      </c>
      <c r="J62" s="3" t="s">
        <v>667</v>
      </c>
    </row>
    <row r="63" spans="1:10">
      <c r="A63" s="7" t="s">
        <v>445</v>
      </c>
      <c r="B63" s="10" t="s">
        <v>282</v>
      </c>
      <c r="C63" s="6"/>
      <c r="D63" s="6"/>
      <c r="E63" s="6"/>
      <c r="F63" s="6"/>
      <c r="G63" s="6"/>
      <c r="H63" s="14">
        <f>SUM(H60:H62)/3</f>
        <v>212.58</v>
      </c>
      <c r="I63" s="5" t="s">
        <v>252</v>
      </c>
      <c r="J63" s="3"/>
    </row>
    <row r="64" spans="1:10">
      <c r="A64" s="7"/>
      <c r="B64" s="18" t="s">
        <v>283</v>
      </c>
      <c r="C64" s="6"/>
      <c r="D64" s="6"/>
      <c r="E64" s="6"/>
      <c r="F64" s="6"/>
      <c r="G64" s="6"/>
      <c r="H64" s="14">
        <f>0.5*H63</f>
        <v>106.29</v>
      </c>
      <c r="I64" s="19" t="s">
        <v>262</v>
      </c>
      <c r="J64" s="19"/>
    </row>
    <row r="65" spans="1:10">
      <c r="A65" s="7"/>
      <c r="B65" s="18"/>
      <c r="C65" s="6"/>
      <c r="D65" s="6"/>
      <c r="E65" s="6"/>
      <c r="F65" s="6"/>
      <c r="G65" s="6"/>
      <c r="H65" s="14"/>
      <c r="I65" s="19"/>
      <c r="J65" s="19"/>
    </row>
    <row r="66" spans="1:10">
      <c r="A66" s="1" t="s">
        <v>735</v>
      </c>
      <c r="B66" s="3"/>
      <c r="C66" s="2"/>
      <c r="D66" s="2"/>
      <c r="E66" s="2"/>
      <c r="F66" s="2"/>
      <c r="G66" s="2"/>
      <c r="H66" s="13"/>
      <c r="I66" s="3"/>
      <c r="J66" s="3"/>
    </row>
    <row r="67" spans="1:10">
      <c r="A67" s="9" t="s">
        <v>439</v>
      </c>
      <c r="B67" s="10" t="s">
        <v>779</v>
      </c>
      <c r="C67" s="6" t="s">
        <v>759</v>
      </c>
      <c r="D67" s="6">
        <v>6</v>
      </c>
      <c r="E67" s="6" t="s">
        <v>589</v>
      </c>
      <c r="F67" s="6">
        <f>D67*0.5</f>
        <v>3</v>
      </c>
      <c r="G67" s="6">
        <f>D67+F67</f>
        <v>9</v>
      </c>
      <c r="H67" s="13">
        <f t="shared" si="0"/>
        <v>108</v>
      </c>
      <c r="I67" s="5" t="s">
        <v>590</v>
      </c>
      <c r="J67" s="3" t="s">
        <v>667</v>
      </c>
    </row>
    <row r="68" spans="1:10">
      <c r="A68" s="9" t="s">
        <v>440</v>
      </c>
      <c r="B68" s="10" t="s">
        <v>779</v>
      </c>
      <c r="C68" s="6" t="s">
        <v>759</v>
      </c>
      <c r="D68" s="6">
        <v>22</v>
      </c>
      <c r="E68" s="6" t="s">
        <v>589</v>
      </c>
      <c r="F68" s="6">
        <f>D68*0.5</f>
        <v>11</v>
      </c>
      <c r="G68" s="6">
        <f>D68+F68</f>
        <v>33</v>
      </c>
      <c r="H68" s="13">
        <f t="shared" si="0"/>
        <v>396</v>
      </c>
      <c r="I68" s="5" t="s">
        <v>590</v>
      </c>
      <c r="J68" s="3" t="s">
        <v>667</v>
      </c>
    </row>
    <row r="69" spans="1:10">
      <c r="A69" s="7" t="s">
        <v>445</v>
      </c>
      <c r="B69" s="10" t="s">
        <v>282</v>
      </c>
      <c r="C69" s="6"/>
      <c r="D69" s="6"/>
      <c r="E69" s="6"/>
      <c r="F69" s="6"/>
      <c r="G69" s="6"/>
      <c r="H69" s="14">
        <f>SUM(H67:H68)/2</f>
        <v>252</v>
      </c>
      <c r="I69" s="47" t="s">
        <v>252</v>
      </c>
      <c r="J69" s="3"/>
    </row>
    <row r="70" spans="1:10">
      <c r="A70" s="9"/>
      <c r="B70" s="10"/>
      <c r="C70" s="6"/>
      <c r="D70" s="6"/>
      <c r="E70" s="6"/>
      <c r="F70" s="6"/>
      <c r="G70" s="6"/>
      <c r="H70" s="13"/>
      <c r="I70" s="5"/>
      <c r="J70" s="3"/>
    </row>
    <row r="71" spans="1:10">
      <c r="A71" s="1" t="s">
        <v>736</v>
      </c>
      <c r="B71" s="3" t="s">
        <v>779</v>
      </c>
      <c r="C71" s="2" t="s">
        <v>759</v>
      </c>
      <c r="D71" s="2">
        <v>68</v>
      </c>
      <c r="E71" s="2" t="s">
        <v>780</v>
      </c>
      <c r="F71" s="2">
        <f>0.5*D71</f>
        <v>34</v>
      </c>
      <c r="G71" s="2">
        <f t="shared" si="3"/>
        <v>102</v>
      </c>
      <c r="H71" s="13">
        <f t="shared" si="0"/>
        <v>1224</v>
      </c>
      <c r="I71" s="5" t="s">
        <v>590</v>
      </c>
      <c r="J71" s="3" t="s">
        <v>253</v>
      </c>
    </row>
    <row r="72" spans="1:10">
      <c r="A72" s="9" t="s">
        <v>312</v>
      </c>
      <c r="B72" s="47" t="s">
        <v>779</v>
      </c>
      <c r="C72" s="6" t="s">
        <v>759</v>
      </c>
      <c r="D72" s="6">
        <v>75</v>
      </c>
      <c r="E72" s="6" t="s">
        <v>589</v>
      </c>
      <c r="F72" s="6">
        <f>D72*0.5</f>
        <v>37.5</v>
      </c>
      <c r="G72" s="6">
        <f>D72+F72</f>
        <v>112.5</v>
      </c>
      <c r="H72" s="13">
        <f t="shared" ref="H72" si="8">G72*12</f>
        <v>1350</v>
      </c>
      <c r="I72" s="5" t="s">
        <v>590</v>
      </c>
      <c r="J72" s="48" t="s">
        <v>667</v>
      </c>
    </row>
    <row r="73" spans="1:10">
      <c r="A73" s="9" t="s">
        <v>442</v>
      </c>
      <c r="B73" s="10" t="s">
        <v>779</v>
      </c>
      <c r="C73" s="6" t="s">
        <v>759</v>
      </c>
      <c r="D73" s="6">
        <v>60</v>
      </c>
      <c r="E73" s="6" t="s">
        <v>589</v>
      </c>
      <c r="F73" s="6">
        <f>D73*0.5</f>
        <v>30</v>
      </c>
      <c r="G73" s="6">
        <f>D73+F73</f>
        <v>90</v>
      </c>
      <c r="H73" s="13">
        <f t="shared" si="0"/>
        <v>1080</v>
      </c>
      <c r="I73" s="5" t="s">
        <v>590</v>
      </c>
      <c r="J73" s="3" t="s">
        <v>667</v>
      </c>
    </row>
    <row r="74" spans="1:10">
      <c r="A74" s="7" t="s">
        <v>445</v>
      </c>
      <c r="B74" s="10" t="s">
        <v>282</v>
      </c>
      <c r="C74" s="6"/>
      <c r="D74" s="6"/>
      <c r="E74" s="6"/>
      <c r="F74" s="6"/>
      <c r="G74" s="6"/>
      <c r="H74" s="14">
        <f>SUM(H72:H73)/2</f>
        <v>1215</v>
      </c>
      <c r="I74" s="5" t="s">
        <v>252</v>
      </c>
      <c r="J74" s="3"/>
    </row>
    <row r="75" spans="1:10">
      <c r="A75" s="7"/>
      <c r="B75" s="47"/>
      <c r="C75" s="6"/>
      <c r="D75" s="6"/>
      <c r="E75" s="6"/>
      <c r="F75" s="6"/>
      <c r="G75" s="6"/>
      <c r="H75" s="14"/>
      <c r="I75" s="5"/>
      <c r="J75" s="48"/>
    </row>
    <row r="76" spans="1:10">
      <c r="A76" s="7"/>
      <c r="B76" s="47"/>
      <c r="C76" s="6"/>
      <c r="D76" s="6"/>
      <c r="E76" s="6"/>
      <c r="F76" s="6"/>
      <c r="G76" s="6"/>
      <c r="H76" s="14"/>
      <c r="I76" s="5"/>
      <c r="J76" s="48"/>
    </row>
    <row r="77" spans="1:10">
      <c r="A77" s="150" t="s">
        <v>273</v>
      </c>
      <c r="B77" s="151"/>
      <c r="C77" s="151"/>
      <c r="D77" s="151"/>
      <c r="E77" s="6"/>
      <c r="F77" s="6"/>
      <c r="G77" s="6"/>
      <c r="H77" s="14"/>
      <c r="I77" s="5"/>
      <c r="J77" s="3"/>
    </row>
    <row r="78" spans="1:10">
      <c r="A78" t="s">
        <v>795</v>
      </c>
    </row>
    <row r="79" spans="1:10">
      <c r="A79" t="s">
        <v>796</v>
      </c>
    </row>
    <row r="80" spans="1:10">
      <c r="A80" t="s">
        <v>659</v>
      </c>
    </row>
    <row r="81" spans="1:1">
      <c r="A81" t="s">
        <v>660</v>
      </c>
    </row>
    <row r="82" spans="1:1">
      <c r="A82" t="s">
        <v>661</v>
      </c>
    </row>
    <row r="83" spans="1:1">
      <c r="A83" t="s">
        <v>662</v>
      </c>
    </row>
    <row r="84" spans="1:1">
      <c r="A84" t="s">
        <v>663</v>
      </c>
    </row>
    <row r="85" spans="1:1">
      <c r="A85" t="s">
        <v>255</v>
      </c>
    </row>
    <row r="86" spans="1:1">
      <c r="A86" t="s">
        <v>256</v>
      </c>
    </row>
    <row r="87" spans="1:1">
      <c r="A87" t="s">
        <v>254</v>
      </c>
    </row>
    <row r="88" spans="1:1">
      <c r="A88" t="s">
        <v>670</v>
      </c>
    </row>
    <row r="89" spans="1:1">
      <c r="A89" t="s">
        <v>669</v>
      </c>
    </row>
    <row r="90" spans="1:1">
      <c r="A90" t="s">
        <v>668</v>
      </c>
    </row>
  </sheetData>
  <mergeCells count="2">
    <mergeCell ref="G3:H3"/>
    <mergeCell ref="A77:D7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pane xSplit="2" ySplit="5" topLeftCell="H6" activePane="bottomRight" state="frozenSplit"/>
      <selection pane="topRight" activeCell="C1" sqref="C1"/>
      <selection pane="bottomLeft" activeCell="A7" sqref="A7"/>
      <selection pane="bottomRight" activeCell="A4" sqref="A4"/>
    </sheetView>
  </sheetViews>
  <sheetFormatPr baseColWidth="10" defaultColWidth="8.83203125" defaultRowHeight="14" x14ac:dyDescent="0"/>
  <cols>
    <col min="1" max="1" width="24.5" customWidth="1"/>
    <col min="2" max="2" width="18.1640625" customWidth="1"/>
    <col min="3" max="3" width="21.33203125" customWidth="1"/>
    <col min="4" max="4" width="8.5" customWidth="1"/>
    <col min="5" max="5" width="16.6640625" style="11" customWidth="1"/>
    <col min="6" max="6" width="14.1640625" customWidth="1"/>
    <col min="7" max="7" width="24.1640625" customWidth="1"/>
    <col min="8" max="8" width="15.6640625" customWidth="1"/>
    <col min="9" max="9" width="16.83203125" customWidth="1"/>
    <col min="10" max="10" width="11.5" customWidth="1"/>
    <col min="11" max="11" width="22.33203125" customWidth="1"/>
    <col min="12" max="12" width="17.5" customWidth="1"/>
  </cols>
  <sheetData>
    <row r="1" spans="1:12" ht="30">
      <c r="A1" s="52" t="s">
        <v>22</v>
      </c>
      <c r="E1" s="39"/>
    </row>
    <row r="2" spans="1:12" ht="23">
      <c r="A2" s="152" t="s">
        <v>373</v>
      </c>
      <c r="B2" s="151"/>
      <c r="C2" s="151"/>
      <c r="E2" s="15"/>
    </row>
    <row r="3" spans="1:12" ht="18">
      <c r="C3" s="65" t="s">
        <v>54</v>
      </c>
      <c r="E3" s="15"/>
      <c r="K3" s="65" t="s">
        <v>24</v>
      </c>
    </row>
    <row r="4" spans="1:12">
      <c r="B4" s="11" t="s">
        <v>340</v>
      </c>
      <c r="C4" s="49" t="s">
        <v>52</v>
      </c>
      <c r="D4" s="11" t="s">
        <v>336</v>
      </c>
      <c r="E4" s="11" t="s">
        <v>337</v>
      </c>
      <c r="F4" s="148" t="s">
        <v>356</v>
      </c>
      <c r="G4" s="149"/>
      <c r="H4" s="148" t="s">
        <v>350</v>
      </c>
      <c r="I4" s="149"/>
      <c r="J4" s="149"/>
      <c r="K4" s="15" t="s">
        <v>369</v>
      </c>
      <c r="L4" s="11" t="s">
        <v>339</v>
      </c>
    </row>
    <row r="5" spans="1:12">
      <c r="C5" s="49" t="s">
        <v>53</v>
      </c>
      <c r="E5" s="11" t="s">
        <v>351</v>
      </c>
      <c r="F5" s="15" t="s">
        <v>55</v>
      </c>
      <c r="G5" s="15" t="s">
        <v>357</v>
      </c>
      <c r="H5" s="11" t="s">
        <v>347</v>
      </c>
      <c r="I5" s="11" t="s">
        <v>348</v>
      </c>
      <c r="J5" s="11" t="s">
        <v>349</v>
      </c>
      <c r="K5" s="15" t="s">
        <v>370</v>
      </c>
      <c r="L5" s="11" t="s">
        <v>338</v>
      </c>
    </row>
    <row r="6" spans="1:12">
      <c r="A6" s="1" t="s">
        <v>694</v>
      </c>
      <c r="B6" s="7"/>
      <c r="C6" s="4"/>
      <c r="D6" s="4"/>
      <c r="E6" s="7"/>
      <c r="F6" s="4"/>
      <c r="G6" s="4"/>
      <c r="H6" s="4"/>
      <c r="I6" s="4"/>
      <c r="J6" s="4"/>
      <c r="K6" s="4"/>
      <c r="L6" s="4"/>
    </row>
    <row r="7" spans="1:12">
      <c r="A7" s="7" t="s">
        <v>358</v>
      </c>
      <c r="B7" s="9" t="s">
        <v>345</v>
      </c>
      <c r="C7" s="21">
        <v>320.75</v>
      </c>
      <c r="D7" s="4" t="s">
        <v>739</v>
      </c>
      <c r="E7" s="9"/>
      <c r="F7" s="4">
        <v>5.9980000000000002</v>
      </c>
      <c r="G7" s="66">
        <f>F7/12</f>
        <v>0.49983333333333335</v>
      </c>
      <c r="H7" s="21">
        <f>C7</f>
        <v>320.75</v>
      </c>
      <c r="I7" s="4">
        <f>E7</f>
        <v>0</v>
      </c>
      <c r="J7" s="4">
        <f>H7+I7</f>
        <v>320.75</v>
      </c>
      <c r="K7" s="21">
        <v>372.92</v>
      </c>
      <c r="L7" s="21">
        <f>J7+0.5*K7</f>
        <v>507.21000000000004</v>
      </c>
    </row>
    <row r="8" spans="1:12">
      <c r="A8" s="1"/>
      <c r="B8" s="9" t="s">
        <v>346</v>
      </c>
      <c r="C8" s="21">
        <v>112.99</v>
      </c>
      <c r="D8" s="4" t="s">
        <v>739</v>
      </c>
      <c r="E8" s="9"/>
      <c r="F8" s="4">
        <v>5.9980000000000002</v>
      </c>
      <c r="G8" s="66">
        <f t="shared" ref="G8:G45" si="0">F8/12</f>
        <v>0.49983333333333335</v>
      </c>
      <c r="H8" s="21">
        <f t="shared" ref="H8:H45" si="1">C8</f>
        <v>112.99</v>
      </c>
      <c r="I8" s="4">
        <f t="shared" ref="I8:I45" si="2">E8</f>
        <v>0</v>
      </c>
      <c r="J8" s="21">
        <f>H8+I8</f>
        <v>112.99</v>
      </c>
      <c r="K8" s="21">
        <v>148.09</v>
      </c>
      <c r="L8" s="21">
        <f t="shared" ref="L8:L45" si="3">J8+0.5*K8</f>
        <v>187.035</v>
      </c>
    </row>
    <row r="9" spans="1:12">
      <c r="A9" s="7" t="s">
        <v>372</v>
      </c>
      <c r="B9" s="9" t="s">
        <v>345</v>
      </c>
      <c r="C9" s="21">
        <v>101.96</v>
      </c>
      <c r="D9" s="4" t="s">
        <v>695</v>
      </c>
      <c r="E9" s="9">
        <f>0.5*C9</f>
        <v>50.98</v>
      </c>
      <c r="F9" s="4">
        <v>5.9980000000000002</v>
      </c>
      <c r="G9" s="66">
        <f t="shared" si="0"/>
        <v>0.49983333333333335</v>
      </c>
      <c r="H9" s="21">
        <f t="shared" si="1"/>
        <v>101.96</v>
      </c>
      <c r="I9" s="4">
        <f t="shared" si="2"/>
        <v>50.98</v>
      </c>
      <c r="J9" s="21">
        <f>H9+I9</f>
        <v>152.94</v>
      </c>
      <c r="K9" s="21">
        <v>297.14999999999998</v>
      </c>
      <c r="L9" s="21">
        <f t="shared" si="3"/>
        <v>301.51499999999999</v>
      </c>
    </row>
    <row r="10" spans="1:12">
      <c r="A10" s="7"/>
      <c r="B10" s="9" t="s">
        <v>346</v>
      </c>
      <c r="C10" s="21">
        <v>67.17</v>
      </c>
      <c r="D10" s="4" t="s">
        <v>695</v>
      </c>
      <c r="E10" s="26">
        <f>0.5*C10</f>
        <v>33.585000000000001</v>
      </c>
      <c r="F10" s="4">
        <v>5.9980000000000002</v>
      </c>
      <c r="G10" s="66">
        <f t="shared" si="0"/>
        <v>0.49983333333333335</v>
      </c>
      <c r="H10" s="21">
        <f t="shared" si="1"/>
        <v>67.17</v>
      </c>
      <c r="I10" s="4">
        <f t="shared" si="2"/>
        <v>33.585000000000001</v>
      </c>
      <c r="J10" s="21">
        <f>H10+I10</f>
        <v>100.755</v>
      </c>
      <c r="K10" s="21">
        <v>129.47</v>
      </c>
      <c r="L10" s="21">
        <f t="shared" si="3"/>
        <v>165.49</v>
      </c>
    </row>
    <row r="11" spans="1:12">
      <c r="A11" s="1" t="s">
        <v>729</v>
      </c>
      <c r="B11" s="7"/>
      <c r="C11" s="21"/>
      <c r="D11" s="4"/>
      <c r="E11" s="9"/>
      <c r="F11" s="4"/>
      <c r="G11" s="66"/>
      <c r="H11" s="21"/>
      <c r="I11" s="4"/>
      <c r="J11" s="21"/>
      <c r="K11" s="21"/>
      <c r="L11" s="21"/>
    </row>
    <row r="12" spans="1:12">
      <c r="A12" s="7" t="s">
        <v>358</v>
      </c>
      <c r="B12" s="9" t="s">
        <v>345</v>
      </c>
      <c r="C12" s="21">
        <v>320.75</v>
      </c>
      <c r="D12" s="4" t="s">
        <v>739</v>
      </c>
      <c r="E12" s="9"/>
      <c r="F12" s="4">
        <v>5.9980000000000002</v>
      </c>
      <c r="G12" s="66">
        <f t="shared" si="0"/>
        <v>0.49983333333333335</v>
      </c>
      <c r="H12" s="21">
        <f t="shared" si="1"/>
        <v>320.75</v>
      </c>
      <c r="I12" s="4">
        <f t="shared" si="2"/>
        <v>0</v>
      </c>
      <c r="J12" s="4">
        <f>H12+I12</f>
        <v>320.75</v>
      </c>
      <c r="K12" s="21">
        <v>592.11</v>
      </c>
      <c r="L12" s="21">
        <f t="shared" si="3"/>
        <v>616.80500000000006</v>
      </c>
    </row>
    <row r="13" spans="1:12">
      <c r="A13" s="1"/>
      <c r="B13" s="9" t="s">
        <v>346</v>
      </c>
      <c r="C13" s="21">
        <v>112.99</v>
      </c>
      <c r="D13" s="4" t="s">
        <v>739</v>
      </c>
      <c r="E13" s="9"/>
      <c r="F13" s="4">
        <v>5.9980000000000002</v>
      </c>
      <c r="G13" s="66">
        <f t="shared" si="0"/>
        <v>0.49983333333333335</v>
      </c>
      <c r="H13" s="21">
        <f t="shared" si="1"/>
        <v>112.99</v>
      </c>
      <c r="I13" s="4">
        <f t="shared" si="2"/>
        <v>0</v>
      </c>
      <c r="J13" s="21">
        <f>H13+I13</f>
        <v>112.99</v>
      </c>
      <c r="K13" s="21">
        <v>148.88999999999999</v>
      </c>
      <c r="L13" s="21">
        <f t="shared" si="3"/>
        <v>187.435</v>
      </c>
    </row>
    <row r="14" spans="1:12">
      <c r="A14" s="7" t="s">
        <v>372</v>
      </c>
      <c r="B14" s="9" t="s">
        <v>345</v>
      </c>
      <c r="C14" s="21">
        <v>101.96</v>
      </c>
      <c r="D14" s="4" t="s">
        <v>695</v>
      </c>
      <c r="E14" s="9">
        <f>0.5*C14</f>
        <v>50.98</v>
      </c>
      <c r="F14" s="4">
        <v>5.9980000000000002</v>
      </c>
      <c r="G14" s="66">
        <f t="shared" si="0"/>
        <v>0.49983333333333335</v>
      </c>
      <c r="H14" s="21">
        <f t="shared" si="1"/>
        <v>101.96</v>
      </c>
      <c r="I14" s="4">
        <f t="shared" si="2"/>
        <v>50.98</v>
      </c>
      <c r="J14" s="21">
        <f>H14+I14</f>
        <v>152.94</v>
      </c>
      <c r="K14" s="21">
        <v>268.02</v>
      </c>
      <c r="L14" s="21">
        <f t="shared" si="3"/>
        <v>286.95</v>
      </c>
    </row>
    <row r="15" spans="1:12">
      <c r="A15" s="7"/>
      <c r="B15" s="9" t="s">
        <v>346</v>
      </c>
      <c r="C15" s="21">
        <v>67.17</v>
      </c>
      <c r="D15" s="4" t="s">
        <v>695</v>
      </c>
      <c r="E15" s="26">
        <f>0.5*C15</f>
        <v>33.585000000000001</v>
      </c>
      <c r="F15" s="4">
        <v>5.9980000000000002</v>
      </c>
      <c r="G15" s="66">
        <f t="shared" si="0"/>
        <v>0.49983333333333335</v>
      </c>
      <c r="H15" s="21">
        <f t="shared" si="1"/>
        <v>67.17</v>
      </c>
      <c r="I15" s="4">
        <f t="shared" si="2"/>
        <v>33.585000000000001</v>
      </c>
      <c r="J15" s="21">
        <f>H15+I15</f>
        <v>100.755</v>
      </c>
      <c r="K15" s="21">
        <v>102.48</v>
      </c>
      <c r="L15" s="21">
        <f t="shared" si="3"/>
        <v>151.995</v>
      </c>
    </row>
    <row r="16" spans="1:12">
      <c r="A16" s="1" t="s">
        <v>730</v>
      </c>
      <c r="B16" s="7"/>
      <c r="C16" s="21"/>
      <c r="D16" s="4"/>
      <c r="E16" s="9"/>
      <c r="F16" s="4"/>
      <c r="G16" s="66"/>
      <c r="H16" s="21"/>
      <c r="I16" s="4"/>
      <c r="J16" s="21"/>
      <c r="K16" s="21"/>
      <c r="L16" s="21"/>
    </row>
    <row r="17" spans="1:12">
      <c r="A17" s="7" t="s">
        <v>358</v>
      </c>
      <c r="B17" s="9" t="s">
        <v>345</v>
      </c>
      <c r="C17" s="21">
        <v>320.75</v>
      </c>
      <c r="D17" s="4" t="s">
        <v>739</v>
      </c>
      <c r="E17" s="9"/>
      <c r="F17" s="4">
        <v>5.9980000000000002</v>
      </c>
      <c r="G17" s="66">
        <f t="shared" si="0"/>
        <v>0.49983333333333335</v>
      </c>
      <c r="H17" s="21">
        <f t="shared" si="1"/>
        <v>320.75</v>
      </c>
      <c r="I17" s="4">
        <f t="shared" si="2"/>
        <v>0</v>
      </c>
      <c r="J17" s="4">
        <f>H17+I17</f>
        <v>320.75</v>
      </c>
      <c r="K17" s="21">
        <v>284.45</v>
      </c>
      <c r="L17" s="21">
        <f t="shared" si="3"/>
        <v>462.97500000000002</v>
      </c>
    </row>
    <row r="18" spans="1:12">
      <c r="A18" s="1"/>
      <c r="B18" s="9" t="s">
        <v>346</v>
      </c>
      <c r="C18" s="21">
        <v>112.99</v>
      </c>
      <c r="D18" s="4" t="s">
        <v>739</v>
      </c>
      <c r="E18" s="9"/>
      <c r="F18" s="4">
        <v>5.9980000000000002</v>
      </c>
      <c r="G18" s="66">
        <f t="shared" si="0"/>
        <v>0.49983333333333335</v>
      </c>
      <c r="H18" s="21">
        <f t="shared" si="1"/>
        <v>112.99</v>
      </c>
      <c r="I18" s="4">
        <f t="shared" si="2"/>
        <v>0</v>
      </c>
      <c r="J18" s="21">
        <f>H18+I18</f>
        <v>112.99</v>
      </c>
      <c r="K18" s="21">
        <v>138.94999999999999</v>
      </c>
      <c r="L18" s="21">
        <f t="shared" si="3"/>
        <v>182.46499999999997</v>
      </c>
    </row>
    <row r="19" spans="1:12">
      <c r="A19" s="7" t="s">
        <v>372</v>
      </c>
      <c r="B19" s="9" t="s">
        <v>345</v>
      </c>
      <c r="C19" s="21">
        <v>101.96</v>
      </c>
      <c r="D19" s="4" t="s">
        <v>695</v>
      </c>
      <c r="E19" s="9">
        <f>0.5*C19</f>
        <v>50.98</v>
      </c>
      <c r="F19" s="4">
        <v>5.9980000000000002</v>
      </c>
      <c r="G19" s="66">
        <f t="shared" si="0"/>
        <v>0.49983333333333335</v>
      </c>
      <c r="H19" s="21">
        <f t="shared" si="1"/>
        <v>101.96</v>
      </c>
      <c r="I19" s="4">
        <f t="shared" si="2"/>
        <v>50.98</v>
      </c>
      <c r="J19" s="21">
        <f>H19+I19</f>
        <v>152.94</v>
      </c>
      <c r="K19" s="21">
        <v>229.4</v>
      </c>
      <c r="L19" s="21">
        <f t="shared" si="3"/>
        <v>267.64</v>
      </c>
    </row>
    <row r="20" spans="1:12">
      <c r="A20" s="7"/>
      <c r="B20" s="9" t="s">
        <v>346</v>
      </c>
      <c r="C20" s="21">
        <v>67.17</v>
      </c>
      <c r="D20" s="4" t="s">
        <v>695</v>
      </c>
      <c r="E20" s="26">
        <f>0.5*C20</f>
        <v>33.585000000000001</v>
      </c>
      <c r="F20" s="4">
        <v>5.9980000000000002</v>
      </c>
      <c r="G20" s="66">
        <f t="shared" si="0"/>
        <v>0.49983333333333335</v>
      </c>
      <c r="H20" s="21">
        <f t="shared" si="1"/>
        <v>67.17</v>
      </c>
      <c r="I20" s="4">
        <f t="shared" si="2"/>
        <v>33.585000000000001</v>
      </c>
      <c r="J20" s="21">
        <f>H20+I20</f>
        <v>100.755</v>
      </c>
      <c r="K20" s="21">
        <v>110.33</v>
      </c>
      <c r="L20" s="21">
        <f t="shared" si="3"/>
        <v>155.91999999999999</v>
      </c>
    </row>
    <row r="21" spans="1:12">
      <c r="A21" s="1" t="s">
        <v>731</v>
      </c>
      <c r="B21" s="7"/>
      <c r="C21" s="21"/>
      <c r="D21" s="4"/>
      <c r="E21" s="9"/>
      <c r="F21" s="4"/>
      <c r="G21" s="66"/>
      <c r="H21" s="21"/>
      <c r="I21" s="4"/>
      <c r="J21" s="21"/>
      <c r="K21" s="21"/>
      <c r="L21" s="21"/>
    </row>
    <row r="22" spans="1:12">
      <c r="A22" s="7" t="s">
        <v>358</v>
      </c>
      <c r="B22" s="9" t="s">
        <v>345</v>
      </c>
      <c r="C22" s="21">
        <v>320.75</v>
      </c>
      <c r="D22" s="4" t="s">
        <v>739</v>
      </c>
      <c r="E22" s="9"/>
      <c r="F22" s="4">
        <v>5.9980000000000002</v>
      </c>
      <c r="G22" s="66">
        <f t="shared" si="0"/>
        <v>0.49983333333333335</v>
      </c>
      <c r="H22" s="21">
        <f t="shared" si="1"/>
        <v>320.75</v>
      </c>
      <c r="I22" s="4">
        <f t="shared" si="2"/>
        <v>0</v>
      </c>
      <c r="J22" s="4">
        <f>H22+I22</f>
        <v>320.75</v>
      </c>
      <c r="K22" s="21">
        <v>282.95</v>
      </c>
      <c r="L22" s="21">
        <f t="shared" si="3"/>
        <v>462.22500000000002</v>
      </c>
    </row>
    <row r="23" spans="1:12">
      <c r="A23" s="1"/>
      <c r="B23" s="9" t="s">
        <v>346</v>
      </c>
      <c r="C23" s="21">
        <v>112.99</v>
      </c>
      <c r="D23" s="4" t="s">
        <v>739</v>
      </c>
      <c r="E23" s="9"/>
      <c r="F23" s="4">
        <v>5.9980000000000002</v>
      </c>
      <c r="G23" s="66">
        <f t="shared" si="0"/>
        <v>0.49983333333333335</v>
      </c>
      <c r="H23" s="21">
        <f t="shared" si="1"/>
        <v>112.99</v>
      </c>
      <c r="I23" s="4">
        <f t="shared" si="2"/>
        <v>0</v>
      </c>
      <c r="J23" s="21">
        <f>H23+I23</f>
        <v>112.99</v>
      </c>
      <c r="K23" s="21">
        <v>134.52000000000001</v>
      </c>
      <c r="L23" s="21">
        <f t="shared" si="3"/>
        <v>180.25</v>
      </c>
    </row>
    <row r="24" spans="1:12">
      <c r="A24" s="7" t="s">
        <v>372</v>
      </c>
      <c r="B24" s="9" t="s">
        <v>345</v>
      </c>
      <c r="C24" s="21">
        <v>101.96</v>
      </c>
      <c r="D24" s="4" t="s">
        <v>695</v>
      </c>
      <c r="E24" s="9">
        <f>0.5*C24</f>
        <v>50.98</v>
      </c>
      <c r="F24" s="4">
        <v>5.9980000000000002</v>
      </c>
      <c r="G24" s="66">
        <f t="shared" si="0"/>
        <v>0.49983333333333335</v>
      </c>
      <c r="H24" s="21">
        <f t="shared" si="1"/>
        <v>101.96</v>
      </c>
      <c r="I24" s="4">
        <f t="shared" si="2"/>
        <v>50.98</v>
      </c>
      <c r="J24" s="21">
        <f>H24+I24</f>
        <v>152.94</v>
      </c>
      <c r="K24" s="21">
        <v>233.16</v>
      </c>
      <c r="L24" s="21">
        <f t="shared" si="3"/>
        <v>269.52</v>
      </c>
    </row>
    <row r="25" spans="1:12">
      <c r="A25" s="7"/>
      <c r="B25" s="9" t="s">
        <v>346</v>
      </c>
      <c r="C25" s="21">
        <v>67.17</v>
      </c>
      <c r="D25" s="4" t="s">
        <v>695</v>
      </c>
      <c r="E25" s="26">
        <f>0.5*C25</f>
        <v>33.585000000000001</v>
      </c>
      <c r="F25" s="4">
        <v>5.9980000000000002</v>
      </c>
      <c r="G25" s="66">
        <f t="shared" si="0"/>
        <v>0.49983333333333335</v>
      </c>
      <c r="H25" s="21">
        <f t="shared" si="1"/>
        <v>67.17</v>
      </c>
      <c r="I25" s="4">
        <f t="shared" si="2"/>
        <v>33.585000000000001</v>
      </c>
      <c r="J25" s="21">
        <f>H25+I25</f>
        <v>100.755</v>
      </c>
      <c r="K25" s="21">
        <v>132.82</v>
      </c>
      <c r="L25" s="21">
        <f t="shared" si="3"/>
        <v>167.16499999999999</v>
      </c>
    </row>
    <row r="26" spans="1:12">
      <c r="A26" s="1" t="s">
        <v>733</v>
      </c>
      <c r="B26" s="9"/>
      <c r="C26" s="21"/>
      <c r="D26" s="4"/>
      <c r="E26" s="9"/>
      <c r="F26" s="4"/>
      <c r="G26" s="66"/>
      <c r="H26" s="21"/>
      <c r="I26" s="4"/>
      <c r="J26" s="21"/>
      <c r="K26" s="21"/>
      <c r="L26" s="21"/>
    </row>
    <row r="27" spans="1:12">
      <c r="A27" s="7" t="s">
        <v>358</v>
      </c>
      <c r="B27" s="9" t="s">
        <v>345</v>
      </c>
      <c r="C27" s="21">
        <v>423.39</v>
      </c>
      <c r="D27" s="4" t="s">
        <v>739</v>
      </c>
      <c r="E27" s="9"/>
      <c r="F27" s="4">
        <v>5.9980000000000002</v>
      </c>
      <c r="G27" s="66">
        <f t="shared" si="0"/>
        <v>0.49983333333333335</v>
      </c>
      <c r="H27" s="21">
        <f t="shared" si="1"/>
        <v>423.39</v>
      </c>
      <c r="I27" s="4">
        <f t="shared" si="2"/>
        <v>0</v>
      </c>
      <c r="J27" s="4">
        <f>H27+I27</f>
        <v>423.39</v>
      </c>
      <c r="K27" s="21">
        <v>301.07</v>
      </c>
      <c r="L27" s="21">
        <f t="shared" si="3"/>
        <v>573.92499999999995</v>
      </c>
    </row>
    <row r="28" spans="1:12">
      <c r="A28" s="1"/>
      <c r="B28" s="9" t="s">
        <v>346</v>
      </c>
      <c r="C28" s="21">
        <v>149.15</v>
      </c>
      <c r="D28" s="4" t="s">
        <v>739</v>
      </c>
      <c r="E28" s="9"/>
      <c r="F28" s="4">
        <v>5.9980000000000002</v>
      </c>
      <c r="G28" s="66">
        <f t="shared" si="0"/>
        <v>0.49983333333333335</v>
      </c>
      <c r="H28" s="21">
        <f t="shared" si="1"/>
        <v>149.15</v>
      </c>
      <c r="I28" s="4">
        <f t="shared" si="2"/>
        <v>0</v>
      </c>
      <c r="J28" s="21">
        <f>H28+I28</f>
        <v>149.15</v>
      </c>
      <c r="K28" s="21">
        <v>111.34</v>
      </c>
      <c r="L28" s="21">
        <f t="shared" si="3"/>
        <v>204.82</v>
      </c>
    </row>
    <row r="29" spans="1:12">
      <c r="A29" s="7" t="s">
        <v>372</v>
      </c>
      <c r="B29" s="9" t="s">
        <v>345</v>
      </c>
      <c r="C29" s="21">
        <v>133.19999999999999</v>
      </c>
      <c r="D29" s="4" t="s">
        <v>695</v>
      </c>
      <c r="E29" s="26">
        <f>0.5*C29</f>
        <v>66.599999999999994</v>
      </c>
      <c r="F29" s="4">
        <v>5.9980000000000002</v>
      </c>
      <c r="G29" s="66">
        <f t="shared" si="0"/>
        <v>0.49983333333333335</v>
      </c>
      <c r="H29" s="21">
        <f t="shared" si="1"/>
        <v>133.19999999999999</v>
      </c>
      <c r="I29" s="4">
        <f t="shared" si="2"/>
        <v>66.599999999999994</v>
      </c>
      <c r="J29" s="21">
        <f>H29+I29</f>
        <v>199.79999999999998</v>
      </c>
      <c r="K29" s="21">
        <v>182</v>
      </c>
      <c r="L29" s="21">
        <f t="shared" si="3"/>
        <v>290.79999999999995</v>
      </c>
    </row>
    <row r="30" spans="1:12">
      <c r="A30" s="7"/>
      <c r="B30" s="9" t="s">
        <v>346</v>
      </c>
      <c r="C30" s="21">
        <v>87.76</v>
      </c>
      <c r="D30" s="4" t="s">
        <v>695</v>
      </c>
      <c r="E30" s="26">
        <f>0.5*C30</f>
        <v>43.88</v>
      </c>
      <c r="F30" s="4">
        <v>5.9980000000000002</v>
      </c>
      <c r="G30" s="66">
        <f t="shared" si="0"/>
        <v>0.49983333333333335</v>
      </c>
      <c r="H30" s="21">
        <f t="shared" si="1"/>
        <v>87.76</v>
      </c>
      <c r="I30" s="4">
        <f t="shared" si="2"/>
        <v>43.88</v>
      </c>
      <c r="J30" s="21">
        <f>H30+I30</f>
        <v>131.64000000000001</v>
      </c>
      <c r="K30" s="21">
        <v>114.9</v>
      </c>
      <c r="L30" s="21">
        <f t="shared" si="3"/>
        <v>189.09000000000003</v>
      </c>
    </row>
    <row r="31" spans="1:12">
      <c r="A31" s="8" t="s">
        <v>732</v>
      </c>
      <c r="B31" s="9"/>
      <c r="C31" s="21"/>
      <c r="D31" s="4"/>
      <c r="E31" s="9"/>
      <c r="F31" s="4"/>
      <c r="G31" s="66"/>
      <c r="H31" s="21"/>
      <c r="I31" s="4"/>
      <c r="J31" s="21"/>
      <c r="K31" s="21"/>
      <c r="L31" s="21"/>
    </row>
    <row r="32" spans="1:12">
      <c r="A32" s="7" t="s">
        <v>358</v>
      </c>
      <c r="B32" s="9" t="s">
        <v>345</v>
      </c>
      <c r="C32" s="21">
        <v>423.39</v>
      </c>
      <c r="D32" s="4" t="s">
        <v>739</v>
      </c>
      <c r="E32" s="9"/>
      <c r="F32" s="4">
        <v>5.9980000000000002</v>
      </c>
      <c r="G32" s="66">
        <f t="shared" si="0"/>
        <v>0.49983333333333335</v>
      </c>
      <c r="H32" s="21">
        <f t="shared" si="1"/>
        <v>423.39</v>
      </c>
      <c r="I32" s="4">
        <f t="shared" si="2"/>
        <v>0</v>
      </c>
      <c r="J32" s="4">
        <f>H32+I32</f>
        <v>423.39</v>
      </c>
      <c r="K32" s="21">
        <v>305.04000000000002</v>
      </c>
      <c r="L32" s="21">
        <f t="shared" si="3"/>
        <v>575.91</v>
      </c>
    </row>
    <row r="33" spans="1:12">
      <c r="A33" s="1"/>
      <c r="B33" s="9" t="s">
        <v>346</v>
      </c>
      <c r="C33" s="21">
        <v>149.15</v>
      </c>
      <c r="D33" s="4" t="s">
        <v>739</v>
      </c>
      <c r="E33" s="9"/>
      <c r="F33" s="4">
        <v>5.9980000000000002</v>
      </c>
      <c r="G33" s="66">
        <f t="shared" si="0"/>
        <v>0.49983333333333335</v>
      </c>
      <c r="H33" s="21">
        <f t="shared" si="1"/>
        <v>149.15</v>
      </c>
      <c r="I33" s="4">
        <f t="shared" si="2"/>
        <v>0</v>
      </c>
      <c r="J33" s="21">
        <f>H33+I33</f>
        <v>149.15</v>
      </c>
      <c r="K33" s="21">
        <v>126.32</v>
      </c>
      <c r="L33" s="21">
        <f t="shared" si="3"/>
        <v>212.31</v>
      </c>
    </row>
    <row r="34" spans="1:12">
      <c r="A34" s="7" t="s">
        <v>372</v>
      </c>
      <c r="B34" s="9" t="s">
        <v>345</v>
      </c>
      <c r="C34" s="21">
        <v>133.19999999999999</v>
      </c>
      <c r="D34" s="4" t="s">
        <v>695</v>
      </c>
      <c r="E34" s="26">
        <f>0.5*C34</f>
        <v>66.599999999999994</v>
      </c>
      <c r="F34" s="4">
        <v>5.9980000000000002</v>
      </c>
      <c r="G34" s="66">
        <f t="shared" si="0"/>
        <v>0.49983333333333335</v>
      </c>
      <c r="H34" s="21">
        <f t="shared" si="1"/>
        <v>133.19999999999999</v>
      </c>
      <c r="I34" s="4">
        <f t="shared" si="2"/>
        <v>66.599999999999994</v>
      </c>
      <c r="J34" s="21">
        <f>H34+I34</f>
        <v>199.79999999999998</v>
      </c>
      <c r="K34" s="21">
        <v>187.21</v>
      </c>
      <c r="L34" s="21">
        <f t="shared" si="3"/>
        <v>293.40499999999997</v>
      </c>
    </row>
    <row r="35" spans="1:12">
      <c r="A35" s="7"/>
      <c r="B35" s="9" t="s">
        <v>346</v>
      </c>
      <c r="C35" s="21">
        <v>87.76</v>
      </c>
      <c r="D35" s="4" t="s">
        <v>695</v>
      </c>
      <c r="E35" s="26">
        <f>0.5*C35</f>
        <v>43.88</v>
      </c>
      <c r="F35" s="4">
        <v>5.9980000000000002</v>
      </c>
      <c r="G35" s="66">
        <f t="shared" si="0"/>
        <v>0.49983333333333335</v>
      </c>
      <c r="H35" s="21">
        <f t="shared" si="1"/>
        <v>87.76</v>
      </c>
      <c r="I35" s="4">
        <f t="shared" si="2"/>
        <v>43.88</v>
      </c>
      <c r="J35" s="21">
        <f>H35+I35</f>
        <v>131.64000000000001</v>
      </c>
      <c r="K35" s="21">
        <v>120.34</v>
      </c>
      <c r="L35" s="21">
        <f t="shared" si="3"/>
        <v>191.81</v>
      </c>
    </row>
    <row r="36" spans="1:12">
      <c r="A36" s="8" t="s">
        <v>734</v>
      </c>
      <c r="B36" s="9"/>
      <c r="C36" s="21"/>
      <c r="D36" s="4"/>
      <c r="E36" s="9"/>
      <c r="F36" s="4"/>
      <c r="G36" s="66"/>
      <c r="H36" s="21"/>
      <c r="I36" s="4"/>
      <c r="J36" s="21"/>
      <c r="K36" s="21"/>
      <c r="L36" s="21"/>
    </row>
    <row r="37" spans="1:12">
      <c r="A37" s="7" t="s">
        <v>358</v>
      </c>
      <c r="B37" s="9" t="s">
        <v>345</v>
      </c>
      <c r="C37" s="21">
        <v>423.39</v>
      </c>
      <c r="D37" s="4" t="s">
        <v>739</v>
      </c>
      <c r="E37" s="9"/>
      <c r="F37" s="4">
        <v>5.9980000000000002</v>
      </c>
      <c r="G37" s="66">
        <f t="shared" si="0"/>
        <v>0.49983333333333335</v>
      </c>
      <c r="H37" s="21">
        <f t="shared" si="1"/>
        <v>423.39</v>
      </c>
      <c r="I37" s="4">
        <f t="shared" si="2"/>
        <v>0</v>
      </c>
      <c r="J37" s="4">
        <f>H37+I37</f>
        <v>423.39</v>
      </c>
      <c r="K37" s="21">
        <v>377.95</v>
      </c>
      <c r="L37" s="21">
        <f t="shared" si="3"/>
        <v>612.36500000000001</v>
      </c>
    </row>
    <row r="38" spans="1:12">
      <c r="A38" s="1"/>
      <c r="B38" s="9" t="s">
        <v>346</v>
      </c>
      <c r="C38" s="21">
        <v>149.15</v>
      </c>
      <c r="D38" s="4" t="s">
        <v>739</v>
      </c>
      <c r="E38" s="9"/>
      <c r="F38" s="4">
        <v>5.9980000000000002</v>
      </c>
      <c r="G38" s="66">
        <f t="shared" si="0"/>
        <v>0.49983333333333335</v>
      </c>
      <c r="H38" s="21">
        <f t="shared" si="1"/>
        <v>149.15</v>
      </c>
      <c r="I38" s="4">
        <f t="shared" si="2"/>
        <v>0</v>
      </c>
      <c r="J38" s="21">
        <f>H38+I38</f>
        <v>149.15</v>
      </c>
      <c r="K38" s="21">
        <v>232.01</v>
      </c>
      <c r="L38" s="21">
        <f t="shared" si="3"/>
        <v>265.15499999999997</v>
      </c>
    </row>
    <row r="39" spans="1:12">
      <c r="A39" s="7" t="s">
        <v>372</v>
      </c>
      <c r="B39" s="9" t="s">
        <v>345</v>
      </c>
      <c r="C39" s="21">
        <v>133.19999999999999</v>
      </c>
      <c r="D39" s="4" t="s">
        <v>695</v>
      </c>
      <c r="E39" s="26">
        <f>0.5*C39</f>
        <v>66.599999999999994</v>
      </c>
      <c r="F39" s="4">
        <v>5.9980000000000002</v>
      </c>
      <c r="G39" s="66">
        <f t="shared" si="0"/>
        <v>0.49983333333333335</v>
      </c>
      <c r="H39" s="21">
        <f t="shared" si="1"/>
        <v>133.19999999999999</v>
      </c>
      <c r="I39" s="4">
        <f t="shared" si="2"/>
        <v>66.599999999999994</v>
      </c>
      <c r="J39" s="21">
        <f>H39+I39</f>
        <v>199.79999999999998</v>
      </c>
      <c r="K39" s="21">
        <v>292.69</v>
      </c>
      <c r="L39" s="21">
        <f t="shared" si="3"/>
        <v>346.14499999999998</v>
      </c>
    </row>
    <row r="40" spans="1:12">
      <c r="A40" s="7"/>
      <c r="B40" s="9" t="s">
        <v>346</v>
      </c>
      <c r="C40" s="21">
        <v>87.76</v>
      </c>
      <c r="D40" s="4" t="s">
        <v>695</v>
      </c>
      <c r="E40" s="26">
        <f>0.5*C40</f>
        <v>43.88</v>
      </c>
      <c r="F40" s="4">
        <v>5.9980000000000002</v>
      </c>
      <c r="G40" s="66">
        <f t="shared" si="0"/>
        <v>0.49983333333333335</v>
      </c>
      <c r="H40" s="21">
        <f t="shared" si="1"/>
        <v>87.76</v>
      </c>
      <c r="I40" s="4">
        <f t="shared" si="2"/>
        <v>43.88</v>
      </c>
      <c r="J40" s="21">
        <f>H40+I40</f>
        <v>131.64000000000001</v>
      </c>
      <c r="K40" s="21">
        <v>295.86</v>
      </c>
      <c r="L40" s="21">
        <f t="shared" si="3"/>
        <v>279.57000000000005</v>
      </c>
    </row>
    <row r="41" spans="1:12">
      <c r="A41" s="8" t="s">
        <v>83</v>
      </c>
      <c r="B41" s="9"/>
      <c r="C41" s="21"/>
      <c r="D41" s="4"/>
      <c r="E41" s="9"/>
      <c r="F41" s="4"/>
      <c r="G41" s="66"/>
      <c r="H41" s="21"/>
      <c r="I41" s="4"/>
      <c r="J41" s="21"/>
      <c r="K41" s="21"/>
      <c r="L41" s="21"/>
    </row>
    <row r="42" spans="1:12">
      <c r="A42" s="7" t="s">
        <v>358</v>
      </c>
      <c r="B42" s="9" t="s">
        <v>345</v>
      </c>
      <c r="C42" s="21">
        <f>C12*4.67</f>
        <v>1497.9024999999999</v>
      </c>
      <c r="D42" s="4" t="s">
        <v>695</v>
      </c>
      <c r="E42" s="26"/>
      <c r="F42" s="4">
        <v>5.9980000000000002</v>
      </c>
      <c r="G42" s="66">
        <f t="shared" si="0"/>
        <v>0.49983333333333335</v>
      </c>
      <c r="H42" s="21">
        <f t="shared" si="1"/>
        <v>1497.9024999999999</v>
      </c>
      <c r="I42" s="4">
        <f t="shared" si="2"/>
        <v>0</v>
      </c>
      <c r="J42" s="21">
        <f>H42+I42</f>
        <v>1497.9024999999999</v>
      </c>
      <c r="K42" s="21">
        <v>1166.0999999999999</v>
      </c>
      <c r="L42" s="21">
        <f t="shared" si="3"/>
        <v>2080.9524999999999</v>
      </c>
    </row>
    <row r="43" spans="1:12">
      <c r="A43" s="1"/>
      <c r="B43" s="9" t="s">
        <v>346</v>
      </c>
      <c r="C43" s="21">
        <f>C13*4.67</f>
        <v>527.66329999999994</v>
      </c>
      <c r="D43" s="4" t="s">
        <v>695</v>
      </c>
      <c r="E43" s="26"/>
      <c r="F43" s="4">
        <v>5.9980000000000002</v>
      </c>
      <c r="G43" s="66">
        <f t="shared" si="0"/>
        <v>0.49983333333333335</v>
      </c>
      <c r="H43" s="21">
        <f t="shared" si="1"/>
        <v>527.66329999999994</v>
      </c>
      <c r="I43" s="4">
        <f t="shared" si="2"/>
        <v>0</v>
      </c>
      <c r="J43" s="21">
        <f>H43+I43</f>
        <v>527.66329999999994</v>
      </c>
      <c r="K43" s="21">
        <v>1014.46</v>
      </c>
      <c r="L43" s="21">
        <f t="shared" si="3"/>
        <v>1034.8933</v>
      </c>
    </row>
    <row r="44" spans="1:12">
      <c r="A44" s="7" t="s">
        <v>372</v>
      </c>
      <c r="B44" s="9" t="s">
        <v>345</v>
      </c>
      <c r="C44" s="21">
        <f>C14*5.95</f>
        <v>606.66200000000003</v>
      </c>
      <c r="D44" s="4" t="s">
        <v>695</v>
      </c>
      <c r="E44" s="26">
        <f t="shared" ref="E44:E45" si="4">0.5*C44</f>
        <v>303.33100000000002</v>
      </c>
      <c r="F44" s="4">
        <v>5.9980000000000002</v>
      </c>
      <c r="G44" s="66">
        <f t="shared" si="0"/>
        <v>0.49983333333333335</v>
      </c>
      <c r="H44" s="21">
        <f t="shared" si="1"/>
        <v>606.66200000000003</v>
      </c>
      <c r="I44" s="21">
        <f t="shared" si="2"/>
        <v>303.33100000000002</v>
      </c>
      <c r="J44" s="21">
        <f>H44+I44</f>
        <v>909.99300000000005</v>
      </c>
      <c r="K44" s="21">
        <v>1215</v>
      </c>
      <c r="L44" s="21">
        <f t="shared" si="3"/>
        <v>1517.4929999999999</v>
      </c>
    </row>
    <row r="45" spans="1:12">
      <c r="A45" s="7"/>
      <c r="B45" s="9" t="s">
        <v>346</v>
      </c>
      <c r="C45" s="21">
        <f>C15*5.95</f>
        <v>399.66150000000005</v>
      </c>
      <c r="D45" s="4" t="s">
        <v>695</v>
      </c>
      <c r="E45" s="26">
        <f t="shared" si="4"/>
        <v>199.83075000000002</v>
      </c>
      <c r="F45" s="4">
        <v>5.9980000000000002</v>
      </c>
      <c r="G45" s="66">
        <f t="shared" si="0"/>
        <v>0.49983333333333335</v>
      </c>
      <c r="H45" s="21">
        <f t="shared" si="1"/>
        <v>399.66150000000005</v>
      </c>
      <c r="I45" s="21">
        <f t="shared" si="2"/>
        <v>199.83075000000002</v>
      </c>
      <c r="J45" s="21">
        <f>H45+I45</f>
        <v>599.49225000000001</v>
      </c>
      <c r="K45" s="21">
        <v>1196</v>
      </c>
      <c r="L45" s="21">
        <f t="shared" si="3"/>
        <v>1197.49225</v>
      </c>
    </row>
    <row r="47" spans="1:12">
      <c r="A47" s="151" t="s">
        <v>23</v>
      </c>
      <c r="B47" s="151"/>
      <c r="C47" s="151"/>
      <c r="D47" s="151"/>
      <c r="E47" s="151"/>
      <c r="F47" s="151"/>
    </row>
    <row r="48" spans="1:12">
      <c r="A48" t="s">
        <v>62</v>
      </c>
    </row>
    <row r="49" spans="1:17">
      <c r="A49" t="s">
        <v>63</v>
      </c>
      <c r="E49" s="49"/>
    </row>
    <row r="50" spans="1:17">
      <c r="A50" s="147" t="s">
        <v>3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</row>
    <row r="51" spans="1:17">
      <c r="A51" t="s">
        <v>4</v>
      </c>
    </row>
  </sheetData>
  <mergeCells count="5">
    <mergeCell ref="H4:J4"/>
    <mergeCell ref="F4:G4"/>
    <mergeCell ref="A2:C2"/>
    <mergeCell ref="A50:Q50"/>
    <mergeCell ref="A47:F4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workbookViewId="0">
      <selection activeCell="A12" sqref="A12:D12"/>
    </sheetView>
  </sheetViews>
  <sheetFormatPr baseColWidth="10" defaultColWidth="8.83203125" defaultRowHeight="14" x14ac:dyDescent="0"/>
  <cols>
    <col min="1" max="1" width="26" customWidth="1"/>
    <col min="4" max="4" width="11.83203125" customWidth="1"/>
    <col min="5" max="7" width="11" customWidth="1"/>
    <col min="8" max="8" width="14.33203125" customWidth="1"/>
    <col min="9" max="9" width="16.5" customWidth="1"/>
    <col min="10" max="10" width="11" customWidth="1"/>
    <col min="14" max="14" width="10.83203125" customWidth="1"/>
    <col min="15" max="15" width="11.1640625" customWidth="1"/>
  </cols>
  <sheetData>
    <row r="1" spans="1:16" ht="30">
      <c r="A1" s="52" t="s">
        <v>46</v>
      </c>
    </row>
    <row r="2" spans="1:16" ht="30">
      <c r="A2" s="52"/>
    </row>
    <row r="3" spans="1:16" ht="23">
      <c r="A3" s="60" t="s">
        <v>47</v>
      </c>
    </row>
    <row r="4" spans="1:16">
      <c r="A4" s="1" t="s">
        <v>69</v>
      </c>
      <c r="B4" s="148" t="s">
        <v>77</v>
      </c>
      <c r="C4" s="148"/>
      <c r="D4" s="148"/>
      <c r="E4" s="148" t="s">
        <v>72</v>
      </c>
      <c r="F4" s="148"/>
      <c r="G4" s="148"/>
      <c r="H4" s="151"/>
      <c r="I4" s="148" t="s">
        <v>74</v>
      </c>
      <c r="J4" s="151"/>
      <c r="K4" s="148" t="s">
        <v>75</v>
      </c>
      <c r="L4" s="151"/>
      <c r="M4" s="46"/>
      <c r="N4" s="148" t="s">
        <v>76</v>
      </c>
      <c r="O4" s="151"/>
    </row>
    <row r="5" spans="1:16">
      <c r="B5" s="49" t="s">
        <v>70</v>
      </c>
      <c r="C5" s="49" t="s">
        <v>71</v>
      </c>
      <c r="D5" s="49" t="s">
        <v>349</v>
      </c>
      <c r="E5" s="49" t="s">
        <v>367</v>
      </c>
      <c r="F5" s="49" t="s">
        <v>368</v>
      </c>
      <c r="G5" s="49" t="s">
        <v>94</v>
      </c>
      <c r="H5" s="49" t="s">
        <v>366</v>
      </c>
      <c r="I5" s="49" t="s">
        <v>367</v>
      </c>
      <c r="J5" s="49" t="s">
        <v>368</v>
      </c>
      <c r="K5" s="49" t="s">
        <v>367</v>
      </c>
      <c r="L5" s="49" t="s">
        <v>368</v>
      </c>
      <c r="M5" s="49" t="s">
        <v>94</v>
      </c>
      <c r="N5" s="49" t="s">
        <v>367</v>
      </c>
      <c r="O5" s="49" t="s">
        <v>368</v>
      </c>
      <c r="P5" s="49" t="s">
        <v>727</v>
      </c>
    </row>
    <row r="6" spans="1:16">
      <c r="A6" t="s">
        <v>73</v>
      </c>
    </row>
    <row r="7" spans="1:16">
      <c r="A7" s="4" t="s">
        <v>408</v>
      </c>
      <c r="E7">
        <v>16.66</v>
      </c>
      <c r="F7">
        <v>5.84</v>
      </c>
      <c r="G7" s="57">
        <f>F7/E7</f>
        <v>0.35054021608643454</v>
      </c>
      <c r="P7" t="s">
        <v>225</v>
      </c>
    </row>
    <row r="8" spans="1:16">
      <c r="A8" s="4" t="s">
        <v>411</v>
      </c>
      <c r="E8" s="50" t="s">
        <v>84</v>
      </c>
      <c r="F8" s="50" t="s">
        <v>84</v>
      </c>
      <c r="G8" s="50"/>
      <c r="K8">
        <v>34.020000000000003</v>
      </c>
      <c r="L8">
        <v>14.19</v>
      </c>
      <c r="M8" s="57">
        <f>L8/K8</f>
        <v>0.41710758377425039</v>
      </c>
      <c r="P8" t="s">
        <v>85</v>
      </c>
    </row>
    <row r="9" spans="1:16">
      <c r="A9" s="4" t="s">
        <v>409</v>
      </c>
      <c r="B9">
        <v>2.4500000000000002</v>
      </c>
      <c r="C9">
        <v>2.35</v>
      </c>
      <c r="D9">
        <f>C9+B9</f>
        <v>4.8000000000000007</v>
      </c>
      <c r="E9">
        <v>14.73</v>
      </c>
      <c r="F9">
        <v>6.21</v>
      </c>
      <c r="G9" s="57">
        <f t="shared" ref="G9:G10" si="0">F9/E9</f>
        <v>0.42158859470468429</v>
      </c>
      <c r="P9" t="s">
        <v>225</v>
      </c>
    </row>
    <row r="10" spans="1:16">
      <c r="A10" s="4" t="s">
        <v>410</v>
      </c>
      <c r="E10">
        <v>13.78</v>
      </c>
      <c r="F10">
        <v>5.6</v>
      </c>
      <c r="G10" s="57">
        <f t="shared" si="0"/>
        <v>0.40638606676342526</v>
      </c>
      <c r="P10" t="s">
        <v>225</v>
      </c>
    </row>
    <row r="11" spans="1:16">
      <c r="A11" t="s">
        <v>411</v>
      </c>
    </row>
    <row r="12" spans="1:16">
      <c r="A12" s="124" t="s">
        <v>429</v>
      </c>
      <c r="B12" s="103"/>
      <c r="C12" s="103"/>
      <c r="D12" s="103">
        <v>7.6</v>
      </c>
      <c r="P12" t="s">
        <v>225</v>
      </c>
    </row>
    <row r="13" spans="1:16">
      <c r="A13" s="4" t="s">
        <v>415</v>
      </c>
      <c r="D13">
        <v>9</v>
      </c>
      <c r="P13" t="s">
        <v>225</v>
      </c>
    </row>
    <row r="14" spans="1:16">
      <c r="A14" s="4" t="s">
        <v>414</v>
      </c>
      <c r="D14">
        <v>8</v>
      </c>
      <c r="P14" t="s">
        <v>225</v>
      </c>
    </row>
    <row r="15" spans="1:16">
      <c r="A15" s="4" t="s">
        <v>416</v>
      </c>
      <c r="D15">
        <v>4.26</v>
      </c>
      <c r="E15">
        <v>17.47</v>
      </c>
      <c r="F15">
        <v>10.32</v>
      </c>
      <c r="G15" s="57">
        <f t="shared" ref="G15:G20" si="1">F15/E15</f>
        <v>0.59072696050372075</v>
      </c>
      <c r="P15" t="s">
        <v>225</v>
      </c>
    </row>
    <row r="16" spans="1:16">
      <c r="A16" s="48" t="s">
        <v>78</v>
      </c>
      <c r="G16" s="57"/>
    </row>
    <row r="17" spans="1:16">
      <c r="A17" s="4" t="s">
        <v>419</v>
      </c>
      <c r="E17">
        <v>16.559999999999999</v>
      </c>
      <c r="F17">
        <v>8.93</v>
      </c>
      <c r="G17" s="57">
        <f t="shared" si="1"/>
        <v>0.53925120772946866</v>
      </c>
      <c r="P17" t="s">
        <v>225</v>
      </c>
    </row>
    <row r="18" spans="1:16">
      <c r="A18" s="4" t="s">
        <v>417</v>
      </c>
      <c r="E18" s="42">
        <v>50.72</v>
      </c>
      <c r="F18" s="42">
        <v>34.340000000000003</v>
      </c>
      <c r="G18" s="58">
        <f t="shared" si="1"/>
        <v>0.67705047318611999</v>
      </c>
      <c r="P18" t="s">
        <v>95</v>
      </c>
    </row>
    <row r="19" spans="1:16">
      <c r="A19" s="4" t="s">
        <v>421</v>
      </c>
      <c r="D19">
        <v>3.93</v>
      </c>
      <c r="E19">
        <v>15.22</v>
      </c>
      <c r="F19">
        <v>6.92</v>
      </c>
      <c r="G19" s="57">
        <f t="shared" si="1"/>
        <v>0.45466491458607095</v>
      </c>
      <c r="P19" t="s">
        <v>225</v>
      </c>
    </row>
    <row r="20" spans="1:16">
      <c r="A20" s="4" t="s">
        <v>96</v>
      </c>
      <c r="D20">
        <v>6.27</v>
      </c>
      <c r="E20">
        <v>15.55</v>
      </c>
      <c r="F20">
        <v>7.6</v>
      </c>
      <c r="G20" s="57">
        <f t="shared" si="1"/>
        <v>0.48874598070739544</v>
      </c>
    </row>
    <row r="21" spans="1:16">
      <c r="A21" s="48" t="s">
        <v>79</v>
      </c>
    </row>
    <row r="22" spans="1:16">
      <c r="A22" s="4" t="s">
        <v>431</v>
      </c>
      <c r="D22">
        <v>2.25</v>
      </c>
      <c r="P22" t="s">
        <v>225</v>
      </c>
    </row>
    <row r="23" spans="1:16">
      <c r="A23" s="48" t="s">
        <v>80</v>
      </c>
    </row>
    <row r="24" spans="1:16">
      <c r="A24" s="48" t="s">
        <v>81</v>
      </c>
    </row>
    <row r="25" spans="1:16">
      <c r="A25" s="48" t="s">
        <v>82</v>
      </c>
    </row>
    <row r="26" spans="1:16">
      <c r="A26" s="48" t="s">
        <v>83</v>
      </c>
    </row>
    <row r="27" spans="1:16">
      <c r="A27" s="4" t="s">
        <v>442</v>
      </c>
      <c r="D27">
        <v>6.6</v>
      </c>
      <c r="H27">
        <v>213</v>
      </c>
      <c r="P27" t="s">
        <v>225</v>
      </c>
    </row>
    <row r="28" spans="1:16" ht="23">
      <c r="A28" s="59" t="s">
        <v>48</v>
      </c>
    </row>
    <row r="29" spans="1:16">
      <c r="A29" s="48" t="s">
        <v>86</v>
      </c>
    </row>
    <row r="30" spans="1:16">
      <c r="A30" t="s">
        <v>87</v>
      </c>
    </row>
    <row r="31" spans="1:16" ht="18">
      <c r="A31" s="63" t="s">
        <v>42</v>
      </c>
      <c r="B31" s="50" t="s">
        <v>367</v>
      </c>
      <c r="C31" s="50" t="s">
        <v>368</v>
      </c>
      <c r="D31" s="50" t="s">
        <v>35</v>
      </c>
      <c r="E31" s="50" t="s">
        <v>36</v>
      </c>
      <c r="F31" s="50" t="s">
        <v>37</v>
      </c>
      <c r="G31" s="50" t="s">
        <v>94</v>
      </c>
    </row>
    <row r="32" spans="1:16">
      <c r="A32" t="s">
        <v>358</v>
      </c>
      <c r="B32">
        <v>13.37</v>
      </c>
      <c r="C32">
        <v>4.71</v>
      </c>
      <c r="D32" s="57">
        <f>0.76*C32+0.24*B32</f>
        <v>6.7883999999999993</v>
      </c>
      <c r="E32" s="57">
        <f>C32/D32</f>
        <v>0.69383065228919927</v>
      </c>
      <c r="F32" s="57">
        <f>B32/D32</f>
        <v>1.9695362677508692</v>
      </c>
      <c r="G32" s="57">
        <f>E32/F32</f>
        <v>0.35228122662677636</v>
      </c>
    </row>
    <row r="33" spans="1:7">
      <c r="A33" t="s">
        <v>372</v>
      </c>
      <c r="B33">
        <v>4.25</v>
      </c>
      <c r="C33">
        <v>2.8</v>
      </c>
      <c r="D33" s="57">
        <f>0.76*C33+0.24*B33</f>
        <v>3.1479999999999997</v>
      </c>
      <c r="E33" s="57">
        <f>C33/D33</f>
        <v>0.88945362134688699</v>
      </c>
      <c r="F33" s="57">
        <f>B33/D33</f>
        <v>1.3500635324015249</v>
      </c>
      <c r="G33" s="57">
        <f>E33/F33</f>
        <v>0.6588235294117647</v>
      </c>
    </row>
    <row r="34" spans="1:7">
      <c r="A34" t="s">
        <v>93</v>
      </c>
      <c r="B34" s="57">
        <f>B33/B32</f>
        <v>0.31787584143605085</v>
      </c>
      <c r="C34" s="57">
        <f>C33/C32</f>
        <v>0.59447983014861994</v>
      </c>
      <c r="D34" s="57">
        <f>D33/D32</f>
        <v>0.4637322491308703</v>
      </c>
    </row>
    <row r="35" spans="1:7">
      <c r="A35" t="s">
        <v>102</v>
      </c>
    </row>
    <row r="36" spans="1:7">
      <c r="A36" t="s">
        <v>88</v>
      </c>
    </row>
    <row r="37" spans="1:7">
      <c r="A37" t="s">
        <v>89</v>
      </c>
    </row>
    <row r="38" spans="1:7">
      <c r="A38" t="s">
        <v>90</v>
      </c>
    </row>
    <row r="39" spans="1:7">
      <c r="A39" t="s">
        <v>91</v>
      </c>
    </row>
    <row r="40" spans="1:7">
      <c r="A40" t="s">
        <v>92</v>
      </c>
    </row>
    <row r="41" spans="1:7">
      <c r="A41" t="s">
        <v>34</v>
      </c>
    </row>
    <row r="42" spans="1:7">
      <c r="A42" t="s">
        <v>39</v>
      </c>
    </row>
    <row r="44" spans="1:7" ht="23">
      <c r="A44" s="60" t="s">
        <v>38</v>
      </c>
      <c r="B44" s="60"/>
      <c r="C44" s="60"/>
      <c r="D44" s="60"/>
    </row>
    <row r="45" spans="1:7" s="46" customFormat="1" ht="23">
      <c r="A45" s="62" t="s">
        <v>40</v>
      </c>
      <c r="B45" s="61"/>
      <c r="C45" s="61"/>
      <c r="D45" s="61"/>
    </row>
    <row r="46" spans="1:7" s="64" customFormat="1">
      <c r="A46" s="64" t="s">
        <v>41</v>
      </c>
    </row>
    <row r="47" spans="1:7" ht="18">
      <c r="A47" s="63" t="s">
        <v>444</v>
      </c>
      <c r="B47" s="50" t="s">
        <v>367</v>
      </c>
      <c r="C47" s="50" t="s">
        <v>368</v>
      </c>
      <c r="D47" s="50" t="s">
        <v>35</v>
      </c>
      <c r="E47" s="50"/>
      <c r="F47" s="50"/>
    </row>
    <row r="48" spans="1:7">
      <c r="A48" t="s">
        <v>358</v>
      </c>
      <c r="B48" s="23">
        <f>B32*23.99</f>
        <v>320.74629999999996</v>
      </c>
      <c r="C48" s="23">
        <f t="shared" ref="C48:C49" si="2">C32*23.99</f>
        <v>112.99289999999999</v>
      </c>
      <c r="D48" s="57">
        <f>0.76*C48+0.24*B48</f>
        <v>162.85371599999996</v>
      </c>
      <c r="E48" s="57"/>
      <c r="F48" s="57"/>
    </row>
    <row r="49" spans="1:10">
      <c r="A49" t="s">
        <v>372</v>
      </c>
      <c r="B49" s="23">
        <f>B33*23.99</f>
        <v>101.9575</v>
      </c>
      <c r="C49" s="23">
        <f t="shared" si="2"/>
        <v>67.171999999999997</v>
      </c>
      <c r="D49" s="57">
        <f>0.76*C49+0.24*B49</f>
        <v>75.520520000000005</v>
      </c>
      <c r="E49" s="57"/>
      <c r="F49" s="57"/>
    </row>
    <row r="50" spans="1:10">
      <c r="B50" s="23"/>
      <c r="C50" s="23"/>
      <c r="D50" s="57"/>
      <c r="E50" s="57"/>
      <c r="F50" s="57"/>
    </row>
    <row r="51" spans="1:10" ht="23">
      <c r="A51" s="60" t="s">
        <v>49</v>
      </c>
      <c r="B51" s="60"/>
      <c r="C51" s="60"/>
      <c r="D51" s="60"/>
    </row>
    <row r="52" spans="1:10">
      <c r="A52" t="s">
        <v>43</v>
      </c>
    </row>
    <row r="53" spans="1:10">
      <c r="A53" t="s">
        <v>44</v>
      </c>
    </row>
    <row r="54" spans="1:10">
      <c r="B54" s="149" t="s">
        <v>97</v>
      </c>
      <c r="C54" s="149"/>
      <c r="D54" s="149"/>
      <c r="E54" s="149"/>
    </row>
    <row r="55" spans="1:10" ht="15">
      <c r="B55" s="149" t="s">
        <v>98</v>
      </c>
      <c r="C55" s="149"/>
      <c r="D55" s="149" t="s">
        <v>344</v>
      </c>
      <c r="E55" s="149"/>
      <c r="H55" s="153" t="s">
        <v>50</v>
      </c>
      <c r="I55" s="153"/>
    </row>
    <row r="56" spans="1:10" ht="18">
      <c r="B56" s="50" t="s">
        <v>358</v>
      </c>
      <c r="C56" s="50" t="s">
        <v>372</v>
      </c>
      <c r="D56" s="50" t="s">
        <v>358</v>
      </c>
      <c r="E56" s="50" t="s">
        <v>372</v>
      </c>
      <c r="G56" s="63" t="s">
        <v>444</v>
      </c>
      <c r="H56" s="50" t="s">
        <v>98</v>
      </c>
      <c r="I56" s="50" t="s">
        <v>344</v>
      </c>
      <c r="J56" s="50"/>
    </row>
    <row r="57" spans="1:10">
      <c r="A57" t="s">
        <v>99</v>
      </c>
      <c r="B57">
        <v>2.5</v>
      </c>
      <c r="C57">
        <v>6.72</v>
      </c>
      <c r="D57">
        <v>0.7</v>
      </c>
      <c r="E57">
        <v>4.1100000000000003</v>
      </c>
      <c r="G57" t="s">
        <v>358</v>
      </c>
      <c r="H57" s="23">
        <f>D48</f>
        <v>162.85371599999996</v>
      </c>
      <c r="I57" s="23">
        <f>H57*D59/B59</f>
        <v>214.96690511999998</v>
      </c>
      <c r="J57" s="57"/>
    </row>
    <row r="58" spans="1:10">
      <c r="A58" t="s">
        <v>100</v>
      </c>
      <c r="B58">
        <v>6.6</v>
      </c>
      <c r="C58">
        <v>72.2</v>
      </c>
      <c r="D58">
        <v>1.4</v>
      </c>
      <c r="E58">
        <v>33.799999999999997</v>
      </c>
      <c r="G58" t="s">
        <v>372</v>
      </c>
      <c r="H58" s="23">
        <f>D49</f>
        <v>75.520520000000005</v>
      </c>
      <c r="I58" s="23">
        <f>H58*E59/C59</f>
        <v>98.663840808326313</v>
      </c>
      <c r="J58" s="57"/>
    </row>
    <row r="59" spans="1:10">
      <c r="A59" t="s">
        <v>101</v>
      </c>
      <c r="B59" s="23">
        <f>1000*B57/B58</f>
        <v>378.78787878787881</v>
      </c>
      <c r="C59" s="23">
        <f t="shared" ref="C59:E59" si="3">1000*C57/C58</f>
        <v>93.074792243767305</v>
      </c>
      <c r="D59" s="23">
        <f t="shared" si="3"/>
        <v>500.00000000000006</v>
      </c>
      <c r="E59" s="23">
        <f t="shared" si="3"/>
        <v>121.59763313609469</v>
      </c>
    </row>
    <row r="60" spans="1:10">
      <c r="B60" s="23"/>
      <c r="C60" s="23"/>
      <c r="D60" s="23"/>
      <c r="E60" s="23"/>
    </row>
    <row r="61" spans="1:10">
      <c r="A61" t="s">
        <v>45</v>
      </c>
    </row>
    <row r="62" spans="1:10" ht="20">
      <c r="B62" s="154" t="s">
        <v>51</v>
      </c>
      <c r="C62" s="149"/>
      <c r="D62" s="149"/>
      <c r="E62" s="149"/>
      <c r="F62" s="149"/>
      <c r="G62" s="149"/>
    </row>
    <row r="63" spans="1:10">
      <c r="D63" s="149" t="s">
        <v>98</v>
      </c>
      <c r="E63" s="149"/>
      <c r="F63" s="149" t="s">
        <v>344</v>
      </c>
      <c r="G63" s="149"/>
    </row>
    <row r="64" spans="1:10" ht="18">
      <c r="A64" s="63" t="s">
        <v>444</v>
      </c>
      <c r="B64" s="50" t="s">
        <v>98</v>
      </c>
      <c r="C64" s="50" t="s">
        <v>344</v>
      </c>
      <c r="D64" s="50" t="s">
        <v>367</v>
      </c>
      <c r="E64" s="50" t="s">
        <v>368</v>
      </c>
      <c r="F64" s="50" t="s">
        <v>367</v>
      </c>
      <c r="G64" s="50" t="s">
        <v>368</v>
      </c>
    </row>
    <row r="65" spans="1:7">
      <c r="A65" t="s">
        <v>358</v>
      </c>
      <c r="B65" s="23">
        <v>162.85371599999996</v>
      </c>
      <c r="C65" s="23">
        <v>214.96690511999998</v>
      </c>
      <c r="D65" s="23">
        <v>320.74629999999996</v>
      </c>
      <c r="E65" s="23">
        <v>112.99289999999999</v>
      </c>
      <c r="F65" s="23">
        <f>I57*B48/D48</f>
        <v>423.38511600000004</v>
      </c>
      <c r="G65" s="23">
        <f>I57*C48/D48</f>
        <v>149.15062800000001</v>
      </c>
    </row>
    <row r="66" spans="1:7">
      <c r="A66" t="s">
        <v>372</v>
      </c>
      <c r="B66" s="23">
        <v>75.520520000000005</v>
      </c>
      <c r="C66" s="23">
        <v>98.663840808326313</v>
      </c>
      <c r="D66" s="23">
        <v>101.9575</v>
      </c>
      <c r="E66" s="23">
        <v>67.171999999999997</v>
      </c>
      <c r="F66" s="23">
        <f>I58*B49/D49</f>
        <v>133.20245344199074</v>
      </c>
      <c r="G66" s="23">
        <f>I58*C49/D49</f>
        <v>87.75691050295859</v>
      </c>
    </row>
  </sheetData>
  <mergeCells count="12">
    <mergeCell ref="N4:O4"/>
    <mergeCell ref="B55:C55"/>
    <mergeCell ref="D55:E55"/>
    <mergeCell ref="D63:E63"/>
    <mergeCell ref="F63:G63"/>
    <mergeCell ref="H55:I55"/>
    <mergeCell ref="B62:G62"/>
    <mergeCell ref="B54:E54"/>
    <mergeCell ref="B4:D4"/>
    <mergeCell ref="E4:H4"/>
    <mergeCell ref="I4:J4"/>
    <mergeCell ref="K4:L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opLeftCell="D4" workbookViewId="0">
      <selection activeCell="A6" sqref="A6"/>
    </sheetView>
  </sheetViews>
  <sheetFormatPr baseColWidth="10" defaultColWidth="8.83203125" defaultRowHeight="14" x14ac:dyDescent="0"/>
  <cols>
    <col min="1" max="1" width="29.33203125" customWidth="1"/>
    <col min="2" max="2" width="10.33203125" customWidth="1"/>
    <col min="3" max="3" width="12.1640625" customWidth="1"/>
    <col min="4" max="4" width="9.83203125" customWidth="1"/>
    <col min="5" max="5" width="10.83203125" customWidth="1"/>
    <col min="6" max="6" width="20.5" customWidth="1"/>
    <col min="7" max="7" width="10.33203125" customWidth="1"/>
    <col min="8" max="8" width="11" customWidth="1"/>
    <col min="10" max="11" width="10.5" customWidth="1"/>
    <col min="13" max="13" width="15.1640625" customWidth="1"/>
    <col min="14" max="14" width="10.6640625" customWidth="1"/>
  </cols>
  <sheetData>
    <row r="1" spans="1:6" ht="30">
      <c r="A1" s="52" t="s">
        <v>22</v>
      </c>
    </row>
    <row r="2" spans="1:6" ht="20">
      <c r="A2" s="44"/>
    </row>
    <row r="3" spans="1:6" s="151" customFormat="1" ht="20">
      <c r="A3" s="155" t="s">
        <v>57</v>
      </c>
    </row>
    <row r="5" spans="1:6" ht="20">
      <c r="A5" s="67" t="s">
        <v>58</v>
      </c>
      <c r="E5" s="49"/>
    </row>
    <row r="6" spans="1:6" s="46" customFormat="1">
      <c r="A6" s="46" t="s">
        <v>56</v>
      </c>
    </row>
    <row r="7" spans="1:6">
      <c r="A7" s="20" t="s">
        <v>59</v>
      </c>
      <c r="E7" s="11"/>
    </row>
    <row r="8" spans="1:6">
      <c r="A8" s="20" t="s">
        <v>60</v>
      </c>
      <c r="E8" s="49"/>
    </row>
    <row r="10" spans="1:6">
      <c r="B10" s="12" t="s">
        <v>605</v>
      </c>
      <c r="C10" s="12" t="s">
        <v>341</v>
      </c>
      <c r="D10" s="12" t="s">
        <v>758</v>
      </c>
      <c r="E10" s="6" t="s">
        <v>776</v>
      </c>
      <c r="F10" s="6" t="s">
        <v>349</v>
      </c>
    </row>
    <row r="11" spans="1:6">
      <c r="B11" s="12"/>
      <c r="C11" s="12" t="s">
        <v>342</v>
      </c>
      <c r="D11" s="12"/>
      <c r="E11" s="6"/>
    </row>
    <row r="12" spans="1:6">
      <c r="A12" s="4" t="s">
        <v>5</v>
      </c>
      <c r="B12">
        <v>19</v>
      </c>
      <c r="C12">
        <v>67</v>
      </c>
      <c r="D12">
        <v>9</v>
      </c>
      <c r="E12" s="6">
        <v>5</v>
      </c>
      <c r="F12">
        <f>B12+C12+D12+E12</f>
        <v>100</v>
      </c>
    </row>
    <row r="13" spans="1:6">
      <c r="A13" s="4" t="s">
        <v>343</v>
      </c>
      <c r="B13">
        <v>1</v>
      </c>
      <c r="C13">
        <v>81</v>
      </c>
      <c r="D13">
        <v>16</v>
      </c>
      <c r="E13" s="6">
        <v>1</v>
      </c>
      <c r="F13">
        <f>B13+C13+D13+E13</f>
        <v>99</v>
      </c>
    </row>
    <row r="14" spans="1:6">
      <c r="A14" s="4" t="s">
        <v>344</v>
      </c>
      <c r="B14">
        <v>8</v>
      </c>
      <c r="C14">
        <v>78</v>
      </c>
      <c r="D14">
        <v>4</v>
      </c>
      <c r="E14" s="6">
        <v>10</v>
      </c>
      <c r="F14">
        <f>B14+C14+D14+E14</f>
        <v>100</v>
      </c>
    </row>
    <row r="15" spans="1:6">
      <c r="A15" s="4" t="s">
        <v>352</v>
      </c>
      <c r="B15">
        <v>9.4</v>
      </c>
      <c r="C15">
        <v>75.5</v>
      </c>
      <c r="D15">
        <v>9.6999999999999993</v>
      </c>
      <c r="E15" s="6">
        <v>5.4</v>
      </c>
      <c r="F15">
        <f>B15+C15+D15+E15</f>
        <v>100.00000000000001</v>
      </c>
    </row>
    <row r="16" spans="1:6">
      <c r="A16" s="48" t="s">
        <v>20</v>
      </c>
      <c r="E16" s="6"/>
    </row>
    <row r="17" spans="1:10">
      <c r="A17" s="48" t="s">
        <v>21</v>
      </c>
      <c r="E17" s="6"/>
    </row>
    <row r="18" spans="1:10" ht="18">
      <c r="A18" s="68" t="s">
        <v>18</v>
      </c>
      <c r="B18" t="s">
        <v>73</v>
      </c>
      <c r="C18" t="s">
        <v>432</v>
      </c>
      <c r="D18" t="s">
        <v>6</v>
      </c>
      <c r="E18" s="6" t="s">
        <v>8</v>
      </c>
      <c r="F18" s="68" t="s">
        <v>19</v>
      </c>
      <c r="G18" t="s">
        <v>73</v>
      </c>
      <c r="H18" t="s">
        <v>432</v>
      </c>
      <c r="I18" t="s">
        <v>6</v>
      </c>
      <c r="J18" s="6" t="s">
        <v>8</v>
      </c>
    </row>
    <row r="19" spans="1:10">
      <c r="A19" s="48" t="s">
        <v>758</v>
      </c>
      <c r="B19">
        <v>9.5000000000000001E-2</v>
      </c>
      <c r="C19">
        <v>0.16300000000000001</v>
      </c>
      <c r="D19">
        <v>4.3999999999999997E-2</v>
      </c>
      <c r="E19" s="6">
        <v>0.10299999999999999</v>
      </c>
      <c r="F19" s="48" t="s">
        <v>7</v>
      </c>
      <c r="G19">
        <v>0.77900000000000003</v>
      </c>
      <c r="H19">
        <v>0.98799999999999999</v>
      </c>
      <c r="I19">
        <v>0.90700000000000003</v>
      </c>
      <c r="J19" s="6">
        <v>0.89</v>
      </c>
    </row>
    <row r="20" spans="1:10">
      <c r="A20" s="48" t="s">
        <v>7</v>
      </c>
      <c r="B20">
        <v>0.70499999999999996</v>
      </c>
      <c r="C20">
        <v>0.82699999999999996</v>
      </c>
      <c r="D20">
        <v>0.86699999999999999</v>
      </c>
      <c r="E20" s="6">
        <v>0.79800000000000004</v>
      </c>
      <c r="F20" s="48" t="s">
        <v>605</v>
      </c>
      <c r="G20">
        <v>0.221</v>
      </c>
      <c r="H20">
        <v>1.2E-2</v>
      </c>
      <c r="I20">
        <v>9.2999999999999999E-2</v>
      </c>
      <c r="J20" s="6">
        <v>0.11</v>
      </c>
    </row>
    <row r="21" spans="1:10">
      <c r="A21" s="48" t="s">
        <v>605</v>
      </c>
      <c r="B21">
        <v>0.2</v>
      </c>
      <c r="C21">
        <v>0.01</v>
      </c>
      <c r="D21">
        <v>8.8999999999999996E-2</v>
      </c>
      <c r="E21" s="6">
        <v>9.9000000000000005E-2</v>
      </c>
    </row>
    <row r="22" spans="1:10">
      <c r="A22" s="48"/>
      <c r="E22" s="6"/>
      <c r="F22" s="48"/>
    </row>
    <row r="23" spans="1:10" ht="18">
      <c r="A23" s="68" t="s">
        <v>14</v>
      </c>
      <c r="B23" s="1" t="s">
        <v>73</v>
      </c>
      <c r="C23" s="1" t="s">
        <v>411</v>
      </c>
      <c r="D23" s="1" t="s">
        <v>78</v>
      </c>
      <c r="E23" s="49" t="s">
        <v>13</v>
      </c>
      <c r="F23" s="1" t="s">
        <v>79</v>
      </c>
      <c r="G23" s="1" t="s">
        <v>80</v>
      </c>
      <c r="H23" s="1" t="s">
        <v>81</v>
      </c>
      <c r="I23" s="1" t="s">
        <v>82</v>
      </c>
      <c r="J23" s="1" t="s">
        <v>83</v>
      </c>
    </row>
    <row r="24" spans="1:10">
      <c r="A24" s="48" t="s">
        <v>7</v>
      </c>
      <c r="B24" s="23">
        <f>G19*123.07</f>
        <v>95.871529999999993</v>
      </c>
      <c r="C24" s="23">
        <f>G19*92.04</f>
        <v>71.699160000000006</v>
      </c>
      <c r="D24" s="23">
        <f>H19*110.24</f>
        <v>108.91712</v>
      </c>
      <c r="E24" s="23">
        <f>H19*133.12</f>
        <v>131.52256</v>
      </c>
      <c r="F24" s="23">
        <f>I19*116.13</f>
        <v>105.32991</v>
      </c>
      <c r="G24" s="23">
        <f>I19*122.72</f>
        <v>111.30704</v>
      </c>
      <c r="H24" s="23">
        <f>I19*306.8</f>
        <v>278.26760000000002</v>
      </c>
      <c r="I24" s="21" t="s">
        <v>741</v>
      </c>
      <c r="J24" s="23">
        <v>1196</v>
      </c>
    </row>
    <row r="25" spans="1:10">
      <c r="A25" s="48" t="s">
        <v>605</v>
      </c>
      <c r="B25" s="23">
        <f>G20*152.05</f>
        <v>33.603050000000003</v>
      </c>
      <c r="C25" s="23">
        <f>G20*139.29</f>
        <v>30.783089999999998</v>
      </c>
      <c r="D25" s="23">
        <f>H20*117.7</f>
        <v>1.4124000000000001</v>
      </c>
      <c r="E25" s="23">
        <f>H20*108.09</f>
        <v>1.29708</v>
      </c>
      <c r="F25" s="23">
        <f>I20*102.94</f>
        <v>9.5734200000000005</v>
      </c>
      <c r="G25" s="23">
        <f>I20*97.09</f>
        <v>9.0293700000000001</v>
      </c>
      <c r="H25" s="23">
        <f>I20*189.18</f>
        <v>17.59374</v>
      </c>
      <c r="I25" s="21" t="s">
        <v>741</v>
      </c>
      <c r="J25">
        <v>0</v>
      </c>
    </row>
    <row r="26" spans="1:10">
      <c r="A26" s="8" t="s">
        <v>349</v>
      </c>
      <c r="B26" s="56">
        <f>SUM(B24:B25)</f>
        <v>129.47458</v>
      </c>
      <c r="C26" s="56">
        <f>SUM(C24:C25)</f>
        <v>102.48225000000001</v>
      </c>
      <c r="D26" s="56">
        <f t="shared" ref="D26:H26" si="0">SUM(D24:D25)</f>
        <v>110.32952</v>
      </c>
      <c r="E26" s="56">
        <f t="shared" si="0"/>
        <v>132.81963999999999</v>
      </c>
      <c r="F26" s="56">
        <f t="shared" si="0"/>
        <v>114.90333</v>
      </c>
      <c r="G26" s="56">
        <f t="shared" si="0"/>
        <v>120.33641</v>
      </c>
      <c r="H26" s="56">
        <f t="shared" si="0"/>
        <v>295.86134000000004</v>
      </c>
      <c r="I26" s="73" t="s">
        <v>741</v>
      </c>
      <c r="J26" s="56">
        <f>SUM(J24:J24)</f>
        <v>1196</v>
      </c>
    </row>
    <row r="27" spans="1:10">
      <c r="A27" s="8"/>
      <c r="E27" s="6"/>
    </row>
    <row r="28" spans="1:10" ht="18">
      <c r="A28" s="68" t="s">
        <v>15</v>
      </c>
      <c r="B28" s="1" t="s">
        <v>73</v>
      </c>
      <c r="C28" s="1" t="s">
        <v>411</v>
      </c>
      <c r="D28" s="1" t="s">
        <v>78</v>
      </c>
      <c r="E28" s="49" t="s">
        <v>13</v>
      </c>
      <c r="F28" s="1" t="s">
        <v>79</v>
      </c>
      <c r="G28" s="1" t="s">
        <v>80</v>
      </c>
      <c r="H28" s="1" t="s">
        <v>81</v>
      </c>
      <c r="I28" s="1" t="s">
        <v>82</v>
      </c>
      <c r="J28" s="1" t="s">
        <v>83</v>
      </c>
    </row>
    <row r="29" spans="1:10">
      <c r="A29" s="48" t="s">
        <v>758</v>
      </c>
      <c r="B29" s="23">
        <f>B19*213.26</f>
        <v>20.259699999999999</v>
      </c>
      <c r="C29" s="23">
        <f>B19*449.3</f>
        <v>42.683500000000002</v>
      </c>
      <c r="D29" s="23">
        <f>C19*141.36</f>
        <v>23.041680000000003</v>
      </c>
      <c r="E29" s="23">
        <f>C19*141.36</f>
        <v>23.041680000000003</v>
      </c>
      <c r="F29" s="23">
        <f>D19*175.77</f>
        <v>7.7338800000000001</v>
      </c>
      <c r="G29" s="23">
        <f>D19*200.64</f>
        <v>8.8281599999999987</v>
      </c>
      <c r="H29" s="23">
        <f>D19*182.52</f>
        <v>8.0308799999999998</v>
      </c>
      <c r="I29" s="21" t="s">
        <v>741</v>
      </c>
      <c r="J29" s="23">
        <f>E19*583.05</f>
        <v>60.054149999999993</v>
      </c>
    </row>
    <row r="30" spans="1:10">
      <c r="A30" s="48" t="s">
        <v>7</v>
      </c>
      <c r="B30" s="23">
        <f>B20*135.37</f>
        <v>95.435850000000002</v>
      </c>
      <c r="C30" s="23">
        <f>B20*99.84</f>
        <v>70.387199999999993</v>
      </c>
      <c r="D30" s="23">
        <f>C20*138.32</f>
        <v>114.39063999999999</v>
      </c>
      <c r="E30" s="23">
        <f>C20*133.12</f>
        <v>110.09023999999999</v>
      </c>
      <c r="F30" s="23">
        <f>D20*102.96</f>
        <v>89.266319999999993</v>
      </c>
      <c r="G30" s="23">
        <f>D20*122.72</f>
        <v>106.39824</v>
      </c>
      <c r="H30" s="23">
        <f>D20*239.2</f>
        <v>207.38639999999998</v>
      </c>
      <c r="I30" s="21" t="s">
        <v>741</v>
      </c>
      <c r="J30" s="23">
        <f>E20*1196</f>
        <v>954.40800000000002</v>
      </c>
    </row>
    <row r="31" spans="1:10">
      <c r="A31" s="48" t="s">
        <v>605</v>
      </c>
      <c r="B31" s="23">
        <f>B21*161.97</f>
        <v>32.393999999999998</v>
      </c>
      <c r="C31" s="23">
        <f>B21*179.09</f>
        <v>35.818000000000005</v>
      </c>
      <c r="D31" s="23">
        <f>C21*151.33</f>
        <v>1.5133000000000001</v>
      </c>
      <c r="E31" s="23">
        <f>C21*138.97</f>
        <v>1.3896999999999999</v>
      </c>
      <c r="F31" s="23">
        <f>D21*161.14</f>
        <v>14.341459999999998</v>
      </c>
      <c r="G31" s="23">
        <f>D21*124.64</f>
        <v>11.09296</v>
      </c>
      <c r="H31" s="23">
        <f>D21*186.43</f>
        <v>16.592269999999999</v>
      </c>
      <c r="I31" s="21" t="s">
        <v>741</v>
      </c>
      <c r="J31" s="23">
        <f>E21*0</f>
        <v>0</v>
      </c>
    </row>
    <row r="32" spans="1:10">
      <c r="A32" s="8" t="s">
        <v>349</v>
      </c>
      <c r="B32" s="56">
        <f>SUM(B29:B31)</f>
        <v>148.08955</v>
      </c>
      <c r="C32" s="56">
        <f>SUM(C29:C31)</f>
        <v>148.8887</v>
      </c>
      <c r="D32" s="56">
        <f t="shared" ref="D32:J32" si="1">SUM(D29:D31)</f>
        <v>138.94561999999999</v>
      </c>
      <c r="E32" s="56">
        <f t="shared" si="1"/>
        <v>134.52162000000001</v>
      </c>
      <c r="F32" s="56">
        <f t="shared" si="1"/>
        <v>111.34165999999999</v>
      </c>
      <c r="G32" s="56">
        <f t="shared" si="1"/>
        <v>126.31936</v>
      </c>
      <c r="H32" s="56">
        <f t="shared" si="1"/>
        <v>232.00954999999999</v>
      </c>
      <c r="I32" s="73" t="s">
        <v>741</v>
      </c>
      <c r="J32" s="56">
        <f t="shared" si="1"/>
        <v>1014.4621500000001</v>
      </c>
    </row>
    <row r="33" spans="1:19">
      <c r="A33" s="8"/>
      <c r="E33" s="6"/>
    </row>
    <row r="34" spans="1:19">
      <c r="A34" s="4"/>
      <c r="E34" s="6"/>
    </row>
    <row r="35" spans="1:19" ht="20">
      <c r="A35" s="67" t="s">
        <v>61</v>
      </c>
      <c r="E35" s="6"/>
    </row>
    <row r="36" spans="1:19">
      <c r="B36" s="50" t="s">
        <v>605</v>
      </c>
      <c r="C36" s="50" t="s">
        <v>341</v>
      </c>
      <c r="D36" s="50" t="s">
        <v>758</v>
      </c>
      <c r="E36" s="6" t="s">
        <v>776</v>
      </c>
      <c r="F36" s="6" t="s">
        <v>349</v>
      </c>
    </row>
    <row r="37" spans="1:19">
      <c r="B37" s="50"/>
      <c r="C37" s="50" t="s">
        <v>342</v>
      </c>
      <c r="D37" s="50"/>
      <c r="E37" s="6"/>
    </row>
    <row r="38" spans="1:19">
      <c r="A38" s="4" t="s">
        <v>5</v>
      </c>
      <c r="B38">
        <v>57.6</v>
      </c>
      <c r="C38">
        <v>0</v>
      </c>
      <c r="D38">
        <v>27.3</v>
      </c>
      <c r="E38" s="6">
        <v>15.2</v>
      </c>
      <c r="F38">
        <f>B38+C38+D38+E38</f>
        <v>100.10000000000001</v>
      </c>
    </row>
    <row r="39" spans="1:19">
      <c r="A39" s="4" t="s">
        <v>343</v>
      </c>
      <c r="B39">
        <v>5.6</v>
      </c>
      <c r="C39">
        <v>0</v>
      </c>
      <c r="D39">
        <v>88.9</v>
      </c>
      <c r="E39" s="6">
        <v>5.6</v>
      </c>
      <c r="F39">
        <f>B39+C39+D39+E39</f>
        <v>100.1</v>
      </c>
    </row>
    <row r="40" spans="1:19">
      <c r="A40" s="4" t="s">
        <v>344</v>
      </c>
      <c r="B40">
        <v>36.4</v>
      </c>
      <c r="C40">
        <v>0</v>
      </c>
      <c r="D40">
        <v>18.2</v>
      </c>
      <c r="E40" s="6">
        <v>45.5</v>
      </c>
      <c r="F40">
        <f>B40+C40+D40+E40</f>
        <v>100.1</v>
      </c>
    </row>
    <row r="41" spans="1:19">
      <c r="A41" s="4" t="s">
        <v>352</v>
      </c>
      <c r="B41">
        <v>33.200000000000003</v>
      </c>
      <c r="C41">
        <v>0</v>
      </c>
      <c r="D41">
        <v>44.8</v>
      </c>
      <c r="E41" s="6">
        <v>22.1</v>
      </c>
      <c r="F41">
        <v>100.1</v>
      </c>
    </row>
    <row r="42" spans="1:19">
      <c r="A42" s="4"/>
      <c r="E42" s="6"/>
    </row>
    <row r="43" spans="1:19">
      <c r="A43" s="147" t="s">
        <v>16</v>
      </c>
      <c r="B43" s="147"/>
      <c r="C43" s="147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</row>
    <row r="44" spans="1:19">
      <c r="A44" t="s">
        <v>17</v>
      </c>
    </row>
    <row r="46" spans="1:19" ht="20">
      <c r="A46" s="44" t="s">
        <v>9</v>
      </c>
      <c r="B46" s="16" t="s">
        <v>73</v>
      </c>
      <c r="C46" s="16" t="s">
        <v>432</v>
      </c>
      <c r="D46" s="16" t="s">
        <v>6</v>
      </c>
      <c r="E46" s="50" t="s">
        <v>8</v>
      </c>
      <c r="F46" s="69" t="s">
        <v>10</v>
      </c>
      <c r="G46" s="50" t="s">
        <v>73</v>
      </c>
      <c r="H46" s="50" t="s">
        <v>432</v>
      </c>
      <c r="I46" s="50" t="s">
        <v>6</v>
      </c>
      <c r="J46" s="50" t="s">
        <v>8</v>
      </c>
    </row>
    <row r="47" spans="1:19">
      <c r="A47" s="5" t="s">
        <v>605</v>
      </c>
      <c r="B47">
        <v>0.79200000000000004</v>
      </c>
      <c r="C47">
        <v>0.505</v>
      </c>
      <c r="D47">
        <v>0.44500000000000001</v>
      </c>
      <c r="E47">
        <v>0.60099999999999998</v>
      </c>
      <c r="F47" s="5" t="s">
        <v>758</v>
      </c>
      <c r="G47" s="5">
        <v>0.42099999999999999</v>
      </c>
      <c r="H47" s="5">
        <v>0.94099999999999995</v>
      </c>
      <c r="I47" s="70">
        <v>0.33300000000000002</v>
      </c>
      <c r="J47" s="5">
        <v>0.57399999999999995</v>
      </c>
    </row>
    <row r="48" spans="1:19">
      <c r="A48" s="47" t="s">
        <v>776</v>
      </c>
      <c r="B48">
        <v>0.20799999999999999</v>
      </c>
      <c r="C48">
        <v>0.495</v>
      </c>
      <c r="D48">
        <v>0.55500000000000005</v>
      </c>
      <c r="E48">
        <v>0.39900000000000002</v>
      </c>
      <c r="F48" s="5" t="s">
        <v>605</v>
      </c>
      <c r="G48" s="5">
        <v>0.57899999999999996</v>
      </c>
      <c r="H48" s="5">
        <v>5.8999999999999997E-2</v>
      </c>
      <c r="I48" s="71">
        <v>0.66700000000000004</v>
      </c>
      <c r="J48" s="5">
        <v>0.42599999999999999</v>
      </c>
    </row>
    <row r="49" spans="1:10">
      <c r="F49" s="42"/>
      <c r="I49" s="43"/>
    </row>
    <row r="50" spans="1:10">
      <c r="A50" s="1"/>
      <c r="F50" s="42"/>
      <c r="I50" s="43"/>
    </row>
    <row r="51" spans="1:10" ht="20">
      <c r="A51" s="44" t="s">
        <v>11</v>
      </c>
      <c r="B51" s="50" t="s">
        <v>73</v>
      </c>
      <c r="C51" s="50" t="s">
        <v>411</v>
      </c>
      <c r="D51" s="50" t="s">
        <v>78</v>
      </c>
      <c r="E51" s="50" t="s">
        <v>13</v>
      </c>
      <c r="F51" s="50" t="s">
        <v>79</v>
      </c>
      <c r="G51" s="50" t="s">
        <v>80</v>
      </c>
      <c r="H51" s="50" t="s">
        <v>81</v>
      </c>
      <c r="I51" s="50" t="s">
        <v>82</v>
      </c>
      <c r="J51" s="50" t="s">
        <v>83</v>
      </c>
    </row>
    <row r="52" spans="1:10">
      <c r="A52" s="5" t="s">
        <v>605</v>
      </c>
      <c r="B52" s="23">
        <f>B47*313.5</f>
        <v>248.292</v>
      </c>
      <c r="C52" s="23">
        <f>B47*287.2</f>
        <v>227.4624</v>
      </c>
      <c r="D52" s="23">
        <f>C47*242.68</f>
        <v>122.55340000000001</v>
      </c>
      <c r="E52" s="23">
        <f>C47*222.87</f>
        <v>112.54935</v>
      </c>
      <c r="F52" s="23">
        <f>D47*212.24</f>
        <v>94.44680000000001</v>
      </c>
      <c r="G52" s="23">
        <f>D47*200.18</f>
        <v>89.080100000000002</v>
      </c>
      <c r="H52" s="23">
        <f>D47*393.06</f>
        <v>174.9117</v>
      </c>
      <c r="I52" s="21" t="s">
        <v>741</v>
      </c>
      <c r="J52" s="23">
        <v>0</v>
      </c>
    </row>
    <row r="53" spans="1:10">
      <c r="A53" s="47" t="s">
        <v>776</v>
      </c>
      <c r="B53" s="23">
        <f>B48*234.89</f>
        <v>48.857119999999995</v>
      </c>
      <c r="C53">
        <f>B48*195</f>
        <v>40.559999999999995</v>
      </c>
      <c r="D53" s="23">
        <f>C48*211.82</f>
        <v>104.8509</v>
      </c>
      <c r="E53" s="23">
        <f>C48*243.66</f>
        <v>120.6117</v>
      </c>
      <c r="F53" s="71">
        <f>D48*157.75</f>
        <v>87.55125000000001</v>
      </c>
      <c r="G53" s="23">
        <f>D48*176.81</f>
        <v>98.129550000000009</v>
      </c>
      <c r="H53" s="23">
        <f>D48*212.58</f>
        <v>117.98190000000002</v>
      </c>
      <c r="I53" s="73" t="s">
        <v>741</v>
      </c>
      <c r="J53" s="23">
        <v>1215</v>
      </c>
    </row>
    <row r="54" spans="1:10">
      <c r="A54" s="1" t="s">
        <v>349</v>
      </c>
      <c r="B54" s="56">
        <f t="shared" ref="B54:H54" si="2">SUM(B52:B53)</f>
        <v>297.14911999999998</v>
      </c>
      <c r="C54" s="56">
        <f t="shared" si="2"/>
        <v>268.0224</v>
      </c>
      <c r="D54" s="56">
        <f t="shared" si="2"/>
        <v>227.40430000000001</v>
      </c>
      <c r="E54" s="56">
        <f t="shared" si="2"/>
        <v>233.16104999999999</v>
      </c>
      <c r="F54" s="73">
        <f t="shared" si="2"/>
        <v>181.99805000000003</v>
      </c>
      <c r="G54" s="56">
        <f t="shared" si="2"/>
        <v>187.20965000000001</v>
      </c>
      <c r="H54" s="56">
        <f t="shared" si="2"/>
        <v>292.89359999999999</v>
      </c>
      <c r="I54" s="73" t="s">
        <v>741</v>
      </c>
      <c r="J54" s="56">
        <f>SUM(J52:J53)</f>
        <v>1215</v>
      </c>
    </row>
    <row r="55" spans="1:10">
      <c r="A55" s="1"/>
      <c r="F55" s="4"/>
      <c r="I55" s="23"/>
    </row>
    <row r="56" spans="1:10" ht="20">
      <c r="A56" s="72" t="s">
        <v>12</v>
      </c>
      <c r="B56" s="49" t="s">
        <v>73</v>
      </c>
      <c r="C56" s="49" t="s">
        <v>411</v>
      </c>
      <c r="D56" s="49" t="s">
        <v>78</v>
      </c>
      <c r="E56" s="49" t="s">
        <v>13</v>
      </c>
      <c r="F56" s="49" t="s">
        <v>79</v>
      </c>
      <c r="G56" s="49" t="s">
        <v>80</v>
      </c>
      <c r="H56" s="49" t="s">
        <v>81</v>
      </c>
      <c r="I56" s="49" t="s">
        <v>82</v>
      </c>
      <c r="J56" s="49" t="s">
        <v>83</v>
      </c>
    </row>
    <row r="57" spans="1:10">
      <c r="A57" s="5" t="s">
        <v>758</v>
      </c>
      <c r="B57" s="71">
        <f>G47*426.52</f>
        <v>179.56491999999997</v>
      </c>
      <c r="C57" s="71">
        <f>G47*898.6</f>
        <v>378.31060000000002</v>
      </c>
      <c r="D57" s="71">
        <f>H47*282.72</f>
        <v>266.03952000000004</v>
      </c>
      <c r="E57" s="71">
        <f>H47*282.72</f>
        <v>266.03952000000004</v>
      </c>
      <c r="F57" s="71">
        <f>I47*357.54</f>
        <v>119.06082000000001</v>
      </c>
      <c r="G57" s="71">
        <f>I47*401.27</f>
        <v>133.62290999999999</v>
      </c>
      <c r="H57" s="71">
        <f>I47*365.04</f>
        <v>121.55832000000001</v>
      </c>
      <c r="I57" s="26" t="s">
        <v>741</v>
      </c>
      <c r="J57" s="71">
        <v>1166.0999999999999</v>
      </c>
    </row>
    <row r="58" spans="1:10">
      <c r="A58" s="5" t="s">
        <v>605</v>
      </c>
      <c r="B58" s="71">
        <f>G48*333.95</f>
        <v>193.35704999999999</v>
      </c>
      <c r="C58" s="71">
        <f>G48*369.25</f>
        <v>213.79575</v>
      </c>
      <c r="D58" s="71">
        <f>H48*312.02</f>
        <v>18.409179999999999</v>
      </c>
      <c r="E58" s="71">
        <f>H48*286.54</f>
        <v>16.905860000000001</v>
      </c>
      <c r="F58" s="71">
        <f>I48*272.88</f>
        <v>182.01096000000001</v>
      </c>
      <c r="G58" s="71">
        <f>I48*257</f>
        <v>171.41900000000001</v>
      </c>
      <c r="H58" s="71">
        <f>I48*384.39</f>
        <v>256.38812999999999</v>
      </c>
      <c r="I58" s="26" t="s">
        <v>741</v>
      </c>
      <c r="J58" s="71">
        <v>0</v>
      </c>
    </row>
    <row r="59" spans="1:10">
      <c r="A59" s="1" t="s">
        <v>349</v>
      </c>
      <c r="B59" s="56">
        <f>SUM(B57:B58)</f>
        <v>372.92196999999999</v>
      </c>
      <c r="C59" s="56">
        <f t="shared" ref="C59:J59" si="3">SUM(C57:C58)</f>
        <v>592.10635000000002</v>
      </c>
      <c r="D59" s="56">
        <f t="shared" si="3"/>
        <v>284.44870000000003</v>
      </c>
      <c r="E59" s="56">
        <f t="shared" si="3"/>
        <v>282.94538000000006</v>
      </c>
      <c r="F59" s="56">
        <f t="shared" si="3"/>
        <v>301.07177999999999</v>
      </c>
      <c r="G59" s="56">
        <f t="shared" si="3"/>
        <v>305.04191000000003</v>
      </c>
      <c r="H59" s="56">
        <f t="shared" si="3"/>
        <v>377.94645000000003</v>
      </c>
      <c r="I59" s="73" t="s">
        <v>741</v>
      </c>
      <c r="J59" s="56">
        <f t="shared" si="3"/>
        <v>1166.0999999999999</v>
      </c>
    </row>
    <row r="60" spans="1:10">
      <c r="A60" s="1"/>
      <c r="H60" s="23"/>
    </row>
    <row r="61" spans="1:10">
      <c r="A61" s="8"/>
      <c r="E61" s="45"/>
      <c r="H61" s="43"/>
    </row>
    <row r="62" spans="1:10">
      <c r="A62" s="1"/>
      <c r="E62" s="45"/>
      <c r="H62" s="43"/>
    </row>
    <row r="63" spans="1:10">
      <c r="A63" s="1"/>
      <c r="E63" s="45"/>
      <c r="H63" s="43"/>
    </row>
    <row r="64" spans="1:10">
      <c r="A64" s="1"/>
      <c r="E64" s="45"/>
      <c r="H64" s="43"/>
    </row>
    <row r="65" spans="1:8">
      <c r="A65" s="1"/>
      <c r="E65" s="45"/>
      <c r="H65" s="43"/>
    </row>
    <row r="66" spans="1:8">
      <c r="A66" s="1"/>
      <c r="E66" s="4"/>
      <c r="F66" s="4"/>
      <c r="H66" s="21"/>
    </row>
    <row r="67" spans="1:8">
      <c r="A67" s="1"/>
      <c r="E67" s="4"/>
      <c r="H67" s="23"/>
    </row>
    <row r="69" spans="1:8" s="5" customFormat="1"/>
    <row r="70" spans="1:8">
      <c r="A70" s="1"/>
    </row>
    <row r="74" spans="1:8">
      <c r="B74" s="148"/>
      <c r="C74" s="149"/>
      <c r="D74" s="148"/>
      <c r="E74" s="149"/>
      <c r="F74" s="15"/>
    </row>
    <row r="75" spans="1:8">
      <c r="B75" s="15"/>
      <c r="C75" s="15"/>
      <c r="D75" s="15"/>
      <c r="E75" s="15"/>
      <c r="F75" s="1"/>
    </row>
    <row r="76" spans="1:8">
      <c r="A76" s="1"/>
      <c r="B76" s="22"/>
      <c r="C76" s="22"/>
      <c r="D76" s="22"/>
      <c r="E76" s="22"/>
      <c r="F76" s="22"/>
    </row>
    <row r="77" spans="1:8">
      <c r="A77" s="1"/>
      <c r="B77" s="22"/>
      <c r="C77" s="22"/>
      <c r="D77" s="22"/>
      <c r="E77" s="22"/>
      <c r="F77" s="22"/>
    </row>
    <row r="78" spans="1:8">
      <c r="A78" s="1"/>
      <c r="B78" s="22"/>
      <c r="C78" s="22"/>
      <c r="D78" s="22"/>
      <c r="E78" s="22"/>
      <c r="F78" s="22"/>
    </row>
  </sheetData>
  <mergeCells count="4">
    <mergeCell ref="B74:C74"/>
    <mergeCell ref="D74:E74"/>
    <mergeCell ref="A3:XFD3"/>
    <mergeCell ref="A43:S4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4" workbookViewId="0">
      <selection activeCell="J34" sqref="J34"/>
    </sheetView>
  </sheetViews>
  <sheetFormatPr baseColWidth="10" defaultColWidth="8.83203125" defaultRowHeight="14" x14ac:dyDescent="0"/>
  <sheetData>
    <row r="1" spans="1:1" ht="30">
      <c r="A1" s="52" t="s">
        <v>221</v>
      </c>
    </row>
    <row r="3" spans="1:1">
      <c r="A3" t="s">
        <v>272</v>
      </c>
    </row>
    <row r="4" spans="1:1">
      <c r="A4" t="s">
        <v>664</v>
      </c>
    </row>
    <row r="5" spans="1:1">
      <c r="A5" t="s">
        <v>665</v>
      </c>
    </row>
    <row r="6" spans="1:1">
      <c r="A6" t="s">
        <v>659</v>
      </c>
    </row>
    <row r="7" spans="1:1">
      <c r="A7" t="s">
        <v>660</v>
      </c>
    </row>
    <row r="8" spans="1:1">
      <c r="A8" t="s">
        <v>661</v>
      </c>
    </row>
    <row r="9" spans="1:1">
      <c r="A9" t="s">
        <v>662</v>
      </c>
    </row>
    <row r="10" spans="1:1">
      <c r="A10" t="s">
        <v>663</v>
      </c>
    </row>
    <row r="11" spans="1:1">
      <c r="A11" t="s">
        <v>255</v>
      </c>
    </row>
    <row r="12" spans="1:1">
      <c r="A12" t="s">
        <v>256</v>
      </c>
    </row>
    <row r="13" spans="1:1">
      <c r="A13" t="s">
        <v>254</v>
      </c>
    </row>
    <row r="14" spans="1:1">
      <c r="A14" t="s">
        <v>670</v>
      </c>
    </row>
    <row r="15" spans="1:1">
      <c r="A15" t="s">
        <v>669</v>
      </c>
    </row>
    <row r="16" spans="1:1">
      <c r="A16" t="s">
        <v>668</v>
      </c>
    </row>
    <row r="18" spans="1:3">
      <c r="A18" t="s">
        <v>783</v>
      </c>
    </row>
    <row r="19" spans="1:3">
      <c r="B19" t="s">
        <v>782</v>
      </c>
    </row>
    <row r="20" spans="1:3">
      <c r="C20" t="s">
        <v>788</v>
      </c>
    </row>
    <row r="21" spans="1:3">
      <c r="C21" t="s">
        <v>709</v>
      </c>
    </row>
    <row r="22" spans="1:3">
      <c r="B22" t="s">
        <v>784</v>
      </c>
    </row>
    <row r="23" spans="1:3">
      <c r="C23" t="s">
        <v>785</v>
      </c>
    </row>
    <row r="24" spans="1:3">
      <c r="C24" t="s">
        <v>786</v>
      </c>
    </row>
    <row r="25" spans="1:3">
      <c r="C25" t="s">
        <v>787</v>
      </c>
    </row>
    <row r="26" spans="1:3">
      <c r="B26" t="s">
        <v>710</v>
      </c>
    </row>
    <row r="27" spans="1:3">
      <c r="C27" t="s">
        <v>711</v>
      </c>
    </row>
    <row r="28" spans="1:3">
      <c r="B28" t="s">
        <v>715</v>
      </c>
    </row>
    <row r="29" spans="1:3">
      <c r="B29" t="s">
        <v>714</v>
      </c>
    </row>
    <row r="30" spans="1:3">
      <c r="B30" t="s">
        <v>716</v>
      </c>
    </row>
    <row r="33" spans="1:1">
      <c r="A33" t="s">
        <v>717</v>
      </c>
    </row>
    <row r="35" spans="1:1">
      <c r="A35" t="s">
        <v>708</v>
      </c>
    </row>
    <row r="36" spans="1:1">
      <c r="A36" t="s">
        <v>706</v>
      </c>
    </row>
    <row r="37" spans="1:1">
      <c r="A37" t="s">
        <v>707</v>
      </c>
    </row>
    <row r="38" spans="1:1">
      <c r="A38" t="s">
        <v>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Sources</vt:lpstr>
      <vt:lpstr>1850 US</vt:lpstr>
      <vt:lpstr>1850 Urban</vt:lpstr>
      <vt:lpstr>1850 Rural Non-Farm</vt:lpstr>
      <vt:lpstr>1850 Farm</vt:lpstr>
      <vt:lpstr>1850 teachers A</vt:lpstr>
      <vt:lpstr>1850 teachers B</vt:lpstr>
      <vt:lpstr>1850 teachers C</vt:lpstr>
      <vt:lpstr>1850 Inkind</vt:lpstr>
      <vt:lpstr>1850 FTE</vt:lpstr>
      <vt:lpstr>1850 Slaves</vt:lpstr>
      <vt:lpstr>1850 miners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</dc:creator>
  <cp:lastModifiedBy>Peter Lindert</cp:lastModifiedBy>
  <cp:lastPrinted>2013-05-18T17:04:16Z</cp:lastPrinted>
  <dcterms:created xsi:type="dcterms:W3CDTF">2011-07-05T12:43:46Z</dcterms:created>
  <dcterms:modified xsi:type="dcterms:W3CDTF">2013-07-09T17:04:32Z</dcterms:modified>
</cp:coreProperties>
</file>