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00" yWindow="63536" windowWidth="20000" windowHeight="16200" firstSheet="1" activeTab="7"/>
  </bookViews>
  <sheets>
    <sheet name="provisions ratios" sheetId="1" r:id="rId1"/>
    <sheet name=" Moscow prices" sheetId="2" r:id="rId2"/>
    <sheet name="Moscow wages" sheetId="3" r:id="rId3"/>
    <sheet name="St. P. prices" sheetId="4" r:id="rId4"/>
    <sheet name="St. P. wages" sheetId="5" r:id="rId5"/>
    <sheet name="Arkhang. prices" sheetId="6" r:id="rId6"/>
    <sheet name="Ural wages" sheetId="7" r:id="rId7"/>
    <sheet name="Sources" sheetId="8" r:id="rId8"/>
    <sheet name="Notes" sheetId="9" r:id="rId9"/>
  </sheets>
  <definedNames/>
  <calcPr fullCalcOnLoad="1"/>
</workbook>
</file>

<file path=xl/comments1.xml><?xml version="1.0" encoding="utf-8"?>
<comments xmlns="http://schemas.openxmlformats.org/spreadsheetml/2006/main">
  <authors>
    <author>Boris N.Mironov</author>
  </authors>
  <commentList>
    <comment ref="F5" authorId="0">
      <text>
        <r>
          <rPr>
            <b/>
            <sz val="8"/>
            <rFont val="Tahoma"/>
            <family val="0"/>
          </rPr>
          <t>Boris N.Mironov:</t>
        </r>
        <r>
          <rPr>
            <sz val="8"/>
            <rFont val="Tahoma"/>
            <family val="0"/>
          </rPr>
          <t xml:space="preserve">
включая провинат</t>
        </r>
      </text>
    </comment>
  </commentList>
</comments>
</file>

<file path=xl/comments2.xml><?xml version="1.0" encoding="utf-8"?>
<comments xmlns="http://schemas.openxmlformats.org/spreadsheetml/2006/main">
  <authors>
    <author>Boris N.Mironov</author>
  </authors>
  <commentList>
    <comment ref="D121" authorId="0">
      <text>
        <r>
          <rPr>
            <b/>
            <sz val="8"/>
            <rFont val="Tahoma"/>
            <family val="0"/>
          </rPr>
          <t>Boris N.Mironov:</t>
        </r>
        <r>
          <rPr>
            <sz val="8"/>
            <rFont val="Tahoma"/>
            <family val="0"/>
          </rPr>
          <t xml:space="preserve">
A carcass (tusha) 5,333 poods (Solikamsk, 1711-1714)</t>
        </r>
      </text>
    </comment>
    <comment ref="E102" authorId="0">
      <text>
        <r>
          <rPr>
            <b/>
            <sz val="8"/>
            <rFont val="Tahoma"/>
            <family val="0"/>
          </rPr>
          <t>Boris N.Mironov:</t>
        </r>
        <r>
          <rPr>
            <sz val="8"/>
            <rFont val="Tahoma"/>
            <family val="0"/>
          </rPr>
          <t xml:space="preserve">
from year of 1679</t>
        </r>
      </text>
    </comment>
    <comment ref="E103" authorId="0">
      <text>
        <r>
          <rPr>
            <b/>
            <sz val="8"/>
            <rFont val="Tahoma"/>
            <family val="0"/>
          </rPr>
          <t>Boris N.Mironov:</t>
        </r>
        <r>
          <rPr>
            <sz val="8"/>
            <rFont val="Tahoma"/>
            <family val="0"/>
          </rPr>
          <t xml:space="preserve">
from 1679</t>
        </r>
      </text>
    </comment>
    <comment ref="E109" authorId="0">
      <text>
        <r>
          <rPr>
            <b/>
            <sz val="8"/>
            <rFont val="Tahoma"/>
            <family val="0"/>
          </rPr>
          <t>Boris N.Mironov:</t>
        </r>
        <r>
          <rPr>
            <sz val="8"/>
            <rFont val="Tahoma"/>
            <family val="0"/>
          </rPr>
          <t xml:space="preserve">
from 1679</t>
        </r>
      </text>
    </comment>
    <comment ref="E110" authorId="0">
      <text>
        <r>
          <rPr>
            <b/>
            <sz val="8"/>
            <rFont val="Tahoma"/>
            <family val="0"/>
          </rPr>
          <t>Boris N.Mironov:</t>
        </r>
        <r>
          <rPr>
            <sz val="8"/>
            <rFont val="Tahoma"/>
            <family val="0"/>
          </rPr>
          <t xml:space="preserve">
from 1679</t>
        </r>
      </text>
    </comment>
    <comment ref="E113" authorId="0">
      <text>
        <r>
          <rPr>
            <b/>
            <sz val="8"/>
            <rFont val="Tahoma"/>
            <family val="0"/>
          </rPr>
          <t>Boris N.Mironov:</t>
        </r>
        <r>
          <rPr>
            <sz val="8"/>
            <rFont val="Tahoma"/>
            <family val="0"/>
          </rPr>
          <t xml:space="preserve">
from 1679</t>
        </r>
      </text>
    </comment>
    <comment ref="E114" authorId="0">
      <text>
        <r>
          <rPr>
            <b/>
            <sz val="8"/>
            <rFont val="Tahoma"/>
            <family val="0"/>
          </rPr>
          <t>Boris N.Mironov:</t>
        </r>
        <r>
          <rPr>
            <sz val="8"/>
            <rFont val="Tahoma"/>
            <family val="0"/>
          </rPr>
          <t xml:space="preserve">
from 1679</t>
        </r>
      </text>
    </comment>
    <comment ref="E118" authorId="0">
      <text>
        <r>
          <rPr>
            <b/>
            <sz val="8"/>
            <rFont val="Tahoma"/>
            <family val="0"/>
          </rPr>
          <t>Boris N.Mironov:</t>
        </r>
        <r>
          <rPr>
            <sz val="8"/>
            <rFont val="Tahoma"/>
            <family val="0"/>
          </rPr>
          <t xml:space="preserve">
from 1679</t>
        </r>
      </text>
    </comment>
    <comment ref="E119" authorId="0">
      <text>
        <r>
          <rPr>
            <b/>
            <sz val="8"/>
            <rFont val="Tahoma"/>
            <family val="0"/>
          </rPr>
          <t>Boris N.Mironov:</t>
        </r>
        <r>
          <rPr>
            <sz val="8"/>
            <rFont val="Tahoma"/>
            <family val="0"/>
          </rPr>
          <t xml:space="preserve">
from 1679</t>
        </r>
      </text>
    </comment>
  </commentList>
</comments>
</file>

<file path=xl/comments3.xml><?xml version="1.0" encoding="utf-8"?>
<comments xmlns="http://schemas.openxmlformats.org/spreadsheetml/2006/main">
  <authors>
    <author>Boris N.Mironov</author>
  </authors>
  <commentList>
    <comment ref="C3" authorId="0">
      <text>
        <r>
          <rPr>
            <b/>
            <sz val="8"/>
            <rFont val="Tahoma"/>
            <family val="0"/>
          </rPr>
          <t>Boris N.Mironov:</t>
        </r>
        <r>
          <rPr>
            <sz val="8"/>
            <rFont val="Tahoma"/>
            <family val="0"/>
          </rPr>
          <t xml:space="preserve">
including food when payment in kind existed</t>
        </r>
      </text>
    </comment>
    <comment ref="J3" authorId="0">
      <text>
        <r>
          <rPr>
            <b/>
            <sz val="8"/>
            <rFont val="Tahoma"/>
            <family val="0"/>
          </rPr>
          <t>Boris N.Mironov:</t>
        </r>
        <r>
          <rPr>
            <sz val="8"/>
            <rFont val="Tahoma"/>
            <family val="0"/>
          </rPr>
          <t xml:space="preserve">
including food when payment in kind existed</t>
        </r>
      </text>
    </comment>
    <comment ref="M3" authorId="0">
      <text>
        <r>
          <rPr>
            <b/>
            <sz val="8"/>
            <rFont val="Tahoma"/>
            <family val="0"/>
          </rPr>
          <t>Boris N.Mironov:</t>
        </r>
        <r>
          <rPr>
            <sz val="8"/>
            <rFont val="Tahoma"/>
            <family val="0"/>
          </rPr>
          <t xml:space="preserve">
including food when payment in kind existed</t>
        </r>
      </text>
    </comment>
    <comment ref="P22" authorId="0">
      <text>
        <r>
          <rPr>
            <b/>
            <sz val="8"/>
            <rFont val="Tahoma"/>
            <family val="0"/>
          </rPr>
          <t>Boris N.Mironov:</t>
        </r>
        <r>
          <rPr>
            <sz val="8"/>
            <rFont val="Tahoma"/>
            <family val="0"/>
          </rPr>
          <t xml:space="preserve">
for family</t>
        </r>
      </text>
    </comment>
  </commentList>
</comments>
</file>

<file path=xl/comments4.xml><?xml version="1.0" encoding="utf-8"?>
<comments xmlns="http://schemas.openxmlformats.org/spreadsheetml/2006/main">
  <authors>
    <author>Boris N.Mironov</author>
    <author>user</author>
  </authors>
  <commentList>
    <comment ref="AR32" authorId="0">
      <text>
        <r>
          <rPr>
            <b/>
            <sz val="8"/>
            <rFont val="Tahoma"/>
            <family val="0"/>
          </rPr>
          <t>Boris N.Mironov:</t>
        </r>
        <r>
          <rPr>
            <sz val="8"/>
            <rFont val="Tahoma"/>
            <family val="0"/>
          </rPr>
          <t xml:space="preserve">
Cninese silk, pound 545 kop.</t>
        </r>
      </text>
    </comment>
    <comment ref="E98" authorId="0">
      <text>
        <r>
          <rPr>
            <b/>
            <sz val="8"/>
            <rFont val="Tahoma"/>
            <family val="0"/>
          </rPr>
          <t>Boris N.Mironov:</t>
        </r>
        <r>
          <rPr>
            <sz val="8"/>
            <rFont val="Tahoma"/>
            <family val="0"/>
          </rPr>
          <t xml:space="preserve">
from 1679</t>
        </r>
      </text>
    </comment>
    <comment ref="E99" authorId="0">
      <text>
        <r>
          <rPr>
            <b/>
            <sz val="8"/>
            <rFont val="Tahoma"/>
            <family val="0"/>
          </rPr>
          <t>Boris N.Mironov:</t>
        </r>
        <r>
          <rPr>
            <sz val="8"/>
            <rFont val="Tahoma"/>
            <family val="0"/>
          </rPr>
          <t xml:space="preserve">
from 1679</t>
        </r>
      </text>
    </comment>
    <comment ref="E106" authorId="0">
      <text>
        <r>
          <rPr>
            <b/>
            <sz val="8"/>
            <rFont val="Tahoma"/>
            <family val="0"/>
          </rPr>
          <t>Boris N.Mironov:</t>
        </r>
        <r>
          <rPr>
            <sz val="8"/>
            <rFont val="Tahoma"/>
            <family val="0"/>
          </rPr>
          <t xml:space="preserve">
from 1679</t>
        </r>
      </text>
    </comment>
    <comment ref="E107" authorId="0">
      <text>
        <r>
          <rPr>
            <b/>
            <sz val="8"/>
            <rFont val="Tahoma"/>
            <family val="0"/>
          </rPr>
          <t>Boris N.Mironov:</t>
        </r>
        <r>
          <rPr>
            <sz val="8"/>
            <rFont val="Tahoma"/>
            <family val="0"/>
          </rPr>
          <t xml:space="preserve">
from 1679</t>
        </r>
      </text>
    </comment>
    <comment ref="E110" authorId="0">
      <text>
        <r>
          <rPr>
            <b/>
            <sz val="8"/>
            <rFont val="Tahoma"/>
            <family val="0"/>
          </rPr>
          <t>Boris N.Mironov:</t>
        </r>
        <r>
          <rPr>
            <sz val="8"/>
            <rFont val="Tahoma"/>
            <family val="0"/>
          </rPr>
          <t xml:space="preserve">
from 1679</t>
        </r>
      </text>
    </comment>
    <comment ref="E111" authorId="0">
      <text>
        <r>
          <rPr>
            <b/>
            <sz val="8"/>
            <rFont val="Tahoma"/>
            <family val="0"/>
          </rPr>
          <t>Boris N.Mironov:</t>
        </r>
        <r>
          <rPr>
            <sz val="8"/>
            <rFont val="Tahoma"/>
            <family val="0"/>
          </rPr>
          <t xml:space="preserve">
from 1679</t>
        </r>
      </text>
    </comment>
    <comment ref="E115" authorId="0">
      <text>
        <r>
          <rPr>
            <b/>
            <sz val="8"/>
            <rFont val="Tahoma"/>
            <family val="0"/>
          </rPr>
          <t>Boris N.Mironov:</t>
        </r>
        <r>
          <rPr>
            <sz val="8"/>
            <rFont val="Tahoma"/>
            <family val="0"/>
          </rPr>
          <t xml:space="preserve">
from 1679</t>
        </r>
      </text>
    </comment>
    <comment ref="E116" authorId="0">
      <text>
        <r>
          <rPr>
            <b/>
            <sz val="8"/>
            <rFont val="Tahoma"/>
            <family val="0"/>
          </rPr>
          <t>Boris N.Mironov:</t>
        </r>
        <r>
          <rPr>
            <sz val="8"/>
            <rFont val="Tahoma"/>
            <family val="0"/>
          </rPr>
          <t xml:space="preserve">
from 1679</t>
        </r>
      </text>
    </comment>
    <comment ref="CK100" authorId="1">
      <text>
        <r>
          <rPr>
            <b/>
            <sz val="8"/>
            <rFont val="Tahoma"/>
            <family val="0"/>
          </rPr>
          <t>user:</t>
        </r>
        <r>
          <rPr>
            <sz val="8"/>
            <rFont val="Tahoma"/>
            <family val="0"/>
          </rPr>
          <t xml:space="preserve">
flour</t>
        </r>
      </text>
    </comment>
    <comment ref="CK111" authorId="1">
      <text>
        <r>
          <rPr>
            <b/>
            <sz val="8"/>
            <rFont val="Tahoma"/>
            <family val="0"/>
          </rPr>
          <t>user:</t>
        </r>
        <r>
          <rPr>
            <sz val="8"/>
            <rFont val="Tahoma"/>
            <family val="0"/>
          </rPr>
          <t xml:space="preserve">
flour</t>
        </r>
      </text>
    </comment>
  </commentList>
</comments>
</file>

<file path=xl/comments5.xml><?xml version="1.0" encoding="utf-8"?>
<comments xmlns="http://schemas.openxmlformats.org/spreadsheetml/2006/main">
  <authors>
    <author>Boris N.Mironov</author>
  </authors>
  <commentList>
    <comment ref="E3" authorId="0">
      <text>
        <r>
          <rPr>
            <b/>
            <sz val="8"/>
            <rFont val="Tahoma"/>
            <family val="0"/>
          </rPr>
          <t>Boris N.Mironov:</t>
        </r>
        <r>
          <rPr>
            <sz val="8"/>
            <rFont val="Tahoma"/>
            <family val="0"/>
          </rPr>
          <t xml:space="preserve">
including food when payment in kind existed</t>
        </r>
      </text>
    </comment>
    <comment ref="AG66" authorId="0">
      <text>
        <r>
          <rPr>
            <b/>
            <sz val="8"/>
            <rFont val="Tahoma"/>
            <family val="0"/>
          </rPr>
          <t>Boris N.Mironov:</t>
        </r>
        <r>
          <rPr>
            <sz val="8"/>
            <rFont val="Tahoma"/>
            <family val="0"/>
          </rPr>
          <t xml:space="preserve">
копанев, Население Петербурга, с. 80–83.</t>
        </r>
      </text>
    </comment>
    <comment ref="AD249" authorId="0">
      <text>
        <r>
          <rPr>
            <b/>
            <sz val="8"/>
            <rFont val="Tahoma"/>
            <family val="0"/>
          </rPr>
          <t>Boris N.Mironov:</t>
        </r>
        <r>
          <rPr>
            <sz val="8"/>
            <rFont val="Tahoma"/>
            <family val="0"/>
          </rPr>
          <t xml:space="preserve">
История рабочих Л., 1, с. 137.</t>
        </r>
      </text>
    </comment>
    <comment ref="O308" authorId="0">
      <text>
        <r>
          <rPr>
            <b/>
            <sz val="8"/>
            <rFont val="Tahoma"/>
            <family val="0"/>
          </rPr>
          <t>Boris N.Mironov:</t>
        </r>
        <r>
          <rPr>
            <sz val="8"/>
            <rFont val="Tahoma"/>
            <family val="0"/>
          </rPr>
          <t xml:space="preserve">
История рабочих Л., т. 1, с. 399.</t>
        </r>
      </text>
    </comment>
    <comment ref="L3" authorId="0">
      <text>
        <r>
          <rPr>
            <b/>
            <sz val="8"/>
            <rFont val="Tahoma"/>
            <family val="0"/>
          </rPr>
          <t>Boris N.Mironov:</t>
        </r>
        <r>
          <rPr>
            <sz val="8"/>
            <rFont val="Tahoma"/>
            <family val="0"/>
          </rPr>
          <t xml:space="preserve">
including food when payment in kind existed</t>
        </r>
      </text>
    </comment>
    <comment ref="O3" authorId="0">
      <text>
        <r>
          <rPr>
            <b/>
            <sz val="8"/>
            <rFont val="Tahoma"/>
            <family val="0"/>
          </rPr>
          <t>Boris N.Mironov:</t>
        </r>
        <r>
          <rPr>
            <sz val="8"/>
            <rFont val="Tahoma"/>
            <family val="0"/>
          </rPr>
          <t xml:space="preserve">
including food when payment in kind existed</t>
        </r>
      </text>
    </comment>
    <comment ref="U3" authorId="0">
      <text>
        <r>
          <rPr>
            <b/>
            <sz val="8"/>
            <rFont val="Tahoma"/>
            <family val="0"/>
          </rPr>
          <t>Boris N.Mironov:</t>
        </r>
        <r>
          <rPr>
            <sz val="8"/>
            <rFont val="Tahoma"/>
            <family val="0"/>
          </rPr>
          <t xml:space="preserve">
without days of sickness and personal holidays</t>
        </r>
      </text>
    </comment>
    <comment ref="E311" authorId="0">
      <text>
        <r>
          <rPr>
            <b/>
            <sz val="8"/>
            <rFont val="Tahoma"/>
            <family val="0"/>
          </rPr>
          <t>Boris N.Mironov:</t>
        </r>
        <r>
          <rPr>
            <sz val="8"/>
            <rFont val="Tahoma"/>
            <family val="0"/>
          </rPr>
          <t xml:space="preserve">
including food when payment in kind existed</t>
        </r>
      </text>
    </comment>
    <comment ref="L311" authorId="0">
      <text>
        <r>
          <rPr>
            <b/>
            <sz val="8"/>
            <rFont val="Tahoma"/>
            <family val="0"/>
          </rPr>
          <t>Boris N.Mironov:</t>
        </r>
        <r>
          <rPr>
            <sz val="8"/>
            <rFont val="Tahoma"/>
            <family val="0"/>
          </rPr>
          <t xml:space="preserve">
including food when payment in kind existed</t>
        </r>
      </text>
    </comment>
    <comment ref="O311" authorId="0">
      <text>
        <r>
          <rPr>
            <b/>
            <sz val="8"/>
            <rFont val="Tahoma"/>
            <family val="0"/>
          </rPr>
          <t>Boris N.Mironov:</t>
        </r>
        <r>
          <rPr>
            <sz val="8"/>
            <rFont val="Tahoma"/>
            <family val="0"/>
          </rPr>
          <t xml:space="preserve">
including food when payment in kind existed</t>
        </r>
      </text>
    </comment>
    <comment ref="U311" authorId="0">
      <text>
        <r>
          <rPr>
            <b/>
            <sz val="8"/>
            <rFont val="Tahoma"/>
            <family val="0"/>
          </rPr>
          <t>Boris N.Mironov:</t>
        </r>
        <r>
          <rPr>
            <sz val="8"/>
            <rFont val="Tahoma"/>
            <family val="0"/>
          </rPr>
          <t xml:space="preserve">
without days of sickness and personal holidays</t>
        </r>
      </text>
    </comment>
  </commentList>
</comments>
</file>

<file path=xl/comments6.xml><?xml version="1.0" encoding="utf-8"?>
<comments xmlns="http://schemas.openxmlformats.org/spreadsheetml/2006/main">
  <authors>
    <author>Boris N.Mironov</author>
  </authors>
  <commentList>
    <comment ref="D188" authorId="0">
      <text>
        <r>
          <rPr>
            <b/>
            <sz val="8"/>
            <rFont val="Tahoma"/>
            <family val="0"/>
          </rPr>
          <t>Boris N.Mironov:</t>
        </r>
        <r>
          <rPr>
            <sz val="8"/>
            <rFont val="Tahoma"/>
            <family val="0"/>
          </rPr>
          <t xml:space="preserve">
A carcass (tusha) 5,333 poods (Solikamsk, 1711-1714)</t>
        </r>
      </text>
    </comment>
    <comment ref="E97" authorId="0">
      <text>
        <r>
          <rPr>
            <b/>
            <sz val="8"/>
            <rFont val="Tahoma"/>
            <family val="0"/>
          </rPr>
          <t>Boris N.Mironov:</t>
        </r>
        <r>
          <rPr>
            <sz val="8"/>
            <rFont val="Tahoma"/>
            <family val="0"/>
          </rPr>
          <t xml:space="preserve">
since 1679</t>
        </r>
      </text>
    </comment>
    <comment ref="E98" authorId="0">
      <text>
        <r>
          <rPr>
            <b/>
            <sz val="8"/>
            <rFont val="Tahoma"/>
            <family val="0"/>
          </rPr>
          <t>Boris N.Mironov:</t>
        </r>
        <r>
          <rPr>
            <sz val="8"/>
            <rFont val="Tahoma"/>
            <family val="0"/>
          </rPr>
          <t xml:space="preserve">
since 1679</t>
        </r>
      </text>
    </comment>
    <comment ref="E104" authorId="0">
      <text>
        <r>
          <rPr>
            <b/>
            <sz val="8"/>
            <rFont val="Tahoma"/>
            <family val="0"/>
          </rPr>
          <t>Boris N.Mironov:</t>
        </r>
        <r>
          <rPr>
            <sz val="8"/>
            <rFont val="Tahoma"/>
            <family val="0"/>
          </rPr>
          <t xml:space="preserve">
since 1679</t>
        </r>
      </text>
    </comment>
    <comment ref="E105" authorId="0">
      <text>
        <r>
          <rPr>
            <b/>
            <sz val="8"/>
            <rFont val="Tahoma"/>
            <family val="0"/>
          </rPr>
          <t>Boris N.Mironov:</t>
        </r>
        <r>
          <rPr>
            <sz val="8"/>
            <rFont val="Tahoma"/>
            <family val="0"/>
          </rPr>
          <t xml:space="preserve">
since 1679</t>
        </r>
      </text>
    </comment>
    <comment ref="E108" authorId="0">
      <text>
        <r>
          <rPr>
            <b/>
            <sz val="8"/>
            <rFont val="Tahoma"/>
            <family val="0"/>
          </rPr>
          <t>Boris N.Mironov:</t>
        </r>
        <r>
          <rPr>
            <sz val="8"/>
            <rFont val="Tahoma"/>
            <family val="0"/>
          </rPr>
          <t xml:space="preserve">
since 1679</t>
        </r>
      </text>
    </comment>
    <comment ref="E109" authorId="0">
      <text>
        <r>
          <rPr>
            <b/>
            <sz val="8"/>
            <rFont val="Tahoma"/>
            <family val="0"/>
          </rPr>
          <t>Boris N.Mironov:</t>
        </r>
        <r>
          <rPr>
            <sz val="8"/>
            <rFont val="Tahoma"/>
            <family val="0"/>
          </rPr>
          <t xml:space="preserve">
since 1679</t>
        </r>
      </text>
    </comment>
    <comment ref="E113" authorId="0">
      <text>
        <r>
          <rPr>
            <b/>
            <sz val="8"/>
            <rFont val="Tahoma"/>
            <family val="0"/>
          </rPr>
          <t>Boris N.Mironov:</t>
        </r>
        <r>
          <rPr>
            <sz val="8"/>
            <rFont val="Tahoma"/>
            <family val="0"/>
          </rPr>
          <t xml:space="preserve">
from 1679</t>
        </r>
      </text>
    </comment>
    <comment ref="E114" authorId="0">
      <text>
        <r>
          <rPr>
            <b/>
            <sz val="8"/>
            <rFont val="Tahoma"/>
            <family val="0"/>
          </rPr>
          <t>Boris N.Mironov:</t>
        </r>
        <r>
          <rPr>
            <sz val="8"/>
            <rFont val="Tahoma"/>
            <family val="0"/>
          </rPr>
          <t xml:space="preserve">
from 1679</t>
        </r>
      </text>
    </comment>
  </commentList>
</comments>
</file>

<file path=xl/comments7.xml><?xml version="1.0" encoding="utf-8"?>
<comments xmlns="http://schemas.openxmlformats.org/spreadsheetml/2006/main">
  <authors>
    <author>Boris N.Mironov</author>
  </authors>
  <commentList>
    <comment ref="O4" authorId="0">
      <text>
        <r>
          <rPr>
            <b/>
            <sz val="8"/>
            <rFont val="Tahoma"/>
            <family val="0"/>
          </rPr>
          <t>Boris N.Mironov:</t>
        </r>
        <r>
          <rPr>
            <sz val="8"/>
            <rFont val="Tahoma"/>
            <family val="0"/>
          </rPr>
          <t xml:space="preserve">
включая провинат</t>
        </r>
      </text>
    </comment>
    <comment ref="X29" authorId="0">
      <text>
        <r>
          <rPr>
            <b/>
            <sz val="8"/>
            <rFont val="Tahoma"/>
            <family val="0"/>
          </rPr>
          <t>Boris N.Mironov:</t>
        </r>
        <r>
          <rPr>
            <sz val="8"/>
            <rFont val="Tahoma"/>
            <family val="0"/>
          </rPr>
          <t xml:space="preserve">
Гаврилов.Рабочие Урала, с. 190</t>
        </r>
      </text>
    </comment>
    <comment ref="A41" authorId="0">
      <text>
        <r>
          <rPr>
            <b/>
            <sz val="8"/>
            <rFont val="Tahoma"/>
            <family val="0"/>
          </rPr>
          <t>Boris N.Mironov:</t>
        </r>
        <r>
          <rPr>
            <sz val="8"/>
            <rFont val="Tahoma"/>
            <family val="0"/>
          </rPr>
          <t xml:space="preserve">
Пажитнов.Промышленнй труд в крепостную эпоху. Л., 1924, с145.</t>
        </r>
      </text>
    </comment>
    <comment ref="O41" authorId="0">
      <text>
        <r>
          <rPr>
            <b/>
            <sz val="8"/>
            <rFont val="Tahoma"/>
            <family val="0"/>
          </rPr>
          <t>Boris N.Mironov:</t>
        </r>
        <r>
          <rPr>
            <sz val="8"/>
            <rFont val="Tahoma"/>
            <family val="0"/>
          </rPr>
          <t xml:space="preserve">
женатые. Холостые получали меньшее хлебное жалованье: 8,0–11,2 коп в день</t>
        </r>
      </text>
    </comment>
    <comment ref="T64" authorId="0">
      <text>
        <r>
          <rPr>
            <b/>
            <sz val="8"/>
            <rFont val="Tahoma"/>
            <family val="0"/>
          </rPr>
          <t>Boris N.Mironov:</t>
        </r>
        <r>
          <rPr>
            <sz val="8"/>
            <rFont val="Tahoma"/>
            <family val="0"/>
          </rPr>
          <t xml:space="preserve">
Formaly 250 working days per year, in fact, i.e. taking into account sicknesses, truancies, etc. - 214.</t>
        </r>
      </text>
    </comment>
    <comment ref="R3" authorId="0">
      <text>
        <r>
          <rPr>
            <b/>
            <sz val="8"/>
            <rFont val="Tahoma"/>
            <family val="0"/>
          </rPr>
          <t>Boris N.Mironov:</t>
        </r>
        <r>
          <rPr>
            <sz val="8"/>
            <rFont val="Tahoma"/>
            <family val="0"/>
          </rPr>
          <t xml:space="preserve">
without days of sickness and personal holidays</t>
        </r>
      </text>
    </comment>
    <comment ref="AH3" authorId="0">
      <text>
        <r>
          <rPr>
            <b/>
            <sz val="8"/>
            <rFont val="Tahoma"/>
            <family val="0"/>
          </rPr>
          <t>Boris N.Mironov:</t>
        </r>
        <r>
          <rPr>
            <sz val="8"/>
            <rFont val="Tahoma"/>
            <family val="0"/>
          </rPr>
          <t xml:space="preserve">
without days of sickness and personal holidays</t>
        </r>
      </text>
    </comment>
    <comment ref="AG4" authorId="0">
      <text>
        <r>
          <rPr>
            <b/>
            <sz val="8"/>
            <rFont val="Tahoma"/>
            <family val="0"/>
          </rPr>
          <t>Boris N.Mironov:</t>
        </r>
        <r>
          <rPr>
            <sz val="8"/>
            <rFont val="Tahoma"/>
            <family val="0"/>
          </rPr>
          <t xml:space="preserve">
включая провинат</t>
        </r>
      </text>
    </comment>
  </commentList>
</comments>
</file>

<file path=xl/sharedStrings.xml><?xml version="1.0" encoding="utf-8"?>
<sst xmlns="http://schemas.openxmlformats.org/spreadsheetml/2006/main" count="4621" uniqueCount="425">
  <si>
    <r>
      <t xml:space="preserve">(Kamentseva, E. I. and Ustiugov, N. V. </t>
    </r>
    <r>
      <rPr>
        <i/>
        <sz val="12"/>
        <rFont val="Times New Roman"/>
        <family val="0"/>
      </rPr>
      <t>Russkaia metrologiia</t>
    </r>
    <r>
      <rPr>
        <sz val="12"/>
        <rFont val="Times New Roman"/>
        <family val="1"/>
      </rPr>
      <t xml:space="preserve"> (Moscow: Vysshaia shkola, 1965).</t>
    </r>
  </si>
  <si>
    <t xml:space="preserve">“Tseny v Arkhangel’ske v 1715 i 1716 gg.,” Kommercheskaia gazeta, no. 30 (1828). </t>
  </si>
  <si>
    <t>German, K., “Zamechaniia k tablitsam, pokazyvaiushchim tseny nuzhneishim s’estnym pripasam v Moskve, s 1782 po 1803 god,” Statististicheskii zhurnal, vol. 1, part 2 (1806), pp. 71-172.</t>
  </si>
  <si>
    <t>Strumilin, S. G. Istoriia chernoi metallurgii v SSSR (Moscow: Izdatel’stvo Akademii Nauk SSSR, 1954). Vol. 1.</t>
  </si>
  <si>
    <t>Sankt-Peterbugskii preis-kurant, izdavaemyi ot gosudarstvennoi Kommerts-kollegii za [1807-1857] god (St.-Petersburg, 1807-1857).</t>
  </si>
  <si>
    <t xml:space="preserve">Semenov, A. Izuchenie istoricheskikh svedenii o rossiskoi vneshnei torgovle i promyshlennosti s polovinyXVII stoletiia po 1858 god (St.-Petersburg, 1859), vol. 1-3. </t>
  </si>
  <si>
    <t xml:space="preserve">Chulkov, M. Opisanie rossiiskoi kommertsii (St.-Petersburg: Senatskaia tipografiia, 1786), vol. 6, part 2, pp. 367-372; vol. 7, part 1, Table 11.  </t>
  </si>
  <si>
    <t xml:space="preserve">Formatted by Peter Lindert, 15 February 2006.  </t>
  </si>
  <si>
    <t>Data from Richard Hellie from Boris Mironov</t>
  </si>
  <si>
    <t>Sources used by Boris Mironov</t>
  </si>
  <si>
    <r>
      <t xml:space="preserve">This data set is used and interpreted at length in Richard Hellie, </t>
    </r>
    <r>
      <rPr>
        <i/>
        <sz val="12"/>
        <rFont val="Times New Roman"/>
        <family val="0"/>
      </rPr>
      <t>The Economy and Material Culture of Russia, 1600-1725 (</t>
    </r>
    <r>
      <rPr>
        <sz val="12"/>
        <rFont val="Times New Roman"/>
        <family val="1"/>
      </rPr>
      <t>Chicago: University of Chicago Press 1999).</t>
    </r>
  </si>
  <si>
    <r>
      <t>Hellie data:</t>
    </r>
    <r>
      <rPr>
        <sz val="14"/>
        <rFont val="Times New Roman"/>
        <family val="0"/>
      </rPr>
      <t xml:space="preserve">  Spreadsheet files kindly supplied by Richard Hellie, University of Chicago.  </t>
    </r>
  </si>
  <si>
    <t>Peter Lindert, 15 February 2006</t>
  </si>
  <si>
    <t>Tugan-Baranovskii, M. Russkaia fabrika v proshlom i nastoiashchem. 3d ed. (St.-Petersburg, 1907).</t>
  </si>
  <si>
    <t>Ustiuguv, N. V. Solevarennaia promyshlennost’ Soli Kamskoi v XVII v. (Moscow, 1957).</t>
  </si>
  <si>
    <t>skill</t>
  </si>
  <si>
    <t>premium</t>
  </si>
  <si>
    <t>bldg.</t>
  </si>
  <si>
    <t>Ave. %</t>
  </si>
  <si>
    <t>mid-</t>
  </si>
  <si>
    <t>range or</t>
  </si>
  <si>
    <t>skilled+unskilled</t>
  </si>
  <si>
    <t>1855–1860</t>
  </si>
  <si>
    <t>1870–е</t>
  </si>
  <si>
    <t xml:space="preserve">Private industry labor, </t>
  </si>
  <si>
    <t xml:space="preserve">Number of </t>
  </si>
  <si>
    <t>Skilled workers</t>
  </si>
  <si>
    <t>Semi- and unskilled workers</t>
  </si>
  <si>
    <t>All state workers</t>
  </si>
  <si>
    <t>kopecks per day</t>
  </si>
  <si>
    <t>in rubles (per kg), per PL</t>
  </si>
  <si>
    <t>1724-1729</t>
  </si>
  <si>
    <t>1740-1750s</t>
  </si>
  <si>
    <t>1850–е</t>
  </si>
  <si>
    <t>1841–1845</t>
  </si>
  <si>
    <t>1818–1826</t>
  </si>
  <si>
    <t>1861–65</t>
  </si>
  <si>
    <t>1866–70</t>
  </si>
  <si>
    <t>1871–75</t>
  </si>
  <si>
    <t>1876–80</t>
  </si>
  <si>
    <t>1881–85</t>
  </si>
  <si>
    <t>1886–1890</t>
  </si>
  <si>
    <t>Kurts, B. G. Sochinenie Kil’burgera o russkoi torgovle v tsarstvovanie Alekseiia Mikhailovicha (Kiev, 1915).</t>
  </si>
  <si>
    <t xml:space="preserve">Kurts, B. G. Sostoianie Rossii v 1650-1655 gg. po doneseniam Rodesa (Moscow, 1915). </t>
  </si>
  <si>
    <t xml:space="preserve">Luk’ianov, P. M. Istoria khimicheskoi promyshlennosti v Rossii (Moscow, 1949), vol. 1. </t>
  </si>
  <si>
    <t>Luppov, S. P. Istoriia stroitel’stva Peterburga v pervoi chetverti XVIII veka (Moscow and Leningrad, 1957).</t>
  </si>
  <si>
    <t xml:space="preserve">Free industry labor, </t>
  </si>
  <si>
    <t>working days</t>
  </si>
  <si>
    <t>Krestinin, V., “Istoricheskii opyt o vneshnei torgovle gosudaria imperatora Petra Velikogo ot 1693 po 1719 g.,” Mesiatseslov istoricheskii i geograficheskii na 1795 (St.-Petersburg, 1795), pp. 7–68.</t>
  </si>
  <si>
    <t>thick</t>
  </si>
  <si>
    <t>Arkhiv S.-Peterburgskogo instituta istorii (Archive of St.-Petersburg Institute of History), fund 16 (Vorontsovy), opis’ 1, dd, 758-846</t>
  </si>
  <si>
    <t>igolki</t>
  </si>
  <si>
    <t>brusok</t>
  </si>
  <si>
    <t>sel;d' solenaia</t>
  </si>
  <si>
    <t>8 poods</t>
  </si>
  <si>
    <t>5,4 poods</t>
  </si>
  <si>
    <t>9,2 poods</t>
  </si>
  <si>
    <t>6,6 poods</t>
  </si>
  <si>
    <t>8,8 poods</t>
  </si>
  <si>
    <t xml:space="preserve"> hours per day</t>
  </si>
  <si>
    <t xml:space="preserve">Number of working  </t>
  </si>
  <si>
    <t>Cost of food</t>
  </si>
  <si>
    <t>kopecks per month</t>
  </si>
  <si>
    <t>Living wage</t>
  </si>
  <si>
    <t>1700–25</t>
  </si>
  <si>
    <t>1846-1847</t>
  </si>
  <si>
    <t>Moscow, wages</t>
  </si>
  <si>
    <t>pood</t>
  </si>
  <si>
    <t>16,38 kg</t>
  </si>
  <si>
    <t>kopecks</t>
  </si>
  <si>
    <t>Wire</t>
  </si>
  <si>
    <t>of iron</t>
  </si>
  <si>
    <t>provoloka zheleznaia</t>
  </si>
  <si>
    <t>Copper</t>
  </si>
  <si>
    <t>red</t>
  </si>
  <si>
    <t>med' krasnaia</t>
  </si>
  <si>
    <t>Steel</t>
  </si>
  <si>
    <t>statl'</t>
  </si>
  <si>
    <t>Gastev, M. S. Materialy dlia polnoi i sravnitel’noi statistiki Moskvy (Moscow, 1841). Vol. 1.</t>
  </si>
  <si>
    <t>Kamentseva, E. I. and Ustiugov, N. V. Russkaia metrologiia (Moscow: Vysshaia shkola, 1965).</t>
  </si>
  <si>
    <t>Polnoe sobranie zakonov. Sobranie pervoe (St.-Petersburg, 1830). Vol. 15, № 11351; vol. 43, part 1, no.5819, 10682, 17517, 18773; vol. 45. Obshchee dopolnenie k tarifam, pp. 4-6.</t>
  </si>
  <si>
    <t xml:space="preserve">Rykachev, A. M. Tseny na khleb i trud v Peterburge za 58 let (St.-Petersburg, 1911). </t>
  </si>
  <si>
    <t>kg</t>
  </si>
  <si>
    <t>(&lt;- what happened to units for 1860s?)</t>
  </si>
  <si>
    <t>Arkhiv Russkogo geograficheskogo obshchestva, Razriad 29 (Permskaia guberniia), d. 43.</t>
  </si>
  <si>
    <t xml:space="preserve">“Tseny na otvoznye tovary iz Arkhangel’ska v 1728–1738, 1782, 1804, 1815, 1824, 1825, 1826 гг.,” Kommercheskaia gazeta, no. 65 (1827). </t>
  </si>
  <si>
    <t xml:space="preserve">Kopanev, A. I. Naselenie Peterburga v pervoi polovine XIX veka (Moscow and Leningrad: Izdatel’stvo Akademii Nauk SSSR, 1957). </t>
  </si>
  <si>
    <t>Safonova, A. V., “Polozhenie trudiashchikhsia Peterburga i ikh klassovaia bor’ba v 60-70e gody XVIII v.,” Uchenye zapiski Vologodskogo pedagogicheskogo instituta, vol. 14. Istoriia (1954).</t>
  </si>
  <si>
    <t>due to revaluation in silver?</t>
  </si>
  <si>
    <t xml:space="preserve">Shreter, Eberg I., “O raspredelenii izvestnoi summy na godovoi prozhitok,” Trudy Vol’nogo ekonomicheskogo obshchestva, no. 21, 22 (1772). </t>
  </si>
  <si>
    <t>“Dokumenty o kirpichnom proizvodstve XVII-XVIII vv.,” in Materialy po istorii SSSR, vol. 5 (Moscow, 1957), pp. 5–114, 254–269.</t>
  </si>
  <si>
    <t>Fomin, A. O ponizhenii tsen na zemledel’cheskie proizvedeniia (St.-Petersburg: Vol’noe ekonomicheskoe obshchestvo, 1829).</t>
  </si>
  <si>
    <t>Golikova, N. B. Naemnyi trud v gorodakh Povolzh’ia v pervoi chetverti XVIII veka (Moscow: MGU, 1965), pp. 62–147.</t>
  </si>
  <si>
    <t xml:space="preserve">Gorlovskii, M. A. and Pavlenko, N. I., “Materialy soveshchaniia ural’skikh promyshlennikov 1734-1736 gg.,” Istoricheskii arkhiv, vol. 9 (1953), pp. 92–128. С. 67, 76. </t>
  </si>
  <si>
    <t>Istoriia Moskvy, vol. 1-4 (Moscow, 1953, 1954).</t>
  </si>
  <si>
    <t xml:space="preserve">Istoriia rabochikh Leningrada, ed. by V. S. Diakin et al. (Leningrad: Nauka, 1972), vol. 1. </t>
  </si>
  <si>
    <t xml:space="preserve">Kafengauz, B. B. Ocherki vnutrennego rynka Rossii pervoi poloviny XVIII veka (po materialam vnutrennikh tamozhen) (Moscow: Izdatel’stvo Akademii nauk SSSR, 1958). </t>
  </si>
  <si>
    <t>TsGAM, fund 14 (Glebovy), d. 35, 141, 188, 315.</t>
  </si>
  <si>
    <t>Strumilin, S. G. Ocherki ekonomicheskoi istorii Rossii (Moscow: Izdatel’stvo Akademii Nauk SSSR, 1960).</t>
  </si>
  <si>
    <t>(!?)</t>
  </si>
  <si>
    <t>(why so high?)</t>
  </si>
  <si>
    <t>(really so low?)</t>
  </si>
  <si>
    <t>1891–1895</t>
  </si>
  <si>
    <t>1896–1900</t>
  </si>
  <si>
    <t>1901–05</t>
  </si>
  <si>
    <t>1906–10</t>
  </si>
  <si>
    <t>1911–13</t>
  </si>
  <si>
    <t>1814-1840</t>
  </si>
  <si>
    <t>skilled</t>
  </si>
  <si>
    <t>unskilled</t>
  </si>
  <si>
    <t>in g of Ag per 100 kg, per PL</t>
  </si>
  <si>
    <t>(1820s, 1850s only; also not much in Hellie file)</t>
  </si>
  <si>
    <t>Why so low? Clarify Ag content, etc.</t>
  </si>
  <si>
    <t>Vedomosti (nedel’nye, mesiachnye i tretnye) o spravochnykh tsenakh na pripasy i materially v Moskve. Moscow, 1871.</t>
  </si>
  <si>
    <t>(None)</t>
  </si>
  <si>
    <t>Zelnik R. E. Labor and Society in Tsarist Russia: The Factory Workers of St. Petersburg, 1855-1870. Stanford, CA: Stanford University Press, 1971.</t>
  </si>
  <si>
    <t xml:space="preserve">Ruble </t>
  </si>
  <si>
    <t>Index</t>
  </si>
  <si>
    <t>rate</t>
  </si>
  <si>
    <t>price</t>
  </si>
  <si>
    <t>1913=100</t>
  </si>
  <si>
    <t>winter</t>
  </si>
  <si>
    <t>summer</t>
  </si>
  <si>
    <t xml:space="preserve">male </t>
  </si>
  <si>
    <t xml:space="preserve">Vedomosti (nedel’nye, mesiachnye i tretnye) o spravochnykh tsenakh na pripasy i materially v . Sankt-Peterburge. St.-Petersburg, 1870. </t>
  </si>
  <si>
    <t>9.713 cubic meter</t>
  </si>
  <si>
    <t>cubic sagene (fathom) = [sazhen]</t>
  </si>
  <si>
    <t>(Don't know weight per load for charcoal)</t>
  </si>
  <si>
    <t>in g of Ag per 480 sheets, per PL</t>
  </si>
  <si>
    <t>(not much here.)</t>
  </si>
  <si>
    <t>in rubles (per kg)</t>
  </si>
  <si>
    <t>Rzhanov, I. “O kirpiche i moskovskilh kirpichnykh zavodakh,” Vestnik promyshlennosti. Vol. 11. No. 3 (1861), pp. 118-194.</t>
  </si>
  <si>
    <t>1613–1617</t>
  </si>
  <si>
    <t>1650–1670</t>
  </si>
  <si>
    <t>476?</t>
  </si>
  <si>
    <t xml:space="preserve">Kir’ianov, Iu. I. Zhiznennyi uroven’ rabochikh Rossii (konets XIX-nachalo XX v.) (Moscow: Nauka, 1979). </t>
  </si>
  <si>
    <t>Moscowiticher Kaumann, oder ausfuhrliche Bechreibung der Commercien Welche in Moskau und andern seiner Czaarichen Majestät  Bothmätzigkeit unterworsennen Reichen und Provincien, als wol von dessen Unterthanen unter sich selbst, als mit Ausländichen Nationen getriebwerden. Lübek, 1705. 2- ed. 1723.</t>
  </si>
  <si>
    <t>Nemirov, G. A. Opyt istorii Sank-Peterburgskoi birzhi (St-Petersburg, 1889-1891).</t>
  </si>
  <si>
    <t xml:space="preserve">Opisanie Arkhiva Aleksandro-Nevskoi Lavry (St.-Petersburg, 1911), vol. 1, 2. </t>
  </si>
  <si>
    <t>Pazhitnov, K. A. Promyshlennyi trud v krepostnuiu epokhu (Leningrad: Put’ k znaniiu, 1924).</t>
  </si>
  <si>
    <t>in g of Ag per kg, per PL</t>
  </si>
  <si>
    <t>St.-Petersburg, prices in nominal and in kopecks of 0.18-g silver kopecks</t>
  </si>
  <si>
    <t>kilogram (PL)</t>
  </si>
  <si>
    <t>assume wheat/rye ratio, 1550s &amp; 1590s</t>
  </si>
  <si>
    <t>in g of Ag per kg of rye, per PL</t>
  </si>
  <si>
    <t>Pepper</t>
  </si>
  <si>
    <t>1681–1690</t>
  </si>
  <si>
    <t>Years</t>
  </si>
  <si>
    <t>1720–е</t>
  </si>
  <si>
    <t>1734–1736</t>
  </si>
  <si>
    <t>1737–1750</t>
  </si>
  <si>
    <t>with provisions</t>
  </si>
  <si>
    <t>female</t>
  </si>
  <si>
    <t>kids</t>
  </si>
  <si>
    <t>1713–1717</t>
  </si>
  <si>
    <t>1720–1723</t>
  </si>
  <si>
    <t>Kargin D. I. Rabochii byt na postroikakh pervykh nashikh zheleznykh dorog (Moscow and Leningrad, 1926).</t>
  </si>
  <si>
    <t xml:space="preserve">Odesskii Vestnik. Odessa, 1841-1880. </t>
  </si>
  <si>
    <t>Wheat</t>
  </si>
  <si>
    <t>Wheat, chet</t>
  </si>
  <si>
    <t>in kopecks of 0.18-g silver</t>
  </si>
  <si>
    <t>Ural, wage in mining and metallurgy industry</t>
  </si>
  <si>
    <t>Notes</t>
  </si>
  <si>
    <t xml:space="preserve">The data on the prices for 16-19th  centuries, except grain prices for 18-19th centuries, were taken from the cash books of monasteries, </t>
  </si>
  <si>
    <t xml:space="preserve">of Cadet corps, and of Moscow Synod printing plant; they covered, as a rule, the low wholesale prices. </t>
  </si>
  <si>
    <t>The data on grain prices for 18-19th covered the average retail prices on the market.</t>
  </si>
  <si>
    <t>1772-1774</t>
  </si>
  <si>
    <t xml:space="preserve">Pazhitnov, K. A. Polozhenie rabochego klassa v Rossii (Leningrad: Put' k znaniiu, 1925), vol. 1. </t>
  </si>
  <si>
    <t>1871–1879</t>
  </si>
  <si>
    <t>Beef, pood</t>
  </si>
  <si>
    <t>Stolpianskii, P. N, “Iz istroii proizvodstv v S-Peterburge za 18-i vek i pervuiu chetvert’ 19 v.,” in Arkhiv istorii truda v Rossii (St-Peterburg, 1921), vol. 2, pp. 86-104.</t>
  </si>
  <si>
    <t>Preis-kurant prikhodiashchim v Odessu inostrannym tovaram i iskhodiashchim rossiiskim tovaram. Odessa, 1814-1840.</t>
  </si>
  <si>
    <t>Moscow, prices in nominal and in kopecks of 0.18-g silver kopecks</t>
  </si>
  <si>
    <t xml:space="preserve">Virst, F. G. Rassuzhdenie o nekotorykh predmetakh zakonodatel’stva i upravleniia finansami i kommertsiei v Rossii (St.-Petersburg, 1807). </t>
  </si>
  <si>
    <t>Zaozerskaia, E. I. Razvitie legkoi promyshlennosti v Moskve v pervoi chetverti XVIII veka (Moscow, 1953).</t>
  </si>
  <si>
    <t xml:space="preserve">Zarinskii, M., “Arkhangel’skie torgobvye tseny v nachale XVIII v.,” Arkhangel’skie gubernskie vedomosti, no. 31-37. </t>
  </si>
  <si>
    <t xml:space="preserve">Zarinskii, M., “Vzgliad na Belomorskuiu torgovliu v kontse XVIII v.,” Arkhangel’skie gubernskie vedomosti, no. 11-17. </t>
  </si>
  <si>
    <t>From 1830s to 1840s, a strange drop;</t>
  </si>
  <si>
    <t>(Hellie-&gt;)</t>
  </si>
  <si>
    <t>Tsentral’nyi gosudarstvennyi arkhiv g. Moskvy (Central Archive of Moscow City) (thereafter TsGAM) Fund 420, 421 (Moskovskii Donskoi monastyr’). Prikhodo-raskhodnye knigi (Cash books of Moscow Don monastery). Fund 420, opis’ 1, d. 8; fund 421, opis’ 1, dd. 14, 21-a, 23, 32, 38, 43, 88, 133, 162, 165, 205, 223, 242, 271, 340, 377, 455, 457, 489, 490, 537–539, 578, 620, 621, 626, 705, 708, 779, 912, 913, 996, 1003–1005, 1087, 1034, 1037, 1038, 1218, 1219, 1299, 1358, 1359, 1411, 1412, 1415, 1456, 1571–1575, 1708, 1774, 1783, 1886, 1887, 1997–2002, 2124, 2125, 2285–2289, 2459–2462, 2533, 2534, 2595–2599, 2605, 2680, 2682, 2685, 2606–2610, 3008–3010, 3118–3124, 3279–3284, 3344, 3345–3347, 3437–3441; оpis’ 2, dd. 3571–3574, 3685–3688, 3774–3777, 3878, 3886, 3977–3983, 4047–4049, 4126–4131, 4316–4326, 4397–4401, 4462, 4464, 4524–4527, 4529, 4570, 4573, 4574, 4576, 4658, 4659, 4761–4764, 4795–4797, 4822, 4831, 4832, 4837, 4838, 4835, 4836, 4847–4851, 4868, 4871, 4874, 4875, 4882а,  4884–4888, 4901, 4902, 4904, 4920–4922, 4937–4945, 4970, 4971, 4984, 4990, 5604–5606, 5012, 5020–5024, 5045, 5051–5056, 5080–5084, 5090, 5095, 5103, 5109–5112, 5141, 5142, 5147, 5048, 5153, 5163, 5167, 5171, 5176, 5177, 5184–5191, 5193, 5195, 5255–5257, 5264–5269.</t>
  </si>
  <si>
    <t>Cherkasova, A. S. Masterovye i rabotnye liudi Urala v XVIII v. (Moscow: Nauka, 1985).</t>
  </si>
  <si>
    <t>1550s</t>
  </si>
  <si>
    <t>1650s</t>
  </si>
  <si>
    <t>1670s</t>
  </si>
  <si>
    <t>1690s</t>
  </si>
  <si>
    <t>1710-1714</t>
  </si>
  <si>
    <t>1720s</t>
  </si>
  <si>
    <t>Stolpianskii, P. N. Zhizn’ i byt Peterburgskoi fabriki za 210 let ee sushchestvovaniia, 1704-1914 (Leningrad: Leningradskii Guberdsnii Sovet Professional’nykh Soiuzov, 1925).</t>
  </si>
  <si>
    <t>golden kopecks 1/10</t>
  </si>
  <si>
    <t>7,2 poods</t>
  </si>
  <si>
    <t>9,5 poods</t>
  </si>
  <si>
    <t>8,7 poods</t>
  </si>
  <si>
    <t>Lead</t>
  </si>
  <si>
    <t>svinets</t>
  </si>
  <si>
    <t>Tin</t>
  </si>
  <si>
    <t>bar (brusok)</t>
  </si>
  <si>
    <t>1730s</t>
  </si>
  <si>
    <t>1740s</t>
  </si>
  <si>
    <t>1750s</t>
  </si>
  <si>
    <t>1760s</t>
  </si>
  <si>
    <t>1770s</t>
  </si>
  <si>
    <t>1780s</t>
  </si>
  <si>
    <t>rate, rel. to</t>
  </si>
  <si>
    <t>18 g of Ag</t>
  </si>
  <si>
    <t>Building labor, kopecks per day</t>
  </si>
  <si>
    <t>Free industry labor, kopecks per month</t>
  </si>
  <si>
    <t>Private industry labor, kopecks per month</t>
  </si>
  <si>
    <t>Mironov, B. N. Khlebnye tseny v Rossii za dva stoletiia (XVIII-XIX vv.) (Leningrad: Nauka, 1985).</t>
  </si>
  <si>
    <t>Butter</t>
  </si>
  <si>
    <t>RGIA, fund 1086, opis; 1, d. 1140.</t>
  </si>
  <si>
    <t>in g of Ag/day</t>
  </si>
  <si>
    <t>rye as a % of wheat (PL)</t>
  </si>
  <si>
    <t>(No rice prices for Arkhangel'sk)</t>
  </si>
  <si>
    <t>assume 1740s</t>
  </si>
  <si>
    <t>rye/wheat:</t>
  </si>
  <si>
    <t xml:space="preserve">Gamel’, I. Opisanie oruzheinogo zavoda v istoricheskom i tekhnicheskom otnoshenii (Moscow, 1826). </t>
  </si>
  <si>
    <t>Gavrilov, D. V. Rabochie Urala v period domonopolistiheskogo kapitalizma 1861-1900 (Moscow: Nauka, 1985).</t>
  </si>
  <si>
    <t>brown (buroe)</t>
  </si>
  <si>
    <t>mylo, buroe</t>
  </si>
  <si>
    <t>Ceruse</t>
  </si>
  <si>
    <t>paint, white leaded</t>
  </si>
  <si>
    <t>belila svintsovye</t>
  </si>
  <si>
    <t xml:space="preserve">State industry labor, </t>
  </si>
  <si>
    <t>pen'ka</t>
  </si>
  <si>
    <t>raw, ordinary</t>
  </si>
  <si>
    <t>Flax</t>
  </si>
  <si>
    <t>Rossiiskii gosudarstvennyi istoricheskii arkhiv (Russian State Historical Archive) (thereafter RGIA), fund 13 (Departament ministra kommertsii), opis’ 2, d. 782. Tseny v Peterburge v 1732-1803 gg. po svedeniiam prikhodno-raskhodnyh knig Pervogo kadetskogo korpusa (Prices in St.-Petersburg in 1732-1803 on the basis of the cash books of the First Cadet Corps).</t>
  </si>
  <si>
    <t>Boots</t>
  </si>
  <si>
    <t>for solder</t>
  </si>
  <si>
    <t>sapogi soldatskie</t>
  </si>
  <si>
    <t>pair</t>
  </si>
  <si>
    <t>for a civil man</t>
  </si>
  <si>
    <t>sapogi grazhdanskie</t>
  </si>
  <si>
    <t>Shoes</t>
  </si>
  <si>
    <t>bashmaki</t>
  </si>
  <si>
    <t>Leather</t>
  </si>
  <si>
    <t>iuft</t>
  </si>
  <si>
    <t>Hemp</t>
  </si>
  <si>
    <t>raw, best</t>
  </si>
  <si>
    <t>vodka</t>
  </si>
  <si>
    <t>bucket</t>
  </si>
  <si>
    <t>sakhar, golovnoi</t>
  </si>
  <si>
    <t>Honey</t>
  </si>
  <si>
    <t>med syrets</t>
  </si>
  <si>
    <t>Cod</t>
  </si>
  <si>
    <t>treska</t>
  </si>
  <si>
    <t>Caviar</t>
  </si>
  <si>
    <t>ikra svezheprosolennaia</t>
  </si>
  <si>
    <t>Herring</t>
  </si>
  <si>
    <t>min</t>
  </si>
  <si>
    <t>max</t>
  </si>
  <si>
    <t>average</t>
  </si>
  <si>
    <t>white</t>
  </si>
  <si>
    <t xml:space="preserve">brown </t>
  </si>
  <si>
    <t>Rye, chet</t>
  </si>
  <si>
    <t>Oat, chet</t>
  </si>
  <si>
    <t>Barley, chet</t>
  </si>
  <si>
    <t>Butter, pood</t>
  </si>
  <si>
    <t>sel'd' solenaia</t>
  </si>
  <si>
    <t>1590s</t>
  </si>
  <si>
    <t>1696-1704</t>
  </si>
  <si>
    <t>1786-1794</t>
  </si>
  <si>
    <t>Grams per day</t>
  </si>
  <si>
    <t>private, g/day</t>
  </si>
  <si>
    <t>state, g/day</t>
  </si>
  <si>
    <t xml:space="preserve">Maslakovets, N. T. Nemetskii torgovyi spravochnik-putevoditel’ nachala XVIII veka po Rossii (Kiev, 1914). </t>
  </si>
  <si>
    <t>1790s</t>
  </si>
  <si>
    <t>1800s</t>
  </si>
  <si>
    <t>1810s</t>
  </si>
  <si>
    <t>1820s</t>
  </si>
  <si>
    <t>1830s</t>
  </si>
  <si>
    <t>1840s</t>
  </si>
  <si>
    <t>1850s</t>
  </si>
  <si>
    <t>1860s</t>
  </si>
  <si>
    <t>1870s</t>
  </si>
  <si>
    <t>Iron</t>
  </si>
  <si>
    <t>zhelezo prutovoe</t>
  </si>
  <si>
    <t>in g of Ag per 10 eggs, per PL</t>
  </si>
  <si>
    <t>(none)</t>
  </si>
  <si>
    <t>(Assuming 386.55 kilos per sazhen)</t>
  </si>
  <si>
    <t>Opisanie dokumentov i del, khraniashchikhsia v arkhive Sviateishego Pravitel’stvuiushchego Sinoda (St.-Petersburg: Sinodal’naia tipografiia, 1901-1908). Raskhodnye knigi Moskovskoi sinodal’noi tipografii za 1712-1751 gg. (Cash books of Moscow Synod printing plant for 1712-1751). Vol. 8, pp. LXXVII-XCI; d. 429; vol. 15, Prilozhenie 10, pp. 655–686; vol. 16, d. 336; vol. 18, Prilozhenie 12, 14; vol. 20, Prilozhenie 9, pp. 879–884; vol. 25. Prilozhenie 24, pp. 586–600; vol. 31, pp. 490–530; vol. 32, d. 63, pp. 136–153.</t>
  </si>
  <si>
    <t>mylo beloe, lichnoe</t>
  </si>
  <si>
    <t>rough (thick, khriashch)</t>
  </si>
  <si>
    <t>painted</t>
  </si>
  <si>
    <t>polotno krashennoe</t>
  </si>
  <si>
    <t>Cloth</t>
  </si>
  <si>
    <t>sermiazhnoe (rough, thick)</t>
  </si>
  <si>
    <t>sukno</t>
  </si>
  <si>
    <t>English</t>
  </si>
  <si>
    <t>arshin</t>
  </si>
  <si>
    <t>71,12 cm</t>
  </si>
  <si>
    <t>Silk</t>
  </si>
  <si>
    <t>shelk</t>
  </si>
  <si>
    <t>pound</t>
  </si>
  <si>
    <t>0,4095 kg</t>
  </si>
  <si>
    <t>Cotton</t>
  </si>
  <si>
    <t>bumaga khlopchataia</t>
  </si>
  <si>
    <t>Wool</t>
  </si>
  <si>
    <t>sheep</t>
  </si>
  <si>
    <t>werst' ovech'ia</t>
  </si>
  <si>
    <t>Sheepskin</t>
  </si>
  <si>
    <t>ovchina</t>
  </si>
  <si>
    <t>Wax</t>
  </si>
  <si>
    <t>voks</t>
  </si>
  <si>
    <t>Candles</t>
  </si>
  <si>
    <t>tallow</t>
  </si>
  <si>
    <t>svechi sal'nye</t>
  </si>
  <si>
    <t>Tar</t>
  </si>
  <si>
    <t>degot' (smola)</t>
  </si>
  <si>
    <t>tun</t>
  </si>
  <si>
    <t>Soap</t>
  </si>
  <si>
    <t>white, for face</t>
  </si>
  <si>
    <t>The weight of chetvert was changing in the 16-17th centuries, but there is no consensus among historians. A standard point</t>
  </si>
  <si>
    <t>pood (bar-brusok)</t>
  </si>
  <si>
    <t xml:space="preserve">Rossiiskii gosudarstvennyi arkhiv drevnikh aktov (Russian Archive of Ancient Documents) (thereafter RGADA), fund 248 (Senate), knigi 437, 438, 1099. </t>
  </si>
  <si>
    <t>RGADA, fund 276 (Kommerts-kollegiia), opis’ 2, d. 1710.</t>
  </si>
  <si>
    <t xml:space="preserve">RGADA, fund 391 (Moskovskaia podriadnaia kontora), opis’1, d.3. </t>
  </si>
  <si>
    <t>1500s</t>
  </si>
  <si>
    <t>of view is that since 1679 roughly 8-9 poods, in 1500-1624 twice less than in 1679, in 1624-1679 - by 1/3 less than in 1679</t>
  </si>
  <si>
    <t>in g of Ag per100, per PL</t>
  </si>
  <si>
    <t xml:space="preserve">RGIA, fund 1310, opis’ 1, d. 63. Prikhodo-raskhodnye tetradi Komissii o kamennom v Moskve i Peterburge stroenii za 1757-1800 gg. (Cash books of Commission on construction in Moscow and St.-Petersburg for 1757–1800). </t>
  </si>
  <si>
    <t>Averages</t>
  </si>
  <si>
    <t>Std. dev.</t>
  </si>
  <si>
    <t>Urals, 1856 - 1867</t>
  </si>
  <si>
    <t>Cash wages with provisions as a share of cash wages without mention of provisions</t>
  </si>
  <si>
    <t>St. Petersburg wages, condensed</t>
  </si>
  <si>
    <t xml:space="preserve">RGIA, fund 468, opis’ 41, d. 1. </t>
  </si>
  <si>
    <t xml:space="preserve">RGIA, fund 994, opis’ 2, d. 413. </t>
  </si>
  <si>
    <t>RGIA, fund 1329, opis’ 3, d. 91.</t>
  </si>
  <si>
    <t xml:space="preserve">Rossiiskii gosudarstvennyi voenno-istoricheskii arkhiv (Russian State Military Archive), fund Voenno-uchenyi arkhiv, d. 19002. </t>
  </si>
  <si>
    <t>sol'</t>
  </si>
  <si>
    <t>Building labor</t>
  </si>
  <si>
    <t>1911-1913</t>
  </si>
  <si>
    <t>1818-1821 ave</t>
  </si>
  <si>
    <t>1866-1875 ave</t>
  </si>
  <si>
    <t>(&lt;-eh?)</t>
  </si>
  <si>
    <t>in g of silver/day</t>
  </si>
  <si>
    <t>Rye/wheat</t>
  </si>
  <si>
    <t>len</t>
  </si>
  <si>
    <t>Paper</t>
  </si>
  <si>
    <t>for note, no.3</t>
  </si>
  <si>
    <t>bumaga pischaia</t>
  </si>
  <si>
    <t>stopa</t>
  </si>
  <si>
    <t>480 sheets</t>
  </si>
  <si>
    <t>Sealing wax</t>
  </si>
  <si>
    <t>surguch</t>
  </si>
  <si>
    <t>Bricks</t>
  </si>
  <si>
    <t>kirpichi</t>
  </si>
  <si>
    <t>Firewood</t>
  </si>
  <si>
    <t>of birch</t>
  </si>
  <si>
    <t>drova berezovye</t>
  </si>
  <si>
    <t>cubic sagene (fathom)</t>
  </si>
  <si>
    <t>9,713 cubic meter</t>
  </si>
  <si>
    <t>cartful</t>
  </si>
  <si>
    <t>Whitewash</t>
  </si>
  <si>
    <t>mel</t>
  </si>
  <si>
    <t>Charcoal</t>
  </si>
  <si>
    <t>ugol'ia</t>
  </si>
  <si>
    <t>100 chetvert</t>
  </si>
  <si>
    <t>100*209,9 liters</t>
  </si>
  <si>
    <t>gold/pud</t>
  </si>
  <si>
    <t>Rye</t>
  </si>
  <si>
    <t>rozh'</t>
  </si>
  <si>
    <t>Oat</t>
  </si>
  <si>
    <t>oves</t>
  </si>
  <si>
    <t>pshenitsa</t>
  </si>
  <si>
    <t>Barley</t>
  </si>
  <si>
    <t>iachmen'</t>
  </si>
  <si>
    <t>Beef</t>
  </si>
  <si>
    <t>fresh</t>
  </si>
  <si>
    <t>goviadina</t>
  </si>
  <si>
    <t>Salt</t>
  </si>
  <si>
    <t>maslo korov'I russkoe</t>
  </si>
  <si>
    <t>Tallow</t>
  </si>
  <si>
    <t>of cow</t>
  </si>
  <si>
    <t>salo korov'e</t>
  </si>
  <si>
    <t>Rice</t>
  </si>
  <si>
    <t>ris</t>
  </si>
  <si>
    <t>Raisins</t>
  </si>
  <si>
    <t>izium</t>
  </si>
  <si>
    <t>perets</t>
  </si>
  <si>
    <t>Tea</t>
  </si>
  <si>
    <t>chai</t>
  </si>
  <si>
    <t>409,5 gm</t>
  </si>
  <si>
    <t>Vodka</t>
  </si>
  <si>
    <t>chetvert, 209,9 liters</t>
  </si>
  <si>
    <t>5,6 poods</t>
  </si>
  <si>
    <t>9,6 poods</t>
  </si>
  <si>
    <t>6,9 poods</t>
  </si>
  <si>
    <t>olovo</t>
  </si>
  <si>
    <t>1816-1824</t>
  </si>
  <si>
    <t>1866-1874</t>
  </si>
  <si>
    <t>Rate-exchange of current ruble</t>
  </si>
  <si>
    <t>Man’kov, A. G. Le Mouvement des Prix dans l’État Russe du XVIe siècle. Traduit du russe G. Krichevsky (Paris: S. E. V. P. E. N, 1957).</t>
  </si>
  <si>
    <t xml:space="preserve">Georgi, I. G. Opisanie stolichnogo goroda S-Peterburga (St-Petersburg, 1794). </t>
  </si>
  <si>
    <t>Coffee</t>
  </si>
  <si>
    <t>koffe</t>
  </si>
  <si>
    <t>Eggs</t>
  </si>
  <si>
    <t>iaitsa</t>
  </si>
  <si>
    <t>Sugar</t>
  </si>
  <si>
    <t>"Per PL" = Peter Lindert's interpretation, usually of a rate for converting to metric.</t>
  </si>
  <si>
    <t>(PL: !?-&gt;)</t>
  </si>
  <si>
    <t>Exchange-rate of current ruble</t>
  </si>
  <si>
    <t xml:space="preserve">Arkhangelsk, nominal prices and prices in kopecks of 0.18-g silver content </t>
  </si>
  <si>
    <t>St. Petersburg wages</t>
  </si>
  <si>
    <t>(&lt;-eh? PL)</t>
  </si>
  <si>
    <t>mid-range</t>
  </si>
  <si>
    <t>or average</t>
  </si>
  <si>
    <t>Provisions (boarding) ratios =</t>
  </si>
  <si>
    <t>Silver wage rates:</t>
  </si>
  <si>
    <t>private, kop/day</t>
  </si>
  <si>
    <t>state, kop/day</t>
  </si>
  <si>
    <t>raw</t>
  </si>
  <si>
    <t>olovo, prutovoe</t>
  </si>
  <si>
    <t>Nails</t>
  </si>
  <si>
    <t>dvoetesnye</t>
  </si>
  <si>
    <t>gvozdi</t>
  </si>
  <si>
    <t>1300=pood</t>
  </si>
  <si>
    <t>Needle</t>
  </si>
  <si>
    <t>sewing</t>
  </si>
  <si>
    <t>Linen</t>
  </si>
  <si>
    <t>thin  (fine)</t>
  </si>
  <si>
    <t>polotno l'nianoe</t>
  </si>
  <si>
    <t>10 arshin</t>
  </si>
  <si>
    <t>711,2 cm</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</si>
</sst>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
    <numFmt numFmtId="173" formatCode="0.000"/>
    <numFmt numFmtId="174" formatCode="0.00000"/>
    <numFmt numFmtId="175" formatCode="0.0"/>
    <numFmt numFmtId="176" formatCode="0.0000000"/>
    <numFmt numFmtId="177" formatCode="0.000000"/>
  </numFmts>
  <fonts count="15">
    <font>
      <sz val="10"/>
      <name val="Times New Roman CE"/>
      <family val="0"/>
    </font>
    <font>
      <b/>
      <sz val="8"/>
      <name val="Tahoma"/>
      <family val="0"/>
    </font>
    <font>
      <sz val="8"/>
      <name val="Tahoma"/>
      <family val="0"/>
    </font>
    <font>
      <u val="single"/>
      <sz val="10"/>
      <color indexed="12"/>
      <name val="Times New Roman CE"/>
      <family val="0"/>
    </font>
    <font>
      <u val="single"/>
      <sz val="10"/>
      <color indexed="36"/>
      <name val="Times New Roman CE"/>
      <family val="0"/>
    </font>
    <font>
      <sz val="12"/>
      <name val="Times New Roman CE"/>
      <family val="0"/>
    </font>
    <font>
      <sz val="12"/>
      <name val="Times New Roman"/>
      <family val="1"/>
    </font>
    <font>
      <b/>
      <sz val="12"/>
      <name val="Times New Roman"/>
      <family val="0"/>
    </font>
    <font>
      <b/>
      <sz val="14"/>
      <name val="Times New Roman"/>
      <family val="0"/>
    </font>
    <font>
      <i/>
      <sz val="12"/>
      <name val="Times New Roman"/>
      <family val="0"/>
    </font>
    <font>
      <b/>
      <u val="single"/>
      <sz val="12"/>
      <name val="Times New Roman"/>
      <family val="0"/>
    </font>
    <font>
      <u val="single"/>
      <sz val="12"/>
      <name val="Times New Roman"/>
      <family val="0"/>
    </font>
    <font>
      <b/>
      <i/>
      <sz val="12"/>
      <name val="Times New Roman"/>
      <family val="0"/>
    </font>
    <font>
      <sz val="14"/>
      <name val="Times New Roman"/>
      <family val="0"/>
    </font>
    <font>
      <b/>
      <sz val="8"/>
      <name val="Times New Roman CE"/>
      <family val="2"/>
    </font>
  </fonts>
  <fills count="2">
    <fill>
      <patternFill/>
    </fill>
    <fill>
      <patternFill patternType="gray125"/>
    </fill>
  </fills>
  <borders count="8">
    <border>
      <left/>
      <right/>
      <top/>
      <bottom/>
      <diagonal/>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5" fillId="0" borderId="0" xfId="0" applyFont="1" applyAlignment="1">
      <alignment/>
    </xf>
    <xf numFmtId="0" fontId="6" fillId="0" borderId="0" xfId="0" applyFont="1" applyAlignment="1">
      <alignment/>
    </xf>
    <xf numFmtId="0" fontId="8" fillId="0" borderId="0" xfId="0" applyFont="1" applyAlignment="1">
      <alignment/>
    </xf>
    <xf numFmtId="0" fontId="10" fillId="0" borderId="0" xfId="0" applyFont="1" applyAlignment="1">
      <alignment/>
    </xf>
    <xf numFmtId="0" fontId="6" fillId="0" borderId="0" xfId="0" applyFont="1" applyAlignment="1">
      <alignment horizontal="right"/>
    </xf>
    <xf numFmtId="0" fontId="11" fillId="0" borderId="0" xfId="0" applyFont="1" applyAlignment="1">
      <alignment horizontal="left"/>
    </xf>
    <xf numFmtId="2" fontId="6" fillId="0" borderId="0" xfId="0" applyNumberFormat="1" applyFont="1" applyAlignment="1">
      <alignment/>
    </xf>
    <xf numFmtId="2" fontId="7" fillId="0" borderId="0" xfId="0" applyNumberFormat="1" applyFont="1" applyAlignment="1">
      <alignment/>
    </xf>
    <xf numFmtId="0" fontId="11" fillId="0" borderId="0" xfId="0" applyFont="1" applyAlignment="1">
      <alignment horizontal="right"/>
    </xf>
    <xf numFmtId="0" fontId="7" fillId="0" borderId="0" xfId="0" applyFont="1" applyAlignment="1">
      <alignment/>
    </xf>
    <xf numFmtId="0" fontId="7" fillId="0" borderId="0" xfId="0" applyFont="1" applyAlignment="1">
      <alignment horizontal="right"/>
    </xf>
    <xf numFmtId="175" fontId="7" fillId="0" borderId="0" xfId="0" applyNumberFormat="1" applyFont="1" applyAlignment="1">
      <alignment/>
    </xf>
    <xf numFmtId="173" fontId="7" fillId="0" borderId="0" xfId="0" applyNumberFormat="1" applyFont="1" applyAlignment="1">
      <alignment/>
    </xf>
    <xf numFmtId="173" fontId="6" fillId="0" borderId="0" xfId="0" applyNumberFormat="1" applyFont="1" applyAlignment="1">
      <alignment/>
    </xf>
    <xf numFmtId="17" fontId="6" fillId="0" borderId="0" xfId="0" applyNumberFormat="1" applyFont="1" applyAlignment="1">
      <alignment/>
    </xf>
    <xf numFmtId="172" fontId="6" fillId="0" borderId="0" xfId="0" applyNumberFormat="1" applyFont="1" applyAlignment="1">
      <alignment/>
    </xf>
    <xf numFmtId="175" fontId="6" fillId="0" borderId="0" xfId="0" applyNumberFormat="1" applyFont="1" applyAlignment="1">
      <alignment/>
    </xf>
    <xf numFmtId="0" fontId="9" fillId="0" borderId="0" xfId="0" applyFont="1" applyAlignment="1">
      <alignment/>
    </xf>
    <xf numFmtId="173" fontId="12" fillId="0" borderId="0" xfId="0" applyNumberFormat="1" applyFont="1" applyAlignment="1">
      <alignment/>
    </xf>
    <xf numFmtId="0" fontId="6" fillId="0" borderId="0" xfId="0" applyFont="1" applyAlignment="1">
      <alignment horizontal="left"/>
    </xf>
    <xf numFmtId="0" fontId="6" fillId="0" borderId="1" xfId="0" applyFont="1" applyBorder="1" applyAlignment="1">
      <alignment/>
    </xf>
    <xf numFmtId="16" fontId="6" fillId="0" borderId="0" xfId="0" applyNumberFormat="1" applyFont="1" applyAlignment="1">
      <alignment/>
    </xf>
    <xf numFmtId="2" fontId="6" fillId="0" borderId="1" xfId="0" applyNumberFormat="1" applyFont="1" applyBorder="1" applyAlignment="1">
      <alignment/>
    </xf>
    <xf numFmtId="175" fontId="7" fillId="0" borderId="0" xfId="0" applyNumberFormat="1" applyFont="1" applyAlignment="1">
      <alignment horizontal="right"/>
    </xf>
    <xf numFmtId="2" fontId="6" fillId="0" borderId="0" xfId="0" applyNumberFormat="1" applyFont="1" applyAlignment="1">
      <alignment horizontal="right"/>
    </xf>
    <xf numFmtId="175" fontId="6" fillId="0" borderId="0" xfId="0" applyNumberFormat="1" applyFont="1" applyBorder="1" applyAlignment="1">
      <alignment/>
    </xf>
    <xf numFmtId="173" fontId="6" fillId="0" borderId="2" xfId="0" applyNumberFormat="1" applyFont="1" applyBorder="1" applyAlignment="1">
      <alignment/>
    </xf>
    <xf numFmtId="173" fontId="6" fillId="0" borderId="3" xfId="0" applyNumberFormat="1" applyFont="1" applyBorder="1" applyAlignment="1">
      <alignment/>
    </xf>
    <xf numFmtId="173" fontId="6" fillId="0" borderId="4" xfId="0" applyNumberFormat="1" applyFont="1" applyBorder="1" applyAlignment="1">
      <alignment/>
    </xf>
    <xf numFmtId="173" fontId="7" fillId="0" borderId="4" xfId="0" applyNumberFormat="1" applyFont="1" applyBorder="1" applyAlignment="1">
      <alignment/>
    </xf>
    <xf numFmtId="0" fontId="6" fillId="0" borderId="5" xfId="0" applyFont="1" applyBorder="1" applyAlignment="1">
      <alignment/>
    </xf>
    <xf numFmtId="0" fontId="6" fillId="0" borderId="6" xfId="0" applyFont="1" applyBorder="1" applyAlignment="1">
      <alignment/>
    </xf>
    <xf numFmtId="173" fontId="6" fillId="0" borderId="6" xfId="0" applyNumberFormat="1" applyFont="1" applyBorder="1" applyAlignment="1">
      <alignment/>
    </xf>
    <xf numFmtId="173" fontId="7" fillId="0" borderId="7" xfId="0" applyNumberFormat="1" applyFont="1" applyBorder="1" applyAlignment="1">
      <alignment/>
    </xf>
    <xf numFmtId="173" fontId="6" fillId="0" borderId="0" xfId="0" applyNumberFormat="1" applyFont="1" applyAlignment="1">
      <alignment horizontal="right"/>
    </xf>
    <xf numFmtId="173" fontId="7" fillId="0" borderId="0" xfId="0" applyNumberFormat="1" applyFont="1" applyAlignment="1">
      <alignment horizontal="right"/>
    </xf>
    <xf numFmtId="2" fontId="9" fillId="0" borderId="0" xfId="0" applyNumberFormat="1" applyFont="1" applyAlignment="1">
      <alignment/>
    </xf>
    <xf numFmtId="0" fontId="7" fillId="0" borderId="0" xfId="0" applyFont="1" applyAlignment="1">
      <alignment horizontal="left"/>
    </xf>
    <xf numFmtId="0" fontId="5" fillId="0" borderId="6" xfId="0" applyFont="1" applyBorder="1" applyAlignment="1">
      <alignment/>
    </xf>
    <xf numFmtId="0" fontId="5" fillId="0" borderId="7"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dimension ref="A1:F20"/>
  <sheetViews>
    <sheetView workbookViewId="0" topLeftCell="A1">
      <selection activeCell="H11" sqref="H11"/>
    </sheetView>
  </sheetViews>
  <sheetFormatPr defaultColWidth="11.00390625" defaultRowHeight="12.75"/>
  <cols>
    <col min="1" max="2" width="10.75390625" style="2" customWidth="1"/>
    <col min="3" max="3" width="13.625" style="2" customWidth="1"/>
    <col min="4" max="4" width="10.75390625" style="2" customWidth="1"/>
    <col min="5" max="5" width="14.375" style="2" customWidth="1"/>
    <col min="6" max="16384" width="10.75390625" style="2" customWidth="1"/>
  </cols>
  <sheetData>
    <row r="1" spans="1:4" ht="18.75">
      <c r="A1" s="3" t="s">
        <v>408</v>
      </c>
      <c r="D1" s="2" t="s">
        <v>324</v>
      </c>
    </row>
    <row r="2" ht="15.75"/>
    <row r="3" ht="15.75">
      <c r="B3" s="4" t="s">
        <v>323</v>
      </c>
    </row>
    <row r="4" spans="2:6" ht="15.75">
      <c r="B4" s="9" t="s">
        <v>28</v>
      </c>
      <c r="C4" s="6" t="s">
        <v>26</v>
      </c>
      <c r="D4" s="5"/>
      <c r="E4" s="6" t="s">
        <v>27</v>
      </c>
      <c r="F4" s="5"/>
    </row>
    <row r="5" spans="2:6" ht="15.75">
      <c r="B5" s="5" t="s">
        <v>29</v>
      </c>
      <c r="C5" s="5" t="s">
        <v>410</v>
      </c>
      <c r="D5" s="5" t="s">
        <v>411</v>
      </c>
      <c r="E5" s="5" t="s">
        <v>410</v>
      </c>
      <c r="F5" s="5" t="s">
        <v>411</v>
      </c>
    </row>
    <row r="6" spans="1:6" ht="15.75">
      <c r="A6" s="2">
        <v>1856</v>
      </c>
      <c r="B6" s="7"/>
      <c r="C6" s="7">
        <v>0.984</v>
      </c>
      <c r="D6" s="7">
        <v>0.984</v>
      </c>
      <c r="E6" s="7">
        <v>0.9840000000000001</v>
      </c>
      <c r="F6" s="7"/>
    </row>
    <row r="7" spans="1:6" ht="15">
      <c r="A7" s="2">
        <v>1857</v>
      </c>
      <c r="B7" s="7">
        <v>0.9629999999999997</v>
      </c>
      <c r="C7" s="7">
        <v>0.9630000000000001</v>
      </c>
      <c r="D7" s="7">
        <v>0.963</v>
      </c>
      <c r="E7" s="7">
        <v>0.9630000000000001</v>
      </c>
      <c r="F7" s="7"/>
    </row>
    <row r="8" spans="1:6" ht="15">
      <c r="A8" s="2">
        <v>1858</v>
      </c>
      <c r="B8" s="7"/>
      <c r="C8" s="7">
        <v>0.946</v>
      </c>
      <c r="D8" s="7">
        <v>0.9459999999999998</v>
      </c>
      <c r="E8" s="7">
        <v>0.946</v>
      </c>
      <c r="F8" s="7"/>
    </row>
    <row r="9" spans="1:6" ht="15">
      <c r="A9" s="2">
        <v>1859</v>
      </c>
      <c r="B9" s="7">
        <v>0.835</v>
      </c>
      <c r="C9" s="7">
        <v>0.835</v>
      </c>
      <c r="D9" s="7">
        <v>0.835</v>
      </c>
      <c r="E9" s="7">
        <v>0.835</v>
      </c>
      <c r="F9" s="7"/>
    </row>
    <row r="10" spans="1:6" ht="15">
      <c r="A10" s="2">
        <v>1860</v>
      </c>
      <c r="B10" s="7">
        <v>0.944</v>
      </c>
      <c r="C10" s="7">
        <v>0.9440000000000001</v>
      </c>
      <c r="D10" s="7">
        <v>0.9440000000000001</v>
      </c>
      <c r="E10" s="7">
        <v>0.944</v>
      </c>
      <c r="F10" s="7">
        <v>0.9439999999999998</v>
      </c>
    </row>
    <row r="11" spans="1:6" ht="15">
      <c r="A11" s="2">
        <v>1861</v>
      </c>
      <c r="B11" s="7">
        <v>0.8869999999999999</v>
      </c>
      <c r="C11" s="7">
        <v>0.8870000000000001</v>
      </c>
      <c r="D11" s="7">
        <v>0.887</v>
      </c>
      <c r="E11" s="7">
        <v>0.887</v>
      </c>
      <c r="F11" s="7">
        <v>0.8870000000000001</v>
      </c>
    </row>
    <row r="12" spans="1:6" ht="15">
      <c r="A12" s="2">
        <v>1862</v>
      </c>
      <c r="B12" s="7">
        <v>0.855</v>
      </c>
      <c r="C12" s="7">
        <v>0.855</v>
      </c>
      <c r="D12" s="7">
        <v>0.855</v>
      </c>
      <c r="E12" s="7">
        <v>0.855</v>
      </c>
      <c r="F12" s="7">
        <v>0.855</v>
      </c>
    </row>
    <row r="13" spans="1:6" ht="15">
      <c r="A13" s="2">
        <v>1863</v>
      </c>
      <c r="B13" s="7">
        <v>0.982</v>
      </c>
      <c r="C13" s="7">
        <v>0.9820000000000001</v>
      </c>
      <c r="D13" s="7">
        <v>0.9819999999999999</v>
      </c>
      <c r="E13" s="7">
        <v>0.9820000000000001</v>
      </c>
      <c r="F13" s="7">
        <v>0.982</v>
      </c>
    </row>
    <row r="14" spans="1:6" ht="15">
      <c r="A14" s="2">
        <v>1864</v>
      </c>
      <c r="B14" s="7">
        <v>0.773</v>
      </c>
      <c r="C14" s="7">
        <v>0.773</v>
      </c>
      <c r="D14" s="7">
        <v>0.7729999999999999</v>
      </c>
      <c r="E14" s="7">
        <v>0.7730000000000001</v>
      </c>
      <c r="F14" s="7">
        <v>0.773</v>
      </c>
    </row>
    <row r="15" spans="1:6" ht="15">
      <c r="A15" s="2">
        <v>1865</v>
      </c>
      <c r="B15" s="7">
        <v>0.818</v>
      </c>
      <c r="C15" s="7">
        <v>0.8179999999999998</v>
      </c>
      <c r="D15" s="7">
        <v>0.818</v>
      </c>
      <c r="E15" s="7">
        <v>0.818</v>
      </c>
      <c r="F15" s="7">
        <v>0.818</v>
      </c>
    </row>
    <row r="16" spans="1:6" ht="15">
      <c r="A16" s="2">
        <v>1866</v>
      </c>
      <c r="B16" s="7">
        <v>0.68</v>
      </c>
      <c r="C16" s="7">
        <v>0.68</v>
      </c>
      <c r="D16" s="7">
        <v>0.68</v>
      </c>
      <c r="E16" s="7">
        <v>0.68</v>
      </c>
      <c r="F16" s="7">
        <v>0.68</v>
      </c>
    </row>
    <row r="17" spans="1:6" ht="15">
      <c r="A17" s="2">
        <v>1867</v>
      </c>
      <c r="B17" s="7">
        <v>0.907</v>
      </c>
      <c r="C17" s="7">
        <v>0.907</v>
      </c>
      <c r="D17" s="7">
        <v>0.9069999999999999</v>
      </c>
      <c r="E17" s="7">
        <v>0.9070000000000001</v>
      </c>
      <c r="F17" s="7">
        <v>0.907</v>
      </c>
    </row>
    <row r="19" spans="1:6" ht="15">
      <c r="A19" s="5" t="s">
        <v>321</v>
      </c>
      <c r="B19" s="8">
        <v>0.8643999999999998</v>
      </c>
      <c r="C19" s="8">
        <v>0.8811666666666667</v>
      </c>
      <c r="D19" s="8">
        <v>0.8811666666666667</v>
      </c>
      <c r="E19" s="8">
        <v>0.8811666666666667</v>
      </c>
      <c r="F19" s="8">
        <v>0.8557499999999999</v>
      </c>
    </row>
    <row r="20" spans="1:6" ht="15">
      <c r="A20" s="5" t="s">
        <v>322</v>
      </c>
      <c r="B20" s="7">
        <v>0.09290162060540855</v>
      </c>
      <c r="C20" s="7">
        <v>0.09306188882413205</v>
      </c>
      <c r="D20" s="7">
        <v>0.09306188882413118</v>
      </c>
      <c r="E20" s="7">
        <v>0.09306188882413205</v>
      </c>
      <c r="F20" s="7">
        <v>0.09746171409474556</v>
      </c>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CN166"/>
  <sheetViews>
    <sheetView workbookViewId="0" topLeftCell="A1">
      <pane xSplit="8400" ySplit="3040" topLeftCell="AK1" activePane="bottomRight" state="split"/>
      <selection pane="topLeft" activeCell="A1" sqref="A1"/>
      <selection pane="topRight" activeCell="M6" sqref="M6:N9"/>
      <selection pane="bottomLeft" activeCell="G82" sqref="G82:L86"/>
      <selection pane="bottomRight" activeCell="AL22" sqref="AL22"/>
    </sheetView>
  </sheetViews>
  <sheetFormatPr defaultColWidth="11.00390625" defaultRowHeight="12.75"/>
  <cols>
    <col min="1" max="1" width="9.875" style="2" customWidth="1"/>
    <col min="2" max="3" width="12.875" style="2" customWidth="1"/>
    <col min="4" max="4" width="8.75390625" style="2" customWidth="1"/>
    <col min="5" max="5" width="10.75390625" style="2" customWidth="1"/>
    <col min="6" max="6" width="8.75390625" style="2" customWidth="1"/>
    <col min="7" max="7" width="6.875" style="2" bestFit="1" customWidth="1"/>
    <col min="8" max="8" width="4.375" style="2" bestFit="1" customWidth="1"/>
    <col min="9" max="9" width="5.875" style="2" customWidth="1"/>
    <col min="10" max="10" width="6.875" style="2" bestFit="1" customWidth="1"/>
    <col min="11" max="11" width="6.00390625" style="2" customWidth="1"/>
    <col min="12" max="12" width="6.75390625" style="2" customWidth="1"/>
    <col min="13" max="13" width="7.00390625" style="2" customWidth="1"/>
    <col min="14" max="14" width="5.125" style="2" bestFit="1" customWidth="1"/>
    <col min="15" max="15" width="7.00390625" style="2" customWidth="1"/>
    <col min="16" max="16" width="6.875" style="2" bestFit="1" customWidth="1"/>
    <col min="17" max="17" width="6.375" style="2" customWidth="1"/>
    <col min="18" max="18" width="5.375" style="2" customWidth="1"/>
    <col min="19" max="19" width="6.875" style="2" bestFit="1" customWidth="1"/>
    <col min="20" max="21" width="6.75390625" style="2" customWidth="1"/>
    <col min="22" max="22" width="6.875" style="2" bestFit="1" customWidth="1"/>
    <col min="23" max="23" width="6.75390625" style="2" customWidth="1"/>
    <col min="24" max="25" width="6.375" style="2" customWidth="1"/>
    <col min="26" max="26" width="5.125" style="2" bestFit="1" customWidth="1"/>
    <col min="27" max="27" width="7.375" style="2" customWidth="1"/>
    <col min="28" max="28" width="6.875" style="2" bestFit="1" customWidth="1"/>
    <col min="29" max="29" width="5.125" style="2" bestFit="1" customWidth="1"/>
    <col min="30" max="30" width="6.25390625" style="2" customWidth="1"/>
    <col min="31" max="31" width="6.75390625" style="2" customWidth="1"/>
    <col min="32" max="32" width="6.875" style="2" bestFit="1" customWidth="1"/>
    <col min="33" max="33" width="4.875" style="2" bestFit="1" customWidth="1"/>
    <col min="34" max="34" width="6.00390625" style="2" customWidth="1"/>
    <col min="35" max="35" width="6.375" style="2" customWidth="1"/>
    <col min="36" max="36" width="4.875" style="2" bestFit="1" customWidth="1"/>
    <col min="37" max="37" width="6.875" style="2" customWidth="1"/>
    <col min="38" max="38" width="6.875" style="2" bestFit="1" customWidth="1"/>
    <col min="39" max="39" width="5.125" style="2" bestFit="1" customWidth="1"/>
    <col min="40" max="40" width="6.375" style="2" customWidth="1"/>
    <col min="41" max="41" width="7.375" style="2" customWidth="1"/>
    <col min="42" max="42" width="6.125" style="2" customWidth="1"/>
    <col min="43" max="46" width="6.25390625" style="2" customWidth="1"/>
    <col min="47" max="47" width="7.125" style="2" customWidth="1"/>
    <col min="48" max="48" width="6.125" style="2" customWidth="1"/>
    <col min="49" max="49" width="5.875" style="2" customWidth="1"/>
    <col min="50" max="50" width="6.875" style="2" customWidth="1"/>
    <col min="51" max="51" width="6.75390625" style="2" customWidth="1"/>
    <col min="52" max="52" width="6.00390625" style="2" customWidth="1"/>
    <col min="53" max="53" width="8.125" style="2" customWidth="1"/>
    <col min="54" max="59" width="6.875" style="2" customWidth="1"/>
    <col min="60" max="60" width="6.25390625" style="2" customWidth="1"/>
    <col min="61" max="62" width="6.875" style="2" customWidth="1"/>
    <col min="63" max="63" width="6.875" style="2" bestFit="1" customWidth="1"/>
    <col min="64" max="64" width="5.875" style="2" bestFit="1" customWidth="1"/>
    <col min="65" max="66" width="6.375" style="2" customWidth="1"/>
    <col min="67" max="67" width="4.875" style="2" bestFit="1" customWidth="1"/>
    <col min="68" max="69" width="5.75390625" style="2" customWidth="1"/>
    <col min="70" max="70" width="4.875" style="2" bestFit="1" customWidth="1"/>
    <col min="71" max="80" width="5.375" style="2" customWidth="1"/>
    <col min="81" max="81" width="6.875" style="2" bestFit="1" customWidth="1"/>
    <col min="82" max="82" width="6.125" style="2" customWidth="1"/>
    <col min="83" max="83" width="7.00390625" style="2" customWidth="1"/>
    <col min="84" max="84" width="4.875" style="2" customWidth="1"/>
    <col min="85" max="85" width="4.875" style="2" bestFit="1" customWidth="1"/>
    <col min="86" max="86" width="5.25390625" style="2" customWidth="1"/>
    <col min="87" max="87" width="6.125" style="2" customWidth="1"/>
    <col min="88" max="88" width="5.25390625" style="2" customWidth="1"/>
    <col min="89" max="89" width="7.125" style="10" customWidth="1"/>
    <col min="90" max="16384" width="8.75390625" style="2" customWidth="1"/>
  </cols>
  <sheetData>
    <row r="1" ht="15.75">
      <c r="A1" s="10" t="s">
        <v>172</v>
      </c>
    </row>
    <row r="2" ht="15.75">
      <c r="A2" s="10"/>
    </row>
    <row r="3" spans="1:86" ht="15.75">
      <c r="A3" s="10" t="s">
        <v>392</v>
      </c>
      <c r="G3" s="2">
        <v>4.319</v>
      </c>
      <c r="H3" s="2">
        <v>4.319</v>
      </c>
      <c r="I3" s="2">
        <v>4.319</v>
      </c>
      <c r="J3" s="2">
        <v>3.752</v>
      </c>
      <c r="K3" s="2">
        <v>3.752</v>
      </c>
      <c r="L3" s="2">
        <v>3.752</v>
      </c>
      <c r="M3" s="2">
        <v>3.752</v>
      </c>
      <c r="N3" s="2">
        <v>3.752</v>
      </c>
      <c r="O3" s="2">
        <v>3.752</v>
      </c>
      <c r="P3" s="2">
        <v>2.412</v>
      </c>
      <c r="Q3" s="2">
        <v>2.412</v>
      </c>
      <c r="R3" s="2">
        <v>2.412</v>
      </c>
      <c r="S3" s="2">
        <v>2.412</v>
      </c>
      <c r="T3" s="2">
        <v>2.412</v>
      </c>
      <c r="U3" s="2">
        <v>2.412</v>
      </c>
      <c r="V3" s="2">
        <v>1.641</v>
      </c>
      <c r="W3" s="2">
        <v>1.641</v>
      </c>
      <c r="X3" s="2">
        <v>1.641</v>
      </c>
      <c r="Y3" s="2">
        <v>1.144</v>
      </c>
      <c r="Z3" s="2">
        <v>1.144</v>
      </c>
      <c r="AA3" s="2">
        <v>1.144</v>
      </c>
      <c r="AB3" s="2">
        <v>1.144</v>
      </c>
      <c r="AC3" s="2">
        <v>1.144</v>
      </c>
      <c r="AD3" s="2">
        <v>1.144</v>
      </c>
      <c r="AF3" s="2">
        <v>1.152</v>
      </c>
      <c r="AG3" s="2">
        <v>1.152</v>
      </c>
      <c r="AH3" s="2">
        <v>1.152</v>
      </c>
      <c r="AI3" s="2">
        <v>1.152</v>
      </c>
      <c r="AJ3" s="2">
        <v>1.152</v>
      </c>
      <c r="AK3" s="2">
        <v>1.152</v>
      </c>
      <c r="AL3" s="2">
        <v>1.152</v>
      </c>
      <c r="AM3" s="2">
        <v>1.152</v>
      </c>
      <c r="AN3" s="2">
        <v>1.152</v>
      </c>
      <c r="AO3" s="2">
        <v>1.0436</v>
      </c>
      <c r="AP3" s="2">
        <v>1.0436</v>
      </c>
      <c r="AQ3" s="2">
        <v>1.0436</v>
      </c>
      <c r="AR3" s="2">
        <v>0.985</v>
      </c>
      <c r="AS3" s="2">
        <v>0.985</v>
      </c>
      <c r="AT3" s="2">
        <v>0.985</v>
      </c>
      <c r="AU3" s="2">
        <v>0.955</v>
      </c>
      <c r="AV3" s="2">
        <v>0.955</v>
      </c>
      <c r="AW3" s="2">
        <v>0.955</v>
      </c>
      <c r="AX3" s="2">
        <v>0.718</v>
      </c>
      <c r="AY3" s="2">
        <v>0.718</v>
      </c>
      <c r="AZ3" s="2">
        <v>0.718</v>
      </c>
      <c r="BB3" s="2">
        <v>0.846</v>
      </c>
      <c r="BC3" s="2">
        <v>0.846</v>
      </c>
      <c r="BD3" s="2">
        <v>0.846</v>
      </c>
      <c r="BE3" s="2">
        <v>0.259</v>
      </c>
      <c r="BF3" s="2">
        <v>0.259</v>
      </c>
      <c r="BG3" s="2">
        <v>0.259</v>
      </c>
      <c r="BH3" s="2">
        <v>0.822</v>
      </c>
      <c r="BI3" s="2">
        <v>0.822</v>
      </c>
      <c r="BJ3" s="2">
        <v>0.822</v>
      </c>
      <c r="BK3" s="2">
        <v>0.6157</v>
      </c>
      <c r="BL3" s="2">
        <v>0.6157</v>
      </c>
      <c r="BM3" s="2">
        <v>0.6157</v>
      </c>
      <c r="BN3" s="2">
        <v>0.2451</v>
      </c>
      <c r="BO3" s="2">
        <v>0.2451</v>
      </c>
      <c r="BP3" s="2">
        <v>0.2451</v>
      </c>
      <c r="BQ3" s="2">
        <v>0.265</v>
      </c>
      <c r="BR3" s="2">
        <v>0.265</v>
      </c>
      <c r="BS3" s="2">
        <v>0.265</v>
      </c>
      <c r="BT3" s="2">
        <v>0.2753</v>
      </c>
      <c r="BU3" s="2">
        <v>0.2753</v>
      </c>
      <c r="BV3" s="2">
        <v>0.2753</v>
      </c>
      <c r="BW3" s="2">
        <v>0.9808</v>
      </c>
      <c r="BX3" s="2">
        <v>0.9808</v>
      </c>
      <c r="BY3" s="2">
        <v>0.9808</v>
      </c>
      <c r="BZ3" s="2">
        <v>0.9506</v>
      </c>
      <c r="CA3" s="2">
        <v>0.9506</v>
      </c>
      <c r="CB3" s="2">
        <v>0.9506</v>
      </c>
      <c r="CC3" s="2">
        <v>0.8298</v>
      </c>
      <c r="CD3" s="2">
        <v>0.8298</v>
      </c>
      <c r="CE3" s="2">
        <v>0.8298</v>
      </c>
      <c r="CF3" s="2">
        <v>0.7674</v>
      </c>
      <c r="CG3" s="2">
        <v>0.7674</v>
      </c>
      <c r="CH3" s="2">
        <v>0.7674</v>
      </c>
    </row>
    <row r="4" spans="7:89" s="5" customFormat="1" ht="15.75">
      <c r="G4" s="11" t="s">
        <v>317</v>
      </c>
      <c r="H4" s="11" t="s">
        <v>317</v>
      </c>
      <c r="I4" s="11" t="s">
        <v>317</v>
      </c>
      <c r="J4" s="11" t="s">
        <v>181</v>
      </c>
      <c r="K4" s="11" t="s">
        <v>181</v>
      </c>
      <c r="L4" s="11" t="s">
        <v>181</v>
      </c>
      <c r="M4" s="11" t="s">
        <v>259</v>
      </c>
      <c r="N4" s="11" t="s">
        <v>259</v>
      </c>
      <c r="O4" s="11" t="s">
        <v>259</v>
      </c>
      <c r="P4" s="11" t="s">
        <v>182</v>
      </c>
      <c r="Q4" s="11" t="s">
        <v>182</v>
      </c>
      <c r="R4" s="11" t="s">
        <v>182</v>
      </c>
      <c r="S4" s="11" t="s">
        <v>183</v>
      </c>
      <c r="T4" s="11" t="s">
        <v>183</v>
      </c>
      <c r="U4" s="11" t="s">
        <v>183</v>
      </c>
      <c r="V4" s="11" t="s">
        <v>260</v>
      </c>
      <c r="W4" s="11" t="s">
        <v>260</v>
      </c>
      <c r="X4" s="11" t="s">
        <v>260</v>
      </c>
      <c r="Y4" s="11" t="s">
        <v>185</v>
      </c>
      <c r="Z4" s="11" t="s">
        <v>185</v>
      </c>
      <c r="AA4" s="11" t="s">
        <v>185</v>
      </c>
      <c r="AB4" s="11" t="s">
        <v>186</v>
      </c>
      <c r="AC4" s="11" t="s">
        <v>186</v>
      </c>
      <c r="AD4" s="11" t="s">
        <v>186</v>
      </c>
      <c r="AF4" s="11" t="s">
        <v>196</v>
      </c>
      <c r="AG4" s="11" t="s">
        <v>196</v>
      </c>
      <c r="AH4" s="11" t="s">
        <v>196</v>
      </c>
      <c r="AI4" s="11" t="s">
        <v>197</v>
      </c>
      <c r="AJ4" s="11" t="s">
        <v>197</v>
      </c>
      <c r="AK4" s="11" t="s">
        <v>197</v>
      </c>
      <c r="AL4" s="11" t="s">
        <v>198</v>
      </c>
      <c r="AM4" s="11" t="s">
        <v>198</v>
      </c>
      <c r="AN4" s="11" t="s">
        <v>198</v>
      </c>
      <c r="AO4" s="11" t="s">
        <v>199</v>
      </c>
      <c r="AP4" s="11" t="s">
        <v>199</v>
      </c>
      <c r="AQ4" s="11" t="s">
        <v>199</v>
      </c>
      <c r="AR4" s="11" t="s">
        <v>200</v>
      </c>
      <c r="AS4" s="11" t="s">
        <v>200</v>
      </c>
      <c r="AT4" s="11" t="s">
        <v>200</v>
      </c>
      <c r="AU4" s="11" t="s">
        <v>201</v>
      </c>
      <c r="AV4" s="11" t="s">
        <v>201</v>
      </c>
      <c r="AW4" s="11" t="s">
        <v>201</v>
      </c>
      <c r="AX4" s="11" t="s">
        <v>266</v>
      </c>
      <c r="AY4" s="11" t="s">
        <v>266</v>
      </c>
      <c r="AZ4" s="11" t="s">
        <v>266</v>
      </c>
      <c r="BB4" s="11" t="s">
        <v>261</v>
      </c>
      <c r="BC4" s="11" t="s">
        <v>261</v>
      </c>
      <c r="BD4" s="11" t="s">
        <v>261</v>
      </c>
      <c r="BE4" s="11" t="s">
        <v>390</v>
      </c>
      <c r="BF4" s="11" t="s">
        <v>390</v>
      </c>
      <c r="BG4" s="11" t="s">
        <v>390</v>
      </c>
      <c r="BH4" s="11" t="s">
        <v>391</v>
      </c>
      <c r="BI4" s="11" t="s">
        <v>391</v>
      </c>
      <c r="BJ4" s="11" t="s">
        <v>391</v>
      </c>
      <c r="BK4" s="11" t="s">
        <v>267</v>
      </c>
      <c r="BL4" s="11" t="s">
        <v>267</v>
      </c>
      <c r="BM4" s="11" t="s">
        <v>267</v>
      </c>
      <c r="BN4" s="11" t="s">
        <v>268</v>
      </c>
      <c r="BO4" s="11" t="s">
        <v>268</v>
      </c>
      <c r="BP4" s="11" t="s">
        <v>268</v>
      </c>
      <c r="BQ4" s="11" t="s">
        <v>269</v>
      </c>
      <c r="BR4" s="11" t="s">
        <v>269</v>
      </c>
      <c r="BS4" s="11" t="s">
        <v>269</v>
      </c>
      <c r="BT4" s="11" t="s">
        <v>270</v>
      </c>
      <c r="BU4" s="11" t="s">
        <v>270</v>
      </c>
      <c r="BV4" s="11" t="s">
        <v>270</v>
      </c>
      <c r="BW4" s="11" t="s">
        <v>271</v>
      </c>
      <c r="BX4" s="11" t="s">
        <v>271</v>
      </c>
      <c r="BY4" s="11" t="s">
        <v>271</v>
      </c>
      <c r="BZ4" s="11" t="s">
        <v>272</v>
      </c>
      <c r="CA4" s="11" t="s">
        <v>272</v>
      </c>
      <c r="CB4" s="11" t="s">
        <v>272</v>
      </c>
      <c r="CC4" s="11" t="s">
        <v>273</v>
      </c>
      <c r="CD4" s="11" t="s">
        <v>273</v>
      </c>
      <c r="CE4" s="11" t="s">
        <v>273</v>
      </c>
      <c r="CF4" s="11" t="s">
        <v>274</v>
      </c>
      <c r="CG4" s="11" t="s">
        <v>274</v>
      </c>
      <c r="CH4" s="11" t="s">
        <v>274</v>
      </c>
      <c r="CI4" s="11">
        <v>1871</v>
      </c>
      <c r="CJ4" s="11">
        <v>1871</v>
      </c>
      <c r="CK4" s="11">
        <v>1871</v>
      </c>
    </row>
    <row r="5" spans="7:89" s="5" customFormat="1" ht="15.75">
      <c r="G5" s="11" t="s">
        <v>249</v>
      </c>
      <c r="H5" s="11" t="s">
        <v>250</v>
      </c>
      <c r="I5" s="11" t="s">
        <v>251</v>
      </c>
      <c r="J5" s="11" t="s">
        <v>249</v>
      </c>
      <c r="K5" s="11" t="s">
        <v>250</v>
      </c>
      <c r="L5" s="11" t="s">
        <v>251</v>
      </c>
      <c r="M5" s="11" t="s">
        <v>249</v>
      </c>
      <c r="N5" s="11" t="s">
        <v>250</v>
      </c>
      <c r="O5" s="11" t="s">
        <v>251</v>
      </c>
      <c r="P5" s="11" t="s">
        <v>249</v>
      </c>
      <c r="Q5" s="11" t="s">
        <v>250</v>
      </c>
      <c r="R5" s="11" t="s">
        <v>251</v>
      </c>
      <c r="S5" s="11" t="s">
        <v>249</v>
      </c>
      <c r="T5" s="11" t="s">
        <v>250</v>
      </c>
      <c r="U5" s="11" t="s">
        <v>251</v>
      </c>
      <c r="V5" s="11" t="s">
        <v>249</v>
      </c>
      <c r="W5" s="11" t="s">
        <v>250</v>
      </c>
      <c r="X5" s="11" t="s">
        <v>251</v>
      </c>
      <c r="Y5" s="11" t="s">
        <v>249</v>
      </c>
      <c r="Z5" s="11" t="s">
        <v>250</v>
      </c>
      <c r="AA5" s="11" t="s">
        <v>251</v>
      </c>
      <c r="AB5" s="11" t="s">
        <v>249</v>
      </c>
      <c r="AC5" s="11" t="s">
        <v>250</v>
      </c>
      <c r="AD5" s="11" t="s">
        <v>251</v>
      </c>
      <c r="AE5" s="11"/>
      <c r="AF5" s="11" t="s">
        <v>249</v>
      </c>
      <c r="AG5" s="11" t="s">
        <v>250</v>
      </c>
      <c r="AH5" s="11" t="s">
        <v>251</v>
      </c>
      <c r="AI5" s="11" t="s">
        <v>249</v>
      </c>
      <c r="AJ5" s="11" t="s">
        <v>250</v>
      </c>
      <c r="AK5" s="11" t="s">
        <v>251</v>
      </c>
      <c r="AL5" s="11" t="s">
        <v>249</v>
      </c>
      <c r="AM5" s="11" t="s">
        <v>250</v>
      </c>
      <c r="AN5" s="11" t="s">
        <v>251</v>
      </c>
      <c r="AO5" s="11" t="s">
        <v>249</v>
      </c>
      <c r="AP5" s="11" t="s">
        <v>250</v>
      </c>
      <c r="AQ5" s="11" t="s">
        <v>251</v>
      </c>
      <c r="AR5" s="11" t="s">
        <v>249</v>
      </c>
      <c r="AS5" s="11" t="s">
        <v>250</v>
      </c>
      <c r="AT5" s="11" t="s">
        <v>251</v>
      </c>
      <c r="AU5" s="11" t="s">
        <v>249</v>
      </c>
      <c r="AV5" s="11" t="s">
        <v>250</v>
      </c>
      <c r="AW5" s="11" t="s">
        <v>251</v>
      </c>
      <c r="AX5" s="11" t="s">
        <v>249</v>
      </c>
      <c r="AY5" s="11" t="s">
        <v>250</v>
      </c>
      <c r="AZ5" s="11" t="s">
        <v>251</v>
      </c>
      <c r="BA5" s="11"/>
      <c r="BB5" s="11" t="s">
        <v>249</v>
      </c>
      <c r="BC5" s="11" t="s">
        <v>250</v>
      </c>
      <c r="BD5" s="11" t="s">
        <v>251</v>
      </c>
      <c r="BE5" s="11" t="s">
        <v>249</v>
      </c>
      <c r="BF5" s="11" t="s">
        <v>250</v>
      </c>
      <c r="BG5" s="11" t="s">
        <v>251</v>
      </c>
      <c r="BH5" s="11" t="s">
        <v>249</v>
      </c>
      <c r="BI5" s="11" t="s">
        <v>250</v>
      </c>
      <c r="BJ5" s="11" t="s">
        <v>251</v>
      </c>
      <c r="BK5" s="11" t="s">
        <v>249</v>
      </c>
      <c r="BL5" s="11" t="s">
        <v>250</v>
      </c>
      <c r="BM5" s="11" t="s">
        <v>251</v>
      </c>
      <c r="BN5" s="11" t="s">
        <v>249</v>
      </c>
      <c r="BO5" s="11" t="s">
        <v>250</v>
      </c>
      <c r="BP5" s="11" t="s">
        <v>251</v>
      </c>
      <c r="BQ5" s="11" t="s">
        <v>249</v>
      </c>
      <c r="BR5" s="11" t="s">
        <v>250</v>
      </c>
      <c r="BS5" s="11" t="s">
        <v>251</v>
      </c>
      <c r="BT5" s="11" t="s">
        <v>249</v>
      </c>
      <c r="BU5" s="11" t="s">
        <v>250</v>
      </c>
      <c r="BV5" s="11" t="s">
        <v>251</v>
      </c>
      <c r="BW5" s="11" t="s">
        <v>249</v>
      </c>
      <c r="BX5" s="11" t="s">
        <v>250</v>
      </c>
      <c r="BY5" s="11" t="s">
        <v>251</v>
      </c>
      <c r="BZ5" s="11" t="s">
        <v>249</v>
      </c>
      <c r="CA5" s="11" t="s">
        <v>250</v>
      </c>
      <c r="CB5" s="11" t="s">
        <v>251</v>
      </c>
      <c r="CC5" s="11" t="s">
        <v>249</v>
      </c>
      <c r="CD5" s="11" t="s">
        <v>250</v>
      </c>
      <c r="CE5" s="11" t="s">
        <v>251</v>
      </c>
      <c r="CF5" s="11" t="s">
        <v>249</v>
      </c>
      <c r="CG5" s="11" t="s">
        <v>250</v>
      </c>
      <c r="CH5" s="11" t="s">
        <v>251</v>
      </c>
      <c r="CI5" s="11" t="s">
        <v>249</v>
      </c>
      <c r="CJ5" s="11" t="s">
        <v>250</v>
      </c>
      <c r="CK5" s="11" t="s">
        <v>251</v>
      </c>
    </row>
    <row r="6" spans="1:90" ht="15.75">
      <c r="A6" s="10" t="s">
        <v>275</v>
      </c>
      <c r="C6" s="2" t="s">
        <v>276</v>
      </c>
      <c r="D6" s="2" t="s">
        <v>67</v>
      </c>
      <c r="E6" s="2" t="s">
        <v>68</v>
      </c>
      <c r="F6" s="2" t="s">
        <v>69</v>
      </c>
      <c r="O6" s="2">
        <v>17</v>
      </c>
      <c r="P6" s="2">
        <v>80</v>
      </c>
      <c r="Q6" s="2">
        <v>90</v>
      </c>
      <c r="R6" s="2">
        <v>85</v>
      </c>
      <c r="S6" s="2">
        <v>40</v>
      </c>
      <c r="T6" s="2">
        <v>60</v>
      </c>
      <c r="U6" s="2">
        <v>50</v>
      </c>
      <c r="V6" s="2">
        <v>40</v>
      </c>
      <c r="W6" s="2">
        <v>45</v>
      </c>
      <c r="X6" s="2">
        <v>43</v>
      </c>
      <c r="Y6" s="2">
        <v>30</v>
      </c>
      <c r="Z6" s="2">
        <v>40</v>
      </c>
      <c r="AA6" s="2">
        <v>35</v>
      </c>
      <c r="AB6" s="2">
        <v>40</v>
      </c>
      <c r="AC6" s="2">
        <v>60</v>
      </c>
      <c r="AD6" s="2">
        <v>50</v>
      </c>
      <c r="AE6" s="10" t="s">
        <v>275</v>
      </c>
      <c r="AF6" s="2">
        <v>50</v>
      </c>
      <c r="AG6" s="2">
        <v>60</v>
      </c>
      <c r="AH6" s="2">
        <v>55</v>
      </c>
      <c r="AI6" s="2">
        <v>60</v>
      </c>
      <c r="AJ6" s="2">
        <v>80</v>
      </c>
      <c r="AK6" s="2">
        <v>70</v>
      </c>
      <c r="AL6" s="2">
        <v>60</v>
      </c>
      <c r="AM6" s="2">
        <v>70</v>
      </c>
      <c r="AN6" s="2">
        <v>65</v>
      </c>
      <c r="AO6" s="2">
        <v>60</v>
      </c>
      <c r="AP6" s="2">
        <v>70</v>
      </c>
      <c r="AQ6" s="2">
        <v>65</v>
      </c>
      <c r="AR6" s="2">
        <v>80</v>
      </c>
      <c r="AS6" s="2">
        <v>100</v>
      </c>
      <c r="AT6" s="2">
        <v>90</v>
      </c>
      <c r="AU6" s="2">
        <v>100</v>
      </c>
      <c r="AV6" s="2">
        <v>150</v>
      </c>
      <c r="AW6" s="2">
        <v>125</v>
      </c>
      <c r="AX6" s="2">
        <v>150</v>
      </c>
      <c r="AY6" s="2">
        <v>160</v>
      </c>
      <c r="AZ6" s="2">
        <v>155</v>
      </c>
      <c r="BA6" s="10" t="s">
        <v>275</v>
      </c>
      <c r="BB6" s="2">
        <v>130</v>
      </c>
      <c r="BC6" s="2">
        <v>160</v>
      </c>
      <c r="BD6" s="2">
        <v>140</v>
      </c>
      <c r="BN6" s="10"/>
      <c r="BO6" s="10"/>
      <c r="BP6" s="10"/>
      <c r="BQ6" s="10"/>
      <c r="CC6" s="10">
        <v>155</v>
      </c>
      <c r="CD6" s="10">
        <v>185</v>
      </c>
      <c r="CE6" s="10">
        <v>170</v>
      </c>
      <c r="CK6" s="2"/>
      <c r="CL6" s="10" t="s">
        <v>275</v>
      </c>
    </row>
    <row r="7" spans="1:90" ht="15.75">
      <c r="A7" s="10"/>
      <c r="F7" s="2" t="s">
        <v>160</v>
      </c>
      <c r="O7" s="2">
        <v>63.784</v>
      </c>
      <c r="P7" s="2">
        <f aca="true" t="shared" si="0" ref="P7:AZ7">P6*P3</f>
        <v>192.95999999999998</v>
      </c>
      <c r="Q7" s="2">
        <f t="shared" si="0"/>
        <v>217.07999999999998</v>
      </c>
      <c r="R7" s="2">
        <f t="shared" si="0"/>
        <v>205.01999999999998</v>
      </c>
      <c r="S7" s="2">
        <f t="shared" si="0"/>
        <v>96.47999999999999</v>
      </c>
      <c r="T7" s="2">
        <f t="shared" si="0"/>
        <v>144.72</v>
      </c>
      <c r="U7" s="2">
        <f t="shared" si="0"/>
        <v>120.6</v>
      </c>
      <c r="V7" s="2">
        <f t="shared" si="0"/>
        <v>65.64</v>
      </c>
      <c r="W7" s="2">
        <f t="shared" si="0"/>
        <v>73.845</v>
      </c>
      <c r="X7" s="2">
        <f t="shared" si="0"/>
        <v>70.563</v>
      </c>
      <c r="Y7" s="2">
        <f t="shared" si="0"/>
        <v>34.32</v>
      </c>
      <c r="Z7" s="2">
        <f t="shared" si="0"/>
        <v>45.76</v>
      </c>
      <c r="AA7" s="2">
        <f t="shared" si="0"/>
        <v>40.04</v>
      </c>
      <c r="AB7" s="2">
        <f t="shared" si="0"/>
        <v>45.76</v>
      </c>
      <c r="AC7" s="2">
        <f t="shared" si="0"/>
        <v>68.64</v>
      </c>
      <c r="AD7" s="2">
        <f t="shared" si="0"/>
        <v>57.199999999999996</v>
      </c>
      <c r="AE7" s="2" t="s">
        <v>160</v>
      </c>
      <c r="AF7" s="2">
        <f t="shared" si="0"/>
        <v>57.599999999999994</v>
      </c>
      <c r="AG7" s="2">
        <f t="shared" si="0"/>
        <v>69.11999999999999</v>
      </c>
      <c r="AH7" s="2">
        <f t="shared" si="0"/>
        <v>63.35999999999999</v>
      </c>
      <c r="AI7" s="2">
        <f t="shared" si="0"/>
        <v>69.11999999999999</v>
      </c>
      <c r="AJ7" s="2">
        <f t="shared" si="0"/>
        <v>92.16</v>
      </c>
      <c r="AK7" s="2">
        <f t="shared" si="0"/>
        <v>80.64</v>
      </c>
      <c r="AL7" s="2">
        <f t="shared" si="0"/>
        <v>69.11999999999999</v>
      </c>
      <c r="AM7" s="2">
        <f t="shared" si="0"/>
        <v>80.64</v>
      </c>
      <c r="AN7" s="2">
        <f t="shared" si="0"/>
        <v>74.88</v>
      </c>
      <c r="AO7" s="2">
        <f t="shared" si="0"/>
        <v>62.61600000000001</v>
      </c>
      <c r="AP7" s="2">
        <f t="shared" si="0"/>
        <v>73.052</v>
      </c>
      <c r="AQ7" s="2">
        <f t="shared" si="0"/>
        <v>67.834</v>
      </c>
      <c r="AR7" s="2">
        <f t="shared" si="0"/>
        <v>78.8</v>
      </c>
      <c r="AS7" s="2">
        <f t="shared" si="0"/>
        <v>98.5</v>
      </c>
      <c r="AT7" s="2">
        <f t="shared" si="0"/>
        <v>88.65</v>
      </c>
      <c r="AU7" s="2">
        <f t="shared" si="0"/>
        <v>95.5</v>
      </c>
      <c r="AV7" s="2">
        <f t="shared" si="0"/>
        <v>143.25</v>
      </c>
      <c r="AW7" s="2">
        <f t="shared" si="0"/>
        <v>119.375</v>
      </c>
      <c r="AX7" s="2">
        <f t="shared" si="0"/>
        <v>107.69999999999999</v>
      </c>
      <c r="AY7" s="2">
        <f t="shared" si="0"/>
        <v>114.88</v>
      </c>
      <c r="AZ7" s="2">
        <f t="shared" si="0"/>
        <v>111.28999999999999</v>
      </c>
      <c r="BA7" s="2" t="s">
        <v>160</v>
      </c>
      <c r="BB7" s="2">
        <f>BB6*BB3</f>
        <v>109.97999999999999</v>
      </c>
      <c r="BC7" s="2">
        <f>BC6*BC3</f>
        <v>135.35999999999999</v>
      </c>
      <c r="BD7" s="2">
        <f>BD6*BD3</f>
        <v>118.44</v>
      </c>
      <c r="BN7" s="10"/>
      <c r="BO7" s="10"/>
      <c r="BP7" s="10"/>
      <c r="BQ7" s="10"/>
      <c r="CC7" s="10">
        <f>CC6*CC3</f>
        <v>128.619</v>
      </c>
      <c r="CD7" s="10">
        <f>CD6*CD3</f>
        <v>153.513</v>
      </c>
      <c r="CE7" s="10">
        <f>CE6*CE3</f>
        <v>141.066</v>
      </c>
      <c r="CK7" s="2">
        <v>205.9</v>
      </c>
      <c r="CL7" s="2" t="s">
        <v>160</v>
      </c>
    </row>
    <row r="8" spans="1:90" ht="15.75">
      <c r="A8" s="10" t="s">
        <v>70</v>
      </c>
      <c r="B8" s="2" t="s">
        <v>71</v>
      </c>
      <c r="C8" s="2" t="s">
        <v>72</v>
      </c>
      <c r="D8" s="2" t="s">
        <v>67</v>
      </c>
      <c r="E8" s="2" t="s">
        <v>68</v>
      </c>
      <c r="F8" s="2" t="s">
        <v>69</v>
      </c>
      <c r="O8" s="2">
        <v>300</v>
      </c>
      <c r="P8" s="2">
        <v>160</v>
      </c>
      <c r="Q8" s="2">
        <v>200</v>
      </c>
      <c r="R8" s="2">
        <v>180</v>
      </c>
      <c r="S8" s="2">
        <v>200</v>
      </c>
      <c r="T8" s="2">
        <v>300</v>
      </c>
      <c r="U8" s="2">
        <v>250</v>
      </c>
      <c r="V8" s="2">
        <v>240</v>
      </c>
      <c r="W8" s="2">
        <v>320</v>
      </c>
      <c r="X8" s="2">
        <v>280</v>
      </c>
      <c r="Y8" s="2">
        <v>230</v>
      </c>
      <c r="Z8" s="2">
        <v>250</v>
      </c>
      <c r="AA8" s="2">
        <v>240</v>
      </c>
      <c r="AD8" s="2">
        <v>350</v>
      </c>
      <c r="AE8" s="10" t="s">
        <v>70</v>
      </c>
      <c r="AF8" s="10"/>
      <c r="AG8" s="10"/>
      <c r="AL8" s="2">
        <v>400</v>
      </c>
      <c r="AM8" s="2">
        <v>480</v>
      </c>
      <c r="AN8" s="2">
        <v>440</v>
      </c>
      <c r="AR8" s="2">
        <v>560</v>
      </c>
      <c r="AS8" s="2">
        <v>640</v>
      </c>
      <c r="AT8" s="2">
        <v>600</v>
      </c>
      <c r="AU8" s="2">
        <v>650</v>
      </c>
      <c r="AV8" s="2">
        <v>850</v>
      </c>
      <c r="AW8" s="2">
        <v>750</v>
      </c>
      <c r="AX8" s="2">
        <v>1000</v>
      </c>
      <c r="AY8" s="2">
        <v>1200</v>
      </c>
      <c r="AZ8" s="2">
        <v>1100</v>
      </c>
      <c r="BA8" s="10" t="s">
        <v>70</v>
      </c>
      <c r="BB8" s="2">
        <v>800</v>
      </c>
      <c r="BC8" s="2">
        <v>1000</v>
      </c>
      <c r="BD8" s="2">
        <v>900</v>
      </c>
      <c r="BK8" s="2">
        <v>1400</v>
      </c>
      <c r="BL8" s="2">
        <v>1600</v>
      </c>
      <c r="BM8" s="2">
        <v>1500</v>
      </c>
      <c r="BN8" s="10"/>
      <c r="BO8" s="10"/>
      <c r="BP8" s="10"/>
      <c r="BQ8" s="10"/>
      <c r="CK8" s="2"/>
      <c r="CL8" s="10" t="s">
        <v>70</v>
      </c>
    </row>
    <row r="9" spans="1:90" ht="15.75">
      <c r="A9" s="10"/>
      <c r="F9" s="2" t="s">
        <v>160</v>
      </c>
      <c r="O9" s="2">
        <v>1125.6</v>
      </c>
      <c r="P9" s="2">
        <f aca="true" t="shared" si="1" ref="P9:BM9">P8*P3</f>
        <v>385.91999999999996</v>
      </c>
      <c r="Q9" s="2">
        <f t="shared" si="1"/>
        <v>482.4</v>
      </c>
      <c r="R9" s="2">
        <f t="shared" si="1"/>
        <v>434.15999999999997</v>
      </c>
      <c r="S9" s="2">
        <f t="shared" si="1"/>
        <v>482.4</v>
      </c>
      <c r="T9" s="2">
        <f t="shared" si="1"/>
        <v>723.6</v>
      </c>
      <c r="U9" s="2">
        <f t="shared" si="1"/>
        <v>603</v>
      </c>
      <c r="V9" s="2">
        <f t="shared" si="1"/>
        <v>393.84000000000003</v>
      </c>
      <c r="W9" s="2">
        <f t="shared" si="1"/>
        <v>525.12</v>
      </c>
      <c r="X9" s="2">
        <f t="shared" si="1"/>
        <v>459.48</v>
      </c>
      <c r="Y9" s="2">
        <f t="shared" si="1"/>
        <v>263.12</v>
      </c>
      <c r="Z9" s="2">
        <f t="shared" si="1"/>
        <v>286</v>
      </c>
      <c r="AA9" s="2">
        <f t="shared" si="1"/>
        <v>274.56</v>
      </c>
      <c r="AD9" s="2">
        <f t="shared" si="1"/>
        <v>400.4</v>
      </c>
      <c r="AE9" s="2" t="s">
        <v>160</v>
      </c>
      <c r="AF9" s="10"/>
      <c r="AG9" s="10"/>
      <c r="AL9" s="2">
        <f t="shared" si="1"/>
        <v>460.79999999999995</v>
      </c>
      <c r="AM9" s="2">
        <f t="shared" si="1"/>
        <v>552.9599999999999</v>
      </c>
      <c r="AN9" s="2">
        <f t="shared" si="1"/>
        <v>506.87999999999994</v>
      </c>
      <c r="AR9" s="2">
        <f t="shared" si="1"/>
        <v>551.6</v>
      </c>
      <c r="AS9" s="2">
        <f t="shared" si="1"/>
        <v>630.4</v>
      </c>
      <c r="AT9" s="2">
        <f t="shared" si="1"/>
        <v>591</v>
      </c>
      <c r="AU9" s="2">
        <f t="shared" si="1"/>
        <v>620.75</v>
      </c>
      <c r="AV9" s="2">
        <f t="shared" si="1"/>
        <v>811.75</v>
      </c>
      <c r="AW9" s="2">
        <f t="shared" si="1"/>
        <v>716.25</v>
      </c>
      <c r="AX9" s="2">
        <f t="shared" si="1"/>
        <v>718</v>
      </c>
      <c r="AY9" s="2">
        <f t="shared" si="1"/>
        <v>861.5999999999999</v>
      </c>
      <c r="AZ9" s="2">
        <f t="shared" si="1"/>
        <v>789.8</v>
      </c>
      <c r="BA9" s="2" t="s">
        <v>160</v>
      </c>
      <c r="BB9" s="2">
        <f t="shared" si="1"/>
        <v>676.8</v>
      </c>
      <c r="BC9" s="2">
        <f t="shared" si="1"/>
        <v>846</v>
      </c>
      <c r="BD9" s="2">
        <f t="shared" si="1"/>
        <v>761.4</v>
      </c>
      <c r="BK9" s="2">
        <f t="shared" si="1"/>
        <v>861.98</v>
      </c>
      <c r="BL9" s="2">
        <f t="shared" si="1"/>
        <v>985.12</v>
      </c>
      <c r="BM9" s="2">
        <f t="shared" si="1"/>
        <v>923.5500000000001</v>
      </c>
      <c r="BN9" s="10"/>
      <c r="BO9" s="10"/>
      <c r="BP9" s="10"/>
      <c r="BQ9" s="10"/>
      <c r="CK9" s="2"/>
      <c r="CL9" s="2" t="s">
        <v>160</v>
      </c>
    </row>
    <row r="10" spans="1:90" ht="15.75">
      <c r="A10" s="10" t="s">
        <v>73</v>
      </c>
      <c r="B10" s="2" t="s">
        <v>74</v>
      </c>
      <c r="C10" s="2" t="s">
        <v>75</v>
      </c>
      <c r="D10" s="2" t="s">
        <v>67</v>
      </c>
      <c r="E10" s="2" t="s">
        <v>68</v>
      </c>
      <c r="F10" s="2" t="s">
        <v>69</v>
      </c>
      <c r="M10" s="2">
        <v>380</v>
      </c>
      <c r="N10" s="2">
        <v>460</v>
      </c>
      <c r="O10" s="2">
        <v>420</v>
      </c>
      <c r="R10" s="2">
        <v>350</v>
      </c>
      <c r="S10" s="2">
        <v>480</v>
      </c>
      <c r="T10" s="2">
        <v>500</v>
      </c>
      <c r="U10" s="2">
        <v>490</v>
      </c>
      <c r="AA10" s="2">
        <v>800</v>
      </c>
      <c r="AB10" s="2">
        <v>1000</v>
      </c>
      <c r="AC10" s="2">
        <v>1100</v>
      </c>
      <c r="AD10" s="2">
        <v>1050</v>
      </c>
      <c r="AE10" s="10" t="s">
        <v>73</v>
      </c>
      <c r="AF10" s="10"/>
      <c r="AG10" s="10"/>
      <c r="AQ10" s="2">
        <v>800</v>
      </c>
      <c r="BA10" s="10" t="s">
        <v>73</v>
      </c>
      <c r="BB10" s="10"/>
      <c r="BC10" s="10"/>
      <c r="BD10" s="10"/>
      <c r="BO10" s="10"/>
      <c r="BP10" s="10"/>
      <c r="BQ10" s="10"/>
      <c r="CK10" s="2"/>
      <c r="CL10" s="10" t="s">
        <v>73</v>
      </c>
    </row>
    <row r="11" spans="1:92" ht="15.75">
      <c r="A11" s="10"/>
      <c r="F11" s="2" t="s">
        <v>160</v>
      </c>
      <c r="M11" s="2">
        <v>1425.76</v>
      </c>
      <c r="N11" s="2">
        <v>1725.92</v>
      </c>
      <c r="O11" s="2">
        <v>1575.84</v>
      </c>
      <c r="R11" s="2">
        <f>R10*R3</f>
        <v>844.1999999999999</v>
      </c>
      <c r="S11" s="2">
        <f>S10*S3</f>
        <v>1157.76</v>
      </c>
      <c r="T11" s="2">
        <f>T10*T3</f>
        <v>1206</v>
      </c>
      <c r="U11" s="2">
        <f>U10*U3</f>
        <v>1181.8799999999999</v>
      </c>
      <c r="AA11" s="2">
        <f>AA10*AA3</f>
        <v>915.1999999999999</v>
      </c>
      <c r="AB11" s="2">
        <f>AB10*AB3</f>
        <v>1144</v>
      </c>
      <c r="AC11" s="2">
        <f>AC10*AC3</f>
        <v>1258.3999999999999</v>
      </c>
      <c r="AD11" s="2">
        <f>AD10*AD3</f>
        <v>1201.1999999999998</v>
      </c>
      <c r="AE11" s="2" t="s">
        <v>160</v>
      </c>
      <c r="AF11" s="10"/>
      <c r="AG11" s="10"/>
      <c r="AQ11" s="2">
        <f>AQ10*AQ3</f>
        <v>834.8800000000001</v>
      </c>
      <c r="BA11" s="2" t="s">
        <v>160</v>
      </c>
      <c r="BB11" s="10"/>
      <c r="BC11" s="10"/>
      <c r="BD11" s="10"/>
      <c r="BO11" s="10"/>
      <c r="BP11" s="10"/>
      <c r="BQ11" s="10"/>
      <c r="CK11" s="2">
        <v>1107.6</v>
      </c>
      <c r="CL11" s="2" t="s">
        <v>160</v>
      </c>
      <c r="CN11" s="10"/>
    </row>
    <row r="12" spans="1:92" ht="15.75">
      <c r="A12" s="10" t="s">
        <v>76</v>
      </c>
      <c r="C12" s="2" t="s">
        <v>77</v>
      </c>
      <c r="D12" s="2" t="s">
        <v>67</v>
      </c>
      <c r="E12" s="2" t="s">
        <v>68</v>
      </c>
      <c r="F12" s="2" t="s">
        <v>69</v>
      </c>
      <c r="O12" s="2">
        <v>50</v>
      </c>
      <c r="P12" s="2">
        <v>70</v>
      </c>
      <c r="Q12" s="2">
        <v>120</v>
      </c>
      <c r="R12" s="2">
        <v>95</v>
      </c>
      <c r="S12" s="2">
        <v>70</v>
      </c>
      <c r="T12" s="2">
        <v>120</v>
      </c>
      <c r="U12" s="2">
        <v>95</v>
      </c>
      <c r="X12" s="2">
        <v>120</v>
      </c>
      <c r="AB12" s="2">
        <v>160</v>
      </c>
      <c r="AC12" s="2">
        <v>210</v>
      </c>
      <c r="AD12" s="2">
        <v>185</v>
      </c>
      <c r="AE12" s="10" t="s">
        <v>76</v>
      </c>
      <c r="AG12" s="10"/>
      <c r="AI12" s="2">
        <v>250</v>
      </c>
      <c r="AJ12" s="2">
        <v>300</v>
      </c>
      <c r="AK12" s="2">
        <v>275</v>
      </c>
      <c r="AL12" s="2">
        <v>260</v>
      </c>
      <c r="AM12" s="2">
        <v>300</v>
      </c>
      <c r="AN12" s="2">
        <v>280</v>
      </c>
      <c r="AT12" s="2">
        <v>400</v>
      </c>
      <c r="BA12" s="10" t="s">
        <v>76</v>
      </c>
      <c r="BB12" s="10"/>
      <c r="BC12" s="10"/>
      <c r="BD12" s="10"/>
      <c r="BO12" s="10"/>
      <c r="BP12" s="10"/>
      <c r="BQ12" s="10"/>
      <c r="CK12" s="2"/>
      <c r="CL12" s="10" t="s">
        <v>76</v>
      </c>
      <c r="CN12" s="10"/>
    </row>
    <row r="13" spans="1:92" ht="15.75">
      <c r="A13" s="10"/>
      <c r="F13" s="2" t="s">
        <v>160</v>
      </c>
      <c r="O13" s="2">
        <v>187.6</v>
      </c>
      <c r="P13" s="2">
        <f aca="true" t="shared" si="2" ref="P13:U13">P12*P3</f>
        <v>168.84</v>
      </c>
      <c r="Q13" s="2">
        <f t="shared" si="2"/>
        <v>289.44</v>
      </c>
      <c r="R13" s="2">
        <f t="shared" si="2"/>
        <v>229.14</v>
      </c>
      <c r="S13" s="2">
        <f t="shared" si="2"/>
        <v>168.84</v>
      </c>
      <c r="T13" s="2">
        <f t="shared" si="2"/>
        <v>289.44</v>
      </c>
      <c r="U13" s="2">
        <f t="shared" si="2"/>
        <v>229.14</v>
      </c>
      <c r="X13" s="2">
        <f>X12*X3</f>
        <v>196.92000000000002</v>
      </c>
      <c r="AB13" s="2">
        <f>AB12*AB3</f>
        <v>183.04</v>
      </c>
      <c r="AC13" s="2">
        <f>AC12*AC3</f>
        <v>240.23999999999998</v>
      </c>
      <c r="AD13" s="2">
        <f>AD12*AD3</f>
        <v>211.64</v>
      </c>
      <c r="AE13" s="2" t="s">
        <v>160</v>
      </c>
      <c r="AG13" s="10"/>
      <c r="AI13" s="2">
        <f aca="true" t="shared" si="3" ref="AI13:AN13">AI12*AI3</f>
        <v>288</v>
      </c>
      <c r="AJ13" s="2">
        <f t="shared" si="3"/>
        <v>345.59999999999997</v>
      </c>
      <c r="AK13" s="2">
        <f t="shared" si="3"/>
        <v>316.79999999999995</v>
      </c>
      <c r="AL13" s="2">
        <f t="shared" si="3"/>
        <v>299.52</v>
      </c>
      <c r="AM13" s="2">
        <f t="shared" si="3"/>
        <v>345.59999999999997</v>
      </c>
      <c r="AN13" s="2">
        <f t="shared" si="3"/>
        <v>322.56</v>
      </c>
      <c r="AT13" s="2">
        <f>AT12*AT3</f>
        <v>394</v>
      </c>
      <c r="BA13" s="2" t="s">
        <v>160</v>
      </c>
      <c r="BB13" s="10"/>
      <c r="BC13" s="10"/>
      <c r="BD13" s="10"/>
      <c r="BO13" s="10"/>
      <c r="BP13" s="10"/>
      <c r="BQ13" s="10"/>
      <c r="CK13" s="2"/>
      <c r="CL13" s="2" t="s">
        <v>160</v>
      </c>
      <c r="CN13" s="10"/>
    </row>
    <row r="14" spans="1:92" ht="15.75">
      <c r="A14" s="10" t="s">
        <v>192</v>
      </c>
      <c r="C14" s="2" t="s">
        <v>193</v>
      </c>
      <c r="D14" s="2" t="s">
        <v>67</v>
      </c>
      <c r="E14" s="2" t="s">
        <v>68</v>
      </c>
      <c r="F14" s="2" t="s">
        <v>69</v>
      </c>
      <c r="O14" s="2">
        <v>50</v>
      </c>
      <c r="P14" s="2">
        <v>70</v>
      </c>
      <c r="Q14" s="2">
        <v>120</v>
      </c>
      <c r="R14" s="2">
        <v>80</v>
      </c>
      <c r="S14" s="2">
        <v>70</v>
      </c>
      <c r="T14" s="2">
        <v>120</v>
      </c>
      <c r="U14" s="2">
        <v>80</v>
      </c>
      <c r="V14" s="2">
        <v>70</v>
      </c>
      <c r="W14" s="2">
        <v>120</v>
      </c>
      <c r="X14" s="2">
        <v>80</v>
      </c>
      <c r="Y14" s="2">
        <v>75</v>
      </c>
      <c r="Z14" s="2">
        <v>80</v>
      </c>
      <c r="AA14" s="2">
        <v>78</v>
      </c>
      <c r="AB14" s="2">
        <v>170</v>
      </c>
      <c r="AC14" s="2">
        <v>180</v>
      </c>
      <c r="AD14" s="2">
        <v>175</v>
      </c>
      <c r="AE14" s="10" t="s">
        <v>192</v>
      </c>
      <c r="AF14" s="2">
        <v>160</v>
      </c>
      <c r="AG14" s="2">
        <v>170</v>
      </c>
      <c r="AH14" s="2">
        <v>165</v>
      </c>
      <c r="AI14" s="2">
        <v>140</v>
      </c>
      <c r="AJ14" s="2">
        <v>160</v>
      </c>
      <c r="AK14" s="2">
        <v>150</v>
      </c>
      <c r="AL14" s="2">
        <v>180</v>
      </c>
      <c r="AM14" s="2">
        <v>200</v>
      </c>
      <c r="AN14" s="2">
        <v>190</v>
      </c>
      <c r="AO14" s="2">
        <v>200</v>
      </c>
      <c r="AP14" s="2">
        <v>220</v>
      </c>
      <c r="AQ14" s="2">
        <v>210</v>
      </c>
      <c r="BA14" s="10" t="s">
        <v>192</v>
      </c>
      <c r="BB14" s="10"/>
      <c r="BC14" s="10"/>
      <c r="BD14" s="10"/>
      <c r="BO14" s="10"/>
      <c r="BP14" s="10"/>
      <c r="BQ14" s="10"/>
      <c r="CK14" s="2"/>
      <c r="CL14" s="10" t="s">
        <v>192</v>
      </c>
      <c r="CN14" s="10"/>
    </row>
    <row r="15" spans="1:92" ht="15.75">
      <c r="A15" s="10"/>
      <c r="F15" s="2" t="s">
        <v>160</v>
      </c>
      <c r="O15" s="2">
        <v>187.6</v>
      </c>
      <c r="P15" s="2">
        <f aca="true" t="shared" si="4" ref="P15:AQ15">P14*P3</f>
        <v>168.84</v>
      </c>
      <c r="Q15" s="2">
        <f t="shared" si="4"/>
        <v>289.44</v>
      </c>
      <c r="R15" s="2">
        <f t="shared" si="4"/>
        <v>192.95999999999998</v>
      </c>
      <c r="S15" s="2">
        <f t="shared" si="4"/>
        <v>168.84</v>
      </c>
      <c r="T15" s="2">
        <f t="shared" si="4"/>
        <v>289.44</v>
      </c>
      <c r="U15" s="2">
        <f t="shared" si="4"/>
        <v>192.95999999999998</v>
      </c>
      <c r="V15" s="2">
        <f t="shared" si="4"/>
        <v>114.87</v>
      </c>
      <c r="W15" s="2">
        <f t="shared" si="4"/>
        <v>196.92000000000002</v>
      </c>
      <c r="X15" s="2">
        <f t="shared" si="4"/>
        <v>131.28</v>
      </c>
      <c r="Y15" s="2">
        <f t="shared" si="4"/>
        <v>85.8</v>
      </c>
      <c r="Z15" s="2">
        <f t="shared" si="4"/>
        <v>91.52</v>
      </c>
      <c r="AA15" s="2">
        <f t="shared" si="4"/>
        <v>89.232</v>
      </c>
      <c r="AB15" s="2">
        <f t="shared" si="4"/>
        <v>194.48</v>
      </c>
      <c r="AC15" s="2">
        <f t="shared" si="4"/>
        <v>205.92</v>
      </c>
      <c r="AD15" s="2">
        <f t="shared" si="4"/>
        <v>200.2</v>
      </c>
      <c r="AE15" s="2" t="s">
        <v>160</v>
      </c>
      <c r="AF15" s="2">
        <f t="shared" si="4"/>
        <v>184.32</v>
      </c>
      <c r="AG15" s="2">
        <f t="shared" si="4"/>
        <v>195.83999999999997</v>
      </c>
      <c r="AH15" s="2">
        <f t="shared" si="4"/>
        <v>190.07999999999998</v>
      </c>
      <c r="AI15" s="2">
        <f t="shared" si="4"/>
        <v>161.28</v>
      </c>
      <c r="AJ15" s="2">
        <f t="shared" si="4"/>
        <v>184.32</v>
      </c>
      <c r="AK15" s="2">
        <f t="shared" si="4"/>
        <v>172.79999999999998</v>
      </c>
      <c r="AL15" s="2">
        <f t="shared" si="4"/>
        <v>207.35999999999999</v>
      </c>
      <c r="AM15" s="2">
        <f t="shared" si="4"/>
        <v>230.39999999999998</v>
      </c>
      <c r="AN15" s="2">
        <f t="shared" si="4"/>
        <v>218.88</v>
      </c>
      <c r="AO15" s="2">
        <f t="shared" si="4"/>
        <v>208.72000000000003</v>
      </c>
      <c r="AP15" s="2">
        <f t="shared" si="4"/>
        <v>229.592</v>
      </c>
      <c r="AQ15" s="2">
        <f t="shared" si="4"/>
        <v>219.156</v>
      </c>
      <c r="BA15" s="2" t="s">
        <v>160</v>
      </c>
      <c r="BB15" s="10"/>
      <c r="BC15" s="10"/>
      <c r="BD15" s="10"/>
      <c r="BO15" s="10"/>
      <c r="BP15" s="10"/>
      <c r="BQ15" s="10"/>
      <c r="CK15" s="2"/>
      <c r="CL15" s="2" t="s">
        <v>160</v>
      </c>
      <c r="CN15" s="10"/>
    </row>
    <row r="16" spans="1:92" ht="15.75">
      <c r="A16" s="10" t="s">
        <v>194</v>
      </c>
      <c r="B16" s="2" t="s">
        <v>412</v>
      </c>
      <c r="C16" s="2" t="s">
        <v>413</v>
      </c>
      <c r="D16" s="2" t="s">
        <v>67</v>
      </c>
      <c r="E16" s="2" t="s">
        <v>68</v>
      </c>
      <c r="F16" s="2" t="s">
        <v>69</v>
      </c>
      <c r="P16" s="2">
        <v>510</v>
      </c>
      <c r="Q16" s="2">
        <v>530</v>
      </c>
      <c r="R16" s="2">
        <v>520</v>
      </c>
      <c r="S16" s="2">
        <v>510</v>
      </c>
      <c r="T16" s="2">
        <v>530</v>
      </c>
      <c r="U16" s="2">
        <v>520</v>
      </c>
      <c r="V16" s="2">
        <v>320</v>
      </c>
      <c r="W16" s="2">
        <v>360</v>
      </c>
      <c r="X16" s="2">
        <v>340</v>
      </c>
      <c r="Y16" s="2">
        <v>300</v>
      </c>
      <c r="Z16" s="2">
        <v>680</v>
      </c>
      <c r="AA16" s="2">
        <v>490</v>
      </c>
      <c r="AD16" s="2">
        <v>700</v>
      </c>
      <c r="AE16" s="10" t="s">
        <v>194</v>
      </c>
      <c r="AF16" s="2">
        <v>700</v>
      </c>
      <c r="AG16" s="2">
        <v>750</v>
      </c>
      <c r="AH16" s="2">
        <v>725</v>
      </c>
      <c r="AK16" s="2">
        <v>800</v>
      </c>
      <c r="AL16" s="2">
        <v>880</v>
      </c>
      <c r="AM16" s="2">
        <v>920</v>
      </c>
      <c r="AN16" s="2">
        <v>900</v>
      </c>
      <c r="AQ16" s="2">
        <v>960</v>
      </c>
      <c r="BA16" s="10" t="s">
        <v>194</v>
      </c>
      <c r="BB16" s="10"/>
      <c r="BC16" s="10"/>
      <c r="BD16" s="10"/>
      <c r="BO16" s="10"/>
      <c r="BP16" s="10"/>
      <c r="BQ16" s="10"/>
      <c r="CK16" s="2"/>
      <c r="CL16" s="10" t="s">
        <v>194</v>
      </c>
      <c r="CN16" s="10"/>
    </row>
    <row r="17" spans="1:92" ht="15.75">
      <c r="A17" s="10"/>
      <c r="F17" s="2" t="s">
        <v>160</v>
      </c>
      <c r="P17" s="2">
        <f aca="true" t="shared" si="5" ref="P17:AA17">P16*P3</f>
        <v>1230.12</v>
      </c>
      <c r="Q17" s="2">
        <f t="shared" si="5"/>
        <v>1278.36</v>
      </c>
      <c r="R17" s="2">
        <f t="shared" si="5"/>
        <v>1254.24</v>
      </c>
      <c r="S17" s="2">
        <f t="shared" si="5"/>
        <v>1230.12</v>
      </c>
      <c r="T17" s="2">
        <f t="shared" si="5"/>
        <v>1278.36</v>
      </c>
      <c r="U17" s="2">
        <f t="shared" si="5"/>
        <v>1254.24</v>
      </c>
      <c r="V17" s="2">
        <f t="shared" si="5"/>
        <v>525.12</v>
      </c>
      <c r="W17" s="2">
        <f t="shared" si="5"/>
        <v>590.76</v>
      </c>
      <c r="X17" s="2">
        <f t="shared" si="5"/>
        <v>557.94</v>
      </c>
      <c r="Y17" s="2">
        <f t="shared" si="5"/>
        <v>343.2</v>
      </c>
      <c r="Z17" s="2">
        <f t="shared" si="5"/>
        <v>777.92</v>
      </c>
      <c r="AA17" s="2">
        <f t="shared" si="5"/>
        <v>560.56</v>
      </c>
      <c r="AD17" s="2">
        <f>AD16*AD3</f>
        <v>800.8</v>
      </c>
      <c r="AE17" s="2" t="s">
        <v>160</v>
      </c>
      <c r="AF17" s="2">
        <f>AF16*AF3</f>
        <v>806.4</v>
      </c>
      <c r="AG17" s="2">
        <f>AG16*AG3</f>
        <v>863.9999999999999</v>
      </c>
      <c r="AH17" s="2">
        <f>AH16*AH3</f>
        <v>835.1999999999999</v>
      </c>
      <c r="AK17" s="2">
        <f>AK16*AK3</f>
        <v>921.5999999999999</v>
      </c>
      <c r="AL17" s="2">
        <f>AL16*AL3</f>
        <v>1013.7599999999999</v>
      </c>
      <c r="AM17" s="2">
        <f>AM16*AM3</f>
        <v>1059.84</v>
      </c>
      <c r="AN17" s="2">
        <f>AN16*AN3</f>
        <v>1036.8</v>
      </c>
      <c r="AQ17" s="2">
        <f>AQ16*AQ3</f>
        <v>1001.8560000000001</v>
      </c>
      <c r="BA17" s="2" t="s">
        <v>160</v>
      </c>
      <c r="BB17" s="10"/>
      <c r="BC17" s="10"/>
      <c r="BD17" s="10"/>
      <c r="BO17" s="10"/>
      <c r="BP17" s="10"/>
      <c r="BQ17" s="10"/>
      <c r="CK17" s="2">
        <v>1704</v>
      </c>
      <c r="CL17" s="2" t="s">
        <v>160</v>
      </c>
      <c r="CN17" s="10"/>
    </row>
    <row r="18" spans="1:92" ht="15.75">
      <c r="A18" s="10" t="s">
        <v>414</v>
      </c>
      <c r="B18" s="2" t="s">
        <v>415</v>
      </c>
      <c r="C18" s="2" t="s">
        <v>416</v>
      </c>
      <c r="D18" s="2">
        <v>100</v>
      </c>
      <c r="E18" s="2" t="s">
        <v>417</v>
      </c>
      <c r="F18" s="2" t="s">
        <v>69</v>
      </c>
      <c r="O18" s="2">
        <v>9.5</v>
      </c>
      <c r="P18" s="2">
        <v>9</v>
      </c>
      <c r="Q18" s="2">
        <v>10</v>
      </c>
      <c r="R18" s="2">
        <v>9.5</v>
      </c>
      <c r="S18" s="2">
        <v>7</v>
      </c>
      <c r="T18" s="2">
        <v>8</v>
      </c>
      <c r="U18" s="2">
        <v>7.5</v>
      </c>
      <c r="V18" s="2">
        <v>6</v>
      </c>
      <c r="W18" s="2">
        <v>7</v>
      </c>
      <c r="X18" s="2">
        <v>6.5</v>
      </c>
      <c r="AE18" s="10" t="s">
        <v>414</v>
      </c>
      <c r="AF18" s="2">
        <v>6</v>
      </c>
      <c r="AG18" s="2">
        <v>8</v>
      </c>
      <c r="AH18" s="2">
        <v>7</v>
      </c>
      <c r="AL18" s="2">
        <v>8.9</v>
      </c>
      <c r="AM18" s="2">
        <v>9</v>
      </c>
      <c r="AN18" s="2">
        <v>8.5</v>
      </c>
      <c r="AO18" s="2">
        <v>9</v>
      </c>
      <c r="AP18" s="2">
        <v>10</v>
      </c>
      <c r="AQ18" s="2">
        <v>9.5</v>
      </c>
      <c r="AR18" s="2">
        <v>13</v>
      </c>
      <c r="AS18" s="2">
        <v>15</v>
      </c>
      <c r="AT18" s="2">
        <v>14</v>
      </c>
      <c r="AU18" s="2">
        <v>30</v>
      </c>
      <c r="AV18" s="2">
        <v>40</v>
      </c>
      <c r="AW18" s="2">
        <v>35</v>
      </c>
      <c r="AX18" s="2">
        <v>40</v>
      </c>
      <c r="AY18" s="2">
        <v>50</v>
      </c>
      <c r="AZ18" s="2">
        <v>45</v>
      </c>
      <c r="BA18" s="10" t="s">
        <v>414</v>
      </c>
      <c r="BB18" s="2">
        <v>35</v>
      </c>
      <c r="BC18" s="2">
        <v>50</v>
      </c>
      <c r="BD18" s="2">
        <v>40</v>
      </c>
      <c r="BO18" s="10"/>
      <c r="BP18" s="10"/>
      <c r="BQ18" s="10"/>
      <c r="CC18" s="10">
        <v>280</v>
      </c>
      <c r="CD18" s="10">
        <v>330</v>
      </c>
      <c r="CE18" s="10">
        <v>305</v>
      </c>
      <c r="CF18" s="2" t="s">
        <v>83</v>
      </c>
      <c r="CK18" s="2"/>
      <c r="CL18" s="10" t="s">
        <v>414</v>
      </c>
      <c r="CN18" s="10"/>
    </row>
    <row r="19" spans="1:92" ht="15.75">
      <c r="A19" s="10" t="s">
        <v>414</v>
      </c>
      <c r="C19" s="2" t="s">
        <v>416</v>
      </c>
      <c r="F19" s="2" t="s">
        <v>160</v>
      </c>
      <c r="O19" s="2">
        <v>35.644</v>
      </c>
      <c r="P19" s="2">
        <f aca="true" t="shared" si="6" ref="P19:BD19">P18*P3</f>
        <v>21.708</v>
      </c>
      <c r="Q19" s="2">
        <f t="shared" si="6"/>
        <v>24.119999999999997</v>
      </c>
      <c r="R19" s="2">
        <f t="shared" si="6"/>
        <v>22.913999999999998</v>
      </c>
      <c r="S19" s="2">
        <f t="shared" si="6"/>
        <v>16.884</v>
      </c>
      <c r="T19" s="2">
        <f t="shared" si="6"/>
        <v>19.296</v>
      </c>
      <c r="U19" s="2">
        <f t="shared" si="6"/>
        <v>18.09</v>
      </c>
      <c r="V19" s="2">
        <f t="shared" si="6"/>
        <v>9.846</v>
      </c>
      <c r="W19" s="2">
        <f t="shared" si="6"/>
        <v>11.487</v>
      </c>
      <c r="X19" s="2">
        <f t="shared" si="6"/>
        <v>10.6665</v>
      </c>
      <c r="AE19" s="2" t="s">
        <v>160</v>
      </c>
      <c r="AF19" s="2">
        <f t="shared" si="6"/>
        <v>6.911999999999999</v>
      </c>
      <c r="AG19" s="2">
        <f t="shared" si="6"/>
        <v>9.216</v>
      </c>
      <c r="AH19" s="2">
        <f t="shared" si="6"/>
        <v>8.064</v>
      </c>
      <c r="AL19" s="2">
        <f t="shared" si="6"/>
        <v>10.252799999999999</v>
      </c>
      <c r="AM19" s="2">
        <f t="shared" si="6"/>
        <v>10.367999999999999</v>
      </c>
      <c r="AN19" s="2">
        <f t="shared" si="6"/>
        <v>9.792</v>
      </c>
      <c r="AO19" s="2">
        <f t="shared" si="6"/>
        <v>9.3924</v>
      </c>
      <c r="AP19" s="2">
        <f t="shared" si="6"/>
        <v>10.436</v>
      </c>
      <c r="AQ19" s="2">
        <f t="shared" si="6"/>
        <v>9.914200000000001</v>
      </c>
      <c r="AR19" s="2">
        <f t="shared" si="6"/>
        <v>12.805</v>
      </c>
      <c r="AS19" s="2">
        <f t="shared" si="6"/>
        <v>14.775</v>
      </c>
      <c r="AT19" s="2">
        <f t="shared" si="6"/>
        <v>13.79</v>
      </c>
      <c r="AU19" s="2">
        <f t="shared" si="6"/>
        <v>28.65</v>
      </c>
      <c r="AV19" s="2">
        <f t="shared" si="6"/>
        <v>38.199999999999996</v>
      </c>
      <c r="AW19" s="2">
        <f t="shared" si="6"/>
        <v>33.425</v>
      </c>
      <c r="AX19" s="2">
        <f t="shared" si="6"/>
        <v>28.72</v>
      </c>
      <c r="AY19" s="2">
        <f t="shared" si="6"/>
        <v>35.9</v>
      </c>
      <c r="AZ19" s="2">
        <f t="shared" si="6"/>
        <v>32.31</v>
      </c>
      <c r="BA19" s="2" t="s">
        <v>160</v>
      </c>
      <c r="BB19" s="2">
        <f t="shared" si="6"/>
        <v>29.61</v>
      </c>
      <c r="BC19" s="7">
        <f t="shared" si="6"/>
        <v>42.3</v>
      </c>
      <c r="BD19" s="2">
        <f t="shared" si="6"/>
        <v>33.839999999999996</v>
      </c>
      <c r="BO19" s="10"/>
      <c r="BP19" s="10"/>
      <c r="BQ19" s="10"/>
      <c r="CC19" s="12">
        <f>CC18*CC3</f>
        <v>232.344</v>
      </c>
      <c r="CD19" s="12">
        <f>CD18*CD3</f>
        <v>273.834</v>
      </c>
      <c r="CE19" s="12">
        <f>CE18*CE3</f>
        <v>253.089</v>
      </c>
      <c r="CK19" s="2">
        <v>25.45076923076923</v>
      </c>
      <c r="CL19" s="2" t="s">
        <v>160</v>
      </c>
      <c r="CN19" s="10"/>
    </row>
    <row r="20" spans="1:92" ht="15.75">
      <c r="A20" s="10" t="s">
        <v>414</v>
      </c>
      <c r="C20" s="2" t="s">
        <v>416</v>
      </c>
      <c r="D20" s="2" t="s">
        <v>142</v>
      </c>
      <c r="F20" s="2" t="s">
        <v>140</v>
      </c>
      <c r="O20" s="13">
        <v>5.092</v>
      </c>
      <c r="P20" s="14">
        <f aca="true" t="shared" si="7" ref="P20:X20">(1300/100)*P19*0.18/16.38</f>
        <v>3.1011428571428565</v>
      </c>
      <c r="Q20" s="14">
        <f t="shared" si="7"/>
        <v>3.4457142857142853</v>
      </c>
      <c r="R20" s="13">
        <f t="shared" si="7"/>
        <v>3.2734285714285707</v>
      </c>
      <c r="S20" s="14">
        <f t="shared" si="7"/>
        <v>2.4120000000000004</v>
      </c>
      <c r="T20" s="14">
        <f t="shared" si="7"/>
        <v>2.7565714285714287</v>
      </c>
      <c r="U20" s="14">
        <f t="shared" si="7"/>
        <v>2.584285714285714</v>
      </c>
      <c r="V20" s="14">
        <f t="shared" si="7"/>
        <v>1.4065714285714286</v>
      </c>
      <c r="W20" s="14">
        <f t="shared" si="7"/>
        <v>1.641</v>
      </c>
      <c r="X20" s="13">
        <f t="shared" si="7"/>
        <v>1.523785714285714</v>
      </c>
      <c r="AE20" s="2" t="s">
        <v>140</v>
      </c>
      <c r="AF20" s="14">
        <f>(1300/100)*AF19*0.18/16.38</f>
        <v>0.9874285714285715</v>
      </c>
      <c r="AG20" s="14">
        <f>(1300/100)*AG19*0.18/16.38</f>
        <v>1.3165714285714285</v>
      </c>
      <c r="AH20" s="14">
        <f>(1300/100)*AH19*0.18/16.38</f>
        <v>1.1520000000000001</v>
      </c>
      <c r="AK20" s="14"/>
      <c r="AL20" s="14">
        <f aca="true" t="shared" si="8" ref="AL20:AZ20">(1300/100)*AL19*0.18/16.38</f>
        <v>1.4646857142857141</v>
      </c>
      <c r="AM20" s="14">
        <f t="shared" si="8"/>
        <v>1.481142857142857</v>
      </c>
      <c r="AN20" s="13">
        <f t="shared" si="8"/>
        <v>1.3988571428571428</v>
      </c>
      <c r="AO20" s="14">
        <f t="shared" si="8"/>
        <v>1.3417714285714286</v>
      </c>
      <c r="AP20" s="14">
        <f t="shared" si="8"/>
        <v>1.4908571428571429</v>
      </c>
      <c r="AQ20" s="14">
        <f t="shared" si="8"/>
        <v>1.4163142857142859</v>
      </c>
      <c r="AR20" s="14">
        <f t="shared" si="8"/>
        <v>1.8292857142857144</v>
      </c>
      <c r="AS20" s="14">
        <f t="shared" si="8"/>
        <v>2.110714285714286</v>
      </c>
      <c r="AT20" s="14">
        <f t="shared" si="8"/>
        <v>1.9699999999999998</v>
      </c>
      <c r="AU20" s="14">
        <f t="shared" si="8"/>
        <v>4.0928571428571425</v>
      </c>
      <c r="AV20" s="14">
        <f t="shared" si="8"/>
        <v>5.457142857142857</v>
      </c>
      <c r="AW20" s="14">
        <f t="shared" si="8"/>
        <v>4.7749999999999995</v>
      </c>
      <c r="AX20" s="14">
        <f t="shared" si="8"/>
        <v>4.102857142857143</v>
      </c>
      <c r="AY20" s="14">
        <f t="shared" si="8"/>
        <v>5.128571428571429</v>
      </c>
      <c r="AZ20" s="14">
        <f t="shared" si="8"/>
        <v>4.6157142857142865</v>
      </c>
      <c r="BB20" s="14">
        <f>(1300/100)*BB19*0.18/16.38</f>
        <v>4.23</v>
      </c>
      <c r="BC20" s="14">
        <f>(1300/100)*BC19*0.18/16.38</f>
        <v>6.042857142857144</v>
      </c>
      <c r="BD20" s="13">
        <f>(1300/100)*BD19*0.18/16.38</f>
        <v>4.8342857142857145</v>
      </c>
      <c r="BO20" s="10"/>
      <c r="BP20" s="10"/>
      <c r="BQ20" s="10"/>
      <c r="CC20" s="14">
        <f>(1300/100)*CC19*0.18/16.38</f>
        <v>33.192</v>
      </c>
      <c r="CD20" s="14">
        <f>(1300/100)*CD19*0.18/16.38</f>
        <v>39.11914285714286</v>
      </c>
      <c r="CE20" s="14">
        <f>(1300/100)*CE19*0.18/16.38</f>
        <v>36.15557142857143</v>
      </c>
      <c r="CK20" s="2"/>
      <c r="CN20" s="10"/>
    </row>
    <row r="21" spans="1:92" ht="15.75">
      <c r="A21" s="10" t="s">
        <v>414</v>
      </c>
      <c r="C21" s="2" t="s">
        <v>416</v>
      </c>
      <c r="D21" s="2">
        <v>100</v>
      </c>
      <c r="F21" s="2" t="s">
        <v>319</v>
      </c>
      <c r="O21" s="13">
        <v>6.41592</v>
      </c>
      <c r="P21" s="14">
        <f>P20*1.26</f>
        <v>3.9074399999999994</v>
      </c>
      <c r="Q21" s="14">
        <f aca="true" t="shared" si="9" ref="Q21:X21">Q20*1.26</f>
        <v>4.3416</v>
      </c>
      <c r="R21" s="13">
        <f t="shared" si="9"/>
        <v>4.1245199999999995</v>
      </c>
      <c r="S21" s="14">
        <f t="shared" si="9"/>
        <v>3.0391200000000005</v>
      </c>
      <c r="T21" s="14">
        <f t="shared" si="9"/>
        <v>3.4732800000000004</v>
      </c>
      <c r="U21" s="14">
        <f t="shared" si="9"/>
        <v>3.2561999999999998</v>
      </c>
      <c r="V21" s="14">
        <f t="shared" si="9"/>
        <v>1.77228</v>
      </c>
      <c r="W21" s="14">
        <f t="shared" si="9"/>
        <v>2.06766</v>
      </c>
      <c r="X21" s="13">
        <f t="shared" si="9"/>
        <v>1.9199699999999997</v>
      </c>
      <c r="AE21" s="2" t="s">
        <v>319</v>
      </c>
      <c r="AF21" s="14">
        <f>AF20*1.26</f>
        <v>1.2441600000000002</v>
      </c>
      <c r="AG21" s="14">
        <f>AG20*1.26</f>
        <v>1.65888</v>
      </c>
      <c r="AH21" s="14">
        <f>AH20*1.26</f>
        <v>1.4515200000000001</v>
      </c>
      <c r="AI21" s="14"/>
      <c r="AJ21" s="14"/>
      <c r="AK21" s="14"/>
      <c r="AL21" s="14">
        <f aca="true" t="shared" si="10" ref="AL21:AZ21">AL20*1.26</f>
        <v>1.8455039999999998</v>
      </c>
      <c r="AM21" s="14">
        <f t="shared" si="10"/>
        <v>1.86624</v>
      </c>
      <c r="AN21" s="13">
        <f t="shared" si="10"/>
        <v>1.76256</v>
      </c>
      <c r="AO21" s="14">
        <f t="shared" si="10"/>
        <v>1.6906320000000001</v>
      </c>
      <c r="AP21" s="14">
        <f t="shared" si="10"/>
        <v>1.8784800000000001</v>
      </c>
      <c r="AQ21" s="14">
        <f t="shared" si="10"/>
        <v>1.7845560000000003</v>
      </c>
      <c r="AR21" s="14">
        <f t="shared" si="10"/>
        <v>2.3049</v>
      </c>
      <c r="AS21" s="14">
        <f t="shared" si="10"/>
        <v>2.659500000000001</v>
      </c>
      <c r="AT21" s="14">
        <f t="shared" si="10"/>
        <v>2.4821999999999997</v>
      </c>
      <c r="AU21" s="14">
        <f t="shared" si="10"/>
        <v>5.157</v>
      </c>
      <c r="AV21" s="14">
        <f t="shared" si="10"/>
        <v>6.876</v>
      </c>
      <c r="AW21" s="14">
        <f t="shared" si="10"/>
        <v>6.0165</v>
      </c>
      <c r="AX21" s="14">
        <f t="shared" si="10"/>
        <v>5.169600000000001</v>
      </c>
      <c r="AY21" s="14">
        <f t="shared" si="10"/>
        <v>6.462000000000001</v>
      </c>
      <c r="AZ21" s="14">
        <f t="shared" si="10"/>
        <v>5.815800000000001</v>
      </c>
      <c r="BA21" s="14"/>
      <c r="BB21" s="14">
        <f>BB20*1.26</f>
        <v>5.3298000000000005</v>
      </c>
      <c r="BC21" s="14">
        <f>BC20*1.26</f>
        <v>7.614000000000001</v>
      </c>
      <c r="BD21" s="13">
        <f>BD20*1.26</f>
        <v>6.091200000000001</v>
      </c>
      <c r="BN21" s="10"/>
      <c r="BO21" s="10"/>
      <c r="BP21" s="10"/>
      <c r="BQ21" s="10"/>
      <c r="CC21" s="14">
        <f>CC20*1.26</f>
        <v>41.82192</v>
      </c>
      <c r="CD21" s="14">
        <f>CD20*1.26</f>
        <v>49.29012000000001</v>
      </c>
      <c r="CE21" s="14">
        <f>CE20*1.26</f>
        <v>45.55602</v>
      </c>
      <c r="CK21" s="2"/>
      <c r="CN21" s="10"/>
    </row>
    <row r="22" spans="1:92" ht="15.75">
      <c r="A22" s="10"/>
      <c r="BN22" s="10"/>
      <c r="BO22" s="10"/>
      <c r="BP22" s="10"/>
      <c r="BQ22" s="10"/>
      <c r="CC22" s="10"/>
      <c r="CD22" s="10"/>
      <c r="CE22" s="10"/>
      <c r="CK22" s="2"/>
      <c r="CN22" s="10"/>
    </row>
    <row r="23" spans="1:92" ht="15.75">
      <c r="A23" s="10" t="s">
        <v>418</v>
      </c>
      <c r="B23" s="2" t="s">
        <v>419</v>
      </c>
      <c r="C23" s="2" t="s">
        <v>51</v>
      </c>
      <c r="D23" s="2">
        <v>1000</v>
      </c>
      <c r="F23" s="2" t="s">
        <v>69</v>
      </c>
      <c r="P23" s="2">
        <v>35</v>
      </c>
      <c r="Q23" s="2">
        <v>40</v>
      </c>
      <c r="R23" s="2">
        <v>37</v>
      </c>
      <c r="S23" s="2">
        <v>35</v>
      </c>
      <c r="T23" s="2">
        <v>40</v>
      </c>
      <c r="U23" s="2">
        <v>37</v>
      </c>
      <c r="V23" s="2">
        <v>30</v>
      </c>
      <c r="W23" s="2">
        <v>35</v>
      </c>
      <c r="X23" s="2">
        <v>33</v>
      </c>
      <c r="Y23" s="2">
        <v>29</v>
      </c>
      <c r="Z23" s="2">
        <v>30</v>
      </c>
      <c r="AA23" s="2">
        <v>29.5</v>
      </c>
      <c r="AE23" s="10" t="s">
        <v>418</v>
      </c>
      <c r="AF23" s="10"/>
      <c r="AG23" s="10"/>
      <c r="AX23" s="2">
        <v>300</v>
      </c>
      <c r="AY23" s="2">
        <v>400</v>
      </c>
      <c r="AZ23" s="2">
        <v>350</v>
      </c>
      <c r="BA23" s="10" t="s">
        <v>418</v>
      </c>
      <c r="BB23" s="2">
        <v>300</v>
      </c>
      <c r="BC23" s="2">
        <v>400</v>
      </c>
      <c r="BD23" s="2">
        <v>350</v>
      </c>
      <c r="BN23" s="10"/>
      <c r="BO23" s="10"/>
      <c r="BP23" s="10"/>
      <c r="BQ23" s="10"/>
      <c r="CK23" s="2"/>
      <c r="CL23" s="10" t="s">
        <v>418</v>
      </c>
      <c r="CN23" s="10"/>
    </row>
    <row r="24" spans="1:92" ht="15.75">
      <c r="A24" s="10"/>
      <c r="F24" s="2" t="s">
        <v>160</v>
      </c>
      <c r="P24" s="2">
        <f aca="true" t="shared" si="11" ref="P24:AA24">P23*P3</f>
        <v>84.42</v>
      </c>
      <c r="Q24" s="2">
        <f t="shared" si="11"/>
        <v>96.47999999999999</v>
      </c>
      <c r="R24" s="2">
        <f t="shared" si="11"/>
        <v>89.244</v>
      </c>
      <c r="S24" s="2">
        <f t="shared" si="11"/>
        <v>84.42</v>
      </c>
      <c r="T24" s="2">
        <f t="shared" si="11"/>
        <v>96.47999999999999</v>
      </c>
      <c r="U24" s="2">
        <f t="shared" si="11"/>
        <v>89.244</v>
      </c>
      <c r="V24" s="2">
        <f t="shared" si="11"/>
        <v>49.230000000000004</v>
      </c>
      <c r="W24" s="2">
        <f t="shared" si="11"/>
        <v>57.435</v>
      </c>
      <c r="X24" s="2">
        <f t="shared" si="11"/>
        <v>54.153</v>
      </c>
      <c r="Y24" s="2">
        <f t="shared" si="11"/>
        <v>33.175999999999995</v>
      </c>
      <c r="Z24" s="2">
        <f t="shared" si="11"/>
        <v>34.32</v>
      </c>
      <c r="AA24" s="2">
        <f t="shared" si="11"/>
        <v>33.748</v>
      </c>
      <c r="AE24" s="2" t="s">
        <v>160</v>
      </c>
      <c r="AF24" s="10"/>
      <c r="AG24" s="10"/>
      <c r="AX24" s="2">
        <f>AX23*AX3</f>
        <v>215.39999999999998</v>
      </c>
      <c r="AY24" s="2">
        <f>AY23*AY3</f>
        <v>287.2</v>
      </c>
      <c r="AZ24" s="2">
        <f>AZ23*AZ3</f>
        <v>251.29999999999998</v>
      </c>
      <c r="BA24" s="2" t="s">
        <v>160</v>
      </c>
      <c r="BB24" s="2">
        <f>BB23*BB3</f>
        <v>253.79999999999998</v>
      </c>
      <c r="BC24" s="2">
        <f>BC23*BC3</f>
        <v>338.4</v>
      </c>
      <c r="BD24" s="2">
        <f>BD23*BD3</f>
        <v>296.09999999999997</v>
      </c>
      <c r="BN24" s="10"/>
      <c r="BO24" s="10"/>
      <c r="BP24" s="10"/>
      <c r="BQ24" s="10"/>
      <c r="CK24" s="2"/>
      <c r="CL24" s="2" t="s">
        <v>160</v>
      </c>
      <c r="CN24" s="10"/>
    </row>
    <row r="25" spans="1:92" ht="15.75">
      <c r="A25" s="10" t="s">
        <v>420</v>
      </c>
      <c r="B25" s="2" t="s">
        <v>421</v>
      </c>
      <c r="C25" s="2" t="s">
        <v>422</v>
      </c>
      <c r="D25" s="2" t="s">
        <v>423</v>
      </c>
      <c r="E25" s="2" t="s">
        <v>424</v>
      </c>
      <c r="F25" s="2" t="s">
        <v>69</v>
      </c>
      <c r="P25" s="2">
        <v>25</v>
      </c>
      <c r="Q25" s="2">
        <v>34</v>
      </c>
      <c r="R25" s="2">
        <v>30</v>
      </c>
      <c r="V25" s="2">
        <v>30</v>
      </c>
      <c r="W25" s="2">
        <v>35</v>
      </c>
      <c r="X25" s="2">
        <v>33</v>
      </c>
      <c r="Y25" s="2">
        <v>20</v>
      </c>
      <c r="Z25" s="2">
        <v>30</v>
      </c>
      <c r="AA25" s="2">
        <v>25</v>
      </c>
      <c r="AB25" s="2">
        <v>25</v>
      </c>
      <c r="AC25" s="2">
        <v>30</v>
      </c>
      <c r="AD25" s="2">
        <v>28</v>
      </c>
      <c r="AE25" s="10" t="s">
        <v>420</v>
      </c>
      <c r="AF25" s="10"/>
      <c r="AG25" s="10"/>
      <c r="AW25" s="2">
        <v>110</v>
      </c>
      <c r="AX25" s="2">
        <v>130</v>
      </c>
      <c r="AY25" s="2">
        <v>150</v>
      </c>
      <c r="AZ25" s="2">
        <v>140</v>
      </c>
      <c r="BA25" s="10" t="s">
        <v>420</v>
      </c>
      <c r="BB25" s="2">
        <v>110</v>
      </c>
      <c r="BC25" s="2">
        <v>140</v>
      </c>
      <c r="BD25" s="2">
        <v>120</v>
      </c>
      <c r="BN25" s="10"/>
      <c r="BO25" s="10"/>
      <c r="BP25" s="10"/>
      <c r="BQ25" s="10"/>
      <c r="CK25" s="2"/>
      <c r="CL25" s="10" t="s">
        <v>420</v>
      </c>
      <c r="CN25" s="10"/>
    </row>
    <row r="26" spans="1:92" ht="15.75">
      <c r="A26" s="10"/>
      <c r="F26" s="2" t="s">
        <v>160</v>
      </c>
      <c r="P26" s="2">
        <f aca="true" t="shared" si="12" ref="P26:AD26">P25*P3</f>
        <v>60.3</v>
      </c>
      <c r="Q26" s="2">
        <f t="shared" si="12"/>
        <v>82.008</v>
      </c>
      <c r="R26" s="2">
        <f t="shared" si="12"/>
        <v>72.36</v>
      </c>
      <c r="V26" s="2">
        <f t="shared" si="12"/>
        <v>49.230000000000004</v>
      </c>
      <c r="W26" s="2">
        <f t="shared" si="12"/>
        <v>57.435</v>
      </c>
      <c r="X26" s="2">
        <f t="shared" si="12"/>
        <v>54.153</v>
      </c>
      <c r="Y26" s="2">
        <f t="shared" si="12"/>
        <v>22.88</v>
      </c>
      <c r="Z26" s="2">
        <f t="shared" si="12"/>
        <v>34.32</v>
      </c>
      <c r="AA26" s="2">
        <f t="shared" si="12"/>
        <v>28.599999999999998</v>
      </c>
      <c r="AB26" s="2">
        <f t="shared" si="12"/>
        <v>28.599999999999998</v>
      </c>
      <c r="AC26" s="2">
        <f t="shared" si="12"/>
        <v>34.32</v>
      </c>
      <c r="AD26" s="2">
        <f t="shared" si="12"/>
        <v>32.032</v>
      </c>
      <c r="AE26" s="2" t="s">
        <v>160</v>
      </c>
      <c r="AF26" s="10"/>
      <c r="AG26" s="10"/>
      <c r="AW26" s="2">
        <f>AW25*AW3</f>
        <v>105.05</v>
      </c>
      <c r="AX26" s="2">
        <f>AX25*AX3</f>
        <v>93.34</v>
      </c>
      <c r="AY26" s="2">
        <f>AY25*AY3</f>
        <v>107.69999999999999</v>
      </c>
      <c r="AZ26" s="2">
        <f>AZ25*AZ3</f>
        <v>100.52</v>
      </c>
      <c r="BA26" s="2" t="s">
        <v>160</v>
      </c>
      <c r="BB26" s="2">
        <f>BB25*BB3</f>
        <v>93.06</v>
      </c>
      <c r="BC26" s="2">
        <f>BC25*BC3</f>
        <v>118.44</v>
      </c>
      <c r="BD26" s="2">
        <f>BD25*BD3</f>
        <v>101.52</v>
      </c>
      <c r="BN26" s="10"/>
      <c r="BO26" s="10"/>
      <c r="BP26" s="10"/>
      <c r="BQ26" s="10"/>
      <c r="CK26" s="2"/>
      <c r="CL26" s="2" t="s">
        <v>160</v>
      </c>
      <c r="CN26" s="10"/>
    </row>
    <row r="27" spans="1:92" ht="15.75">
      <c r="A27" s="10" t="s">
        <v>420</v>
      </c>
      <c r="B27" s="2" t="s">
        <v>282</v>
      </c>
      <c r="C27" s="2" t="s">
        <v>422</v>
      </c>
      <c r="D27" s="2" t="s">
        <v>423</v>
      </c>
      <c r="E27" s="2" t="s">
        <v>424</v>
      </c>
      <c r="F27" s="2" t="s">
        <v>69</v>
      </c>
      <c r="M27" s="2">
        <v>5.9</v>
      </c>
      <c r="N27" s="2">
        <v>8.1</v>
      </c>
      <c r="O27" s="2">
        <v>7</v>
      </c>
      <c r="V27" s="2">
        <v>10</v>
      </c>
      <c r="W27" s="2">
        <v>15</v>
      </c>
      <c r="X27" s="2">
        <v>13</v>
      </c>
      <c r="Y27" s="2">
        <v>10</v>
      </c>
      <c r="Z27" s="2">
        <v>15</v>
      </c>
      <c r="AA27" s="2">
        <v>12.5</v>
      </c>
      <c r="AB27" s="2">
        <v>15</v>
      </c>
      <c r="AC27" s="2">
        <v>20</v>
      </c>
      <c r="AD27" s="2">
        <v>18</v>
      </c>
      <c r="AE27" s="10" t="s">
        <v>420</v>
      </c>
      <c r="AF27" s="2">
        <v>15</v>
      </c>
      <c r="AG27" s="2">
        <v>20</v>
      </c>
      <c r="AH27" s="2">
        <v>18</v>
      </c>
      <c r="AX27" s="2">
        <v>80</v>
      </c>
      <c r="AY27" s="2">
        <v>100</v>
      </c>
      <c r="AZ27" s="2">
        <v>90</v>
      </c>
      <c r="BA27" s="10" t="s">
        <v>420</v>
      </c>
      <c r="BB27" s="2">
        <v>80</v>
      </c>
      <c r="BC27" s="2">
        <v>100</v>
      </c>
      <c r="BD27" s="2">
        <v>90</v>
      </c>
      <c r="BN27" s="10"/>
      <c r="BO27" s="10"/>
      <c r="BP27" s="10"/>
      <c r="BQ27" s="10"/>
      <c r="CK27" s="2"/>
      <c r="CL27" s="10" t="s">
        <v>420</v>
      </c>
      <c r="CN27" s="10"/>
    </row>
    <row r="28" spans="1:92" ht="15.75">
      <c r="A28" s="10"/>
      <c r="F28" s="2" t="s">
        <v>160</v>
      </c>
      <c r="M28" s="2">
        <v>22.1368</v>
      </c>
      <c r="N28" s="2">
        <v>30.391199999999998</v>
      </c>
      <c r="O28" s="2">
        <v>26.264</v>
      </c>
      <c r="V28" s="2">
        <f aca="true" t="shared" si="13" ref="V28:AD28">V27*V3</f>
        <v>16.41</v>
      </c>
      <c r="W28" s="2">
        <f t="shared" si="13"/>
        <v>24.615000000000002</v>
      </c>
      <c r="X28" s="2">
        <f t="shared" si="13"/>
        <v>21.333</v>
      </c>
      <c r="Y28" s="2">
        <f t="shared" si="13"/>
        <v>11.44</v>
      </c>
      <c r="Z28" s="2">
        <f t="shared" si="13"/>
        <v>17.16</v>
      </c>
      <c r="AA28" s="2">
        <f t="shared" si="13"/>
        <v>14.299999999999999</v>
      </c>
      <c r="AB28" s="2">
        <f t="shared" si="13"/>
        <v>17.16</v>
      </c>
      <c r="AC28" s="2">
        <f t="shared" si="13"/>
        <v>22.88</v>
      </c>
      <c r="AD28" s="2">
        <f t="shared" si="13"/>
        <v>20.592</v>
      </c>
      <c r="AE28" s="2" t="s">
        <v>160</v>
      </c>
      <c r="AF28" s="2">
        <f>AF27*AF3</f>
        <v>17.279999999999998</v>
      </c>
      <c r="AG28" s="2">
        <f>AG27*AG3</f>
        <v>23.04</v>
      </c>
      <c r="AH28" s="2">
        <f>AH27*AH3</f>
        <v>20.735999999999997</v>
      </c>
      <c r="AX28" s="2">
        <f>AX27*AX3</f>
        <v>57.44</v>
      </c>
      <c r="AY28" s="2">
        <f>AY27*AY3</f>
        <v>71.8</v>
      </c>
      <c r="AZ28" s="2">
        <f>AZ27*AZ3</f>
        <v>64.62</v>
      </c>
      <c r="BA28" s="2" t="s">
        <v>160</v>
      </c>
      <c r="BB28" s="2">
        <f>BB27*BB3</f>
        <v>67.67999999999999</v>
      </c>
      <c r="BC28" s="2">
        <f>BC27*BC3</f>
        <v>84.6</v>
      </c>
      <c r="BD28" s="2">
        <f>BD27*BD3</f>
        <v>76.14</v>
      </c>
      <c r="BN28" s="10"/>
      <c r="BO28" s="10"/>
      <c r="BP28" s="10"/>
      <c r="BQ28" s="10"/>
      <c r="CK28" s="2">
        <v>51.12</v>
      </c>
      <c r="CL28" s="2" t="s">
        <v>160</v>
      </c>
      <c r="CN28" s="10"/>
    </row>
    <row r="29" spans="1:92" ht="15.75">
      <c r="A29" s="10" t="s">
        <v>420</v>
      </c>
      <c r="B29" s="2" t="s">
        <v>283</v>
      </c>
      <c r="C29" s="2" t="s">
        <v>284</v>
      </c>
      <c r="D29" s="2" t="s">
        <v>423</v>
      </c>
      <c r="E29" s="2" t="s">
        <v>424</v>
      </c>
      <c r="F29" s="2" t="s">
        <v>69</v>
      </c>
      <c r="M29" s="2">
        <v>15</v>
      </c>
      <c r="N29" s="2">
        <v>25</v>
      </c>
      <c r="O29" s="2">
        <v>21.9</v>
      </c>
      <c r="R29" s="2">
        <v>60</v>
      </c>
      <c r="V29" s="2">
        <v>20</v>
      </c>
      <c r="W29" s="2">
        <v>25</v>
      </c>
      <c r="X29" s="2">
        <v>23</v>
      </c>
      <c r="Y29" s="2">
        <v>25</v>
      </c>
      <c r="Z29" s="2">
        <v>35</v>
      </c>
      <c r="AA29" s="2">
        <v>30</v>
      </c>
      <c r="AB29" s="2">
        <v>20</v>
      </c>
      <c r="AC29" s="2">
        <v>40</v>
      </c>
      <c r="AD29" s="2">
        <v>30</v>
      </c>
      <c r="AE29" s="10" t="s">
        <v>420</v>
      </c>
      <c r="AF29" s="2">
        <v>40</v>
      </c>
      <c r="AG29" s="2">
        <v>50</v>
      </c>
      <c r="AH29" s="2">
        <v>45</v>
      </c>
      <c r="AI29" s="2">
        <v>30</v>
      </c>
      <c r="AJ29" s="2">
        <v>50</v>
      </c>
      <c r="AK29" s="2">
        <v>40</v>
      </c>
      <c r="AL29" s="2">
        <v>50</v>
      </c>
      <c r="AM29" s="2">
        <v>60</v>
      </c>
      <c r="AN29" s="2">
        <v>55</v>
      </c>
      <c r="AU29" s="2">
        <v>100</v>
      </c>
      <c r="AV29" s="2">
        <v>140</v>
      </c>
      <c r="AW29" s="2">
        <v>120</v>
      </c>
      <c r="AX29" s="2">
        <v>150</v>
      </c>
      <c r="AY29" s="2">
        <v>200</v>
      </c>
      <c r="AZ29" s="2">
        <v>175</v>
      </c>
      <c r="BA29" s="10" t="s">
        <v>420</v>
      </c>
      <c r="BB29" s="2">
        <v>120</v>
      </c>
      <c r="BC29" s="2">
        <v>180</v>
      </c>
      <c r="BD29" s="2">
        <v>150</v>
      </c>
      <c r="BN29" s="10"/>
      <c r="BO29" s="10"/>
      <c r="BP29" s="10"/>
      <c r="BQ29" s="10"/>
      <c r="CK29" s="2"/>
      <c r="CL29" s="10" t="s">
        <v>420</v>
      </c>
      <c r="CN29" s="10"/>
    </row>
    <row r="30" spans="1:92" ht="15.75">
      <c r="A30" s="10"/>
      <c r="F30" s="2" t="s">
        <v>160</v>
      </c>
      <c r="M30" s="2">
        <v>56.28</v>
      </c>
      <c r="N30" s="2">
        <v>93.8</v>
      </c>
      <c r="O30" s="2">
        <v>82.16879999999999</v>
      </c>
      <c r="R30" s="2">
        <f aca="true" t="shared" si="14" ref="R30:AD30">R29*R3</f>
        <v>144.72</v>
      </c>
      <c r="V30" s="2">
        <f t="shared" si="14"/>
        <v>32.82</v>
      </c>
      <c r="W30" s="2">
        <f t="shared" si="14"/>
        <v>41.025</v>
      </c>
      <c r="X30" s="2">
        <f t="shared" si="14"/>
        <v>37.743</v>
      </c>
      <c r="Y30" s="2">
        <f t="shared" si="14"/>
        <v>28.599999999999998</v>
      </c>
      <c r="Z30" s="2">
        <f t="shared" si="14"/>
        <v>40.04</v>
      </c>
      <c r="AA30" s="2">
        <f t="shared" si="14"/>
        <v>34.32</v>
      </c>
      <c r="AB30" s="2">
        <f t="shared" si="14"/>
        <v>22.88</v>
      </c>
      <c r="AC30" s="2">
        <f t="shared" si="14"/>
        <v>45.76</v>
      </c>
      <c r="AD30" s="2">
        <f t="shared" si="14"/>
        <v>34.32</v>
      </c>
      <c r="AE30" s="2" t="s">
        <v>160</v>
      </c>
      <c r="AF30" s="2">
        <f aca="true" t="shared" si="15" ref="AF30:AZ30">AF29*AF3</f>
        <v>46.08</v>
      </c>
      <c r="AG30" s="2">
        <f t="shared" si="15"/>
        <v>57.599999999999994</v>
      </c>
      <c r="AH30" s="2">
        <f t="shared" si="15"/>
        <v>51.839999999999996</v>
      </c>
      <c r="AI30" s="2">
        <f t="shared" si="15"/>
        <v>34.559999999999995</v>
      </c>
      <c r="AJ30" s="2">
        <f t="shared" si="15"/>
        <v>57.599999999999994</v>
      </c>
      <c r="AK30" s="2">
        <f t="shared" si="15"/>
        <v>46.08</v>
      </c>
      <c r="AL30" s="2">
        <f t="shared" si="15"/>
        <v>57.599999999999994</v>
      </c>
      <c r="AM30" s="2">
        <f t="shared" si="15"/>
        <v>69.11999999999999</v>
      </c>
      <c r="AN30" s="2">
        <f t="shared" si="15"/>
        <v>63.35999999999999</v>
      </c>
      <c r="AU30" s="2">
        <f t="shared" si="15"/>
        <v>95.5</v>
      </c>
      <c r="AV30" s="2">
        <f t="shared" si="15"/>
        <v>133.7</v>
      </c>
      <c r="AW30" s="2">
        <f t="shared" si="15"/>
        <v>114.6</v>
      </c>
      <c r="AX30" s="2">
        <f t="shared" si="15"/>
        <v>107.69999999999999</v>
      </c>
      <c r="AY30" s="2">
        <f t="shared" si="15"/>
        <v>143.6</v>
      </c>
      <c r="AZ30" s="2">
        <f t="shared" si="15"/>
        <v>125.64999999999999</v>
      </c>
      <c r="BA30" s="2" t="s">
        <v>160</v>
      </c>
      <c r="BB30" s="2">
        <f>BB29*BB3</f>
        <v>101.52</v>
      </c>
      <c r="BC30" s="2">
        <f>BC29*BC3</f>
        <v>152.28</v>
      </c>
      <c r="BD30" s="2">
        <f>BD29*BD3</f>
        <v>126.89999999999999</v>
      </c>
      <c r="BN30" s="10"/>
      <c r="BO30" s="10"/>
      <c r="BP30" s="10"/>
      <c r="BQ30" s="10"/>
      <c r="CK30" s="2"/>
      <c r="CL30" s="2" t="s">
        <v>160</v>
      </c>
      <c r="CN30" s="10"/>
    </row>
    <row r="31" spans="1:92" ht="15.75">
      <c r="A31" s="10" t="s">
        <v>285</v>
      </c>
      <c r="B31" s="2" t="s">
        <v>286</v>
      </c>
      <c r="C31" s="2" t="s">
        <v>287</v>
      </c>
      <c r="D31" s="2" t="s">
        <v>423</v>
      </c>
      <c r="E31" s="2" t="s">
        <v>424</v>
      </c>
      <c r="F31" s="2" t="s">
        <v>69</v>
      </c>
      <c r="O31" s="2">
        <v>29.6</v>
      </c>
      <c r="P31" s="2">
        <v>50</v>
      </c>
      <c r="Q31" s="2">
        <v>70</v>
      </c>
      <c r="R31" s="2">
        <v>60</v>
      </c>
      <c r="S31" s="2">
        <v>50</v>
      </c>
      <c r="T31" s="2">
        <v>60</v>
      </c>
      <c r="U31" s="2">
        <v>55</v>
      </c>
      <c r="V31" s="2">
        <v>40</v>
      </c>
      <c r="W31" s="2">
        <v>50</v>
      </c>
      <c r="X31" s="2">
        <v>45</v>
      </c>
      <c r="Y31" s="2">
        <v>40</v>
      </c>
      <c r="Z31" s="2">
        <v>50</v>
      </c>
      <c r="AA31" s="2">
        <v>45</v>
      </c>
      <c r="AB31" s="2">
        <v>50</v>
      </c>
      <c r="AC31" s="2">
        <v>60</v>
      </c>
      <c r="AD31" s="2">
        <v>55</v>
      </c>
      <c r="AE31" s="10" t="s">
        <v>285</v>
      </c>
      <c r="AF31" s="2">
        <v>70</v>
      </c>
      <c r="AG31" s="2">
        <v>80</v>
      </c>
      <c r="AH31" s="2">
        <v>75</v>
      </c>
      <c r="AO31" s="2">
        <v>70</v>
      </c>
      <c r="AP31" s="2">
        <v>90</v>
      </c>
      <c r="AQ31" s="2">
        <v>80</v>
      </c>
      <c r="AU31" s="2">
        <v>160</v>
      </c>
      <c r="AV31" s="2">
        <v>170</v>
      </c>
      <c r="AW31" s="2">
        <v>165</v>
      </c>
      <c r="BA31" s="10" t="s">
        <v>285</v>
      </c>
      <c r="BB31" s="2">
        <v>160</v>
      </c>
      <c r="BC31" s="2">
        <v>170</v>
      </c>
      <c r="BD31" s="2">
        <v>165</v>
      </c>
      <c r="BN31" s="10"/>
      <c r="BO31" s="10"/>
      <c r="BP31" s="10"/>
      <c r="BQ31" s="10"/>
      <c r="CK31" s="2"/>
      <c r="CL31" s="10" t="s">
        <v>285</v>
      </c>
      <c r="CN31" s="10"/>
    </row>
    <row r="32" spans="1:92" ht="15.75">
      <c r="A32" s="10"/>
      <c r="F32" s="2" t="s">
        <v>160</v>
      </c>
      <c r="O32" s="2">
        <v>111.0592</v>
      </c>
      <c r="P32" s="2">
        <f aca="true" t="shared" si="16" ref="P32:AD32">P31*P3</f>
        <v>120.6</v>
      </c>
      <c r="Q32" s="2">
        <f t="shared" si="16"/>
        <v>168.84</v>
      </c>
      <c r="R32" s="2">
        <f t="shared" si="16"/>
        <v>144.72</v>
      </c>
      <c r="S32" s="2">
        <f t="shared" si="16"/>
        <v>120.6</v>
      </c>
      <c r="T32" s="2">
        <f t="shared" si="16"/>
        <v>144.72</v>
      </c>
      <c r="U32" s="2">
        <f t="shared" si="16"/>
        <v>132.66</v>
      </c>
      <c r="V32" s="2">
        <f t="shared" si="16"/>
        <v>65.64</v>
      </c>
      <c r="W32" s="2">
        <f t="shared" si="16"/>
        <v>82.05</v>
      </c>
      <c r="X32" s="2">
        <f t="shared" si="16"/>
        <v>73.845</v>
      </c>
      <c r="Y32" s="2">
        <f t="shared" si="16"/>
        <v>45.76</v>
      </c>
      <c r="Z32" s="2">
        <f t="shared" si="16"/>
        <v>57.199999999999996</v>
      </c>
      <c r="AA32" s="2">
        <f t="shared" si="16"/>
        <v>51.48</v>
      </c>
      <c r="AB32" s="2">
        <f t="shared" si="16"/>
        <v>57.199999999999996</v>
      </c>
      <c r="AC32" s="2">
        <f t="shared" si="16"/>
        <v>68.64</v>
      </c>
      <c r="AD32" s="2">
        <f t="shared" si="16"/>
        <v>62.919999999999995</v>
      </c>
      <c r="AE32" s="2" t="s">
        <v>160</v>
      </c>
      <c r="AF32" s="2">
        <f>AF31*AF3</f>
        <v>80.64</v>
      </c>
      <c r="AG32" s="2">
        <f>AG31*AG3</f>
        <v>92.16</v>
      </c>
      <c r="AH32" s="2">
        <f>AH31*AH3</f>
        <v>86.39999999999999</v>
      </c>
      <c r="AO32" s="2">
        <f>AO31*AO3</f>
        <v>73.052</v>
      </c>
      <c r="AP32" s="2">
        <f>AP31*AP3</f>
        <v>93.924</v>
      </c>
      <c r="AQ32" s="2">
        <f>AQ31*AQ3</f>
        <v>83.488</v>
      </c>
      <c r="AU32" s="2">
        <f>AU31*AU3</f>
        <v>152.79999999999998</v>
      </c>
      <c r="AV32" s="2">
        <f>AV31*AV3</f>
        <v>162.35</v>
      </c>
      <c r="AW32" s="2">
        <f>AW31*AW3</f>
        <v>157.575</v>
      </c>
      <c r="BA32" s="2" t="s">
        <v>160</v>
      </c>
      <c r="BB32" s="2">
        <f>BB31*BB3</f>
        <v>135.35999999999999</v>
      </c>
      <c r="BC32" s="2">
        <f>BC31*BC3</f>
        <v>143.82</v>
      </c>
      <c r="BD32" s="2">
        <f>BD31*BD3</f>
        <v>139.59</v>
      </c>
      <c r="BN32" s="10"/>
      <c r="BO32" s="10"/>
      <c r="BP32" s="10"/>
      <c r="BQ32" s="10"/>
      <c r="CK32" s="2">
        <v>144.84</v>
      </c>
      <c r="CL32" s="2" t="s">
        <v>160</v>
      </c>
      <c r="CN32" s="10"/>
    </row>
    <row r="33" spans="1:92" ht="15.75">
      <c r="A33" s="10" t="s">
        <v>285</v>
      </c>
      <c r="B33" s="2" t="s">
        <v>288</v>
      </c>
      <c r="C33" s="2" t="s">
        <v>287</v>
      </c>
      <c r="D33" s="2" t="s">
        <v>289</v>
      </c>
      <c r="E33" s="2" t="s">
        <v>290</v>
      </c>
      <c r="F33" s="2" t="s">
        <v>69</v>
      </c>
      <c r="S33" s="2">
        <v>100</v>
      </c>
      <c r="T33" s="2">
        <v>200</v>
      </c>
      <c r="U33" s="2">
        <v>150</v>
      </c>
      <c r="V33" s="2">
        <v>150</v>
      </c>
      <c r="W33" s="2">
        <v>160</v>
      </c>
      <c r="X33" s="2">
        <v>155</v>
      </c>
      <c r="AE33" s="2" t="s">
        <v>288</v>
      </c>
      <c r="AF33" s="10"/>
      <c r="AG33" s="10"/>
      <c r="BA33" s="10" t="s">
        <v>288</v>
      </c>
      <c r="BN33" s="10"/>
      <c r="BO33" s="10"/>
      <c r="BP33" s="10"/>
      <c r="BQ33" s="10"/>
      <c r="CK33" s="2"/>
      <c r="CL33" s="10" t="s">
        <v>288</v>
      </c>
      <c r="CN33" s="10"/>
    </row>
    <row r="34" spans="1:92" ht="15.75">
      <c r="A34" s="10"/>
      <c r="F34" s="2" t="s">
        <v>160</v>
      </c>
      <c r="S34" s="2">
        <f aca="true" t="shared" si="17" ref="S34:X34">S33*S3</f>
        <v>241.2</v>
      </c>
      <c r="T34" s="2">
        <f t="shared" si="17"/>
        <v>482.4</v>
      </c>
      <c r="U34" s="2">
        <f t="shared" si="17"/>
        <v>361.8</v>
      </c>
      <c r="V34" s="2">
        <f t="shared" si="17"/>
        <v>246.15</v>
      </c>
      <c r="W34" s="2">
        <f t="shared" si="17"/>
        <v>262.56</v>
      </c>
      <c r="X34" s="2">
        <f t="shared" si="17"/>
        <v>254.355</v>
      </c>
      <c r="AE34" s="2" t="s">
        <v>160</v>
      </c>
      <c r="AF34" s="10"/>
      <c r="AG34" s="10"/>
      <c r="BA34" s="2" t="s">
        <v>160</v>
      </c>
      <c r="BN34" s="10"/>
      <c r="BO34" s="10"/>
      <c r="BP34" s="10"/>
      <c r="BQ34" s="10"/>
      <c r="CK34" s="2"/>
      <c r="CL34" s="2" t="s">
        <v>160</v>
      </c>
      <c r="CN34" s="10"/>
    </row>
    <row r="35" spans="1:92" ht="15.75">
      <c r="A35" s="10" t="s">
        <v>291</v>
      </c>
      <c r="C35" s="2" t="s">
        <v>292</v>
      </c>
      <c r="D35" s="2" t="s">
        <v>293</v>
      </c>
      <c r="E35" s="2" t="s">
        <v>294</v>
      </c>
      <c r="F35" s="2" t="s">
        <v>69</v>
      </c>
      <c r="V35" s="2">
        <v>200</v>
      </c>
      <c r="W35" s="2">
        <v>400</v>
      </c>
      <c r="X35" s="2">
        <v>300</v>
      </c>
      <c r="Y35" s="2">
        <v>200</v>
      </c>
      <c r="Z35" s="2">
        <v>400</v>
      </c>
      <c r="AA35" s="2">
        <v>300</v>
      </c>
      <c r="AE35" s="10" t="s">
        <v>291</v>
      </c>
      <c r="AF35" s="10"/>
      <c r="AG35" s="10"/>
      <c r="AL35" s="2">
        <v>700</v>
      </c>
      <c r="AM35" s="2">
        <v>800</v>
      </c>
      <c r="AN35" s="2">
        <v>750</v>
      </c>
      <c r="AR35" s="2">
        <v>700</v>
      </c>
      <c r="AS35" s="2">
        <v>800</v>
      </c>
      <c r="AT35" s="2">
        <v>750</v>
      </c>
      <c r="AU35" s="2">
        <v>700</v>
      </c>
      <c r="AV35" s="2">
        <v>800</v>
      </c>
      <c r="AW35" s="2">
        <v>750</v>
      </c>
      <c r="AX35" s="2">
        <v>770</v>
      </c>
      <c r="AY35" s="2">
        <v>960</v>
      </c>
      <c r="AZ35" s="2">
        <v>865</v>
      </c>
      <c r="BA35" s="10" t="s">
        <v>291</v>
      </c>
      <c r="BB35" s="2">
        <v>720</v>
      </c>
      <c r="BC35" s="2">
        <v>850</v>
      </c>
      <c r="BD35" s="2">
        <v>800</v>
      </c>
      <c r="BN35" s="10"/>
      <c r="BO35" s="10"/>
      <c r="BP35" s="10"/>
      <c r="BQ35" s="10"/>
      <c r="CK35" s="2"/>
      <c r="CL35" s="10" t="s">
        <v>291</v>
      </c>
      <c r="CN35" s="10"/>
    </row>
    <row r="36" spans="1:92" ht="15.75">
      <c r="A36" s="10"/>
      <c r="F36" s="2" t="s">
        <v>160</v>
      </c>
      <c r="V36" s="2">
        <f aca="true" t="shared" si="18" ref="V36:AA36">V35*V3</f>
        <v>328.2</v>
      </c>
      <c r="W36" s="2">
        <f t="shared" si="18"/>
        <v>656.4</v>
      </c>
      <c r="X36" s="2">
        <f t="shared" si="18"/>
        <v>492.3</v>
      </c>
      <c r="Y36" s="2">
        <f t="shared" si="18"/>
        <v>228.79999999999998</v>
      </c>
      <c r="Z36" s="2">
        <f t="shared" si="18"/>
        <v>457.59999999999997</v>
      </c>
      <c r="AA36" s="2">
        <f t="shared" si="18"/>
        <v>343.2</v>
      </c>
      <c r="AE36" s="2" t="s">
        <v>160</v>
      </c>
      <c r="AF36" s="10"/>
      <c r="AG36" s="10"/>
      <c r="AL36" s="2">
        <f aca="true" t="shared" si="19" ref="AL36:AZ36">AL35*AL3</f>
        <v>806.4</v>
      </c>
      <c r="AM36" s="2">
        <f t="shared" si="19"/>
        <v>921.5999999999999</v>
      </c>
      <c r="AN36" s="2">
        <f t="shared" si="19"/>
        <v>863.9999999999999</v>
      </c>
      <c r="AR36" s="2">
        <f t="shared" si="19"/>
        <v>689.5</v>
      </c>
      <c r="AS36" s="2">
        <f t="shared" si="19"/>
        <v>788</v>
      </c>
      <c r="AT36" s="2">
        <f t="shared" si="19"/>
        <v>738.75</v>
      </c>
      <c r="AU36" s="2">
        <f t="shared" si="19"/>
        <v>668.5</v>
      </c>
      <c r="AV36" s="2">
        <f t="shared" si="19"/>
        <v>764</v>
      </c>
      <c r="AW36" s="2">
        <f t="shared" si="19"/>
        <v>716.25</v>
      </c>
      <c r="AX36" s="2">
        <f t="shared" si="19"/>
        <v>552.86</v>
      </c>
      <c r="AY36" s="2">
        <f t="shared" si="19"/>
        <v>689.28</v>
      </c>
      <c r="AZ36" s="2">
        <f t="shared" si="19"/>
        <v>621.0699999999999</v>
      </c>
      <c r="BA36" s="2" t="s">
        <v>160</v>
      </c>
      <c r="BB36" s="2">
        <f>BB35*BB3</f>
        <v>609.12</v>
      </c>
      <c r="BC36" s="2">
        <f>BC35*BC3</f>
        <v>719.1</v>
      </c>
      <c r="BD36" s="2">
        <f>BD35*BD3</f>
        <v>676.8</v>
      </c>
      <c r="BN36" s="10"/>
      <c r="BO36" s="10"/>
      <c r="BP36" s="10"/>
      <c r="BQ36" s="10"/>
      <c r="CK36" s="2"/>
      <c r="CL36" s="2" t="s">
        <v>160</v>
      </c>
      <c r="CN36" s="10"/>
    </row>
    <row r="37" spans="1:92" ht="15.75">
      <c r="A37" s="10" t="s">
        <v>295</v>
      </c>
      <c r="C37" s="2" t="s">
        <v>296</v>
      </c>
      <c r="D37" s="2" t="s">
        <v>67</v>
      </c>
      <c r="E37" s="2" t="s">
        <v>68</v>
      </c>
      <c r="F37" s="2" t="s">
        <v>69</v>
      </c>
      <c r="M37" s="2">
        <v>120</v>
      </c>
      <c r="N37" s="2">
        <v>300</v>
      </c>
      <c r="O37" s="2">
        <v>210</v>
      </c>
      <c r="P37" s="2">
        <v>275</v>
      </c>
      <c r="Q37" s="2">
        <v>480</v>
      </c>
      <c r="R37" s="2">
        <v>378</v>
      </c>
      <c r="S37" s="2">
        <v>300</v>
      </c>
      <c r="T37" s="2">
        <v>450</v>
      </c>
      <c r="U37" s="2">
        <v>375</v>
      </c>
      <c r="V37" s="2">
        <v>500</v>
      </c>
      <c r="W37" s="2">
        <v>600</v>
      </c>
      <c r="X37" s="2">
        <v>550</v>
      </c>
      <c r="Y37" s="2">
        <v>400</v>
      </c>
      <c r="Z37" s="2">
        <v>500</v>
      </c>
      <c r="AA37" s="2">
        <v>450</v>
      </c>
      <c r="AE37" s="10" t="s">
        <v>295</v>
      </c>
      <c r="AF37" s="10"/>
      <c r="AG37" s="10"/>
      <c r="AL37" s="2">
        <v>1200</v>
      </c>
      <c r="AM37" s="2">
        <v>1300</v>
      </c>
      <c r="AN37" s="2">
        <v>1250</v>
      </c>
      <c r="AO37" s="2">
        <v>1200</v>
      </c>
      <c r="AP37" s="2">
        <v>1300</v>
      </c>
      <c r="AQ37" s="2">
        <v>1250</v>
      </c>
      <c r="BA37" s="10" t="s">
        <v>295</v>
      </c>
      <c r="BB37" s="10"/>
      <c r="BC37" s="10"/>
      <c r="BD37" s="10"/>
      <c r="BN37" s="10"/>
      <c r="BO37" s="10"/>
      <c r="BP37" s="10"/>
      <c r="BQ37" s="10"/>
      <c r="CK37" s="2"/>
      <c r="CL37" s="10" t="s">
        <v>295</v>
      </c>
      <c r="CN37" s="10"/>
    </row>
    <row r="38" spans="1:92" ht="15.75">
      <c r="A38" s="10"/>
      <c r="F38" s="2" t="s">
        <v>160</v>
      </c>
      <c r="M38" s="2">
        <v>450.24</v>
      </c>
      <c r="N38" s="2">
        <v>1125.6</v>
      </c>
      <c r="O38" s="2">
        <v>787.92</v>
      </c>
      <c r="P38" s="2">
        <f aca="true" t="shared" si="20" ref="P38:AA38">P37*P3</f>
        <v>663.3</v>
      </c>
      <c r="Q38" s="2">
        <f t="shared" si="20"/>
        <v>1157.76</v>
      </c>
      <c r="R38" s="2">
        <f t="shared" si="20"/>
        <v>911.736</v>
      </c>
      <c r="S38" s="2">
        <f t="shared" si="20"/>
        <v>723.6</v>
      </c>
      <c r="T38" s="2">
        <f t="shared" si="20"/>
        <v>1085.3999999999999</v>
      </c>
      <c r="U38" s="2">
        <f t="shared" si="20"/>
        <v>904.5</v>
      </c>
      <c r="V38" s="2">
        <f t="shared" si="20"/>
        <v>820.5</v>
      </c>
      <c r="W38" s="2">
        <f t="shared" si="20"/>
        <v>984.6</v>
      </c>
      <c r="X38" s="2">
        <f t="shared" si="20"/>
        <v>902.55</v>
      </c>
      <c r="Y38" s="2">
        <f t="shared" si="20"/>
        <v>457.59999999999997</v>
      </c>
      <c r="Z38" s="2">
        <f t="shared" si="20"/>
        <v>572</v>
      </c>
      <c r="AA38" s="2">
        <f t="shared" si="20"/>
        <v>514.8</v>
      </c>
      <c r="AE38" s="2" t="s">
        <v>160</v>
      </c>
      <c r="AF38" s="10"/>
      <c r="AG38" s="10"/>
      <c r="AL38" s="2">
        <f aca="true" t="shared" si="21" ref="AL38:AQ38">AL37*AL3</f>
        <v>1382.3999999999999</v>
      </c>
      <c r="AM38" s="2">
        <f t="shared" si="21"/>
        <v>1497.6</v>
      </c>
      <c r="AN38" s="2">
        <f t="shared" si="21"/>
        <v>1440</v>
      </c>
      <c r="AO38" s="2">
        <f t="shared" si="21"/>
        <v>1252.3200000000002</v>
      </c>
      <c r="AP38" s="2">
        <f t="shared" si="21"/>
        <v>1356.68</v>
      </c>
      <c r="AQ38" s="2">
        <f t="shared" si="21"/>
        <v>1304.5</v>
      </c>
      <c r="BA38" s="2" t="s">
        <v>160</v>
      </c>
      <c r="BN38" s="10"/>
      <c r="BO38" s="10"/>
      <c r="BP38" s="10"/>
      <c r="BQ38" s="10"/>
      <c r="CK38" s="2"/>
      <c r="CL38" s="2" t="s">
        <v>160</v>
      </c>
      <c r="CN38" s="10"/>
    </row>
    <row r="39" spans="1:92" ht="15.75">
      <c r="A39" s="10" t="s">
        <v>297</v>
      </c>
      <c r="B39" s="2" t="s">
        <v>298</v>
      </c>
      <c r="C39" s="2" t="s">
        <v>299</v>
      </c>
      <c r="D39" s="2" t="s">
        <v>67</v>
      </c>
      <c r="E39" s="2" t="s">
        <v>68</v>
      </c>
      <c r="F39" s="2" t="s">
        <v>69</v>
      </c>
      <c r="J39" s="2">
        <v>100</v>
      </c>
      <c r="K39" s="2">
        <v>120</v>
      </c>
      <c r="L39" s="2">
        <v>110</v>
      </c>
      <c r="S39" s="2">
        <v>70</v>
      </c>
      <c r="T39" s="2">
        <v>110</v>
      </c>
      <c r="U39" s="2">
        <v>90</v>
      </c>
      <c r="V39" s="2">
        <v>70</v>
      </c>
      <c r="W39" s="2">
        <v>110</v>
      </c>
      <c r="X39" s="2">
        <v>90</v>
      </c>
      <c r="AE39" s="10" t="s">
        <v>297</v>
      </c>
      <c r="AF39" s="2">
        <v>110</v>
      </c>
      <c r="AG39" s="2">
        <v>130</v>
      </c>
      <c r="AH39" s="2">
        <v>120</v>
      </c>
      <c r="AI39" s="2">
        <v>120</v>
      </c>
      <c r="AJ39" s="2">
        <v>200</v>
      </c>
      <c r="AK39" s="2">
        <v>160</v>
      </c>
      <c r="AN39" s="2">
        <v>200</v>
      </c>
      <c r="AU39" s="2">
        <v>200</v>
      </c>
      <c r="AV39" s="2">
        <v>250</v>
      </c>
      <c r="AW39" s="2">
        <v>225</v>
      </c>
      <c r="BA39" s="10" t="s">
        <v>297</v>
      </c>
      <c r="BB39" s="2">
        <v>200</v>
      </c>
      <c r="BC39" s="2">
        <v>250</v>
      </c>
      <c r="BD39" s="2">
        <v>225</v>
      </c>
      <c r="BN39" s="10"/>
      <c r="BO39" s="10"/>
      <c r="BP39" s="10"/>
      <c r="BQ39" s="10"/>
      <c r="CK39" s="2"/>
      <c r="CL39" s="10" t="s">
        <v>297</v>
      </c>
      <c r="CN39" s="10"/>
    </row>
    <row r="40" spans="1:92" ht="15.75">
      <c r="A40" s="10"/>
      <c r="F40" s="2" t="s">
        <v>160</v>
      </c>
      <c r="J40" s="2">
        <v>375.2</v>
      </c>
      <c r="K40" s="2">
        <v>450.24</v>
      </c>
      <c r="L40" s="2">
        <v>412.72</v>
      </c>
      <c r="S40" s="2">
        <f aca="true" t="shared" si="22" ref="S40:X40">S39*S3</f>
        <v>168.84</v>
      </c>
      <c r="T40" s="2">
        <f t="shared" si="22"/>
        <v>265.32</v>
      </c>
      <c r="U40" s="2">
        <f t="shared" si="22"/>
        <v>217.07999999999998</v>
      </c>
      <c r="V40" s="2">
        <f t="shared" si="22"/>
        <v>114.87</v>
      </c>
      <c r="W40" s="2">
        <f t="shared" si="22"/>
        <v>180.51</v>
      </c>
      <c r="X40" s="2">
        <f t="shared" si="22"/>
        <v>147.69</v>
      </c>
      <c r="AE40" s="2" t="s">
        <v>160</v>
      </c>
      <c r="AF40" s="2">
        <f aca="true" t="shared" si="23" ref="AF40:AW40">AF39*AF3</f>
        <v>126.71999999999998</v>
      </c>
      <c r="AG40" s="2">
        <f t="shared" si="23"/>
        <v>149.76</v>
      </c>
      <c r="AH40" s="2">
        <f t="shared" si="23"/>
        <v>138.23999999999998</v>
      </c>
      <c r="AI40" s="2">
        <f t="shared" si="23"/>
        <v>138.23999999999998</v>
      </c>
      <c r="AJ40" s="2">
        <f t="shared" si="23"/>
        <v>230.39999999999998</v>
      </c>
      <c r="AK40" s="2">
        <f t="shared" si="23"/>
        <v>184.32</v>
      </c>
      <c r="AN40" s="2">
        <f t="shared" si="23"/>
        <v>230.39999999999998</v>
      </c>
      <c r="AU40" s="2">
        <f t="shared" si="23"/>
        <v>191</v>
      </c>
      <c r="AV40" s="2">
        <f t="shared" si="23"/>
        <v>238.75</v>
      </c>
      <c r="AW40" s="2">
        <f t="shared" si="23"/>
        <v>214.875</v>
      </c>
      <c r="BA40" s="2" t="s">
        <v>160</v>
      </c>
      <c r="BB40" s="2">
        <f>BB39*BB3</f>
        <v>169.2</v>
      </c>
      <c r="BC40" s="2">
        <f>BC39*BC3</f>
        <v>211.5</v>
      </c>
      <c r="BD40" s="2">
        <f>BD39*BD3</f>
        <v>190.35</v>
      </c>
      <c r="BN40" s="10"/>
      <c r="BO40" s="10"/>
      <c r="BP40" s="10"/>
      <c r="BQ40" s="10"/>
      <c r="CK40" s="2"/>
      <c r="CL40" s="2" t="s">
        <v>160</v>
      </c>
      <c r="CN40" s="10"/>
    </row>
    <row r="41" spans="1:92" ht="15.75">
      <c r="A41" s="10" t="s">
        <v>300</v>
      </c>
      <c r="C41" s="2" t="s">
        <v>301</v>
      </c>
      <c r="D41" s="2">
        <v>10</v>
      </c>
      <c r="F41" s="2" t="s">
        <v>69</v>
      </c>
      <c r="M41" s="2">
        <v>25</v>
      </c>
      <c r="N41" s="2">
        <v>60</v>
      </c>
      <c r="O41" s="2">
        <v>40</v>
      </c>
      <c r="Y41" s="2">
        <v>100</v>
      </c>
      <c r="Z41" s="2">
        <v>120</v>
      </c>
      <c r="AA41" s="2">
        <v>110</v>
      </c>
      <c r="AB41" s="2">
        <v>120</v>
      </c>
      <c r="AC41" s="2">
        <v>150</v>
      </c>
      <c r="AD41" s="2">
        <v>135</v>
      </c>
      <c r="AE41" s="10" t="s">
        <v>300</v>
      </c>
      <c r="AO41" s="2">
        <v>240</v>
      </c>
      <c r="AP41" s="2">
        <v>260</v>
      </c>
      <c r="AQ41" s="2">
        <v>250</v>
      </c>
      <c r="AU41" s="2">
        <v>500</v>
      </c>
      <c r="AV41" s="2">
        <v>600</v>
      </c>
      <c r="AW41" s="2">
        <v>550</v>
      </c>
      <c r="AX41" s="2">
        <v>600</v>
      </c>
      <c r="AY41" s="2">
        <v>900</v>
      </c>
      <c r="AZ41" s="2">
        <v>750</v>
      </c>
      <c r="BA41" s="10" t="s">
        <v>300</v>
      </c>
      <c r="BB41" s="2">
        <v>540</v>
      </c>
      <c r="BC41" s="2">
        <v>700</v>
      </c>
      <c r="BD41" s="2">
        <v>600</v>
      </c>
      <c r="BN41" s="10"/>
      <c r="BO41" s="10"/>
      <c r="BP41" s="10"/>
      <c r="BQ41" s="10"/>
      <c r="CK41" s="2"/>
      <c r="CL41" s="10" t="s">
        <v>300</v>
      </c>
      <c r="CN41" s="10"/>
    </row>
    <row r="42" spans="1:92" ht="15.75">
      <c r="A42" s="10"/>
      <c r="F42" s="2" t="s">
        <v>160</v>
      </c>
      <c r="M42" s="2">
        <v>93.8</v>
      </c>
      <c r="N42" s="2">
        <v>225.12</v>
      </c>
      <c r="O42" s="2">
        <v>150.08</v>
      </c>
      <c r="Y42" s="2">
        <f aca="true" t="shared" si="24" ref="Y42:AD42">Y41*Y3</f>
        <v>114.39999999999999</v>
      </c>
      <c r="Z42" s="2">
        <f t="shared" si="24"/>
        <v>137.28</v>
      </c>
      <c r="AA42" s="2">
        <f t="shared" si="24"/>
        <v>125.83999999999999</v>
      </c>
      <c r="AB42" s="2">
        <f t="shared" si="24"/>
        <v>137.28</v>
      </c>
      <c r="AC42" s="2">
        <f t="shared" si="24"/>
        <v>171.6</v>
      </c>
      <c r="AD42" s="2">
        <f t="shared" si="24"/>
        <v>154.44</v>
      </c>
      <c r="AE42" s="2" t="s">
        <v>160</v>
      </c>
      <c r="AO42" s="2">
        <f>AO41*AO3</f>
        <v>250.46400000000003</v>
      </c>
      <c r="AP42" s="2">
        <f>AP41*AP3</f>
        <v>271.336</v>
      </c>
      <c r="AQ42" s="2">
        <f>AQ41*AQ3</f>
        <v>260.90000000000003</v>
      </c>
      <c r="AU42" s="2">
        <f aca="true" t="shared" si="25" ref="AU42:AZ42">AU41*AU3</f>
        <v>477.5</v>
      </c>
      <c r="AV42" s="2">
        <f t="shared" si="25"/>
        <v>573</v>
      </c>
      <c r="AW42" s="2">
        <f t="shared" si="25"/>
        <v>525.25</v>
      </c>
      <c r="AX42" s="2">
        <f t="shared" si="25"/>
        <v>430.79999999999995</v>
      </c>
      <c r="AY42" s="2">
        <f t="shared" si="25"/>
        <v>646.1999999999999</v>
      </c>
      <c r="AZ42" s="2">
        <f t="shared" si="25"/>
        <v>538.5</v>
      </c>
      <c r="BA42" s="2" t="s">
        <v>160</v>
      </c>
      <c r="BB42" s="2">
        <f>BB41*BB3</f>
        <v>456.84</v>
      </c>
      <c r="BC42" s="2">
        <f>BC41*BC3</f>
        <v>592.1999999999999</v>
      </c>
      <c r="BD42" s="2">
        <f>BD41*BD3</f>
        <v>507.59999999999997</v>
      </c>
      <c r="BN42" s="10"/>
      <c r="BO42" s="10"/>
      <c r="BP42" s="10"/>
      <c r="BQ42" s="10"/>
      <c r="CK42" s="2"/>
      <c r="CL42" s="2" t="s">
        <v>160</v>
      </c>
      <c r="CN42" s="10"/>
    </row>
    <row r="43" spans="1:92" ht="15.75">
      <c r="A43" s="10" t="s">
        <v>302</v>
      </c>
      <c r="C43" s="2" t="s">
        <v>303</v>
      </c>
      <c r="D43" s="2" t="s">
        <v>67</v>
      </c>
      <c r="E43" s="2" t="s">
        <v>68</v>
      </c>
      <c r="F43" s="2" t="s">
        <v>69</v>
      </c>
      <c r="M43" s="2">
        <v>150</v>
      </c>
      <c r="N43" s="2">
        <v>244</v>
      </c>
      <c r="O43" s="2">
        <v>210</v>
      </c>
      <c r="P43" s="2">
        <v>360</v>
      </c>
      <c r="Q43" s="2">
        <v>380</v>
      </c>
      <c r="R43" s="2">
        <v>370</v>
      </c>
      <c r="V43" s="2">
        <v>380</v>
      </c>
      <c r="W43" s="2">
        <v>420</v>
      </c>
      <c r="X43" s="2">
        <v>400</v>
      </c>
      <c r="Y43" s="2">
        <v>480</v>
      </c>
      <c r="Z43" s="2">
        <v>520</v>
      </c>
      <c r="AA43" s="2">
        <v>500</v>
      </c>
      <c r="AB43" s="2">
        <v>620</v>
      </c>
      <c r="AC43" s="2">
        <v>650</v>
      </c>
      <c r="AD43" s="2">
        <v>635</v>
      </c>
      <c r="AE43" s="10" t="s">
        <v>302</v>
      </c>
      <c r="AF43" s="2">
        <v>650</v>
      </c>
      <c r="AG43" s="2">
        <v>680</v>
      </c>
      <c r="AH43" s="2">
        <v>660</v>
      </c>
      <c r="AN43" s="2">
        <v>800</v>
      </c>
      <c r="AO43" s="2">
        <v>1300</v>
      </c>
      <c r="AP43" s="2">
        <v>1400</v>
      </c>
      <c r="AQ43" s="2">
        <v>1350</v>
      </c>
      <c r="AU43" s="10">
        <v>1700</v>
      </c>
      <c r="AV43" s="10">
        <v>2000</v>
      </c>
      <c r="AW43" s="10">
        <v>1850</v>
      </c>
      <c r="AX43" s="10">
        <v>1900</v>
      </c>
      <c r="AY43" s="10">
        <v>2200</v>
      </c>
      <c r="AZ43" s="10">
        <v>2050</v>
      </c>
      <c r="BA43" s="10" t="s">
        <v>302</v>
      </c>
      <c r="BB43" s="10">
        <v>2000</v>
      </c>
      <c r="BC43" s="10">
        <v>2550</v>
      </c>
      <c r="BD43" s="10">
        <v>2275</v>
      </c>
      <c r="BK43" s="10">
        <v>2000</v>
      </c>
      <c r="BL43" s="10">
        <v>2200</v>
      </c>
      <c r="BM43" s="10">
        <v>2100</v>
      </c>
      <c r="BN43" s="10"/>
      <c r="BO43" s="10"/>
      <c r="BP43" s="10"/>
      <c r="BQ43" s="10"/>
      <c r="CK43" s="2"/>
      <c r="CL43" s="10" t="s">
        <v>302</v>
      </c>
      <c r="CN43" s="10"/>
    </row>
    <row r="44" spans="1:92" ht="15.75">
      <c r="A44" s="10"/>
      <c r="F44" s="2" t="s">
        <v>160</v>
      </c>
      <c r="M44" s="2">
        <v>562.8</v>
      </c>
      <c r="N44" s="2">
        <v>915.4879999999999</v>
      </c>
      <c r="O44" s="2">
        <v>787.92</v>
      </c>
      <c r="P44" s="2">
        <f aca="true" t="shared" si="26" ref="P44:AD44">P43*P3</f>
        <v>868.3199999999999</v>
      </c>
      <c r="Q44" s="2">
        <f t="shared" si="26"/>
        <v>916.56</v>
      </c>
      <c r="R44" s="2">
        <f t="shared" si="26"/>
        <v>892.4399999999999</v>
      </c>
      <c r="V44" s="2">
        <f t="shared" si="26"/>
        <v>623.58</v>
      </c>
      <c r="W44" s="2">
        <f t="shared" si="26"/>
        <v>689.22</v>
      </c>
      <c r="X44" s="2">
        <f t="shared" si="26"/>
        <v>656.4</v>
      </c>
      <c r="Y44" s="2">
        <f t="shared" si="26"/>
        <v>549.12</v>
      </c>
      <c r="Z44" s="2">
        <f t="shared" si="26"/>
        <v>594.88</v>
      </c>
      <c r="AA44" s="2">
        <f t="shared" si="26"/>
        <v>572</v>
      </c>
      <c r="AB44" s="2">
        <f t="shared" si="26"/>
        <v>709.28</v>
      </c>
      <c r="AC44" s="2">
        <f t="shared" si="26"/>
        <v>743.5999999999999</v>
      </c>
      <c r="AD44" s="2">
        <f t="shared" si="26"/>
        <v>726.4399999999999</v>
      </c>
      <c r="AE44" s="2" t="s">
        <v>160</v>
      </c>
      <c r="AF44" s="2">
        <f aca="true" t="shared" si="27" ref="AF44:AZ44">AF43*AF3</f>
        <v>748.8</v>
      </c>
      <c r="AG44" s="2">
        <f t="shared" si="27"/>
        <v>783.3599999999999</v>
      </c>
      <c r="AH44" s="2">
        <f t="shared" si="27"/>
        <v>760.3199999999999</v>
      </c>
      <c r="AN44" s="2">
        <f t="shared" si="27"/>
        <v>921.5999999999999</v>
      </c>
      <c r="AO44" s="2">
        <f t="shared" si="27"/>
        <v>1356.68</v>
      </c>
      <c r="AP44" s="2">
        <f t="shared" si="27"/>
        <v>1461.0400000000002</v>
      </c>
      <c r="AQ44" s="2">
        <f t="shared" si="27"/>
        <v>1408.8600000000001</v>
      </c>
      <c r="AU44" s="10">
        <f t="shared" si="27"/>
        <v>1623.5</v>
      </c>
      <c r="AV44" s="10">
        <f t="shared" si="27"/>
        <v>1910</v>
      </c>
      <c r="AW44" s="10">
        <f t="shared" si="27"/>
        <v>1766.75</v>
      </c>
      <c r="AX44" s="10">
        <f t="shared" si="27"/>
        <v>1364.2</v>
      </c>
      <c r="AY44" s="10">
        <f t="shared" si="27"/>
        <v>1579.6</v>
      </c>
      <c r="AZ44" s="10">
        <f t="shared" si="27"/>
        <v>1471.8999999999999</v>
      </c>
      <c r="BA44" s="2" t="s">
        <v>160</v>
      </c>
      <c r="BB44" s="10">
        <f>BB43*BB3</f>
        <v>1692</v>
      </c>
      <c r="BC44" s="10">
        <f>BC43*BC3</f>
        <v>2157.2999999999997</v>
      </c>
      <c r="BD44" s="10">
        <f>BD43*BD3</f>
        <v>1924.6499999999999</v>
      </c>
      <c r="BK44" s="10">
        <f>BK43*BK3</f>
        <v>1231.4</v>
      </c>
      <c r="BL44" s="10">
        <f>BL43*BL3</f>
        <v>1354.54</v>
      </c>
      <c r="BM44" s="10">
        <f>BM43*BM3</f>
        <v>1292.97</v>
      </c>
      <c r="BN44" s="10"/>
      <c r="BO44" s="10"/>
      <c r="BP44" s="10"/>
      <c r="BQ44" s="10"/>
      <c r="CK44" s="2">
        <v>2669.6</v>
      </c>
      <c r="CL44" s="2" t="s">
        <v>160</v>
      </c>
      <c r="CN44" s="10"/>
    </row>
    <row r="45" spans="1:92" ht="15.75">
      <c r="A45" s="10" t="s">
        <v>304</v>
      </c>
      <c r="B45" s="2" t="s">
        <v>305</v>
      </c>
      <c r="C45" s="2" t="s">
        <v>306</v>
      </c>
      <c r="D45" s="2" t="s">
        <v>67</v>
      </c>
      <c r="E45" s="2" t="s">
        <v>68</v>
      </c>
      <c r="F45" s="2" t="s">
        <v>69</v>
      </c>
      <c r="P45" s="2">
        <v>110</v>
      </c>
      <c r="Q45" s="2">
        <v>120</v>
      </c>
      <c r="R45" s="2">
        <v>115</v>
      </c>
      <c r="Y45" s="2">
        <v>120</v>
      </c>
      <c r="Z45" s="2">
        <v>140</v>
      </c>
      <c r="AA45" s="2">
        <v>130</v>
      </c>
      <c r="AB45" s="2">
        <v>120</v>
      </c>
      <c r="AC45" s="2">
        <v>160</v>
      </c>
      <c r="AD45" s="2">
        <v>140</v>
      </c>
      <c r="AE45" s="10" t="s">
        <v>304</v>
      </c>
      <c r="AF45" s="10"/>
      <c r="AG45" s="10"/>
      <c r="AI45" s="2">
        <v>130</v>
      </c>
      <c r="AJ45" s="2">
        <v>150</v>
      </c>
      <c r="AK45" s="2">
        <v>140</v>
      </c>
      <c r="AL45" s="2">
        <v>120</v>
      </c>
      <c r="AM45" s="2">
        <v>140</v>
      </c>
      <c r="AN45" s="2">
        <v>130</v>
      </c>
      <c r="AO45" s="2">
        <v>150</v>
      </c>
      <c r="AP45" s="2">
        <v>160</v>
      </c>
      <c r="AQ45" s="2">
        <v>155</v>
      </c>
      <c r="AR45" s="2">
        <v>150</v>
      </c>
      <c r="AS45" s="2">
        <v>160</v>
      </c>
      <c r="AT45" s="2">
        <v>155</v>
      </c>
      <c r="AX45" s="2">
        <v>560</v>
      </c>
      <c r="AY45" s="2">
        <v>600</v>
      </c>
      <c r="AZ45" s="2">
        <v>580</v>
      </c>
      <c r="BA45" s="10" t="s">
        <v>304</v>
      </c>
      <c r="BB45" s="2">
        <v>560</v>
      </c>
      <c r="BC45" s="2">
        <v>600</v>
      </c>
      <c r="BD45" s="2">
        <v>580</v>
      </c>
      <c r="BK45" s="10"/>
      <c r="BL45" s="10"/>
      <c r="BM45" s="10"/>
      <c r="BN45" s="10"/>
      <c r="BO45" s="10"/>
      <c r="BP45" s="10"/>
      <c r="BQ45" s="10"/>
      <c r="CK45" s="2"/>
      <c r="CL45" s="10" t="s">
        <v>304</v>
      </c>
      <c r="CN45" s="10"/>
    </row>
    <row r="46" spans="1:92" ht="15.75">
      <c r="A46" s="10" t="s">
        <v>304</v>
      </c>
      <c r="B46" s="2" t="s">
        <v>305</v>
      </c>
      <c r="F46" s="2" t="s">
        <v>160</v>
      </c>
      <c r="P46" s="2">
        <f>P45*P3</f>
        <v>265.32</v>
      </c>
      <c r="Q46" s="2">
        <f>Q45*Q3</f>
        <v>289.44</v>
      </c>
      <c r="R46" s="2">
        <f>R45*R3</f>
        <v>277.38</v>
      </c>
      <c r="Y46" s="2">
        <f aca="true" t="shared" si="28" ref="Y46:AD46">Y45*Y3</f>
        <v>137.28</v>
      </c>
      <c r="Z46" s="2">
        <f t="shared" si="28"/>
        <v>160.16</v>
      </c>
      <c r="AA46" s="2">
        <f t="shared" si="28"/>
        <v>148.72</v>
      </c>
      <c r="AB46" s="2">
        <f t="shared" si="28"/>
        <v>137.28</v>
      </c>
      <c r="AC46" s="2">
        <f t="shared" si="28"/>
        <v>183.04</v>
      </c>
      <c r="AD46" s="2">
        <f t="shared" si="28"/>
        <v>160.16</v>
      </c>
      <c r="AE46" s="2" t="s">
        <v>160</v>
      </c>
      <c r="AF46" s="10"/>
      <c r="AG46" s="10"/>
      <c r="AI46" s="2">
        <f aca="true" t="shared" si="29" ref="AI46:AZ46">AI45*AI3</f>
        <v>149.76</v>
      </c>
      <c r="AJ46" s="2">
        <f t="shared" si="29"/>
        <v>172.79999999999998</v>
      </c>
      <c r="AK46" s="2">
        <f t="shared" si="29"/>
        <v>161.28</v>
      </c>
      <c r="AL46" s="2">
        <f t="shared" si="29"/>
        <v>138.23999999999998</v>
      </c>
      <c r="AM46" s="2">
        <f t="shared" si="29"/>
        <v>161.28</v>
      </c>
      <c r="AN46" s="2">
        <f t="shared" si="29"/>
        <v>149.76</v>
      </c>
      <c r="AO46" s="2">
        <f t="shared" si="29"/>
        <v>156.54000000000002</v>
      </c>
      <c r="AP46" s="2">
        <f t="shared" si="29"/>
        <v>166.976</v>
      </c>
      <c r="AQ46" s="2">
        <f t="shared" si="29"/>
        <v>161.758</v>
      </c>
      <c r="AR46" s="2">
        <f t="shared" si="29"/>
        <v>147.75</v>
      </c>
      <c r="AS46" s="2">
        <f t="shared" si="29"/>
        <v>157.6</v>
      </c>
      <c r="AT46" s="2">
        <f t="shared" si="29"/>
        <v>152.675</v>
      </c>
      <c r="AX46" s="2">
        <f t="shared" si="29"/>
        <v>402.08</v>
      </c>
      <c r="AY46" s="2">
        <f t="shared" si="29"/>
        <v>430.79999999999995</v>
      </c>
      <c r="AZ46" s="2">
        <f t="shared" si="29"/>
        <v>416.44</v>
      </c>
      <c r="BA46" s="2" t="s">
        <v>160</v>
      </c>
      <c r="BB46" s="2">
        <f>BB45*BB3</f>
        <v>473.76</v>
      </c>
      <c r="BC46" s="2">
        <f>BC45*BC3</f>
        <v>507.59999999999997</v>
      </c>
      <c r="BD46" s="2">
        <f>BD45*BD3</f>
        <v>490.68</v>
      </c>
      <c r="BK46" s="10"/>
      <c r="BL46" s="10"/>
      <c r="BM46" s="10"/>
      <c r="BN46" s="10"/>
      <c r="BO46" s="10"/>
      <c r="BP46" s="10"/>
      <c r="BQ46" s="10"/>
      <c r="CK46" s="2">
        <v>553.8</v>
      </c>
      <c r="CL46" s="2" t="s">
        <v>160</v>
      </c>
      <c r="CN46" s="10"/>
    </row>
    <row r="47" spans="1:92" ht="15.75">
      <c r="A47" s="10" t="s">
        <v>304</v>
      </c>
      <c r="B47" s="2" t="s">
        <v>305</v>
      </c>
      <c r="F47" s="2" t="s">
        <v>140</v>
      </c>
      <c r="P47" s="7">
        <f>0.18*P46/16.38</f>
        <v>2.9156043956043955</v>
      </c>
      <c r="Q47" s="7">
        <f>0.18*Q46/16.38</f>
        <v>3.1806593406593406</v>
      </c>
      <c r="R47" s="8">
        <f>0.18*R46/16.38</f>
        <v>3.048131868131868</v>
      </c>
      <c r="Y47" s="7">
        <f aca="true" t="shared" si="30" ref="Y47:AT47">0.18*Y46/16.38</f>
        <v>1.5085714285714287</v>
      </c>
      <c r="Z47" s="7">
        <f t="shared" si="30"/>
        <v>1.76</v>
      </c>
      <c r="AA47" s="8">
        <f t="shared" si="30"/>
        <v>1.6342857142857143</v>
      </c>
      <c r="AB47" s="7">
        <f t="shared" si="30"/>
        <v>1.5085714285714287</v>
      </c>
      <c r="AC47" s="7">
        <f t="shared" si="30"/>
        <v>2.011428571428571</v>
      </c>
      <c r="AD47" s="7">
        <f t="shared" si="30"/>
        <v>1.76</v>
      </c>
      <c r="AE47" s="7" t="e">
        <f t="shared" si="30"/>
        <v>#VALUE!</v>
      </c>
      <c r="AF47" s="10"/>
      <c r="AG47" s="10"/>
      <c r="AI47" s="7">
        <f t="shared" si="30"/>
        <v>1.6457142857142857</v>
      </c>
      <c r="AJ47" s="7">
        <f t="shared" si="30"/>
        <v>1.8989010989010988</v>
      </c>
      <c r="AK47" s="7">
        <f t="shared" si="30"/>
        <v>1.7723076923076924</v>
      </c>
      <c r="AL47" s="7">
        <f t="shared" si="30"/>
        <v>1.519120879120879</v>
      </c>
      <c r="AM47" s="7">
        <f t="shared" si="30"/>
        <v>1.7723076923076924</v>
      </c>
      <c r="AN47" s="8">
        <f t="shared" si="30"/>
        <v>1.6457142857142857</v>
      </c>
      <c r="AO47" s="7">
        <f t="shared" si="30"/>
        <v>1.7202197802197805</v>
      </c>
      <c r="AP47" s="7">
        <f t="shared" si="30"/>
        <v>1.834901098901099</v>
      </c>
      <c r="AQ47" s="7">
        <f t="shared" si="30"/>
        <v>1.7775604395604396</v>
      </c>
      <c r="AR47" s="7">
        <f t="shared" si="30"/>
        <v>1.6236263736263736</v>
      </c>
      <c r="AS47" s="7">
        <f t="shared" si="30"/>
        <v>1.731868131868132</v>
      </c>
      <c r="AT47" s="7">
        <f t="shared" si="30"/>
        <v>1.6777472527472528</v>
      </c>
      <c r="AX47" s="7">
        <f>0.18*AX46/16.38</f>
        <v>4.418461538461538</v>
      </c>
      <c r="AY47" s="7">
        <f>0.18*AY46/16.38</f>
        <v>4.734065934065933</v>
      </c>
      <c r="AZ47" s="7">
        <f>0.18*AZ46/16.38</f>
        <v>4.576263736263736</v>
      </c>
      <c r="BA47" s="7"/>
      <c r="BB47" s="7">
        <f>0.18*BB46/16.38</f>
        <v>5.206153846153846</v>
      </c>
      <c r="BC47" s="7">
        <f>0.18*BC46/16.38</f>
        <v>5.578021978021978</v>
      </c>
      <c r="BD47" s="8">
        <f>0.18*BD46/16.38</f>
        <v>5.392087912087913</v>
      </c>
      <c r="BK47" s="10"/>
      <c r="BL47" s="10"/>
      <c r="BM47" s="10"/>
      <c r="BN47" s="10"/>
      <c r="BO47" s="10"/>
      <c r="BP47" s="10"/>
      <c r="BQ47" s="10"/>
      <c r="CK47" s="8">
        <f>0.18*CK46/16.38</f>
        <v>6.085714285714285</v>
      </c>
      <c r="CN47" s="10"/>
    </row>
    <row r="48" spans="1:92" ht="15.75">
      <c r="A48" s="10"/>
      <c r="CK48" s="2"/>
      <c r="CN48" s="10"/>
    </row>
    <row r="49" spans="7:92" ht="15.75">
      <c r="G49" s="10" t="s">
        <v>317</v>
      </c>
      <c r="J49" s="10" t="s">
        <v>181</v>
      </c>
      <c r="M49" s="10" t="s">
        <v>259</v>
      </c>
      <c r="P49" s="10" t="s">
        <v>182</v>
      </c>
      <c r="S49" s="10" t="s">
        <v>183</v>
      </c>
      <c r="V49" s="10" t="s">
        <v>260</v>
      </c>
      <c r="Y49" s="10" t="s">
        <v>185</v>
      </c>
      <c r="AB49" s="10" t="s">
        <v>186</v>
      </c>
      <c r="AF49" s="10" t="s">
        <v>196</v>
      </c>
      <c r="AI49" s="10" t="s">
        <v>197</v>
      </c>
      <c r="AL49" s="10" t="s">
        <v>198</v>
      </c>
      <c r="AO49" s="10" t="s">
        <v>199</v>
      </c>
      <c r="AR49" s="10" t="s">
        <v>200</v>
      </c>
      <c r="AU49" s="10" t="s">
        <v>201</v>
      </c>
      <c r="AX49" s="10" t="s">
        <v>266</v>
      </c>
      <c r="BB49" s="10" t="s">
        <v>261</v>
      </c>
      <c r="BE49" s="10" t="s">
        <v>390</v>
      </c>
      <c r="BH49" s="10" t="s">
        <v>391</v>
      </c>
      <c r="BK49" s="10" t="s">
        <v>267</v>
      </c>
      <c r="BN49" s="10" t="s">
        <v>268</v>
      </c>
      <c r="BQ49" s="10" t="s">
        <v>269</v>
      </c>
      <c r="BT49" s="10" t="s">
        <v>270</v>
      </c>
      <c r="BW49" s="10" t="s">
        <v>271</v>
      </c>
      <c r="BZ49" s="10" t="s">
        <v>272</v>
      </c>
      <c r="CC49" s="10" t="s">
        <v>273</v>
      </c>
      <c r="CF49" s="10" t="s">
        <v>274</v>
      </c>
      <c r="CK49" s="2"/>
      <c r="CN49" s="10"/>
    </row>
    <row r="50" spans="1:92" ht="15.75">
      <c r="A50" s="10" t="s">
        <v>307</v>
      </c>
      <c r="C50" s="2" t="s">
        <v>308</v>
      </c>
      <c r="D50" s="2" t="s">
        <v>67</v>
      </c>
      <c r="E50" s="2" t="s">
        <v>68</v>
      </c>
      <c r="F50" s="2" t="s">
        <v>69</v>
      </c>
      <c r="O50" s="2">
        <v>20</v>
      </c>
      <c r="P50" s="2">
        <v>10</v>
      </c>
      <c r="Q50" s="2">
        <v>15</v>
      </c>
      <c r="R50" s="2">
        <v>12.5</v>
      </c>
      <c r="V50" s="2">
        <v>8</v>
      </c>
      <c r="X50" s="2">
        <v>11.5</v>
      </c>
      <c r="Y50" s="2">
        <v>10</v>
      </c>
      <c r="Z50" s="2">
        <v>15</v>
      </c>
      <c r="AA50" s="2">
        <v>12.5</v>
      </c>
      <c r="AD50" s="2">
        <v>30</v>
      </c>
      <c r="AE50" s="10" t="s">
        <v>307</v>
      </c>
      <c r="AF50" s="10"/>
      <c r="AG50" s="10"/>
      <c r="AL50" s="2">
        <v>20</v>
      </c>
      <c r="AM50" s="2">
        <v>25</v>
      </c>
      <c r="AN50" s="2">
        <v>28</v>
      </c>
      <c r="AO50" s="2">
        <v>20</v>
      </c>
      <c r="AP50" s="2">
        <v>25</v>
      </c>
      <c r="AQ50" s="2">
        <v>28</v>
      </c>
      <c r="AR50" s="2">
        <v>30</v>
      </c>
      <c r="AS50" s="2">
        <v>50</v>
      </c>
      <c r="AT50" s="2">
        <v>40</v>
      </c>
      <c r="AU50" s="2">
        <v>60</v>
      </c>
      <c r="AV50" s="2">
        <v>80</v>
      </c>
      <c r="AW50" s="2">
        <v>70</v>
      </c>
      <c r="AX50" s="2">
        <v>120</v>
      </c>
      <c r="AY50" s="2">
        <v>150</v>
      </c>
      <c r="AZ50" s="2">
        <v>135</v>
      </c>
      <c r="BA50" s="10" t="s">
        <v>307</v>
      </c>
      <c r="BB50" s="2">
        <v>80</v>
      </c>
      <c r="BC50" s="2">
        <v>120</v>
      </c>
      <c r="BD50" s="2">
        <v>100</v>
      </c>
      <c r="BM50" s="2">
        <v>150</v>
      </c>
      <c r="CC50" s="10">
        <v>90</v>
      </c>
      <c r="CD50" s="10">
        <v>100</v>
      </c>
      <c r="CE50" s="10">
        <v>95</v>
      </c>
      <c r="CK50" s="2"/>
      <c r="CL50" s="10" t="s">
        <v>307</v>
      </c>
      <c r="CN50" s="10"/>
    </row>
    <row r="51" spans="1:92" ht="15.75">
      <c r="A51" s="10"/>
      <c r="F51" s="2" t="s">
        <v>160</v>
      </c>
      <c r="O51" s="2">
        <f aca="true" t="shared" si="31" ref="O51:AD51">O50*O3</f>
        <v>75.03999999999999</v>
      </c>
      <c r="P51" s="2">
        <f t="shared" si="31"/>
        <v>24.119999999999997</v>
      </c>
      <c r="Q51" s="2">
        <f t="shared" si="31"/>
        <v>36.18</v>
      </c>
      <c r="R51" s="2">
        <f t="shared" si="31"/>
        <v>30.15</v>
      </c>
      <c r="V51" s="2">
        <f t="shared" si="31"/>
        <v>13.128</v>
      </c>
      <c r="X51" s="2">
        <f t="shared" si="31"/>
        <v>18.8715</v>
      </c>
      <c r="Y51" s="2">
        <f t="shared" si="31"/>
        <v>11.44</v>
      </c>
      <c r="Z51" s="2">
        <f t="shared" si="31"/>
        <v>17.16</v>
      </c>
      <c r="AA51" s="2">
        <f t="shared" si="31"/>
        <v>14.299999999999999</v>
      </c>
      <c r="AD51" s="2">
        <f t="shared" si="31"/>
        <v>34.32</v>
      </c>
      <c r="AE51" s="2" t="s">
        <v>160</v>
      </c>
      <c r="AF51" s="2">
        <f>AF50*AF3</f>
        <v>0</v>
      </c>
      <c r="AG51" s="2">
        <f>AG50*AG3</f>
        <v>0</v>
      </c>
      <c r="AH51" s="2">
        <f>AH50*AH3</f>
        <v>0</v>
      </c>
      <c r="AL51" s="2">
        <f aca="true" t="shared" si="32" ref="AL51:AZ51">AL50*AL3</f>
        <v>23.04</v>
      </c>
      <c r="AM51" s="2">
        <f t="shared" si="32"/>
        <v>28.799999999999997</v>
      </c>
      <c r="AN51" s="2">
        <f t="shared" si="32"/>
        <v>32.256</v>
      </c>
      <c r="AO51" s="2">
        <f t="shared" si="32"/>
        <v>20.872</v>
      </c>
      <c r="AP51" s="2">
        <f t="shared" si="32"/>
        <v>26.090000000000003</v>
      </c>
      <c r="AQ51" s="2">
        <f t="shared" si="32"/>
        <v>29.220800000000004</v>
      </c>
      <c r="AR51" s="2">
        <f t="shared" si="32"/>
        <v>29.55</v>
      </c>
      <c r="AS51" s="2">
        <f t="shared" si="32"/>
        <v>49.25</v>
      </c>
      <c r="AT51" s="2">
        <f t="shared" si="32"/>
        <v>39.4</v>
      </c>
      <c r="AU51" s="2">
        <f t="shared" si="32"/>
        <v>57.3</v>
      </c>
      <c r="AV51" s="2">
        <f t="shared" si="32"/>
        <v>76.39999999999999</v>
      </c>
      <c r="AW51" s="2">
        <f t="shared" si="32"/>
        <v>66.85</v>
      </c>
      <c r="AX51" s="2">
        <f t="shared" si="32"/>
        <v>86.16</v>
      </c>
      <c r="AY51" s="2">
        <f t="shared" si="32"/>
        <v>107.69999999999999</v>
      </c>
      <c r="AZ51" s="2">
        <f t="shared" si="32"/>
        <v>96.92999999999999</v>
      </c>
      <c r="BA51" s="2" t="s">
        <v>160</v>
      </c>
      <c r="BB51" s="2">
        <f>BB50*BB3</f>
        <v>67.67999999999999</v>
      </c>
      <c r="BC51" s="2">
        <f>BC50*BC3</f>
        <v>101.52</v>
      </c>
      <c r="BD51" s="2">
        <f>BD50*BD3</f>
        <v>84.6</v>
      </c>
      <c r="BM51" s="2">
        <f>BM50*BM3</f>
        <v>92.355</v>
      </c>
      <c r="CC51" s="10">
        <f>CC50*CC3</f>
        <v>74.682</v>
      </c>
      <c r="CD51" s="10">
        <f>CD50*CD3</f>
        <v>82.98</v>
      </c>
      <c r="CE51" s="10">
        <f>CE50*CE3</f>
        <v>78.831</v>
      </c>
      <c r="CK51" s="2"/>
      <c r="CL51" s="2" t="s">
        <v>160</v>
      </c>
      <c r="CN51" s="10"/>
    </row>
    <row r="52" spans="1:90" ht="15.75">
      <c r="A52" s="10"/>
      <c r="C52" s="2" t="s">
        <v>308</v>
      </c>
      <c r="D52" s="2" t="s">
        <v>309</v>
      </c>
      <c r="F52" s="2" t="s">
        <v>69</v>
      </c>
      <c r="R52" s="15"/>
      <c r="AE52" s="10"/>
      <c r="AF52" s="10"/>
      <c r="AG52" s="10"/>
      <c r="BA52" s="10"/>
      <c r="BB52" s="10"/>
      <c r="BC52" s="10"/>
      <c r="BD52" s="10"/>
      <c r="CK52" s="2"/>
      <c r="CL52" s="10" t="s">
        <v>309</v>
      </c>
    </row>
    <row r="53" spans="1:90" ht="15.75">
      <c r="A53" s="10"/>
      <c r="F53" s="2" t="s">
        <v>160</v>
      </c>
      <c r="AE53" s="2" t="s">
        <v>160</v>
      </c>
      <c r="AF53" s="2">
        <f>AF52*AF3</f>
        <v>0</v>
      </c>
      <c r="AG53" s="2">
        <f>AG52*AG3</f>
        <v>0</v>
      </c>
      <c r="AH53" s="2">
        <f>AH52*AH3</f>
        <v>0</v>
      </c>
      <c r="BA53" s="10"/>
      <c r="BB53" s="10"/>
      <c r="BC53" s="10"/>
      <c r="BD53" s="10"/>
      <c r="CK53" s="2"/>
      <c r="CL53" s="2" t="s">
        <v>160</v>
      </c>
    </row>
    <row r="54" spans="1:90" ht="15.75">
      <c r="A54" s="10" t="s">
        <v>310</v>
      </c>
      <c r="B54" s="2" t="s">
        <v>311</v>
      </c>
      <c r="C54" s="2" t="s">
        <v>281</v>
      </c>
      <c r="D54" s="2" t="s">
        <v>313</v>
      </c>
      <c r="E54" s="2" t="s">
        <v>68</v>
      </c>
      <c r="F54" s="2" t="s">
        <v>69</v>
      </c>
      <c r="P54" s="2">
        <v>60</v>
      </c>
      <c r="Q54" s="2">
        <v>80</v>
      </c>
      <c r="R54" s="2">
        <v>70</v>
      </c>
      <c r="Y54" s="2">
        <v>60</v>
      </c>
      <c r="Z54" s="2">
        <v>70</v>
      </c>
      <c r="AA54" s="2">
        <v>65</v>
      </c>
      <c r="AB54" s="2">
        <v>80</v>
      </c>
      <c r="AC54" s="2">
        <v>100</v>
      </c>
      <c r="AD54" s="2">
        <v>90</v>
      </c>
      <c r="AE54" s="10" t="s">
        <v>310</v>
      </c>
      <c r="AF54" s="2">
        <v>100</v>
      </c>
      <c r="AG54" s="2">
        <v>120</v>
      </c>
      <c r="AH54" s="2">
        <v>110</v>
      </c>
      <c r="AL54" s="2">
        <v>120</v>
      </c>
      <c r="AM54" s="2">
        <v>140</v>
      </c>
      <c r="AN54" s="2">
        <v>130</v>
      </c>
      <c r="AX54" s="2">
        <v>440</v>
      </c>
      <c r="AY54" s="2">
        <v>520</v>
      </c>
      <c r="AZ54" s="2">
        <v>480</v>
      </c>
      <c r="BA54" s="10" t="s">
        <v>310</v>
      </c>
      <c r="BB54" s="2">
        <v>440</v>
      </c>
      <c r="BC54" s="2">
        <v>520</v>
      </c>
      <c r="BD54" s="2">
        <v>480</v>
      </c>
      <c r="CK54" s="2"/>
      <c r="CL54" s="10" t="s">
        <v>310</v>
      </c>
    </row>
    <row r="55" spans="1:90" ht="15.75">
      <c r="A55" s="10" t="s">
        <v>310</v>
      </c>
      <c r="B55" s="2" t="s">
        <v>311</v>
      </c>
      <c r="F55" s="2" t="s">
        <v>160</v>
      </c>
      <c r="P55" s="2">
        <f>P54*P3</f>
        <v>144.72</v>
      </c>
      <c r="Q55" s="2">
        <f>Q54*Q3</f>
        <v>192.95999999999998</v>
      </c>
      <c r="R55" s="2">
        <f>R54*R3</f>
        <v>168.84</v>
      </c>
      <c r="S55" s="15"/>
      <c r="T55" s="15"/>
      <c r="Y55" s="2">
        <f aca="true" t="shared" si="33" ref="Y55:AD55">Y54*Y3</f>
        <v>68.64</v>
      </c>
      <c r="Z55" s="2">
        <f t="shared" si="33"/>
        <v>80.08</v>
      </c>
      <c r="AA55" s="2">
        <f t="shared" si="33"/>
        <v>74.36</v>
      </c>
      <c r="AB55" s="2">
        <f t="shared" si="33"/>
        <v>91.52</v>
      </c>
      <c r="AC55" s="2">
        <f t="shared" si="33"/>
        <v>114.39999999999999</v>
      </c>
      <c r="AD55" s="2">
        <f t="shared" si="33"/>
        <v>102.96</v>
      </c>
      <c r="AE55" s="2" t="s">
        <v>160</v>
      </c>
      <c r="AF55" s="2">
        <f>AF54*AF3</f>
        <v>115.19999999999999</v>
      </c>
      <c r="AG55" s="2">
        <f>AG54*AG3</f>
        <v>138.23999999999998</v>
      </c>
      <c r="AH55" s="2">
        <f>AH54*AH3</f>
        <v>126.71999999999998</v>
      </c>
      <c r="AL55" s="2">
        <f>AL54*AL3</f>
        <v>138.23999999999998</v>
      </c>
      <c r="AM55" s="2">
        <f>AM54*AM3</f>
        <v>161.28</v>
      </c>
      <c r="AN55" s="2">
        <f>AN54*AN3</f>
        <v>149.76</v>
      </c>
      <c r="AX55" s="2">
        <f>AX54*AX3</f>
        <v>315.91999999999996</v>
      </c>
      <c r="AY55" s="2">
        <f>AY54*AY3</f>
        <v>373.36</v>
      </c>
      <c r="AZ55" s="2">
        <f>AZ54*AZ3</f>
        <v>344.64</v>
      </c>
      <c r="BA55" s="2" t="s">
        <v>160</v>
      </c>
      <c r="BB55" s="2">
        <f>BB54*BB3</f>
        <v>372.24</v>
      </c>
      <c r="BC55" s="2">
        <f>BC54*BC3</f>
        <v>439.91999999999996</v>
      </c>
      <c r="BD55" s="2">
        <f>BD54*BD3</f>
        <v>406.08</v>
      </c>
      <c r="BE55" s="10"/>
      <c r="BF55" s="10"/>
      <c r="BG55" s="10"/>
      <c r="BH55" s="10"/>
      <c r="BI55" s="10"/>
      <c r="BJ55" s="10"/>
      <c r="BK55" s="10"/>
      <c r="BL55" s="10"/>
      <c r="CK55" s="2">
        <v>471.44</v>
      </c>
      <c r="CL55" s="2" t="s">
        <v>160</v>
      </c>
    </row>
    <row r="56" spans="1:89" ht="15.75">
      <c r="A56" s="10" t="s">
        <v>310</v>
      </c>
      <c r="B56" s="2" t="s">
        <v>311</v>
      </c>
      <c r="F56" s="2" t="s">
        <v>140</v>
      </c>
      <c r="P56" s="7">
        <f>0.18*P55/16.38</f>
        <v>1.5903296703296703</v>
      </c>
      <c r="Q56" s="7">
        <f>0.18*Q55/16.38</f>
        <v>2.1204395604395603</v>
      </c>
      <c r="R56" s="8">
        <f>0.18*R55/16.38</f>
        <v>1.8553846153846154</v>
      </c>
      <c r="S56" s="15"/>
      <c r="T56" s="15"/>
      <c r="Y56" s="7">
        <f aca="true" t="shared" si="34" ref="Y56:AD56">0.18*Y55/16.38</f>
        <v>0.7542857142857143</v>
      </c>
      <c r="Z56" s="7">
        <f t="shared" si="34"/>
        <v>0.88</v>
      </c>
      <c r="AA56" s="8">
        <f t="shared" si="34"/>
        <v>0.8171428571428572</v>
      </c>
      <c r="AB56" s="7">
        <f t="shared" si="34"/>
        <v>1.0057142857142856</v>
      </c>
      <c r="AC56" s="7">
        <f t="shared" si="34"/>
        <v>1.2571428571428571</v>
      </c>
      <c r="AD56" s="7">
        <f t="shared" si="34"/>
        <v>1.1314285714285715</v>
      </c>
      <c r="AE56" s="7"/>
      <c r="AF56" s="7">
        <f>0.18*AF55/16.38</f>
        <v>1.2659340659340659</v>
      </c>
      <c r="AG56" s="7">
        <f>0.18*AG55/16.38</f>
        <v>1.519120879120879</v>
      </c>
      <c r="AH56" s="7">
        <f>0.18*AH55/16.38</f>
        <v>1.3925274725274723</v>
      </c>
      <c r="AL56" s="7">
        <f>0.18*AL55/16.38</f>
        <v>1.519120879120879</v>
      </c>
      <c r="AM56" s="7">
        <f>0.18*AM55/16.38</f>
        <v>1.7723076923076924</v>
      </c>
      <c r="AN56" s="8">
        <f>0.18*AN55/16.38</f>
        <v>1.6457142857142857</v>
      </c>
      <c r="AX56" s="7">
        <f>0.18*AX55/16.38</f>
        <v>3.4716483516483514</v>
      </c>
      <c r="AY56" s="7">
        <f>0.18*AY55/16.38</f>
        <v>4.102857142857143</v>
      </c>
      <c r="AZ56" s="7">
        <f>0.18*AZ55/16.38</f>
        <v>3.7872527472527473</v>
      </c>
      <c r="BA56" s="7"/>
      <c r="BB56" s="7">
        <f>0.18*BB55/16.38</f>
        <v>4.09054945054945</v>
      </c>
      <c r="BC56" s="7">
        <f>0.18*BC55/16.38</f>
        <v>4.8342857142857145</v>
      </c>
      <c r="BD56" s="8">
        <f>0.18*BD55/16.38</f>
        <v>4.462417582417582</v>
      </c>
      <c r="BE56" s="10"/>
      <c r="BF56" s="10"/>
      <c r="BG56" s="10"/>
      <c r="BH56" s="10"/>
      <c r="BI56" s="10"/>
      <c r="BJ56" s="10"/>
      <c r="BK56" s="10"/>
      <c r="BL56" s="10"/>
      <c r="CK56" s="2"/>
    </row>
    <row r="57" spans="1:89" ht="15.75">
      <c r="A57" s="10"/>
      <c r="S57" s="15"/>
      <c r="T57" s="15"/>
      <c r="CK57" s="2"/>
    </row>
    <row r="58" spans="1:90" ht="15.75">
      <c r="A58" s="10" t="s">
        <v>310</v>
      </c>
      <c r="B58" s="2" t="s">
        <v>311</v>
      </c>
      <c r="C58" s="2" t="s">
        <v>281</v>
      </c>
      <c r="D58" s="2" t="s">
        <v>195</v>
      </c>
      <c r="F58" s="2" t="s">
        <v>69</v>
      </c>
      <c r="S58" s="15"/>
      <c r="T58" s="15"/>
      <c r="U58" s="2">
        <v>50</v>
      </c>
      <c r="AE58" s="10" t="s">
        <v>252</v>
      </c>
      <c r="BA58" s="10" t="s">
        <v>252</v>
      </c>
      <c r="BK58" s="10"/>
      <c r="BL58" s="10"/>
      <c r="CK58" s="2"/>
      <c r="CL58" s="10" t="s">
        <v>252</v>
      </c>
    </row>
    <row r="59" spans="1:90" ht="15.75">
      <c r="A59" s="10"/>
      <c r="F59" s="2" t="s">
        <v>160</v>
      </c>
      <c r="S59" s="15"/>
      <c r="T59" s="15"/>
      <c r="U59" s="2">
        <f>U58*U3</f>
        <v>120.6</v>
      </c>
      <c r="AE59" s="2" t="s">
        <v>160</v>
      </c>
      <c r="BA59" s="2" t="s">
        <v>160</v>
      </c>
      <c r="BK59" s="10"/>
      <c r="BL59" s="10"/>
      <c r="CK59" s="2"/>
      <c r="CL59" s="2" t="s">
        <v>160</v>
      </c>
    </row>
    <row r="60" spans="1:90" ht="15.75">
      <c r="A60" s="10" t="s">
        <v>310</v>
      </c>
      <c r="B60" s="2" t="s">
        <v>217</v>
      </c>
      <c r="C60" s="2" t="s">
        <v>218</v>
      </c>
      <c r="D60" s="2" t="s">
        <v>195</v>
      </c>
      <c r="F60" s="2" t="s">
        <v>69</v>
      </c>
      <c r="U60" s="2">
        <v>70</v>
      </c>
      <c r="AE60" s="10" t="s">
        <v>253</v>
      </c>
      <c r="BA60" s="10" t="s">
        <v>253</v>
      </c>
      <c r="BK60" s="10"/>
      <c r="BL60" s="10"/>
      <c r="CK60" s="2"/>
      <c r="CL60" s="10" t="s">
        <v>253</v>
      </c>
    </row>
    <row r="61" spans="1:90" ht="15.75">
      <c r="A61" s="10"/>
      <c r="F61" s="2" t="s">
        <v>160</v>
      </c>
      <c r="U61" s="2">
        <f>U60*U3</f>
        <v>168.84</v>
      </c>
      <c r="AE61" s="2" t="s">
        <v>160</v>
      </c>
      <c r="BA61" s="2" t="s">
        <v>160</v>
      </c>
      <c r="BK61" s="10"/>
      <c r="BL61" s="10"/>
      <c r="CK61" s="2"/>
      <c r="CL61" s="2" t="s">
        <v>160</v>
      </c>
    </row>
    <row r="62" spans="1:89" ht="15.75">
      <c r="A62" s="10"/>
      <c r="BK62" s="10"/>
      <c r="BL62" s="10"/>
      <c r="CK62" s="2"/>
    </row>
    <row r="63" spans="1:90" ht="15.75">
      <c r="A63" s="10" t="s">
        <v>219</v>
      </c>
      <c r="B63" s="2" t="s">
        <v>220</v>
      </c>
      <c r="C63" s="2" t="s">
        <v>221</v>
      </c>
      <c r="D63" s="2" t="s">
        <v>67</v>
      </c>
      <c r="E63" s="2" t="s">
        <v>68</v>
      </c>
      <c r="F63" s="2" t="s">
        <v>69</v>
      </c>
      <c r="S63" s="2">
        <v>150</v>
      </c>
      <c r="T63" s="2">
        <v>200</v>
      </c>
      <c r="U63" s="2">
        <v>175</v>
      </c>
      <c r="Y63" s="2">
        <v>100</v>
      </c>
      <c r="Z63" s="2">
        <v>300</v>
      </c>
      <c r="AA63" s="2">
        <v>200</v>
      </c>
      <c r="AE63" s="10" t="s">
        <v>219</v>
      </c>
      <c r="AI63" s="2">
        <v>200</v>
      </c>
      <c r="AJ63" s="2">
        <v>280</v>
      </c>
      <c r="AK63" s="2">
        <v>240</v>
      </c>
      <c r="AL63" s="2">
        <v>200</v>
      </c>
      <c r="AM63" s="2">
        <v>280</v>
      </c>
      <c r="AN63" s="2">
        <v>240</v>
      </c>
      <c r="AO63" s="2">
        <v>240</v>
      </c>
      <c r="AP63" s="2">
        <v>280</v>
      </c>
      <c r="AQ63" s="2">
        <v>260</v>
      </c>
      <c r="AT63" s="2">
        <v>280</v>
      </c>
      <c r="AX63" s="2">
        <v>400</v>
      </c>
      <c r="AY63" s="2">
        <v>650</v>
      </c>
      <c r="AZ63" s="2">
        <v>225</v>
      </c>
      <c r="BA63" s="10" t="s">
        <v>219</v>
      </c>
      <c r="BB63" s="2">
        <v>400</v>
      </c>
      <c r="BC63" s="2">
        <v>650</v>
      </c>
      <c r="BD63" s="2">
        <v>225</v>
      </c>
      <c r="BK63" s="10"/>
      <c r="BL63" s="10"/>
      <c r="CK63" s="2"/>
      <c r="CL63" s="10" t="s">
        <v>219</v>
      </c>
    </row>
    <row r="64" spans="1:90" ht="15.75">
      <c r="A64" s="10"/>
      <c r="F64" s="2" t="s">
        <v>160</v>
      </c>
      <c r="S64" s="2">
        <f>S63*S3</f>
        <v>361.8</v>
      </c>
      <c r="T64" s="2">
        <f>T63*T3</f>
        <v>482.4</v>
      </c>
      <c r="U64" s="2">
        <f>U63*U3</f>
        <v>422.09999999999997</v>
      </c>
      <c r="Y64" s="2">
        <f aca="true" t="shared" si="35" ref="Y64:AD64">Y63*Y3</f>
        <v>114.39999999999999</v>
      </c>
      <c r="Z64" s="2">
        <f t="shared" si="35"/>
        <v>343.2</v>
      </c>
      <c r="AA64" s="2">
        <f t="shared" si="35"/>
        <v>228.79999999999998</v>
      </c>
      <c r="AB64" s="2">
        <f t="shared" si="35"/>
        <v>0</v>
      </c>
      <c r="AC64" s="2">
        <f t="shared" si="35"/>
        <v>0</v>
      </c>
      <c r="AD64" s="2">
        <f t="shared" si="35"/>
        <v>0</v>
      </c>
      <c r="AE64" s="2" t="s">
        <v>160</v>
      </c>
      <c r="AF64" s="2">
        <f aca="true" t="shared" si="36" ref="AF64:AZ64">AF63*AF3</f>
        <v>0</v>
      </c>
      <c r="AG64" s="2">
        <f t="shared" si="36"/>
        <v>0</v>
      </c>
      <c r="AH64" s="2">
        <f t="shared" si="36"/>
        <v>0</v>
      </c>
      <c r="AI64" s="2">
        <f t="shared" si="36"/>
        <v>230.39999999999998</v>
      </c>
      <c r="AJ64" s="2">
        <f t="shared" si="36"/>
        <v>322.56</v>
      </c>
      <c r="AK64" s="2">
        <f t="shared" si="36"/>
        <v>276.47999999999996</v>
      </c>
      <c r="AL64" s="2">
        <f t="shared" si="36"/>
        <v>230.39999999999998</v>
      </c>
      <c r="AM64" s="2">
        <f t="shared" si="36"/>
        <v>322.56</v>
      </c>
      <c r="AN64" s="2">
        <f t="shared" si="36"/>
        <v>276.47999999999996</v>
      </c>
      <c r="AO64" s="2">
        <f t="shared" si="36"/>
        <v>250.46400000000003</v>
      </c>
      <c r="AP64" s="2">
        <f t="shared" si="36"/>
        <v>292.208</v>
      </c>
      <c r="AQ64" s="2">
        <f t="shared" si="36"/>
        <v>271.336</v>
      </c>
      <c r="AR64" s="2">
        <f t="shared" si="36"/>
        <v>0</v>
      </c>
      <c r="AS64" s="2">
        <f t="shared" si="36"/>
        <v>0</v>
      </c>
      <c r="AT64" s="2">
        <f t="shared" si="36"/>
        <v>275.8</v>
      </c>
      <c r="AU64" s="2">
        <f t="shared" si="36"/>
        <v>0</v>
      </c>
      <c r="AV64" s="2">
        <f t="shared" si="36"/>
        <v>0</v>
      </c>
      <c r="AW64" s="2">
        <f t="shared" si="36"/>
        <v>0</v>
      </c>
      <c r="AX64" s="2">
        <f t="shared" si="36"/>
        <v>287.2</v>
      </c>
      <c r="AY64" s="2">
        <f t="shared" si="36"/>
        <v>466.7</v>
      </c>
      <c r="AZ64" s="2">
        <f t="shared" si="36"/>
        <v>161.54999999999998</v>
      </c>
      <c r="BA64" s="2" t="s">
        <v>160</v>
      </c>
      <c r="BB64" s="2">
        <f>BB63*BB3</f>
        <v>338.4</v>
      </c>
      <c r="BC64" s="2">
        <f>BC63*BC3</f>
        <v>549.9</v>
      </c>
      <c r="BD64" s="2">
        <f>BD63*BD3</f>
        <v>190.35</v>
      </c>
      <c r="BK64" s="10"/>
      <c r="BL64" s="10"/>
      <c r="CK64" s="2"/>
      <c r="CL64" s="10" t="s">
        <v>160</v>
      </c>
    </row>
    <row r="65" spans="1:90" ht="15.75">
      <c r="A65" s="10" t="s">
        <v>227</v>
      </c>
      <c r="B65" s="2" t="s">
        <v>228</v>
      </c>
      <c r="C65" s="2" t="s">
        <v>229</v>
      </c>
      <c r="D65" s="2" t="s">
        <v>230</v>
      </c>
      <c r="E65" s="2">
        <v>2</v>
      </c>
      <c r="F65" s="2" t="s">
        <v>69</v>
      </c>
      <c r="O65" s="2">
        <v>27</v>
      </c>
      <c r="X65" s="2">
        <v>42</v>
      </c>
      <c r="AB65" s="2">
        <v>54</v>
      </c>
      <c r="AC65" s="2">
        <v>56</v>
      </c>
      <c r="AD65" s="2">
        <v>55</v>
      </c>
      <c r="AE65" s="10" t="s">
        <v>227</v>
      </c>
      <c r="AF65" s="2">
        <v>54</v>
      </c>
      <c r="AG65" s="2">
        <v>56</v>
      </c>
      <c r="AH65" s="2">
        <v>55</v>
      </c>
      <c r="AO65" s="2">
        <v>60</v>
      </c>
      <c r="AP65" s="2">
        <v>80</v>
      </c>
      <c r="AQ65" s="2">
        <v>70</v>
      </c>
      <c r="AX65" s="2">
        <v>80</v>
      </c>
      <c r="AY65" s="2">
        <v>100</v>
      </c>
      <c r="AZ65" s="2">
        <v>90</v>
      </c>
      <c r="BA65" s="10" t="s">
        <v>227</v>
      </c>
      <c r="BB65" s="2">
        <v>80</v>
      </c>
      <c r="BC65" s="2">
        <v>100</v>
      </c>
      <c r="BD65" s="2">
        <v>90</v>
      </c>
      <c r="BK65" s="10"/>
      <c r="BL65" s="10"/>
      <c r="BM65" s="2">
        <v>110</v>
      </c>
      <c r="CK65" s="2"/>
      <c r="CL65" s="10" t="s">
        <v>227</v>
      </c>
    </row>
    <row r="66" spans="1:90" ht="15.75">
      <c r="A66" s="10"/>
      <c r="F66" s="2" t="s">
        <v>160</v>
      </c>
      <c r="O66" s="2">
        <f>O65*O3</f>
        <v>101.30399999999999</v>
      </c>
      <c r="X66" s="2">
        <f aca="true" t="shared" si="37" ref="X66:AD66">X65*X3</f>
        <v>68.922</v>
      </c>
      <c r="Y66" s="2">
        <f t="shared" si="37"/>
        <v>0</v>
      </c>
      <c r="Z66" s="2">
        <f t="shared" si="37"/>
        <v>0</v>
      </c>
      <c r="AA66" s="2">
        <f t="shared" si="37"/>
        <v>0</v>
      </c>
      <c r="AB66" s="2">
        <f t="shared" si="37"/>
        <v>61.775999999999996</v>
      </c>
      <c r="AC66" s="2">
        <f t="shared" si="37"/>
        <v>64.064</v>
      </c>
      <c r="AD66" s="2">
        <f t="shared" si="37"/>
        <v>62.919999999999995</v>
      </c>
      <c r="AE66" s="2" t="s">
        <v>160</v>
      </c>
      <c r="AF66" s="2">
        <f aca="true" t="shared" si="38" ref="AF66:AZ66">AF65*AF3</f>
        <v>62.208</v>
      </c>
      <c r="AG66" s="2">
        <f t="shared" si="38"/>
        <v>64.512</v>
      </c>
      <c r="AH66" s="2">
        <f t="shared" si="38"/>
        <v>63.35999999999999</v>
      </c>
      <c r="AI66" s="2">
        <f t="shared" si="38"/>
        <v>0</v>
      </c>
      <c r="AJ66" s="2">
        <f t="shared" si="38"/>
        <v>0</v>
      </c>
      <c r="AK66" s="2">
        <f t="shared" si="38"/>
        <v>0</v>
      </c>
      <c r="AL66" s="2">
        <f t="shared" si="38"/>
        <v>0</v>
      </c>
      <c r="AM66" s="2">
        <f t="shared" si="38"/>
        <v>0</v>
      </c>
      <c r="AN66" s="2">
        <f t="shared" si="38"/>
        <v>0</v>
      </c>
      <c r="AO66" s="2">
        <f t="shared" si="38"/>
        <v>62.61600000000001</v>
      </c>
      <c r="AP66" s="2">
        <f t="shared" si="38"/>
        <v>83.488</v>
      </c>
      <c r="AQ66" s="2">
        <f t="shared" si="38"/>
        <v>73.052</v>
      </c>
      <c r="AR66" s="2">
        <f t="shared" si="38"/>
        <v>0</v>
      </c>
      <c r="AS66" s="2">
        <f t="shared" si="38"/>
        <v>0</v>
      </c>
      <c r="AT66" s="2">
        <f t="shared" si="38"/>
        <v>0</v>
      </c>
      <c r="AU66" s="2">
        <f t="shared" si="38"/>
        <v>0</v>
      </c>
      <c r="AV66" s="2">
        <f t="shared" si="38"/>
        <v>0</v>
      </c>
      <c r="AW66" s="2">
        <f t="shared" si="38"/>
        <v>0</v>
      </c>
      <c r="AX66" s="2">
        <f t="shared" si="38"/>
        <v>57.44</v>
      </c>
      <c r="AY66" s="2">
        <f t="shared" si="38"/>
        <v>71.8</v>
      </c>
      <c r="AZ66" s="2">
        <f t="shared" si="38"/>
        <v>64.62</v>
      </c>
      <c r="BA66" s="2" t="s">
        <v>160</v>
      </c>
      <c r="BB66" s="2">
        <f>BB65*BB3</f>
        <v>67.67999999999999</v>
      </c>
      <c r="BC66" s="2">
        <f>BC65*BC3</f>
        <v>84.6</v>
      </c>
      <c r="BD66" s="2">
        <f>BD65*BD3</f>
        <v>76.14</v>
      </c>
      <c r="BK66" s="10"/>
      <c r="BL66" s="10"/>
      <c r="BM66" s="2">
        <f>BM65*BM3</f>
        <v>67.727</v>
      </c>
      <c r="CK66" s="2"/>
      <c r="CL66" s="10" t="s">
        <v>160</v>
      </c>
    </row>
    <row r="67" spans="1:90" ht="15.75">
      <c r="A67" s="10" t="s">
        <v>227</v>
      </c>
      <c r="B67" s="2" t="s">
        <v>231</v>
      </c>
      <c r="C67" s="2" t="s">
        <v>232</v>
      </c>
      <c r="D67" s="2" t="s">
        <v>230</v>
      </c>
      <c r="E67" s="2">
        <v>2</v>
      </c>
      <c r="F67" s="2" t="s">
        <v>69</v>
      </c>
      <c r="AB67" s="2">
        <v>54</v>
      </c>
      <c r="AC67" s="2">
        <v>60</v>
      </c>
      <c r="AD67" s="2">
        <v>57</v>
      </c>
      <c r="AE67" s="10" t="s">
        <v>227</v>
      </c>
      <c r="AN67" s="2">
        <v>40</v>
      </c>
      <c r="AX67" s="2">
        <v>150</v>
      </c>
      <c r="AY67" s="2">
        <v>260</v>
      </c>
      <c r="AZ67" s="2">
        <v>205</v>
      </c>
      <c r="BA67" s="10" t="s">
        <v>227</v>
      </c>
      <c r="BB67" s="2">
        <v>150</v>
      </c>
      <c r="BC67" s="2">
        <v>260</v>
      </c>
      <c r="BD67" s="2">
        <v>205</v>
      </c>
      <c r="BK67" s="10"/>
      <c r="BL67" s="10"/>
      <c r="BM67" s="10"/>
      <c r="CK67" s="2"/>
      <c r="CL67" s="10" t="s">
        <v>227</v>
      </c>
    </row>
    <row r="68" spans="1:90" ht="15.75">
      <c r="A68" s="10"/>
      <c r="F68" s="2" t="s">
        <v>160</v>
      </c>
      <c r="V68" s="2">
        <f aca="true" t="shared" si="39" ref="V68:AD68">V67*V3</f>
        <v>0</v>
      </c>
      <c r="W68" s="2">
        <f t="shared" si="39"/>
        <v>0</v>
      </c>
      <c r="X68" s="2">
        <f t="shared" si="39"/>
        <v>0</v>
      </c>
      <c r="Y68" s="2">
        <f t="shared" si="39"/>
        <v>0</v>
      </c>
      <c r="Z68" s="2">
        <f t="shared" si="39"/>
        <v>0</v>
      </c>
      <c r="AA68" s="2">
        <f t="shared" si="39"/>
        <v>0</v>
      </c>
      <c r="AB68" s="2">
        <f t="shared" si="39"/>
        <v>61.775999999999996</v>
      </c>
      <c r="AC68" s="2">
        <f t="shared" si="39"/>
        <v>68.64</v>
      </c>
      <c r="AD68" s="2">
        <f t="shared" si="39"/>
        <v>65.208</v>
      </c>
      <c r="AE68" s="2" t="s">
        <v>160</v>
      </c>
      <c r="AF68" s="2">
        <f aca="true" t="shared" si="40" ref="AF68:AZ68">AF67*AF3</f>
        <v>0</v>
      </c>
      <c r="AG68" s="2">
        <f t="shared" si="40"/>
        <v>0</v>
      </c>
      <c r="AH68" s="2">
        <f t="shared" si="40"/>
        <v>0</v>
      </c>
      <c r="AI68" s="2">
        <f t="shared" si="40"/>
        <v>0</v>
      </c>
      <c r="AJ68" s="2">
        <f t="shared" si="40"/>
        <v>0</v>
      </c>
      <c r="AK68" s="2">
        <f t="shared" si="40"/>
        <v>0</v>
      </c>
      <c r="AL68" s="2">
        <f t="shared" si="40"/>
        <v>0</v>
      </c>
      <c r="AM68" s="2">
        <f t="shared" si="40"/>
        <v>0</v>
      </c>
      <c r="AN68" s="2">
        <f t="shared" si="40"/>
        <v>46.08</v>
      </c>
      <c r="AO68" s="2">
        <f t="shared" si="40"/>
        <v>0</v>
      </c>
      <c r="AP68" s="2">
        <f t="shared" si="40"/>
        <v>0</v>
      </c>
      <c r="AQ68" s="2">
        <f t="shared" si="40"/>
        <v>0</v>
      </c>
      <c r="AR68" s="2">
        <f t="shared" si="40"/>
        <v>0</v>
      </c>
      <c r="AS68" s="2">
        <f t="shared" si="40"/>
        <v>0</v>
      </c>
      <c r="AT68" s="2">
        <f t="shared" si="40"/>
        <v>0</v>
      </c>
      <c r="AU68" s="2">
        <f t="shared" si="40"/>
        <v>0</v>
      </c>
      <c r="AV68" s="2">
        <f t="shared" si="40"/>
        <v>0</v>
      </c>
      <c r="AW68" s="2">
        <f t="shared" si="40"/>
        <v>0</v>
      </c>
      <c r="AX68" s="2">
        <f t="shared" si="40"/>
        <v>107.69999999999999</v>
      </c>
      <c r="AY68" s="2">
        <f t="shared" si="40"/>
        <v>186.68</v>
      </c>
      <c r="AZ68" s="2">
        <f t="shared" si="40"/>
        <v>147.19</v>
      </c>
      <c r="BA68" s="2" t="s">
        <v>160</v>
      </c>
      <c r="BB68" s="2">
        <f>BB67*BB3</f>
        <v>126.89999999999999</v>
      </c>
      <c r="BC68" s="2">
        <f>BC67*BC3</f>
        <v>219.95999999999998</v>
      </c>
      <c r="BD68" s="2">
        <f>BD67*BD3</f>
        <v>173.43</v>
      </c>
      <c r="BK68" s="10"/>
      <c r="BL68" s="10"/>
      <c r="BM68" s="10"/>
      <c r="CK68" s="2">
        <v>532.5</v>
      </c>
      <c r="CL68" s="10" t="s">
        <v>160</v>
      </c>
    </row>
    <row r="69" spans="1:90" ht="15.75">
      <c r="A69" s="10" t="s">
        <v>233</v>
      </c>
      <c r="C69" s="2" t="s">
        <v>234</v>
      </c>
      <c r="D69" s="2" t="s">
        <v>230</v>
      </c>
      <c r="E69" s="2">
        <v>2</v>
      </c>
      <c r="F69" s="2" t="s">
        <v>69</v>
      </c>
      <c r="V69" s="2">
        <v>18</v>
      </c>
      <c r="W69" s="2">
        <v>19</v>
      </c>
      <c r="X69" s="2">
        <v>18.5</v>
      </c>
      <c r="AD69" s="2">
        <v>29</v>
      </c>
      <c r="AE69" s="10" t="s">
        <v>233</v>
      </c>
      <c r="BA69" s="10" t="s">
        <v>233</v>
      </c>
      <c r="BB69" s="10"/>
      <c r="BC69" s="10"/>
      <c r="BD69" s="10"/>
      <c r="BK69" s="10"/>
      <c r="BL69" s="10"/>
      <c r="BM69" s="10"/>
      <c r="CK69" s="2"/>
      <c r="CL69" s="10" t="s">
        <v>233</v>
      </c>
    </row>
    <row r="70" spans="1:90" ht="15.75">
      <c r="A70" s="10"/>
      <c r="F70" s="2" t="s">
        <v>160</v>
      </c>
      <c r="V70" s="2">
        <f aca="true" t="shared" si="41" ref="V70:AD70">V69*V3</f>
        <v>29.538</v>
      </c>
      <c r="W70" s="2">
        <f t="shared" si="41"/>
        <v>31.179000000000002</v>
      </c>
      <c r="X70" s="2">
        <f t="shared" si="41"/>
        <v>30.3585</v>
      </c>
      <c r="Y70" s="2">
        <f t="shared" si="41"/>
        <v>0</v>
      </c>
      <c r="Z70" s="2">
        <f t="shared" si="41"/>
        <v>0</v>
      </c>
      <c r="AA70" s="2">
        <f t="shared" si="41"/>
        <v>0</v>
      </c>
      <c r="AB70" s="2">
        <f t="shared" si="41"/>
        <v>0</v>
      </c>
      <c r="AC70" s="2">
        <f t="shared" si="41"/>
        <v>0</v>
      </c>
      <c r="AD70" s="2">
        <f t="shared" si="41"/>
        <v>33.175999999999995</v>
      </c>
      <c r="AE70" s="2" t="s">
        <v>160</v>
      </c>
      <c r="AF70" s="2">
        <f aca="true" t="shared" si="42" ref="AF70:AZ70">AF69*AF3</f>
        <v>0</v>
      </c>
      <c r="AG70" s="2">
        <f t="shared" si="42"/>
        <v>0</v>
      </c>
      <c r="AH70" s="2">
        <f t="shared" si="42"/>
        <v>0</v>
      </c>
      <c r="AI70" s="2">
        <f t="shared" si="42"/>
        <v>0</v>
      </c>
      <c r="AJ70" s="2">
        <f t="shared" si="42"/>
        <v>0</v>
      </c>
      <c r="AK70" s="2">
        <f t="shared" si="42"/>
        <v>0</v>
      </c>
      <c r="AL70" s="2">
        <f t="shared" si="42"/>
        <v>0</v>
      </c>
      <c r="AM70" s="2">
        <f t="shared" si="42"/>
        <v>0</v>
      </c>
      <c r="AN70" s="2">
        <f t="shared" si="42"/>
        <v>0</v>
      </c>
      <c r="AO70" s="2">
        <f t="shared" si="42"/>
        <v>0</v>
      </c>
      <c r="AP70" s="2">
        <f t="shared" si="42"/>
        <v>0</v>
      </c>
      <c r="AQ70" s="2">
        <f t="shared" si="42"/>
        <v>0</v>
      </c>
      <c r="AR70" s="2">
        <f t="shared" si="42"/>
        <v>0</v>
      </c>
      <c r="AS70" s="2">
        <f t="shared" si="42"/>
        <v>0</v>
      </c>
      <c r="AT70" s="2">
        <f t="shared" si="42"/>
        <v>0</v>
      </c>
      <c r="AU70" s="2">
        <f t="shared" si="42"/>
        <v>0</v>
      </c>
      <c r="AV70" s="2">
        <f t="shared" si="42"/>
        <v>0</v>
      </c>
      <c r="AW70" s="2">
        <f t="shared" si="42"/>
        <v>0</v>
      </c>
      <c r="AX70" s="2">
        <f t="shared" si="42"/>
        <v>0</v>
      </c>
      <c r="AY70" s="2">
        <f t="shared" si="42"/>
        <v>0</v>
      </c>
      <c r="AZ70" s="2">
        <f t="shared" si="42"/>
        <v>0</v>
      </c>
      <c r="BA70" s="2" t="s">
        <v>160</v>
      </c>
      <c r="BB70" s="10"/>
      <c r="BC70" s="10"/>
      <c r="BD70" s="10"/>
      <c r="BK70" s="10"/>
      <c r="BL70" s="10"/>
      <c r="BM70" s="10"/>
      <c r="CK70" s="2"/>
      <c r="CL70" s="10" t="s">
        <v>160</v>
      </c>
    </row>
    <row r="71" spans="1:90" ht="15.75">
      <c r="A71" s="10" t="s">
        <v>235</v>
      </c>
      <c r="C71" s="2" t="s">
        <v>236</v>
      </c>
      <c r="D71" s="2" t="s">
        <v>67</v>
      </c>
      <c r="E71" s="2" t="s">
        <v>68</v>
      </c>
      <c r="F71" s="2" t="s">
        <v>69</v>
      </c>
      <c r="M71" s="2">
        <v>120</v>
      </c>
      <c r="N71" s="2">
        <v>200</v>
      </c>
      <c r="O71" s="2">
        <v>180</v>
      </c>
      <c r="P71" s="2">
        <v>60</v>
      </c>
      <c r="Q71" s="2">
        <v>70</v>
      </c>
      <c r="R71" s="2">
        <v>65</v>
      </c>
      <c r="V71" s="2">
        <v>50</v>
      </c>
      <c r="W71" s="2">
        <v>70</v>
      </c>
      <c r="X71" s="2">
        <v>60</v>
      </c>
      <c r="Y71" s="2">
        <v>60</v>
      </c>
      <c r="Z71" s="2">
        <v>70</v>
      </c>
      <c r="AA71" s="2">
        <v>65</v>
      </c>
      <c r="AE71" s="10" t="s">
        <v>235</v>
      </c>
      <c r="BA71" s="10" t="s">
        <v>235</v>
      </c>
      <c r="BB71" s="10"/>
      <c r="BC71" s="10"/>
      <c r="BD71" s="10"/>
      <c r="BK71" s="10"/>
      <c r="BL71" s="10"/>
      <c r="BM71" s="10"/>
      <c r="CK71" s="2"/>
      <c r="CL71" s="10" t="s">
        <v>235</v>
      </c>
    </row>
    <row r="72" spans="1:90" ht="15.75">
      <c r="A72" s="10"/>
      <c r="F72" s="2" t="s">
        <v>160</v>
      </c>
      <c r="M72" s="2">
        <f aca="true" t="shared" si="43" ref="M72:AD72">M71*M3</f>
        <v>450.23999999999995</v>
      </c>
      <c r="N72" s="2">
        <f t="shared" si="43"/>
        <v>750.4</v>
      </c>
      <c r="O72" s="2">
        <f t="shared" si="43"/>
        <v>675.36</v>
      </c>
      <c r="P72" s="2">
        <f t="shared" si="43"/>
        <v>144.72</v>
      </c>
      <c r="Q72" s="2">
        <f t="shared" si="43"/>
        <v>168.84</v>
      </c>
      <c r="R72" s="2">
        <f t="shared" si="43"/>
        <v>156.78</v>
      </c>
      <c r="V72" s="2">
        <f t="shared" si="43"/>
        <v>82.05</v>
      </c>
      <c r="W72" s="2">
        <f t="shared" si="43"/>
        <v>114.87</v>
      </c>
      <c r="X72" s="2">
        <f t="shared" si="43"/>
        <v>98.46000000000001</v>
      </c>
      <c r="Y72" s="2">
        <f t="shared" si="43"/>
        <v>68.64</v>
      </c>
      <c r="Z72" s="2">
        <f t="shared" si="43"/>
        <v>80.08</v>
      </c>
      <c r="AA72" s="2">
        <f t="shared" si="43"/>
        <v>74.36</v>
      </c>
      <c r="AB72" s="2">
        <f t="shared" si="43"/>
        <v>0</v>
      </c>
      <c r="AC72" s="2">
        <f t="shared" si="43"/>
        <v>0</v>
      </c>
      <c r="AD72" s="2">
        <f t="shared" si="43"/>
        <v>0</v>
      </c>
      <c r="AE72" s="2" t="s">
        <v>160</v>
      </c>
      <c r="AF72" s="2">
        <f aca="true" t="shared" si="44" ref="AF72:AZ72">AF71*AF3</f>
        <v>0</v>
      </c>
      <c r="AG72" s="2">
        <f t="shared" si="44"/>
        <v>0</v>
      </c>
      <c r="AH72" s="2">
        <f t="shared" si="44"/>
        <v>0</v>
      </c>
      <c r="AI72" s="2">
        <f t="shared" si="44"/>
        <v>0</v>
      </c>
      <c r="AJ72" s="2">
        <f t="shared" si="44"/>
        <v>0</v>
      </c>
      <c r="AK72" s="2">
        <f t="shared" si="44"/>
        <v>0</v>
      </c>
      <c r="AL72" s="2">
        <f t="shared" si="44"/>
        <v>0</v>
      </c>
      <c r="AM72" s="2">
        <f t="shared" si="44"/>
        <v>0</v>
      </c>
      <c r="AN72" s="2">
        <f t="shared" si="44"/>
        <v>0</v>
      </c>
      <c r="AO72" s="2">
        <f t="shared" si="44"/>
        <v>0</v>
      </c>
      <c r="AP72" s="2">
        <f t="shared" si="44"/>
        <v>0</v>
      </c>
      <c r="AQ72" s="2">
        <f t="shared" si="44"/>
        <v>0</v>
      </c>
      <c r="AR72" s="2">
        <f t="shared" si="44"/>
        <v>0</v>
      </c>
      <c r="AS72" s="2">
        <f t="shared" si="44"/>
        <v>0</v>
      </c>
      <c r="AT72" s="2">
        <f t="shared" si="44"/>
        <v>0</v>
      </c>
      <c r="AU72" s="2">
        <f t="shared" si="44"/>
        <v>0</v>
      </c>
      <c r="AV72" s="2">
        <f t="shared" si="44"/>
        <v>0</v>
      </c>
      <c r="AW72" s="2">
        <f t="shared" si="44"/>
        <v>0</v>
      </c>
      <c r="AX72" s="2">
        <f t="shared" si="44"/>
        <v>0</v>
      </c>
      <c r="AY72" s="2">
        <f t="shared" si="44"/>
        <v>0</v>
      </c>
      <c r="AZ72" s="2">
        <f t="shared" si="44"/>
        <v>0</v>
      </c>
      <c r="BA72" s="2" t="s">
        <v>160</v>
      </c>
      <c r="BB72" s="10"/>
      <c r="BC72" s="10"/>
      <c r="BD72" s="10"/>
      <c r="BK72" s="10"/>
      <c r="BL72" s="10"/>
      <c r="BM72" s="10"/>
      <c r="CK72" s="2"/>
      <c r="CL72" s="10" t="s">
        <v>160</v>
      </c>
    </row>
    <row r="73" spans="1:90" ht="15.75">
      <c r="A73" s="10" t="s">
        <v>237</v>
      </c>
      <c r="B73" s="2" t="s">
        <v>238</v>
      </c>
      <c r="C73" s="2" t="s">
        <v>223</v>
      </c>
      <c r="D73" s="2" t="s">
        <v>67</v>
      </c>
      <c r="E73" s="2" t="s">
        <v>68</v>
      </c>
      <c r="F73" s="2" t="s">
        <v>69</v>
      </c>
      <c r="O73" s="2">
        <v>33</v>
      </c>
      <c r="S73" s="2">
        <v>55</v>
      </c>
      <c r="T73" s="2">
        <v>58</v>
      </c>
      <c r="U73" s="2">
        <v>57</v>
      </c>
      <c r="Y73" s="2">
        <v>30</v>
      </c>
      <c r="Z73" s="2">
        <v>40</v>
      </c>
      <c r="AA73" s="2">
        <v>35</v>
      </c>
      <c r="AB73" s="2">
        <v>40</v>
      </c>
      <c r="AC73" s="2">
        <v>45</v>
      </c>
      <c r="AD73" s="2">
        <v>443</v>
      </c>
      <c r="AE73" s="10" t="s">
        <v>237</v>
      </c>
      <c r="BA73" s="10" t="s">
        <v>237</v>
      </c>
      <c r="BB73" s="10"/>
      <c r="BC73" s="10"/>
      <c r="BD73" s="10"/>
      <c r="BK73" s="10"/>
      <c r="BL73" s="10"/>
      <c r="BM73" s="10"/>
      <c r="CK73" s="2"/>
      <c r="CL73" s="10" t="s">
        <v>237</v>
      </c>
    </row>
    <row r="74" spans="1:90" ht="15.75">
      <c r="A74" s="10"/>
      <c r="F74" s="2" t="s">
        <v>160</v>
      </c>
      <c r="O74" s="2">
        <f aca="true" t="shared" si="45" ref="O74:AD74">O73*O3</f>
        <v>123.81599999999999</v>
      </c>
      <c r="S74" s="2">
        <f t="shared" si="45"/>
        <v>132.66</v>
      </c>
      <c r="T74" s="2">
        <f t="shared" si="45"/>
        <v>139.896</v>
      </c>
      <c r="U74" s="2">
        <f t="shared" si="45"/>
        <v>137.484</v>
      </c>
      <c r="V74" s="2">
        <f t="shared" si="45"/>
        <v>0</v>
      </c>
      <c r="W74" s="2">
        <f t="shared" si="45"/>
        <v>0</v>
      </c>
      <c r="X74" s="2">
        <f t="shared" si="45"/>
        <v>0</v>
      </c>
      <c r="Y74" s="2">
        <f t="shared" si="45"/>
        <v>34.32</v>
      </c>
      <c r="Z74" s="2">
        <f t="shared" si="45"/>
        <v>45.76</v>
      </c>
      <c r="AA74" s="2">
        <f t="shared" si="45"/>
        <v>40.04</v>
      </c>
      <c r="AB74" s="2">
        <f t="shared" si="45"/>
        <v>45.76</v>
      </c>
      <c r="AC74" s="2">
        <f t="shared" si="45"/>
        <v>51.48</v>
      </c>
      <c r="AD74" s="2">
        <f t="shared" si="45"/>
        <v>506.792</v>
      </c>
      <c r="AE74" s="2" t="s">
        <v>160</v>
      </c>
      <c r="AF74" s="2">
        <f aca="true" t="shared" si="46" ref="AF74:AZ74">AF73*AF3</f>
        <v>0</v>
      </c>
      <c r="AG74" s="2">
        <f t="shared" si="46"/>
        <v>0</v>
      </c>
      <c r="AH74" s="2">
        <f t="shared" si="46"/>
        <v>0</v>
      </c>
      <c r="AI74" s="2">
        <f t="shared" si="46"/>
        <v>0</v>
      </c>
      <c r="AJ74" s="2">
        <f t="shared" si="46"/>
        <v>0</v>
      </c>
      <c r="AK74" s="2">
        <f t="shared" si="46"/>
        <v>0</v>
      </c>
      <c r="AL74" s="2">
        <f t="shared" si="46"/>
        <v>0</v>
      </c>
      <c r="AM74" s="2">
        <f t="shared" si="46"/>
        <v>0</v>
      </c>
      <c r="AN74" s="2">
        <f t="shared" si="46"/>
        <v>0</v>
      </c>
      <c r="AO74" s="2">
        <f t="shared" si="46"/>
        <v>0</v>
      </c>
      <c r="AP74" s="2">
        <f t="shared" si="46"/>
        <v>0</v>
      </c>
      <c r="AQ74" s="2">
        <f t="shared" si="46"/>
        <v>0</v>
      </c>
      <c r="AR74" s="2">
        <f t="shared" si="46"/>
        <v>0</v>
      </c>
      <c r="AS74" s="2">
        <f t="shared" si="46"/>
        <v>0</v>
      </c>
      <c r="AT74" s="2">
        <f t="shared" si="46"/>
        <v>0</v>
      </c>
      <c r="AU74" s="2">
        <f t="shared" si="46"/>
        <v>0</v>
      </c>
      <c r="AV74" s="2">
        <f t="shared" si="46"/>
        <v>0</v>
      </c>
      <c r="AW74" s="2">
        <f t="shared" si="46"/>
        <v>0</v>
      </c>
      <c r="AX74" s="2">
        <f t="shared" si="46"/>
        <v>0</v>
      </c>
      <c r="AY74" s="2">
        <f t="shared" si="46"/>
        <v>0</v>
      </c>
      <c r="AZ74" s="2">
        <f t="shared" si="46"/>
        <v>0</v>
      </c>
      <c r="BA74" s="2" t="s">
        <v>160</v>
      </c>
      <c r="BB74" s="10"/>
      <c r="BC74" s="10"/>
      <c r="BD74" s="10"/>
      <c r="BK74" s="10"/>
      <c r="BL74" s="10"/>
      <c r="BM74" s="10"/>
      <c r="CK74" s="2">
        <v>426</v>
      </c>
      <c r="CL74" s="10" t="s">
        <v>160</v>
      </c>
    </row>
    <row r="75" spans="1:90" ht="15.75">
      <c r="A75" s="10" t="s">
        <v>237</v>
      </c>
      <c r="B75" s="2" t="s">
        <v>224</v>
      </c>
      <c r="C75" s="2" t="s">
        <v>223</v>
      </c>
      <c r="D75" s="2" t="s">
        <v>67</v>
      </c>
      <c r="E75" s="2" t="s">
        <v>68</v>
      </c>
      <c r="F75" s="2" t="s">
        <v>69</v>
      </c>
      <c r="S75" s="2">
        <v>20</v>
      </c>
      <c r="T75" s="2">
        <v>21</v>
      </c>
      <c r="U75" s="2">
        <v>20.5</v>
      </c>
      <c r="AE75" s="10" t="s">
        <v>237</v>
      </c>
      <c r="BA75" s="10" t="s">
        <v>237</v>
      </c>
      <c r="BB75" s="10"/>
      <c r="BC75" s="10"/>
      <c r="BD75" s="10"/>
      <c r="BK75" s="10"/>
      <c r="BL75" s="10"/>
      <c r="BM75" s="10"/>
      <c r="CK75" s="2"/>
      <c r="CL75" s="10" t="s">
        <v>237</v>
      </c>
    </row>
    <row r="76" spans="1:90" ht="15.75">
      <c r="A76" s="10"/>
      <c r="F76" s="2" t="s">
        <v>160</v>
      </c>
      <c r="S76" s="2">
        <f aca="true" t="shared" si="47" ref="S76:AD76">S75*S3</f>
        <v>48.239999999999995</v>
      </c>
      <c r="T76" s="2">
        <f t="shared" si="47"/>
        <v>50.652</v>
      </c>
      <c r="U76" s="2">
        <f t="shared" si="47"/>
        <v>49.446</v>
      </c>
      <c r="V76" s="2">
        <f t="shared" si="47"/>
        <v>0</v>
      </c>
      <c r="W76" s="2">
        <f t="shared" si="47"/>
        <v>0</v>
      </c>
      <c r="X76" s="2">
        <f t="shared" si="47"/>
        <v>0</v>
      </c>
      <c r="Y76" s="2">
        <f t="shared" si="47"/>
        <v>0</v>
      </c>
      <c r="Z76" s="2">
        <f t="shared" si="47"/>
        <v>0</v>
      </c>
      <c r="AA76" s="2">
        <f t="shared" si="47"/>
        <v>0</v>
      </c>
      <c r="AB76" s="2">
        <f t="shared" si="47"/>
        <v>0</v>
      </c>
      <c r="AC76" s="2">
        <f t="shared" si="47"/>
        <v>0</v>
      </c>
      <c r="AD76" s="2">
        <f t="shared" si="47"/>
        <v>0</v>
      </c>
      <c r="AE76" s="2" t="s">
        <v>160</v>
      </c>
      <c r="AF76" s="2">
        <f aca="true" t="shared" si="48" ref="AF76:AZ76">AF75*AF3</f>
        <v>0</v>
      </c>
      <c r="AG76" s="2">
        <f t="shared" si="48"/>
        <v>0</v>
      </c>
      <c r="AH76" s="2">
        <f t="shared" si="48"/>
        <v>0</v>
      </c>
      <c r="AI76" s="2">
        <f t="shared" si="48"/>
        <v>0</v>
      </c>
      <c r="AJ76" s="2">
        <f t="shared" si="48"/>
        <v>0</v>
      </c>
      <c r="AK76" s="2">
        <f t="shared" si="48"/>
        <v>0</v>
      </c>
      <c r="AL76" s="2">
        <f t="shared" si="48"/>
        <v>0</v>
      </c>
      <c r="AM76" s="2">
        <f t="shared" si="48"/>
        <v>0</v>
      </c>
      <c r="AN76" s="2">
        <f t="shared" si="48"/>
        <v>0</v>
      </c>
      <c r="AO76" s="2">
        <f t="shared" si="48"/>
        <v>0</v>
      </c>
      <c r="AP76" s="2">
        <f t="shared" si="48"/>
        <v>0</v>
      </c>
      <c r="AQ76" s="2">
        <f t="shared" si="48"/>
        <v>0</v>
      </c>
      <c r="AR76" s="2">
        <f t="shared" si="48"/>
        <v>0</v>
      </c>
      <c r="AS76" s="2">
        <f t="shared" si="48"/>
        <v>0</v>
      </c>
      <c r="AT76" s="2">
        <f t="shared" si="48"/>
        <v>0</v>
      </c>
      <c r="AU76" s="2">
        <f t="shared" si="48"/>
        <v>0</v>
      </c>
      <c r="AV76" s="2">
        <f t="shared" si="48"/>
        <v>0</v>
      </c>
      <c r="AW76" s="2">
        <f t="shared" si="48"/>
        <v>0</v>
      </c>
      <c r="AX76" s="2">
        <f t="shared" si="48"/>
        <v>0</v>
      </c>
      <c r="AY76" s="2">
        <f t="shared" si="48"/>
        <v>0</v>
      </c>
      <c r="AZ76" s="2">
        <f t="shared" si="48"/>
        <v>0</v>
      </c>
      <c r="BA76" s="2" t="s">
        <v>160</v>
      </c>
      <c r="BB76" s="10"/>
      <c r="BC76" s="10"/>
      <c r="BD76" s="10"/>
      <c r="BK76" s="10"/>
      <c r="BL76" s="10"/>
      <c r="BM76" s="10"/>
      <c r="CK76" s="2"/>
      <c r="CL76" s="10" t="s">
        <v>160</v>
      </c>
    </row>
    <row r="77" spans="1:90" ht="15.75">
      <c r="A77" s="10" t="s">
        <v>225</v>
      </c>
      <c r="B77" s="2" t="s">
        <v>412</v>
      </c>
      <c r="C77" s="2" t="s">
        <v>338</v>
      </c>
      <c r="D77" s="2" t="s">
        <v>67</v>
      </c>
      <c r="E77" s="2" t="s">
        <v>68</v>
      </c>
      <c r="F77" s="2" t="s">
        <v>69</v>
      </c>
      <c r="M77" s="2">
        <v>82</v>
      </c>
      <c r="N77" s="2">
        <v>84</v>
      </c>
      <c r="O77" s="2">
        <v>83</v>
      </c>
      <c r="U77" s="2">
        <v>70</v>
      </c>
      <c r="Y77" s="2">
        <v>14</v>
      </c>
      <c r="Z77" s="2">
        <v>16</v>
      </c>
      <c r="AA77" s="2">
        <v>15</v>
      </c>
      <c r="AE77" s="10" t="s">
        <v>225</v>
      </c>
      <c r="BA77" s="10" t="s">
        <v>225</v>
      </c>
      <c r="BB77" s="10"/>
      <c r="BC77" s="10"/>
      <c r="BD77" s="10"/>
      <c r="BK77" s="10"/>
      <c r="BL77" s="10"/>
      <c r="BM77" s="10"/>
      <c r="CK77" s="2"/>
      <c r="CL77" s="10" t="s">
        <v>225</v>
      </c>
    </row>
    <row r="78" spans="1:90" ht="15.75">
      <c r="A78" s="10"/>
      <c r="F78" s="2" t="s">
        <v>160</v>
      </c>
      <c r="M78" s="2">
        <f aca="true" t="shared" si="49" ref="M78:AD78">M77*M3</f>
        <v>307.664</v>
      </c>
      <c r="N78" s="2">
        <f t="shared" si="49"/>
        <v>315.168</v>
      </c>
      <c r="O78" s="2">
        <f t="shared" si="49"/>
        <v>311.416</v>
      </c>
      <c r="U78" s="2">
        <f t="shared" si="49"/>
        <v>168.84</v>
      </c>
      <c r="V78" s="2">
        <f t="shared" si="49"/>
        <v>0</v>
      </c>
      <c r="W78" s="2">
        <f t="shared" si="49"/>
        <v>0</v>
      </c>
      <c r="X78" s="2">
        <f t="shared" si="49"/>
        <v>0</v>
      </c>
      <c r="Y78" s="2">
        <f t="shared" si="49"/>
        <v>16.016</v>
      </c>
      <c r="Z78" s="2">
        <f t="shared" si="49"/>
        <v>18.304</v>
      </c>
      <c r="AA78" s="2">
        <f t="shared" si="49"/>
        <v>17.16</v>
      </c>
      <c r="AB78" s="2">
        <f t="shared" si="49"/>
        <v>0</v>
      </c>
      <c r="AC78" s="2">
        <f t="shared" si="49"/>
        <v>0</v>
      </c>
      <c r="AD78" s="2">
        <f t="shared" si="49"/>
        <v>0</v>
      </c>
      <c r="AE78" s="2" t="s">
        <v>160</v>
      </c>
      <c r="AF78" s="2">
        <f aca="true" t="shared" si="50" ref="AF78:AZ78">AF77*AF3</f>
        <v>0</v>
      </c>
      <c r="AG78" s="2">
        <f t="shared" si="50"/>
        <v>0</v>
      </c>
      <c r="AH78" s="2">
        <f t="shared" si="50"/>
        <v>0</v>
      </c>
      <c r="AI78" s="2">
        <f t="shared" si="50"/>
        <v>0</v>
      </c>
      <c r="AJ78" s="2">
        <f t="shared" si="50"/>
        <v>0</v>
      </c>
      <c r="AK78" s="2">
        <f t="shared" si="50"/>
        <v>0</v>
      </c>
      <c r="AL78" s="2">
        <f t="shared" si="50"/>
        <v>0</v>
      </c>
      <c r="AM78" s="2">
        <f t="shared" si="50"/>
        <v>0</v>
      </c>
      <c r="AN78" s="2">
        <f t="shared" si="50"/>
        <v>0</v>
      </c>
      <c r="AO78" s="2">
        <f t="shared" si="50"/>
        <v>0</v>
      </c>
      <c r="AP78" s="2">
        <f t="shared" si="50"/>
        <v>0</v>
      </c>
      <c r="AQ78" s="2">
        <f t="shared" si="50"/>
        <v>0</v>
      </c>
      <c r="AR78" s="2">
        <f t="shared" si="50"/>
        <v>0</v>
      </c>
      <c r="AS78" s="2">
        <f t="shared" si="50"/>
        <v>0</v>
      </c>
      <c r="AT78" s="2">
        <f t="shared" si="50"/>
        <v>0</v>
      </c>
      <c r="AU78" s="2">
        <f t="shared" si="50"/>
        <v>0</v>
      </c>
      <c r="AV78" s="2">
        <f t="shared" si="50"/>
        <v>0</v>
      </c>
      <c r="AW78" s="2">
        <f t="shared" si="50"/>
        <v>0</v>
      </c>
      <c r="AX78" s="2">
        <f t="shared" si="50"/>
        <v>0</v>
      </c>
      <c r="AY78" s="2">
        <f t="shared" si="50"/>
        <v>0</v>
      </c>
      <c r="AZ78" s="2">
        <f t="shared" si="50"/>
        <v>0</v>
      </c>
      <c r="BA78" s="2" t="s">
        <v>160</v>
      </c>
      <c r="BB78" s="10"/>
      <c r="BC78" s="10"/>
      <c r="BD78" s="10"/>
      <c r="BK78" s="10"/>
      <c r="BL78" s="10"/>
      <c r="BM78" s="10"/>
      <c r="CK78" s="2">
        <v>497</v>
      </c>
      <c r="CL78" s="10" t="s">
        <v>160</v>
      </c>
    </row>
    <row r="79" spans="1:90" ht="15.75">
      <c r="A79" s="10" t="s">
        <v>339</v>
      </c>
      <c r="B79" s="2" t="s">
        <v>340</v>
      </c>
      <c r="C79" s="2" t="s">
        <v>341</v>
      </c>
      <c r="D79" s="2" t="s">
        <v>342</v>
      </c>
      <c r="E79" s="2" t="s">
        <v>343</v>
      </c>
      <c r="F79" s="2" t="s">
        <v>69</v>
      </c>
      <c r="O79" s="2">
        <v>70</v>
      </c>
      <c r="P79" s="2">
        <v>70</v>
      </c>
      <c r="Q79" s="2">
        <v>90</v>
      </c>
      <c r="R79" s="2">
        <v>80</v>
      </c>
      <c r="S79" s="2">
        <v>110</v>
      </c>
      <c r="T79" s="2">
        <v>140</v>
      </c>
      <c r="U79" s="2">
        <v>125</v>
      </c>
      <c r="V79" s="2">
        <v>90</v>
      </c>
      <c r="W79" s="2">
        <v>120</v>
      </c>
      <c r="X79" s="2">
        <v>105</v>
      </c>
      <c r="Y79" s="2">
        <v>100</v>
      </c>
      <c r="Z79" s="2">
        <v>150</v>
      </c>
      <c r="AA79" s="2">
        <v>125</v>
      </c>
      <c r="AB79" s="2">
        <v>140</v>
      </c>
      <c r="AC79" s="2">
        <v>150</v>
      </c>
      <c r="AD79" s="2">
        <v>145</v>
      </c>
      <c r="AE79" s="10" t="s">
        <v>339</v>
      </c>
      <c r="AF79" s="2">
        <v>180</v>
      </c>
      <c r="AG79" s="2">
        <v>200</v>
      </c>
      <c r="AH79" s="2">
        <v>190</v>
      </c>
      <c r="AI79" s="2">
        <v>150</v>
      </c>
      <c r="AJ79" s="2">
        <v>200</v>
      </c>
      <c r="AK79" s="2">
        <v>175</v>
      </c>
      <c r="AO79" s="2">
        <v>110</v>
      </c>
      <c r="AP79" s="2">
        <v>200</v>
      </c>
      <c r="AQ79" s="2">
        <v>155</v>
      </c>
      <c r="AR79" s="2">
        <v>140</v>
      </c>
      <c r="AS79" s="2">
        <v>170</v>
      </c>
      <c r="AT79" s="2">
        <v>135</v>
      </c>
      <c r="AU79" s="2">
        <v>180</v>
      </c>
      <c r="AV79" s="2">
        <v>220</v>
      </c>
      <c r="AW79" s="2">
        <v>200</v>
      </c>
      <c r="AX79" s="2">
        <v>220</v>
      </c>
      <c r="AY79" s="2">
        <v>250</v>
      </c>
      <c r="AZ79" s="2">
        <v>235</v>
      </c>
      <c r="BA79" s="10" t="s">
        <v>339</v>
      </c>
      <c r="BB79" s="2">
        <v>200</v>
      </c>
      <c r="BC79" s="2">
        <v>240</v>
      </c>
      <c r="BD79" s="2">
        <v>210</v>
      </c>
      <c r="BK79" s="10"/>
      <c r="BL79" s="10"/>
      <c r="BM79" s="10"/>
      <c r="CK79" s="2"/>
      <c r="CL79" s="10" t="s">
        <v>339</v>
      </c>
    </row>
    <row r="80" spans="1:90" ht="15.75">
      <c r="A80" s="10"/>
      <c r="F80" s="2" t="s">
        <v>160</v>
      </c>
      <c r="O80" s="2">
        <f aca="true" t="shared" si="51" ref="O80:AD80">O79*O3</f>
        <v>262.64</v>
      </c>
      <c r="P80" s="2">
        <f t="shared" si="51"/>
        <v>168.84</v>
      </c>
      <c r="Q80" s="2">
        <f t="shared" si="51"/>
        <v>217.07999999999998</v>
      </c>
      <c r="R80" s="2">
        <f t="shared" si="51"/>
        <v>192.95999999999998</v>
      </c>
      <c r="S80" s="2">
        <f t="shared" si="51"/>
        <v>265.32</v>
      </c>
      <c r="T80" s="2">
        <f t="shared" si="51"/>
        <v>337.68</v>
      </c>
      <c r="U80" s="2">
        <f t="shared" si="51"/>
        <v>301.5</v>
      </c>
      <c r="V80" s="2">
        <f t="shared" si="51"/>
        <v>147.69</v>
      </c>
      <c r="W80" s="2">
        <f t="shared" si="51"/>
        <v>196.92000000000002</v>
      </c>
      <c r="X80" s="2">
        <f t="shared" si="51"/>
        <v>172.305</v>
      </c>
      <c r="Y80" s="2">
        <f t="shared" si="51"/>
        <v>114.39999999999999</v>
      </c>
      <c r="Z80" s="2">
        <f t="shared" si="51"/>
        <v>171.6</v>
      </c>
      <c r="AA80" s="2">
        <f t="shared" si="51"/>
        <v>143</v>
      </c>
      <c r="AB80" s="2">
        <f t="shared" si="51"/>
        <v>160.16</v>
      </c>
      <c r="AC80" s="2">
        <f t="shared" si="51"/>
        <v>171.6</v>
      </c>
      <c r="AD80" s="2">
        <f t="shared" si="51"/>
        <v>165.88</v>
      </c>
      <c r="AE80" s="2" t="s">
        <v>160</v>
      </c>
      <c r="AF80" s="2">
        <f aca="true" t="shared" si="52" ref="AF80:AK80">AF79*AF3</f>
        <v>207.35999999999999</v>
      </c>
      <c r="AG80" s="2">
        <f t="shared" si="52"/>
        <v>230.39999999999998</v>
      </c>
      <c r="AH80" s="2">
        <f t="shared" si="52"/>
        <v>218.88</v>
      </c>
      <c r="AI80" s="2">
        <f t="shared" si="52"/>
        <v>172.79999999999998</v>
      </c>
      <c r="AJ80" s="2">
        <f t="shared" si="52"/>
        <v>230.39999999999998</v>
      </c>
      <c r="AK80" s="2">
        <f t="shared" si="52"/>
        <v>201.6</v>
      </c>
      <c r="AO80" s="2">
        <f aca="true" t="shared" si="53" ref="AO80:AZ80">AO79*AO3</f>
        <v>114.796</v>
      </c>
      <c r="AP80" s="2">
        <f t="shared" si="53"/>
        <v>208.72000000000003</v>
      </c>
      <c r="AQ80" s="2">
        <f t="shared" si="53"/>
        <v>161.758</v>
      </c>
      <c r="AR80" s="2">
        <f t="shared" si="53"/>
        <v>137.9</v>
      </c>
      <c r="AS80" s="2">
        <f t="shared" si="53"/>
        <v>167.45</v>
      </c>
      <c r="AT80" s="2">
        <f t="shared" si="53"/>
        <v>132.975</v>
      </c>
      <c r="AU80" s="2">
        <f t="shared" si="53"/>
        <v>171.9</v>
      </c>
      <c r="AV80" s="2">
        <f t="shared" si="53"/>
        <v>210.1</v>
      </c>
      <c r="AW80" s="2">
        <f t="shared" si="53"/>
        <v>191</v>
      </c>
      <c r="AX80" s="2">
        <f t="shared" si="53"/>
        <v>157.95999999999998</v>
      </c>
      <c r="AY80" s="2">
        <f t="shared" si="53"/>
        <v>179.5</v>
      </c>
      <c r="AZ80" s="2">
        <f t="shared" si="53"/>
        <v>168.73</v>
      </c>
      <c r="BA80" s="2" t="s">
        <v>160</v>
      </c>
      <c r="BB80" s="2">
        <f>BB79*BB3</f>
        <v>169.2</v>
      </c>
      <c r="BC80" s="2">
        <f>BC79*BC3</f>
        <v>203.04</v>
      </c>
      <c r="BD80" s="2">
        <f>BD79*BD3</f>
        <v>177.66</v>
      </c>
      <c r="BK80" s="10"/>
      <c r="BL80" s="10"/>
      <c r="BM80" s="10"/>
      <c r="CK80" s="2"/>
      <c r="CL80" s="10" t="s">
        <v>160</v>
      </c>
    </row>
    <row r="81" spans="1:90" ht="15.75">
      <c r="A81" s="10"/>
      <c r="F81" s="2" t="s">
        <v>128</v>
      </c>
      <c r="O81" s="8">
        <f>0.18*O80</f>
        <v>47.2752</v>
      </c>
      <c r="P81" s="7">
        <f>0.18*P80</f>
        <v>30.391199999999998</v>
      </c>
      <c r="Q81" s="7">
        <f aca="true" t="shared" si="54" ref="Q81:AK81">0.18*Q80</f>
        <v>39.0744</v>
      </c>
      <c r="R81" s="8">
        <f t="shared" si="54"/>
        <v>34.7328</v>
      </c>
      <c r="S81" s="7">
        <f t="shared" si="54"/>
        <v>47.7576</v>
      </c>
      <c r="T81" s="7">
        <f t="shared" si="54"/>
        <v>60.782399999999996</v>
      </c>
      <c r="U81" s="7">
        <f t="shared" si="54"/>
        <v>54.269999999999996</v>
      </c>
      <c r="V81" s="7">
        <f t="shared" si="54"/>
        <v>26.5842</v>
      </c>
      <c r="W81" s="7">
        <f t="shared" si="54"/>
        <v>35.4456</v>
      </c>
      <c r="X81" s="8">
        <f t="shared" si="54"/>
        <v>31.0149</v>
      </c>
      <c r="Y81" s="7">
        <f t="shared" si="54"/>
        <v>20.592</v>
      </c>
      <c r="Z81" s="7">
        <f t="shared" si="54"/>
        <v>30.887999999999998</v>
      </c>
      <c r="AA81" s="7">
        <f t="shared" si="54"/>
        <v>25.74</v>
      </c>
      <c r="AB81" s="7">
        <f t="shared" si="54"/>
        <v>28.828799999999998</v>
      </c>
      <c r="AC81" s="7">
        <f t="shared" si="54"/>
        <v>30.887999999999998</v>
      </c>
      <c r="AD81" s="7">
        <f t="shared" si="54"/>
        <v>29.8584</v>
      </c>
      <c r="AE81" s="7"/>
      <c r="AF81" s="7">
        <f t="shared" si="54"/>
        <v>37.324799999999996</v>
      </c>
      <c r="AG81" s="7">
        <f t="shared" si="54"/>
        <v>41.471999999999994</v>
      </c>
      <c r="AH81" s="7">
        <f t="shared" si="54"/>
        <v>39.398399999999995</v>
      </c>
      <c r="AI81" s="7">
        <f t="shared" si="54"/>
        <v>31.103999999999996</v>
      </c>
      <c r="AJ81" s="7">
        <f t="shared" si="54"/>
        <v>41.471999999999994</v>
      </c>
      <c r="AK81" s="8">
        <f t="shared" si="54"/>
        <v>36.288</v>
      </c>
      <c r="AO81" s="7">
        <f aca="true" t="shared" si="55" ref="AO81:AZ81">0.18*AO80</f>
        <v>20.66328</v>
      </c>
      <c r="AP81" s="7">
        <f t="shared" si="55"/>
        <v>37.5696</v>
      </c>
      <c r="AQ81" s="7">
        <f t="shared" si="55"/>
        <v>29.11644</v>
      </c>
      <c r="AR81" s="7">
        <f t="shared" si="55"/>
        <v>24.822</v>
      </c>
      <c r="AS81" s="7">
        <f t="shared" si="55"/>
        <v>30.141</v>
      </c>
      <c r="AT81" s="7">
        <f t="shared" si="55"/>
        <v>23.935499999999998</v>
      </c>
      <c r="AU81" s="7">
        <f t="shared" si="55"/>
        <v>30.942</v>
      </c>
      <c r="AV81" s="7">
        <f t="shared" si="55"/>
        <v>37.818</v>
      </c>
      <c r="AW81" s="7">
        <f t="shared" si="55"/>
        <v>34.379999999999995</v>
      </c>
      <c r="AX81" s="7">
        <f t="shared" si="55"/>
        <v>28.432799999999997</v>
      </c>
      <c r="AY81" s="7">
        <f t="shared" si="55"/>
        <v>32.31</v>
      </c>
      <c r="AZ81" s="7">
        <f t="shared" si="55"/>
        <v>30.371399999999998</v>
      </c>
      <c r="BA81" s="7"/>
      <c r="BB81" s="7">
        <f>0.18*BB80</f>
        <v>30.455999999999996</v>
      </c>
      <c r="BC81" s="7">
        <f>0.18*BC80</f>
        <v>36.5472</v>
      </c>
      <c r="BD81" s="8">
        <f>0.18*BD80</f>
        <v>31.9788</v>
      </c>
      <c r="BK81" s="10"/>
      <c r="BL81" s="10"/>
      <c r="BM81" s="10"/>
      <c r="CK81" s="2"/>
      <c r="CL81" s="10"/>
    </row>
    <row r="82" spans="1:90" ht="15.75">
      <c r="A82" s="10"/>
      <c r="BK82" s="10"/>
      <c r="BL82" s="10"/>
      <c r="BM82" s="10"/>
      <c r="CK82" s="2"/>
      <c r="CL82" s="10"/>
    </row>
    <row r="83" spans="1:90" ht="15.75">
      <c r="A83" s="10" t="s">
        <v>344</v>
      </c>
      <c r="C83" s="2" t="s">
        <v>345</v>
      </c>
      <c r="D83" s="2" t="s">
        <v>293</v>
      </c>
      <c r="E83" s="2" t="s">
        <v>294</v>
      </c>
      <c r="F83" s="2" t="s">
        <v>69</v>
      </c>
      <c r="V83" s="2">
        <v>25</v>
      </c>
      <c r="W83" s="2">
        <v>60</v>
      </c>
      <c r="X83" s="2">
        <v>43</v>
      </c>
      <c r="Y83" s="2">
        <v>25</v>
      </c>
      <c r="Z83" s="2">
        <v>50</v>
      </c>
      <c r="AA83" s="2">
        <v>38</v>
      </c>
      <c r="AE83" s="10" t="s">
        <v>344</v>
      </c>
      <c r="AN83" s="2">
        <v>50</v>
      </c>
      <c r="AQ83" s="2">
        <v>60</v>
      </c>
      <c r="AT83" s="2">
        <v>100</v>
      </c>
      <c r="AX83" s="2">
        <v>130</v>
      </c>
      <c r="AY83" s="2">
        <v>150</v>
      </c>
      <c r="AZ83" s="2">
        <v>140</v>
      </c>
      <c r="BA83" s="10" t="s">
        <v>344</v>
      </c>
      <c r="BB83" s="2">
        <v>130</v>
      </c>
      <c r="BC83" s="2">
        <v>150</v>
      </c>
      <c r="BD83" s="2">
        <v>140</v>
      </c>
      <c r="BM83" s="10"/>
      <c r="CK83" s="2"/>
      <c r="CL83" s="10" t="s">
        <v>344</v>
      </c>
    </row>
    <row r="84" spans="1:90" ht="15.75">
      <c r="A84" s="10"/>
      <c r="F84" s="2" t="s">
        <v>160</v>
      </c>
      <c r="V84" s="2">
        <f aca="true" t="shared" si="56" ref="V84:AA84">V83*V3</f>
        <v>41.025</v>
      </c>
      <c r="W84" s="2">
        <f t="shared" si="56"/>
        <v>98.46000000000001</v>
      </c>
      <c r="X84" s="2">
        <f t="shared" si="56"/>
        <v>70.563</v>
      </c>
      <c r="Y84" s="2">
        <f t="shared" si="56"/>
        <v>28.599999999999998</v>
      </c>
      <c r="Z84" s="2">
        <f t="shared" si="56"/>
        <v>57.199999999999996</v>
      </c>
      <c r="AA84" s="2">
        <f t="shared" si="56"/>
        <v>43.471999999999994</v>
      </c>
      <c r="AD84" s="2">
        <f>AD83*AD3</f>
        <v>0</v>
      </c>
      <c r="AE84" s="2" t="s">
        <v>160</v>
      </c>
      <c r="AL84" s="2">
        <f aca="true" t="shared" si="57" ref="AL84:AZ84">AL83*AL3</f>
        <v>0</v>
      </c>
      <c r="AM84" s="2">
        <f t="shared" si="57"/>
        <v>0</v>
      </c>
      <c r="AN84" s="2">
        <f t="shared" si="57"/>
        <v>57.599999999999994</v>
      </c>
      <c r="AO84" s="2">
        <f t="shared" si="57"/>
        <v>0</v>
      </c>
      <c r="AP84" s="2">
        <f t="shared" si="57"/>
        <v>0</v>
      </c>
      <c r="AQ84" s="2">
        <f t="shared" si="57"/>
        <v>62.61600000000001</v>
      </c>
      <c r="AR84" s="2">
        <f t="shared" si="57"/>
        <v>0</v>
      </c>
      <c r="AS84" s="2">
        <f t="shared" si="57"/>
        <v>0</v>
      </c>
      <c r="AT84" s="2">
        <f t="shared" si="57"/>
        <v>98.5</v>
      </c>
      <c r="AU84" s="2">
        <f t="shared" si="57"/>
        <v>0</v>
      </c>
      <c r="AV84" s="2">
        <f t="shared" si="57"/>
        <v>0</v>
      </c>
      <c r="AW84" s="2">
        <f t="shared" si="57"/>
        <v>0</v>
      </c>
      <c r="AX84" s="2">
        <f t="shared" si="57"/>
        <v>93.34</v>
      </c>
      <c r="AY84" s="2">
        <f t="shared" si="57"/>
        <v>107.69999999999999</v>
      </c>
      <c r="AZ84" s="2">
        <f t="shared" si="57"/>
        <v>100.52</v>
      </c>
      <c r="BA84" s="2" t="s">
        <v>160</v>
      </c>
      <c r="BB84" s="2">
        <f>BB83*BB3</f>
        <v>109.97999999999999</v>
      </c>
      <c r="BC84" s="2">
        <f>BC83*BC3</f>
        <v>126.89999999999999</v>
      </c>
      <c r="BD84" s="2">
        <f>BD83*BD3</f>
        <v>118.44</v>
      </c>
      <c r="BM84" s="10"/>
      <c r="CK84" s="2"/>
      <c r="CL84" s="10" t="s">
        <v>160</v>
      </c>
    </row>
    <row r="85" spans="1:90" ht="15.75">
      <c r="A85" s="10" t="s">
        <v>346</v>
      </c>
      <c r="C85" s="2" t="s">
        <v>347</v>
      </c>
      <c r="E85" s="2">
        <v>1000</v>
      </c>
      <c r="F85" s="2" t="s">
        <v>69</v>
      </c>
      <c r="P85" s="2">
        <v>200</v>
      </c>
      <c r="Q85" s="2">
        <v>250</v>
      </c>
      <c r="R85" s="2">
        <v>225</v>
      </c>
      <c r="S85" s="2">
        <v>230</v>
      </c>
      <c r="T85" s="2">
        <v>250</v>
      </c>
      <c r="U85" s="2">
        <v>240</v>
      </c>
      <c r="V85" s="2">
        <v>200</v>
      </c>
      <c r="W85" s="2">
        <v>300</v>
      </c>
      <c r="X85" s="2">
        <v>250</v>
      </c>
      <c r="Y85" s="2">
        <v>200</v>
      </c>
      <c r="Z85" s="2">
        <v>300</v>
      </c>
      <c r="AA85" s="2">
        <v>250</v>
      </c>
      <c r="AE85" s="10" t="s">
        <v>346</v>
      </c>
      <c r="AL85" s="2">
        <v>250</v>
      </c>
      <c r="AM85" s="2">
        <v>360</v>
      </c>
      <c r="AN85" s="2">
        <v>295</v>
      </c>
      <c r="AO85" s="2">
        <v>360</v>
      </c>
      <c r="AP85" s="2">
        <v>450</v>
      </c>
      <c r="AQ85" s="2">
        <v>405</v>
      </c>
      <c r="AR85" s="2">
        <v>500</v>
      </c>
      <c r="AS85" s="2">
        <v>575</v>
      </c>
      <c r="AT85" s="2">
        <v>540</v>
      </c>
      <c r="AU85" s="2">
        <v>600</v>
      </c>
      <c r="AV85" s="2">
        <v>750</v>
      </c>
      <c r="AW85" s="2">
        <v>675</v>
      </c>
      <c r="AX85" s="2">
        <v>800</v>
      </c>
      <c r="AY85" s="2">
        <v>1000</v>
      </c>
      <c r="AZ85" s="2">
        <v>900</v>
      </c>
      <c r="BA85" s="10" t="s">
        <v>346</v>
      </c>
      <c r="BB85" s="2">
        <v>700</v>
      </c>
      <c r="BC85" s="2">
        <v>850</v>
      </c>
      <c r="BD85" s="2">
        <v>790</v>
      </c>
      <c r="BK85" s="2">
        <v>1400</v>
      </c>
      <c r="BL85" s="2">
        <v>1600</v>
      </c>
      <c r="BM85" s="2">
        <v>1500</v>
      </c>
      <c r="CC85" s="10">
        <v>1800</v>
      </c>
      <c r="CD85" s="10">
        <v>2300</v>
      </c>
      <c r="CE85" s="10">
        <v>2400</v>
      </c>
      <c r="CK85" s="2"/>
      <c r="CL85" s="10" t="s">
        <v>346</v>
      </c>
    </row>
    <row r="86" spans="1:90" ht="15.75">
      <c r="A86" s="10"/>
      <c r="F86" s="2" t="s">
        <v>160</v>
      </c>
      <c r="P86" s="2">
        <f aca="true" t="shared" si="58" ref="P86:AA86">P85*P3</f>
        <v>482.4</v>
      </c>
      <c r="Q86" s="2">
        <f t="shared" si="58"/>
        <v>603</v>
      </c>
      <c r="R86" s="10">
        <f t="shared" si="58"/>
        <v>542.6999999999999</v>
      </c>
      <c r="S86" s="2">
        <f t="shared" si="58"/>
        <v>554.76</v>
      </c>
      <c r="T86" s="2">
        <f t="shared" si="58"/>
        <v>603</v>
      </c>
      <c r="U86" s="2">
        <f t="shared" si="58"/>
        <v>578.88</v>
      </c>
      <c r="V86" s="2">
        <f t="shared" si="58"/>
        <v>328.2</v>
      </c>
      <c r="W86" s="2">
        <f t="shared" si="58"/>
        <v>492.3</v>
      </c>
      <c r="X86" s="10">
        <f t="shared" si="58"/>
        <v>410.25</v>
      </c>
      <c r="Y86" s="2">
        <f t="shared" si="58"/>
        <v>228.79999999999998</v>
      </c>
      <c r="Z86" s="2">
        <f t="shared" si="58"/>
        <v>343.2</v>
      </c>
      <c r="AA86" s="2">
        <f t="shared" si="58"/>
        <v>286</v>
      </c>
      <c r="AD86" s="2">
        <f>AD85*AD3</f>
        <v>0</v>
      </c>
      <c r="AE86" s="2" t="s">
        <v>160</v>
      </c>
      <c r="AL86" s="2">
        <f aca="true" t="shared" si="59" ref="AL86:AZ86">AL85*AL3</f>
        <v>288</v>
      </c>
      <c r="AM86" s="2">
        <f t="shared" si="59"/>
        <v>414.71999999999997</v>
      </c>
      <c r="AN86" s="2">
        <f t="shared" si="59"/>
        <v>339.84</v>
      </c>
      <c r="AO86" s="2">
        <f t="shared" si="59"/>
        <v>375.696</v>
      </c>
      <c r="AP86" s="2">
        <f t="shared" si="59"/>
        <v>469.62000000000006</v>
      </c>
      <c r="AQ86" s="2">
        <f t="shared" si="59"/>
        <v>422.658</v>
      </c>
      <c r="AR86" s="2">
        <f t="shared" si="59"/>
        <v>492.5</v>
      </c>
      <c r="AS86" s="2">
        <f t="shared" si="59"/>
        <v>566.375</v>
      </c>
      <c r="AT86" s="2">
        <f t="shared" si="59"/>
        <v>531.9</v>
      </c>
      <c r="AU86" s="2">
        <f t="shared" si="59"/>
        <v>573</v>
      </c>
      <c r="AV86" s="2">
        <f t="shared" si="59"/>
        <v>716.25</v>
      </c>
      <c r="AW86" s="2">
        <f t="shared" si="59"/>
        <v>644.625</v>
      </c>
      <c r="AX86" s="2">
        <f t="shared" si="59"/>
        <v>574.4</v>
      </c>
      <c r="AY86" s="2">
        <f t="shared" si="59"/>
        <v>718</v>
      </c>
      <c r="AZ86" s="2">
        <f t="shared" si="59"/>
        <v>646.1999999999999</v>
      </c>
      <c r="BA86" s="2" t="s">
        <v>160</v>
      </c>
      <c r="BB86" s="2">
        <f>BB85*BB3</f>
        <v>592.1999999999999</v>
      </c>
      <c r="BC86" s="2">
        <f>BC85*BC3</f>
        <v>719.1</v>
      </c>
      <c r="BD86" s="2">
        <f>BD85*BD3</f>
        <v>668.34</v>
      </c>
      <c r="BK86" s="2">
        <f>BK85*BK3</f>
        <v>861.98</v>
      </c>
      <c r="BL86" s="2">
        <f>BL85*BL3</f>
        <v>985.12</v>
      </c>
      <c r="BM86" s="2">
        <f>BM85*BM3</f>
        <v>923.5500000000001</v>
      </c>
      <c r="CC86" s="10">
        <f>CC85*CC3</f>
        <v>1493.6399999999999</v>
      </c>
      <c r="CD86" s="10">
        <f>CD85*CD3</f>
        <v>1908.54</v>
      </c>
      <c r="CE86" s="10">
        <f>CE85*CE3</f>
        <v>1991.52</v>
      </c>
      <c r="CK86" s="2">
        <v>2385.6</v>
      </c>
      <c r="CL86" s="10" t="s">
        <v>160</v>
      </c>
    </row>
    <row r="87" spans="1:90" ht="15.75">
      <c r="A87" s="10" t="s">
        <v>348</v>
      </c>
      <c r="B87" s="2" t="s">
        <v>349</v>
      </c>
      <c r="C87" s="2" t="s">
        <v>350</v>
      </c>
      <c r="D87" s="2" t="s">
        <v>126</v>
      </c>
      <c r="E87" s="2" t="s">
        <v>125</v>
      </c>
      <c r="F87" s="2" t="s">
        <v>69</v>
      </c>
      <c r="AE87" s="10" t="s">
        <v>348</v>
      </c>
      <c r="AU87" s="2">
        <v>400</v>
      </c>
      <c r="AV87" s="2">
        <v>500</v>
      </c>
      <c r="AW87" s="2">
        <v>450</v>
      </c>
      <c r="BA87" s="10" t="s">
        <v>348</v>
      </c>
      <c r="BB87" s="10"/>
      <c r="BC87" s="10"/>
      <c r="BD87" s="10"/>
      <c r="CE87" s="10">
        <v>800</v>
      </c>
      <c r="CK87" s="2"/>
      <c r="CL87" s="10" t="s">
        <v>348</v>
      </c>
    </row>
    <row r="88" spans="1:90" ht="15.75">
      <c r="A88" s="10"/>
      <c r="F88" s="2" t="s">
        <v>160</v>
      </c>
      <c r="AE88" s="2" t="s">
        <v>160</v>
      </c>
      <c r="AU88" s="2">
        <f aca="true" t="shared" si="60" ref="AU88:AZ88">AU87*AU3</f>
        <v>382</v>
      </c>
      <c r="AV88" s="2">
        <f t="shared" si="60"/>
        <v>477.5</v>
      </c>
      <c r="AW88" s="2">
        <f t="shared" si="60"/>
        <v>429.75</v>
      </c>
      <c r="AX88" s="2">
        <f t="shared" si="60"/>
        <v>0</v>
      </c>
      <c r="AY88" s="2">
        <f t="shared" si="60"/>
        <v>0</v>
      </c>
      <c r="AZ88" s="2">
        <f t="shared" si="60"/>
        <v>0</v>
      </c>
      <c r="BA88" s="2" t="s">
        <v>160</v>
      </c>
      <c r="BB88" s="2">
        <f>BB87*BB3</f>
        <v>0</v>
      </c>
      <c r="BC88" s="2">
        <f>BC87*BC3</f>
        <v>0</v>
      </c>
      <c r="BD88" s="2">
        <f>BD87*BD3</f>
        <v>0</v>
      </c>
      <c r="BE88" s="10"/>
      <c r="BF88" s="10"/>
      <c r="BG88" s="10"/>
      <c r="BH88" s="10"/>
      <c r="BI88" s="10"/>
      <c r="BJ88" s="10"/>
      <c r="CE88" s="10">
        <f>CE87*CE3</f>
        <v>663.84</v>
      </c>
      <c r="CK88" s="2">
        <v>702.9</v>
      </c>
      <c r="CL88" s="10" t="s">
        <v>160</v>
      </c>
    </row>
    <row r="89" spans="1:90" ht="15.75">
      <c r="A89" s="10" t="s">
        <v>348</v>
      </c>
      <c r="B89" s="2" t="s">
        <v>349</v>
      </c>
      <c r="C89" s="2" t="s">
        <v>350</v>
      </c>
      <c r="D89" s="2" t="s">
        <v>353</v>
      </c>
      <c r="F89" s="2" t="s">
        <v>69</v>
      </c>
      <c r="AB89" s="2">
        <v>60</v>
      </c>
      <c r="AC89" s="2">
        <v>120</v>
      </c>
      <c r="AD89" s="2">
        <v>90</v>
      </c>
      <c r="AE89" s="10" t="s">
        <v>348</v>
      </c>
      <c r="AF89" s="2">
        <v>70</v>
      </c>
      <c r="AG89" s="2">
        <v>175</v>
      </c>
      <c r="AH89" s="2">
        <v>123</v>
      </c>
      <c r="AL89" s="2">
        <v>100</v>
      </c>
      <c r="AM89" s="2">
        <v>145</v>
      </c>
      <c r="AN89" s="2">
        <v>128</v>
      </c>
      <c r="AO89" s="2">
        <v>100</v>
      </c>
      <c r="AP89" s="2">
        <v>200</v>
      </c>
      <c r="AQ89" s="2">
        <v>150</v>
      </c>
      <c r="AU89" s="2">
        <v>300</v>
      </c>
      <c r="AV89" s="2">
        <v>400</v>
      </c>
      <c r="AW89" s="2">
        <v>350</v>
      </c>
      <c r="AX89" s="2">
        <v>400</v>
      </c>
      <c r="AY89" s="2">
        <v>500</v>
      </c>
      <c r="AZ89" s="2">
        <v>450</v>
      </c>
      <c r="BA89" s="10" t="s">
        <v>348</v>
      </c>
      <c r="BB89" s="2">
        <v>350</v>
      </c>
      <c r="BC89" s="2">
        <v>450</v>
      </c>
      <c r="BD89" s="2">
        <v>400</v>
      </c>
      <c r="BE89" s="10"/>
      <c r="BF89" s="10"/>
      <c r="BG89" s="10"/>
      <c r="BH89" s="10"/>
      <c r="BI89" s="10"/>
      <c r="BJ89" s="10"/>
      <c r="BK89" s="2">
        <v>1100</v>
      </c>
      <c r="BL89" s="2">
        <v>1150</v>
      </c>
      <c r="BM89" s="2">
        <v>1125</v>
      </c>
      <c r="CK89" s="2"/>
      <c r="CL89" s="10" t="s">
        <v>348</v>
      </c>
    </row>
    <row r="90" spans="1:90" ht="15.75">
      <c r="A90" s="10"/>
      <c r="F90" s="2" t="s">
        <v>160</v>
      </c>
      <c r="AB90" s="2">
        <v>68.64</v>
      </c>
      <c r="AC90" s="2">
        <v>137.28</v>
      </c>
      <c r="AD90" s="2">
        <v>102.96</v>
      </c>
      <c r="AE90" s="2" t="s">
        <v>160</v>
      </c>
      <c r="AF90" s="2">
        <f>AF89*AF3</f>
        <v>80.64</v>
      </c>
      <c r="AG90" s="2">
        <f>AG89*AG3</f>
        <v>201.6</v>
      </c>
      <c r="AH90" s="2">
        <f>AH89*AH3</f>
        <v>141.696</v>
      </c>
      <c r="AL90" s="2">
        <f>AL89*AL3</f>
        <v>115.19999999999999</v>
      </c>
      <c r="AM90" s="2">
        <f>AM89*AM3</f>
        <v>167.04</v>
      </c>
      <c r="AN90" s="2">
        <f>AN89*AN3</f>
        <v>147.456</v>
      </c>
      <c r="AO90" s="2">
        <v>104.36</v>
      </c>
      <c r="AP90" s="2">
        <v>208.72</v>
      </c>
      <c r="AQ90" s="2">
        <v>156.54</v>
      </c>
      <c r="AU90" s="2">
        <f aca="true" t="shared" si="61" ref="AU90:AZ90">AU89*AU3</f>
        <v>286.5</v>
      </c>
      <c r="AV90" s="2">
        <f t="shared" si="61"/>
        <v>382</v>
      </c>
      <c r="AW90" s="2">
        <f t="shared" si="61"/>
        <v>334.25</v>
      </c>
      <c r="AX90" s="2">
        <f t="shared" si="61"/>
        <v>287.2</v>
      </c>
      <c r="AY90" s="2">
        <f t="shared" si="61"/>
        <v>359</v>
      </c>
      <c r="AZ90" s="2">
        <f t="shared" si="61"/>
        <v>323.09999999999997</v>
      </c>
      <c r="BA90" s="2" t="s">
        <v>160</v>
      </c>
      <c r="BB90" s="2">
        <f>BB89*BB3</f>
        <v>296.09999999999997</v>
      </c>
      <c r="BC90" s="2">
        <f>BC89*BC3</f>
        <v>380.7</v>
      </c>
      <c r="BD90" s="2">
        <f>BD89*BD3</f>
        <v>338.4</v>
      </c>
      <c r="BE90" s="10"/>
      <c r="BF90" s="10"/>
      <c r="BG90" s="10"/>
      <c r="BH90" s="10"/>
      <c r="BI90" s="10"/>
      <c r="BJ90" s="10"/>
      <c r="BK90" s="2">
        <f>BK89*BK3</f>
        <v>677.27</v>
      </c>
      <c r="BL90" s="2">
        <f>BL89*BL3</f>
        <v>708.0550000000001</v>
      </c>
      <c r="BM90" s="2">
        <f>BM89*BM3</f>
        <v>692.6625</v>
      </c>
      <c r="CK90" s="2"/>
      <c r="CL90" s="10" t="s">
        <v>160</v>
      </c>
    </row>
    <row r="91" spans="1:90" ht="15.75">
      <c r="A91" s="10"/>
      <c r="F91" s="2" t="s">
        <v>110</v>
      </c>
      <c r="N91" s="5" t="s">
        <v>178</v>
      </c>
      <c r="O91" s="8">
        <v>2.315485784057213</v>
      </c>
      <c r="Q91" s="5" t="s">
        <v>178</v>
      </c>
      <c r="R91" s="8">
        <v>1.4075642835750646</v>
      </c>
      <c r="AF91" s="7">
        <f>0.18*100*AF90/286.65</f>
        <v>5.063736263736264</v>
      </c>
      <c r="AG91" s="7">
        <f>0.18*100*AG90/286.65</f>
        <v>12.659340659340659</v>
      </c>
      <c r="AH91" s="7">
        <f>0.18*100*AH90/286.65</f>
        <v>8.897708006279435</v>
      </c>
      <c r="AL91" s="7">
        <f aca="true" t="shared" si="62" ref="AL91:AQ91">0.18*100*AL90/286.65</f>
        <v>7.233908948194663</v>
      </c>
      <c r="AM91" s="7">
        <f t="shared" si="62"/>
        <v>10.48916797488226</v>
      </c>
      <c r="AN91" s="8">
        <f t="shared" si="62"/>
        <v>9.259403453689167</v>
      </c>
      <c r="AO91" s="7">
        <f t="shared" si="62"/>
        <v>6.553218210361068</v>
      </c>
      <c r="AP91" s="7">
        <f t="shared" si="62"/>
        <v>13.106436420722137</v>
      </c>
      <c r="AQ91" s="8">
        <f t="shared" si="62"/>
        <v>9.829827315541602</v>
      </c>
      <c r="AU91" s="7">
        <f aca="true" t="shared" si="63" ref="AU91:AZ91">0.18*100*AU90/286.65</f>
        <v>17.990580847723706</v>
      </c>
      <c r="AV91" s="7">
        <f t="shared" si="63"/>
        <v>23.987441130298276</v>
      </c>
      <c r="AW91" s="7">
        <f t="shared" si="63"/>
        <v>20.98901098901099</v>
      </c>
      <c r="AX91" s="7">
        <f t="shared" si="63"/>
        <v>18.03453689167975</v>
      </c>
      <c r="AY91" s="7">
        <f t="shared" si="63"/>
        <v>22.543171114599687</v>
      </c>
      <c r="AZ91" s="7">
        <f t="shared" si="63"/>
        <v>20.288854003139715</v>
      </c>
      <c r="BB91" s="7">
        <f>0.18*100*BB90/286.65</f>
        <v>18.59340659340659</v>
      </c>
      <c r="BC91" s="7">
        <f>0.18*100*BC90/286.65</f>
        <v>23.90580847723705</v>
      </c>
      <c r="BD91" s="8">
        <f>0.18*100*BD90/286.65</f>
        <v>21.24960753532182</v>
      </c>
      <c r="BE91" s="10"/>
      <c r="BF91" s="10"/>
      <c r="BG91" s="10"/>
      <c r="BH91" s="10"/>
      <c r="BI91" s="10"/>
      <c r="BJ91" s="10"/>
      <c r="BK91" s="7">
        <f>0.18*100*BK90/286.65</f>
        <v>42.5287284144427</v>
      </c>
      <c r="BL91" s="7">
        <f>0.18*100*BL90/286.65</f>
        <v>44.46185243328102</v>
      </c>
      <c r="BM91" s="7">
        <f>0.18*100*BM90/286.65</f>
        <v>43.49529042386186</v>
      </c>
      <c r="CK91" s="2"/>
      <c r="CL91" s="10"/>
    </row>
    <row r="92" spans="1:90" ht="15.75">
      <c r="A92" s="10"/>
      <c r="BE92" s="10"/>
      <c r="BF92" s="10"/>
      <c r="BG92" s="10"/>
      <c r="BH92" s="10"/>
      <c r="BI92" s="10"/>
      <c r="BJ92" s="10"/>
      <c r="CK92" s="2"/>
      <c r="CL92" s="10"/>
    </row>
    <row r="93" spans="1:90" ht="15.75">
      <c r="A93" s="10" t="s">
        <v>354</v>
      </c>
      <c r="C93" s="2" t="s">
        <v>355</v>
      </c>
      <c r="D93" s="2" t="s">
        <v>67</v>
      </c>
      <c r="E93" s="2" t="s">
        <v>68</v>
      </c>
      <c r="F93" s="2" t="s">
        <v>69</v>
      </c>
      <c r="V93" s="2">
        <v>12</v>
      </c>
      <c r="W93" s="2">
        <v>14</v>
      </c>
      <c r="X93" s="2">
        <v>13</v>
      </c>
      <c r="Y93" s="2">
        <v>12</v>
      </c>
      <c r="Z93" s="2">
        <v>14</v>
      </c>
      <c r="AA93" s="2">
        <v>13</v>
      </c>
      <c r="AB93" s="2">
        <v>12</v>
      </c>
      <c r="AC93" s="2">
        <v>27</v>
      </c>
      <c r="AD93" s="2">
        <v>20</v>
      </c>
      <c r="AE93" s="10" t="s">
        <v>354</v>
      </c>
      <c r="AF93" s="10"/>
      <c r="AG93" s="10"/>
      <c r="AH93" s="2">
        <v>20</v>
      </c>
      <c r="AK93" s="2">
        <v>20</v>
      </c>
      <c r="AL93" s="2">
        <v>20</v>
      </c>
      <c r="AM93" s="2">
        <v>30</v>
      </c>
      <c r="AN93" s="2">
        <v>25</v>
      </c>
      <c r="AR93" s="2">
        <v>20</v>
      </c>
      <c r="AS93" s="2">
        <v>30</v>
      </c>
      <c r="AT93" s="2">
        <v>25</v>
      </c>
      <c r="AX93" s="2">
        <v>50</v>
      </c>
      <c r="AY93" s="2">
        <v>60</v>
      </c>
      <c r="AZ93" s="2">
        <v>55</v>
      </c>
      <c r="BA93" s="10" t="s">
        <v>354</v>
      </c>
      <c r="BB93" s="2">
        <v>50</v>
      </c>
      <c r="BC93" s="2">
        <v>60</v>
      </c>
      <c r="BD93" s="2">
        <v>55</v>
      </c>
      <c r="BE93" s="10"/>
      <c r="BF93" s="10"/>
      <c r="BG93" s="10"/>
      <c r="BH93" s="10"/>
      <c r="BI93" s="10"/>
      <c r="BJ93" s="10"/>
      <c r="BK93" s="2">
        <v>60</v>
      </c>
      <c r="BL93" s="2">
        <v>80</v>
      </c>
      <c r="BM93" s="2">
        <v>70</v>
      </c>
      <c r="CK93" s="2"/>
      <c r="CL93" s="10" t="s">
        <v>354</v>
      </c>
    </row>
    <row r="94" spans="1:90" ht="15.75">
      <c r="A94" s="10"/>
      <c r="F94" s="2" t="s">
        <v>160</v>
      </c>
      <c r="V94" s="2">
        <f aca="true" t="shared" si="64" ref="V94:AD94">V93*V3</f>
        <v>19.692</v>
      </c>
      <c r="W94" s="2">
        <f t="shared" si="64"/>
        <v>22.974</v>
      </c>
      <c r="X94" s="2">
        <f t="shared" si="64"/>
        <v>21.333</v>
      </c>
      <c r="Y94" s="2">
        <f t="shared" si="64"/>
        <v>13.727999999999998</v>
      </c>
      <c r="Z94" s="2">
        <f t="shared" si="64"/>
        <v>16.016</v>
      </c>
      <c r="AA94" s="2">
        <f t="shared" si="64"/>
        <v>14.871999999999998</v>
      </c>
      <c r="AB94" s="2">
        <f t="shared" si="64"/>
        <v>13.727999999999998</v>
      </c>
      <c r="AC94" s="2">
        <f t="shared" si="64"/>
        <v>30.887999999999998</v>
      </c>
      <c r="AD94" s="2">
        <f t="shared" si="64"/>
        <v>22.88</v>
      </c>
      <c r="AE94" s="2" t="s">
        <v>160</v>
      </c>
      <c r="AF94" s="10"/>
      <c r="AG94" s="10"/>
      <c r="AH94" s="2">
        <f>AH93*AH3</f>
        <v>23.04</v>
      </c>
      <c r="AK94" s="2">
        <f>AK93*AK3</f>
        <v>23.04</v>
      </c>
      <c r="AL94" s="2">
        <f>AL93*AL3</f>
        <v>23.04</v>
      </c>
      <c r="AM94" s="2">
        <f>AM93*AM3</f>
        <v>34.559999999999995</v>
      </c>
      <c r="AN94" s="2">
        <f>AN93*AN3</f>
        <v>28.799999999999997</v>
      </c>
      <c r="AR94" s="2">
        <f>AR93*AR3</f>
        <v>19.7</v>
      </c>
      <c r="AS94" s="2">
        <f>AS93*AS3</f>
        <v>29.55</v>
      </c>
      <c r="AT94" s="2">
        <f>AT93*AT3</f>
        <v>24.625</v>
      </c>
      <c r="AX94" s="2">
        <f>AX93*AX3</f>
        <v>35.9</v>
      </c>
      <c r="AY94" s="2">
        <f>AY93*AY3</f>
        <v>43.08</v>
      </c>
      <c r="AZ94" s="2">
        <f>AZ93*AZ3</f>
        <v>39.489999999999995</v>
      </c>
      <c r="BA94" s="2" t="s">
        <v>160</v>
      </c>
      <c r="BB94" s="2">
        <f>BB93*BB3</f>
        <v>42.3</v>
      </c>
      <c r="BC94" s="2">
        <f>BC93*BC3</f>
        <v>50.76</v>
      </c>
      <c r="BD94" s="2">
        <f>BD93*BD3</f>
        <v>46.53</v>
      </c>
      <c r="BE94" s="10"/>
      <c r="BF94" s="10"/>
      <c r="BG94" s="10"/>
      <c r="BH94" s="10"/>
      <c r="BI94" s="10"/>
      <c r="BJ94" s="10"/>
      <c r="BK94" s="2">
        <f>BK93*BK3</f>
        <v>36.942</v>
      </c>
      <c r="BL94" s="2">
        <f>BL93*BL3</f>
        <v>49.256</v>
      </c>
      <c r="BM94" s="2">
        <f>BM93*BM3</f>
        <v>43.099000000000004</v>
      </c>
      <c r="CK94" s="2"/>
      <c r="CL94" s="10" t="s">
        <v>160</v>
      </c>
    </row>
    <row r="95" spans="1:90" ht="15.75">
      <c r="A95" s="10" t="s">
        <v>356</v>
      </c>
      <c r="C95" s="2" t="s">
        <v>357</v>
      </c>
      <c r="D95" s="2" t="s">
        <v>358</v>
      </c>
      <c r="E95" s="2" t="s">
        <v>359</v>
      </c>
      <c r="F95" s="2" t="s">
        <v>69</v>
      </c>
      <c r="Y95" s="2">
        <v>476</v>
      </c>
      <c r="Z95" s="2">
        <v>1176</v>
      </c>
      <c r="AA95" s="2">
        <v>826</v>
      </c>
      <c r="AD95" s="2">
        <v>616</v>
      </c>
      <c r="AE95" s="10" t="s">
        <v>356</v>
      </c>
      <c r="AF95" s="10"/>
      <c r="AG95" s="10"/>
      <c r="AH95" s="2">
        <v>350</v>
      </c>
      <c r="AI95" s="2">
        <v>480</v>
      </c>
      <c r="AJ95" s="2">
        <v>560</v>
      </c>
      <c r="AK95" s="2">
        <v>520</v>
      </c>
      <c r="AL95" s="2">
        <v>700</v>
      </c>
      <c r="AM95" s="2">
        <v>1461</v>
      </c>
      <c r="AN95" s="2">
        <v>1080</v>
      </c>
      <c r="AO95" s="2">
        <v>550</v>
      </c>
      <c r="AP95" s="2">
        <v>1120</v>
      </c>
      <c r="AQ95" s="2">
        <v>835</v>
      </c>
      <c r="AR95" s="2">
        <v>980</v>
      </c>
      <c r="AS95" s="2">
        <v>1400</v>
      </c>
      <c r="AT95" s="2">
        <v>1190</v>
      </c>
      <c r="BA95" s="10" t="s">
        <v>356</v>
      </c>
      <c r="BB95" s="10"/>
      <c r="BC95" s="10"/>
      <c r="BD95" s="10"/>
      <c r="BE95" s="10"/>
      <c r="BF95" s="10"/>
      <c r="BG95" s="10"/>
      <c r="BH95" s="10"/>
      <c r="BI95" s="10"/>
      <c r="BJ95" s="10"/>
      <c r="CK95" s="2"/>
      <c r="CL95" s="10" t="s">
        <v>356</v>
      </c>
    </row>
    <row r="96" spans="1:90" ht="15.75">
      <c r="A96" s="10"/>
      <c r="F96" s="2" t="s">
        <v>160</v>
      </c>
      <c r="Y96" s="2">
        <f>Y95*Y3</f>
        <v>544.544</v>
      </c>
      <c r="Z96" s="2">
        <f>Z95*Z3</f>
        <v>1345.3439999999998</v>
      </c>
      <c r="AA96" s="2">
        <f>AA95*AA3</f>
        <v>944.944</v>
      </c>
      <c r="AD96" s="2">
        <f>AD95*AD3</f>
        <v>704.704</v>
      </c>
      <c r="AE96" s="2" t="s">
        <v>160</v>
      </c>
      <c r="AF96" s="10"/>
      <c r="AG96" s="10"/>
      <c r="AH96" s="2">
        <f aca="true" t="shared" si="65" ref="AH96:AT96">AH95*AH3</f>
        <v>403.2</v>
      </c>
      <c r="AI96" s="2">
        <f t="shared" si="65"/>
        <v>552.9599999999999</v>
      </c>
      <c r="AJ96" s="2">
        <f t="shared" si="65"/>
        <v>645.12</v>
      </c>
      <c r="AK96" s="2">
        <f t="shared" si="65"/>
        <v>599.04</v>
      </c>
      <c r="AL96" s="2">
        <f t="shared" si="65"/>
        <v>806.4</v>
      </c>
      <c r="AM96" s="2">
        <f t="shared" si="65"/>
        <v>1683.072</v>
      </c>
      <c r="AN96" s="2">
        <f t="shared" si="65"/>
        <v>1244.1599999999999</v>
      </c>
      <c r="AO96" s="2">
        <f t="shared" si="65"/>
        <v>573.98</v>
      </c>
      <c r="AP96" s="2">
        <f t="shared" si="65"/>
        <v>1168.832</v>
      </c>
      <c r="AQ96" s="2">
        <f t="shared" si="65"/>
        <v>871.4060000000001</v>
      </c>
      <c r="AR96" s="2">
        <f t="shared" si="65"/>
        <v>965.3</v>
      </c>
      <c r="AS96" s="2">
        <f t="shared" si="65"/>
        <v>1379</v>
      </c>
      <c r="AT96" s="2">
        <f t="shared" si="65"/>
        <v>1172.15</v>
      </c>
      <c r="BA96" s="2" t="s">
        <v>160</v>
      </c>
      <c r="BB96" s="10"/>
      <c r="BC96" s="10"/>
      <c r="BD96" s="10"/>
      <c r="BE96" s="10"/>
      <c r="BF96" s="10"/>
      <c r="BG96" s="10"/>
      <c r="BH96" s="10"/>
      <c r="BI96" s="10"/>
      <c r="BJ96" s="10"/>
      <c r="CK96" s="2">
        <v>11360</v>
      </c>
      <c r="CL96" s="10" t="s">
        <v>160</v>
      </c>
    </row>
    <row r="97" spans="1:90" ht="15.75">
      <c r="A97" s="10" t="s">
        <v>356</v>
      </c>
      <c r="C97" s="2" t="s">
        <v>357</v>
      </c>
      <c r="D97" s="2" t="s">
        <v>353</v>
      </c>
      <c r="F97" s="2" t="s">
        <v>69</v>
      </c>
      <c r="V97" s="2">
        <v>17</v>
      </c>
      <c r="W97" s="2">
        <v>42</v>
      </c>
      <c r="X97" s="2">
        <v>30</v>
      </c>
      <c r="AD97" s="2">
        <v>22</v>
      </c>
      <c r="AE97" s="10" t="s">
        <v>356</v>
      </c>
      <c r="AF97" s="10"/>
      <c r="AG97" s="10"/>
      <c r="AN97" s="2">
        <v>25</v>
      </c>
      <c r="AQ97" s="2">
        <v>40</v>
      </c>
      <c r="AR97" s="2">
        <v>35</v>
      </c>
      <c r="AS97" s="2">
        <v>40</v>
      </c>
      <c r="AT97" s="2">
        <v>38</v>
      </c>
      <c r="BA97" s="10" t="s">
        <v>356</v>
      </c>
      <c r="BB97" s="10"/>
      <c r="BC97" s="10"/>
      <c r="BD97" s="10"/>
      <c r="BE97" s="10"/>
      <c r="BF97" s="10"/>
      <c r="BG97" s="10"/>
      <c r="BH97" s="10"/>
      <c r="BI97" s="10"/>
      <c r="BJ97" s="10"/>
      <c r="CK97" s="2"/>
      <c r="CL97" s="10" t="s">
        <v>356</v>
      </c>
    </row>
    <row r="98" spans="1:90" ht="15.75">
      <c r="A98" s="10"/>
      <c r="B98" s="10" t="s">
        <v>127</v>
      </c>
      <c r="F98" s="2" t="s">
        <v>160</v>
      </c>
      <c r="AE98" s="10"/>
      <c r="AF98" s="10"/>
      <c r="AG98" s="10"/>
      <c r="AN98" s="2">
        <f>AN97*AN3</f>
        <v>28.799999999999997</v>
      </c>
      <c r="AQ98" s="2">
        <f>AQ97*AQ3</f>
        <v>41.744</v>
      </c>
      <c r="BA98" s="10"/>
      <c r="BB98" s="10"/>
      <c r="BC98" s="10"/>
      <c r="BD98" s="10"/>
      <c r="BE98" s="10"/>
      <c r="BF98" s="10"/>
      <c r="BG98" s="10"/>
      <c r="BH98" s="10"/>
      <c r="BI98" s="10"/>
      <c r="BJ98" s="10"/>
      <c r="CK98" s="2"/>
      <c r="CL98" s="10"/>
    </row>
    <row r="99" spans="1:90" ht="15.75">
      <c r="A99" s="10"/>
      <c r="AE99" s="10"/>
      <c r="AF99" s="10"/>
      <c r="AG99" s="10"/>
      <c r="BA99" s="10"/>
      <c r="BB99" s="10"/>
      <c r="BC99" s="10"/>
      <c r="BD99" s="10"/>
      <c r="BE99" s="10"/>
      <c r="BF99" s="10"/>
      <c r="BG99" s="10"/>
      <c r="BH99" s="10"/>
      <c r="BI99" s="10"/>
      <c r="BJ99" s="10"/>
      <c r="BN99" s="10"/>
      <c r="BO99" s="10"/>
      <c r="BP99" s="10"/>
      <c r="BQ99" s="10"/>
      <c r="CK99" s="2"/>
      <c r="CL99" s="10"/>
    </row>
    <row r="100" spans="1:90" ht="15.75">
      <c r="A100" s="10"/>
      <c r="F100" s="2" t="s">
        <v>160</v>
      </c>
      <c r="G100" s="2">
        <f aca="true" t="shared" si="66" ref="G100:X100">G97*G3</f>
        <v>0</v>
      </c>
      <c r="H100" s="2">
        <f t="shared" si="66"/>
        <v>0</v>
      </c>
      <c r="I100" s="2">
        <f t="shared" si="66"/>
        <v>0</v>
      </c>
      <c r="J100" s="2">
        <f t="shared" si="66"/>
        <v>0</v>
      </c>
      <c r="K100" s="2">
        <f t="shared" si="66"/>
        <v>0</v>
      </c>
      <c r="L100" s="2">
        <f t="shared" si="66"/>
        <v>0</v>
      </c>
      <c r="M100" s="2">
        <f t="shared" si="66"/>
        <v>0</v>
      </c>
      <c r="N100" s="2">
        <f t="shared" si="66"/>
        <v>0</v>
      </c>
      <c r="O100" s="2">
        <f t="shared" si="66"/>
        <v>0</v>
      </c>
      <c r="P100" s="2">
        <f t="shared" si="66"/>
        <v>0</v>
      </c>
      <c r="Q100" s="2">
        <f t="shared" si="66"/>
        <v>0</v>
      </c>
      <c r="R100" s="2">
        <f t="shared" si="66"/>
        <v>0</v>
      </c>
      <c r="S100" s="2">
        <f t="shared" si="66"/>
        <v>0</v>
      </c>
      <c r="T100" s="2">
        <f t="shared" si="66"/>
        <v>0</v>
      </c>
      <c r="U100" s="2">
        <f t="shared" si="66"/>
        <v>0</v>
      </c>
      <c r="V100" s="2">
        <f t="shared" si="66"/>
        <v>27.897</v>
      </c>
      <c r="W100" s="2">
        <f t="shared" si="66"/>
        <v>68.922</v>
      </c>
      <c r="X100" s="2">
        <f t="shared" si="66"/>
        <v>49.230000000000004</v>
      </c>
      <c r="AD100" s="2">
        <f>AD97*AD3</f>
        <v>25.168</v>
      </c>
      <c r="AE100" s="2" t="s">
        <v>160</v>
      </c>
      <c r="AF100" s="10"/>
      <c r="AG100" s="10"/>
      <c r="AH100" s="2">
        <f aca="true" t="shared" si="67" ref="AH100:AT100">AH97*AH3</f>
        <v>0</v>
      </c>
      <c r="AI100" s="2">
        <f t="shared" si="67"/>
        <v>0</v>
      </c>
      <c r="AJ100" s="2">
        <f t="shared" si="67"/>
        <v>0</v>
      </c>
      <c r="AK100" s="2">
        <f t="shared" si="67"/>
        <v>0</v>
      </c>
      <c r="AL100" s="2">
        <f t="shared" si="67"/>
        <v>0</v>
      </c>
      <c r="AM100" s="2">
        <f t="shared" si="67"/>
        <v>0</v>
      </c>
      <c r="AN100" s="2">
        <f t="shared" si="67"/>
        <v>28.799999999999997</v>
      </c>
      <c r="AO100" s="2">
        <f t="shared" si="67"/>
        <v>0</v>
      </c>
      <c r="AP100" s="2">
        <f t="shared" si="67"/>
        <v>0</v>
      </c>
      <c r="AQ100" s="2">
        <f t="shared" si="67"/>
        <v>41.744</v>
      </c>
      <c r="AR100" s="2">
        <f t="shared" si="67"/>
        <v>34.475</v>
      </c>
      <c r="AS100" s="2">
        <f t="shared" si="67"/>
        <v>39.4</v>
      </c>
      <c r="AT100" s="2">
        <f t="shared" si="67"/>
        <v>37.43</v>
      </c>
      <c r="BA100" s="2" t="s">
        <v>160</v>
      </c>
      <c r="BB100" s="2">
        <f aca="true" t="shared" si="68" ref="BB100:CH100">BB97*BB3</f>
        <v>0</v>
      </c>
      <c r="BC100" s="2">
        <f t="shared" si="68"/>
        <v>0</v>
      </c>
      <c r="BD100" s="2">
        <f t="shared" si="68"/>
        <v>0</v>
      </c>
      <c r="BE100" s="2">
        <f t="shared" si="68"/>
        <v>0</v>
      </c>
      <c r="BF100" s="2">
        <f t="shared" si="68"/>
        <v>0</v>
      </c>
      <c r="BG100" s="2">
        <f t="shared" si="68"/>
        <v>0</v>
      </c>
      <c r="BH100" s="2">
        <f t="shared" si="68"/>
        <v>0</v>
      </c>
      <c r="BI100" s="2">
        <f t="shared" si="68"/>
        <v>0</v>
      </c>
      <c r="BJ100" s="2">
        <f t="shared" si="68"/>
        <v>0</v>
      </c>
      <c r="BK100" s="2">
        <f t="shared" si="68"/>
        <v>0</v>
      </c>
      <c r="BL100" s="2">
        <f t="shared" si="68"/>
        <v>0</v>
      </c>
      <c r="BM100" s="2">
        <f t="shared" si="68"/>
        <v>0</v>
      </c>
      <c r="BN100" s="2">
        <f t="shared" si="68"/>
        <v>0</v>
      </c>
      <c r="BO100" s="2">
        <f t="shared" si="68"/>
        <v>0</v>
      </c>
      <c r="BP100" s="2">
        <f t="shared" si="68"/>
        <v>0</v>
      </c>
      <c r="BQ100" s="2">
        <f t="shared" si="68"/>
        <v>0</v>
      </c>
      <c r="BR100" s="2">
        <f t="shared" si="68"/>
        <v>0</v>
      </c>
      <c r="BS100" s="2">
        <f t="shared" si="68"/>
        <v>0</v>
      </c>
      <c r="BT100" s="2">
        <f t="shared" si="68"/>
        <v>0</v>
      </c>
      <c r="BU100" s="2">
        <f t="shared" si="68"/>
        <v>0</v>
      </c>
      <c r="BV100" s="2">
        <f t="shared" si="68"/>
        <v>0</v>
      </c>
      <c r="BW100" s="2">
        <f t="shared" si="68"/>
        <v>0</v>
      </c>
      <c r="BX100" s="2">
        <f t="shared" si="68"/>
        <v>0</v>
      </c>
      <c r="BY100" s="2">
        <f t="shared" si="68"/>
        <v>0</v>
      </c>
      <c r="BZ100" s="2">
        <f t="shared" si="68"/>
        <v>0</v>
      </c>
      <c r="CA100" s="2">
        <f t="shared" si="68"/>
        <v>0</v>
      </c>
      <c r="CB100" s="2">
        <f t="shared" si="68"/>
        <v>0</v>
      </c>
      <c r="CC100" s="2">
        <f t="shared" si="68"/>
        <v>0</v>
      </c>
      <c r="CD100" s="2">
        <f t="shared" si="68"/>
        <v>0</v>
      </c>
      <c r="CE100" s="2">
        <f t="shared" si="68"/>
        <v>0</v>
      </c>
      <c r="CF100" s="2">
        <f t="shared" si="68"/>
        <v>0</v>
      </c>
      <c r="CG100" s="2">
        <f t="shared" si="68"/>
        <v>0</v>
      </c>
      <c r="CH100" s="2">
        <f t="shared" si="68"/>
        <v>0</v>
      </c>
      <c r="CK100" s="2"/>
      <c r="CL100" s="2" t="s">
        <v>160</v>
      </c>
    </row>
    <row r="101" spans="7:89" s="5" customFormat="1" ht="15.75">
      <c r="G101" s="11" t="s">
        <v>317</v>
      </c>
      <c r="H101" s="11" t="s">
        <v>317</v>
      </c>
      <c r="I101" s="11" t="s">
        <v>317</v>
      </c>
      <c r="J101" s="11" t="s">
        <v>181</v>
      </c>
      <c r="K101" s="11" t="s">
        <v>181</v>
      </c>
      <c r="L101" s="11" t="s">
        <v>181</v>
      </c>
      <c r="M101" s="11" t="s">
        <v>259</v>
      </c>
      <c r="N101" s="11" t="s">
        <v>259</v>
      </c>
      <c r="O101" s="11" t="s">
        <v>259</v>
      </c>
      <c r="P101" s="11" t="s">
        <v>182</v>
      </c>
      <c r="Q101" s="11" t="s">
        <v>182</v>
      </c>
      <c r="R101" s="11" t="s">
        <v>182</v>
      </c>
      <c r="S101" s="11" t="s">
        <v>183</v>
      </c>
      <c r="T101" s="11" t="s">
        <v>183</v>
      </c>
      <c r="U101" s="11" t="s">
        <v>183</v>
      </c>
      <c r="V101" s="11" t="s">
        <v>260</v>
      </c>
      <c r="W101" s="11" t="s">
        <v>260</v>
      </c>
      <c r="X101" s="11" t="s">
        <v>260</v>
      </c>
      <c r="Y101" s="11" t="s">
        <v>185</v>
      </c>
      <c r="Z101" s="11" t="s">
        <v>185</v>
      </c>
      <c r="AA101" s="11" t="s">
        <v>185</v>
      </c>
      <c r="AB101" s="11" t="s">
        <v>186</v>
      </c>
      <c r="AC101" s="11" t="s">
        <v>186</v>
      </c>
      <c r="AD101" s="11" t="s">
        <v>186</v>
      </c>
      <c r="AF101" s="11" t="s">
        <v>196</v>
      </c>
      <c r="AG101" s="11" t="s">
        <v>196</v>
      </c>
      <c r="AH101" s="11" t="s">
        <v>196</v>
      </c>
      <c r="AI101" s="11" t="s">
        <v>197</v>
      </c>
      <c r="AJ101" s="11" t="s">
        <v>197</v>
      </c>
      <c r="AK101" s="11" t="s">
        <v>197</v>
      </c>
      <c r="AL101" s="11" t="s">
        <v>198</v>
      </c>
      <c r="AM101" s="11" t="s">
        <v>198</v>
      </c>
      <c r="AN101" s="11" t="s">
        <v>198</v>
      </c>
      <c r="AO101" s="11" t="s">
        <v>199</v>
      </c>
      <c r="AP101" s="11" t="s">
        <v>199</v>
      </c>
      <c r="AQ101" s="11" t="s">
        <v>199</v>
      </c>
      <c r="AR101" s="11" t="s">
        <v>200</v>
      </c>
      <c r="AS101" s="11" t="s">
        <v>200</v>
      </c>
      <c r="AT101" s="11" t="s">
        <v>200</v>
      </c>
      <c r="AU101" s="11" t="s">
        <v>201</v>
      </c>
      <c r="AV101" s="11" t="s">
        <v>201</v>
      </c>
      <c r="AW101" s="11" t="s">
        <v>201</v>
      </c>
      <c r="AX101" s="11" t="s">
        <v>266</v>
      </c>
      <c r="AY101" s="11" t="s">
        <v>266</v>
      </c>
      <c r="AZ101" s="11" t="s">
        <v>266</v>
      </c>
      <c r="BB101" s="11" t="s">
        <v>261</v>
      </c>
      <c r="BC101" s="11" t="s">
        <v>261</v>
      </c>
      <c r="BD101" s="11" t="s">
        <v>261</v>
      </c>
      <c r="BE101" s="11" t="s">
        <v>390</v>
      </c>
      <c r="BF101" s="11" t="s">
        <v>390</v>
      </c>
      <c r="BG101" s="11" t="s">
        <v>390</v>
      </c>
      <c r="BH101" s="11" t="s">
        <v>391</v>
      </c>
      <c r="BI101" s="11" t="s">
        <v>391</v>
      </c>
      <c r="BJ101" s="11" t="s">
        <v>391</v>
      </c>
      <c r="BK101" s="11" t="s">
        <v>267</v>
      </c>
      <c r="BL101" s="11" t="s">
        <v>267</v>
      </c>
      <c r="BM101" s="11" t="s">
        <v>267</v>
      </c>
      <c r="BN101" s="11" t="s">
        <v>268</v>
      </c>
      <c r="BO101" s="11" t="s">
        <v>268</v>
      </c>
      <c r="BP101" s="11" t="s">
        <v>268</v>
      </c>
      <c r="BQ101" s="11" t="s">
        <v>269</v>
      </c>
      <c r="BR101" s="11" t="s">
        <v>269</v>
      </c>
      <c r="BS101" s="11" t="s">
        <v>269</v>
      </c>
      <c r="BT101" s="11" t="s">
        <v>270</v>
      </c>
      <c r="BU101" s="11" t="s">
        <v>270</v>
      </c>
      <c r="BV101" s="11" t="s">
        <v>270</v>
      </c>
      <c r="BW101" s="11" t="s">
        <v>271</v>
      </c>
      <c r="BX101" s="11" t="s">
        <v>271</v>
      </c>
      <c r="BY101" s="11" t="s">
        <v>271</v>
      </c>
      <c r="BZ101" s="11" t="s">
        <v>272</v>
      </c>
      <c r="CA101" s="11" t="s">
        <v>272</v>
      </c>
      <c r="CB101" s="11" t="s">
        <v>272</v>
      </c>
      <c r="CC101" s="11" t="s">
        <v>273</v>
      </c>
      <c r="CD101" s="11" t="s">
        <v>273</v>
      </c>
      <c r="CE101" s="11" t="s">
        <v>273</v>
      </c>
      <c r="CF101" s="11" t="s">
        <v>274</v>
      </c>
      <c r="CG101" s="11" t="s">
        <v>274</v>
      </c>
      <c r="CH101" s="11" t="s">
        <v>274</v>
      </c>
      <c r="CI101" s="11">
        <v>1871</v>
      </c>
      <c r="CJ101" s="11">
        <v>1871</v>
      </c>
      <c r="CK101" s="11">
        <v>1871</v>
      </c>
    </row>
    <row r="102" spans="1:92" ht="15.75">
      <c r="A102" s="10" t="s">
        <v>361</v>
      </c>
      <c r="C102" s="2" t="s">
        <v>362</v>
      </c>
      <c r="D102" s="2" t="s">
        <v>385</v>
      </c>
      <c r="E102" s="2" t="s">
        <v>58</v>
      </c>
      <c r="F102" s="2" t="s">
        <v>69</v>
      </c>
      <c r="J102" s="2">
        <v>11</v>
      </c>
      <c r="K102" s="2">
        <v>30</v>
      </c>
      <c r="L102" s="2">
        <v>22</v>
      </c>
      <c r="M102" s="2">
        <v>9</v>
      </c>
      <c r="N102" s="2">
        <v>20</v>
      </c>
      <c r="O102" s="2">
        <v>16</v>
      </c>
      <c r="P102" s="2">
        <v>50</v>
      </c>
      <c r="Q102" s="2">
        <v>60</v>
      </c>
      <c r="R102" s="2">
        <v>55</v>
      </c>
      <c r="S102" s="2">
        <v>60</v>
      </c>
      <c r="T102" s="2">
        <v>70</v>
      </c>
      <c r="U102" s="2">
        <v>65</v>
      </c>
      <c r="V102" s="2">
        <v>40</v>
      </c>
      <c r="W102" s="2">
        <v>50</v>
      </c>
      <c r="X102" s="2">
        <v>45</v>
      </c>
      <c r="Y102" s="2">
        <v>52</v>
      </c>
      <c r="Z102" s="2">
        <v>136</v>
      </c>
      <c r="AA102" s="2">
        <v>83</v>
      </c>
      <c r="AB102" s="2">
        <v>65</v>
      </c>
      <c r="AC102" s="2">
        <v>270</v>
      </c>
      <c r="AD102" s="2">
        <v>160</v>
      </c>
      <c r="AE102" s="10" t="s">
        <v>254</v>
      </c>
      <c r="AF102" s="2">
        <v>52</v>
      </c>
      <c r="AG102" s="2">
        <v>148</v>
      </c>
      <c r="AH102" s="2">
        <v>95</v>
      </c>
      <c r="AI102" s="2">
        <v>90</v>
      </c>
      <c r="AJ102" s="2">
        <v>170</v>
      </c>
      <c r="AK102" s="2">
        <v>120</v>
      </c>
      <c r="AL102" s="2">
        <v>75</v>
      </c>
      <c r="AM102" s="2">
        <v>120</v>
      </c>
      <c r="AN102" s="2">
        <v>95</v>
      </c>
      <c r="AO102" s="2">
        <v>79</v>
      </c>
      <c r="AP102" s="2">
        <v>283</v>
      </c>
      <c r="AQ102" s="2">
        <v>165</v>
      </c>
      <c r="AR102" s="2">
        <v>133</v>
      </c>
      <c r="AS102" s="2">
        <v>246</v>
      </c>
      <c r="AT102" s="2">
        <v>190</v>
      </c>
      <c r="AU102" s="2">
        <v>142</v>
      </c>
      <c r="AV102" s="2">
        <v>510</v>
      </c>
      <c r="AW102" s="2">
        <v>326</v>
      </c>
      <c r="AX102" s="2">
        <v>340</v>
      </c>
      <c r="AY102" s="2">
        <v>461</v>
      </c>
      <c r="AZ102" s="2">
        <v>417</v>
      </c>
      <c r="BA102" s="10" t="s">
        <v>254</v>
      </c>
      <c r="BB102" s="2">
        <v>340</v>
      </c>
      <c r="BC102" s="2">
        <v>510</v>
      </c>
      <c r="BD102" s="2">
        <v>425</v>
      </c>
      <c r="BE102" s="2">
        <f aca="true" t="shared" si="69" ref="BE102:CH102">BE104/BE3*8.8</f>
        <v>781.4671814671815</v>
      </c>
      <c r="BF102" s="2">
        <f t="shared" si="69"/>
        <v>1528.957528957529</v>
      </c>
      <c r="BG102" s="2">
        <f t="shared" si="69"/>
        <v>1145.0193050193052</v>
      </c>
      <c r="BH102" s="2">
        <f t="shared" si="69"/>
        <v>519.2214111922142</v>
      </c>
      <c r="BI102" s="2">
        <f t="shared" si="69"/>
        <v>694.7931873479321</v>
      </c>
      <c r="BJ102" s="2">
        <f t="shared" si="69"/>
        <v>615.5717761557179</v>
      </c>
      <c r="BK102" s="2">
        <f t="shared" si="69"/>
        <v>414.48757511775216</v>
      </c>
      <c r="BL102" s="2">
        <f t="shared" si="69"/>
        <v>714.633750203021</v>
      </c>
      <c r="BM102" s="2">
        <f t="shared" si="69"/>
        <v>474.516810134806</v>
      </c>
      <c r="BN102" s="2">
        <f t="shared" si="69"/>
        <v>825.7853937168503</v>
      </c>
      <c r="BO102" s="2">
        <f t="shared" si="69"/>
        <v>1615.6670746634027</v>
      </c>
      <c r="BP102" s="2">
        <f t="shared" si="69"/>
        <v>1105.8343533251734</v>
      </c>
      <c r="BQ102" s="2">
        <f t="shared" si="69"/>
        <v>597.7358490566038</v>
      </c>
      <c r="BR102" s="2">
        <f t="shared" si="69"/>
        <v>1593.9622641509434</v>
      </c>
      <c r="BS102" s="2">
        <f t="shared" si="69"/>
        <v>936.4528301886792</v>
      </c>
      <c r="BT102" s="2">
        <f t="shared" si="69"/>
        <v>735.1979658554305</v>
      </c>
      <c r="BU102" s="2">
        <f t="shared" si="69"/>
        <v>2685.070831819833</v>
      </c>
      <c r="BV102" s="2">
        <f t="shared" si="69"/>
        <v>1348.928441699964</v>
      </c>
      <c r="BW102" s="2">
        <f t="shared" si="69"/>
        <v>251.22349102773248</v>
      </c>
      <c r="BX102" s="2">
        <f t="shared" si="69"/>
        <v>628.0587275693313</v>
      </c>
      <c r="BY102" s="2">
        <f t="shared" si="69"/>
        <v>353.5073409461664</v>
      </c>
      <c r="BZ102" s="2">
        <f t="shared" si="69"/>
        <v>305.49126867241745</v>
      </c>
      <c r="CA102" s="2">
        <f t="shared" si="69"/>
        <v>499.8948032821376</v>
      </c>
      <c r="CB102" s="2">
        <f t="shared" si="69"/>
        <v>403.6187670944667</v>
      </c>
      <c r="CC102" s="2">
        <f t="shared" si="69"/>
        <v>325.6</v>
      </c>
      <c r="CD102" s="2">
        <f t="shared" si="69"/>
        <v>580.8000000000001</v>
      </c>
      <c r="CE102" s="2">
        <f t="shared" si="69"/>
        <v>448.8</v>
      </c>
      <c r="CF102" s="2">
        <f t="shared" si="69"/>
        <v>431.2</v>
      </c>
      <c r="CG102" s="2">
        <f t="shared" si="69"/>
        <v>739.2000000000002</v>
      </c>
      <c r="CH102" s="2">
        <f t="shared" si="69"/>
        <v>510.40000000000003</v>
      </c>
      <c r="CK102" s="2"/>
      <c r="CL102" s="10" t="s">
        <v>254</v>
      </c>
      <c r="CN102" s="10"/>
    </row>
    <row r="103" spans="1:92" ht="15.75">
      <c r="A103" s="10"/>
      <c r="C103" s="2" t="s">
        <v>362</v>
      </c>
      <c r="D103" s="2" t="s">
        <v>385</v>
      </c>
      <c r="E103" s="2" t="s">
        <v>58</v>
      </c>
      <c r="F103" s="2" t="s">
        <v>160</v>
      </c>
      <c r="J103" s="2">
        <f aca="true" t="shared" si="70" ref="J103:AD103">J102*J3</f>
        <v>41.272</v>
      </c>
      <c r="K103" s="2">
        <f t="shared" si="70"/>
        <v>112.55999999999999</v>
      </c>
      <c r="L103" s="2">
        <f t="shared" si="70"/>
        <v>82.544</v>
      </c>
      <c r="M103" s="2">
        <f t="shared" si="70"/>
        <v>33.768</v>
      </c>
      <c r="N103" s="2">
        <f t="shared" si="70"/>
        <v>75.03999999999999</v>
      </c>
      <c r="O103" s="2">
        <f t="shared" si="70"/>
        <v>60.032</v>
      </c>
      <c r="P103" s="2">
        <f t="shared" si="70"/>
        <v>120.6</v>
      </c>
      <c r="Q103" s="2">
        <f t="shared" si="70"/>
        <v>144.72</v>
      </c>
      <c r="R103" s="2">
        <f t="shared" si="70"/>
        <v>132.66</v>
      </c>
      <c r="S103" s="2">
        <f t="shared" si="70"/>
        <v>144.72</v>
      </c>
      <c r="T103" s="2">
        <f t="shared" si="70"/>
        <v>168.84</v>
      </c>
      <c r="U103" s="2">
        <f t="shared" si="70"/>
        <v>156.78</v>
      </c>
      <c r="V103" s="2">
        <f t="shared" si="70"/>
        <v>65.64</v>
      </c>
      <c r="W103" s="2">
        <f t="shared" si="70"/>
        <v>82.05</v>
      </c>
      <c r="X103" s="2">
        <f t="shared" si="70"/>
        <v>73.845</v>
      </c>
      <c r="Y103" s="2">
        <f t="shared" si="70"/>
        <v>59.48799999999999</v>
      </c>
      <c r="Z103" s="2">
        <f t="shared" si="70"/>
        <v>155.58399999999997</v>
      </c>
      <c r="AA103" s="2">
        <f t="shared" si="70"/>
        <v>94.952</v>
      </c>
      <c r="AB103" s="2">
        <f t="shared" si="70"/>
        <v>74.36</v>
      </c>
      <c r="AC103" s="2">
        <f t="shared" si="70"/>
        <v>308.88</v>
      </c>
      <c r="AD103" s="2">
        <f t="shared" si="70"/>
        <v>183.04</v>
      </c>
      <c r="AE103" s="2" t="s">
        <v>160</v>
      </c>
      <c r="AF103" s="2">
        <f aca="true" t="shared" si="71" ref="AF103:AZ103">AF102*AF3</f>
        <v>59.903999999999996</v>
      </c>
      <c r="AG103" s="2">
        <f t="shared" si="71"/>
        <v>170.49599999999998</v>
      </c>
      <c r="AH103" s="2">
        <f t="shared" si="71"/>
        <v>109.44</v>
      </c>
      <c r="AI103" s="2">
        <f t="shared" si="71"/>
        <v>103.67999999999999</v>
      </c>
      <c r="AJ103" s="2">
        <f t="shared" si="71"/>
        <v>195.83999999999997</v>
      </c>
      <c r="AK103" s="2">
        <f t="shared" si="71"/>
        <v>138.23999999999998</v>
      </c>
      <c r="AL103" s="2">
        <f t="shared" si="71"/>
        <v>86.39999999999999</v>
      </c>
      <c r="AM103" s="2">
        <f t="shared" si="71"/>
        <v>138.23999999999998</v>
      </c>
      <c r="AN103" s="2">
        <f t="shared" si="71"/>
        <v>109.44</v>
      </c>
      <c r="AO103" s="2">
        <f t="shared" si="71"/>
        <v>82.4444</v>
      </c>
      <c r="AP103" s="2">
        <f t="shared" si="71"/>
        <v>295.33880000000005</v>
      </c>
      <c r="AQ103" s="2">
        <f t="shared" si="71"/>
        <v>172.19400000000002</v>
      </c>
      <c r="AR103" s="2">
        <f t="shared" si="71"/>
        <v>131.005</v>
      </c>
      <c r="AS103" s="2">
        <f t="shared" si="71"/>
        <v>242.31</v>
      </c>
      <c r="AT103" s="2">
        <f t="shared" si="71"/>
        <v>187.15</v>
      </c>
      <c r="AU103" s="2">
        <f t="shared" si="71"/>
        <v>135.60999999999999</v>
      </c>
      <c r="AV103" s="2">
        <f t="shared" si="71"/>
        <v>487.04999999999995</v>
      </c>
      <c r="AW103" s="2">
        <f t="shared" si="71"/>
        <v>311.33</v>
      </c>
      <c r="AX103" s="2">
        <f t="shared" si="71"/>
        <v>244.12</v>
      </c>
      <c r="AY103" s="2">
        <f t="shared" si="71"/>
        <v>330.998</v>
      </c>
      <c r="AZ103" s="2">
        <f t="shared" si="71"/>
        <v>299.406</v>
      </c>
      <c r="BA103" s="2" t="s">
        <v>160</v>
      </c>
      <c r="BB103" s="2">
        <f aca="true" t="shared" si="72" ref="BB103:CH103">BB102*BB3</f>
        <v>287.64</v>
      </c>
      <c r="BC103" s="2">
        <f t="shared" si="72"/>
        <v>431.46</v>
      </c>
      <c r="BD103" s="2">
        <f t="shared" si="72"/>
        <v>359.55</v>
      </c>
      <c r="BE103" s="2">
        <f t="shared" si="72"/>
        <v>202.4</v>
      </c>
      <c r="BF103" s="2">
        <f t="shared" si="72"/>
        <v>396</v>
      </c>
      <c r="BG103" s="2">
        <f t="shared" si="72"/>
        <v>296.56000000000006</v>
      </c>
      <c r="BH103" s="2">
        <f t="shared" si="72"/>
        <v>426.80000000000007</v>
      </c>
      <c r="BI103" s="2">
        <f t="shared" si="72"/>
        <v>571.1200000000001</v>
      </c>
      <c r="BJ103" s="2">
        <f t="shared" si="72"/>
        <v>506.00000000000006</v>
      </c>
      <c r="BK103" s="2">
        <f t="shared" si="72"/>
        <v>255.20000000000002</v>
      </c>
      <c r="BL103" s="2">
        <f t="shared" si="72"/>
        <v>440.00000000000006</v>
      </c>
      <c r="BM103" s="2">
        <f t="shared" si="72"/>
        <v>292.1600000000001</v>
      </c>
      <c r="BN103" s="2">
        <f t="shared" si="72"/>
        <v>202.40000000000003</v>
      </c>
      <c r="BO103" s="2">
        <f t="shared" si="72"/>
        <v>396</v>
      </c>
      <c r="BP103" s="2">
        <f t="shared" si="72"/>
        <v>271.04</v>
      </c>
      <c r="BQ103" s="2">
        <f t="shared" si="72"/>
        <v>158.4</v>
      </c>
      <c r="BR103" s="2">
        <f t="shared" si="72"/>
        <v>422.40000000000003</v>
      </c>
      <c r="BS103" s="2">
        <f t="shared" si="72"/>
        <v>248.16</v>
      </c>
      <c r="BT103" s="2">
        <f t="shared" si="72"/>
        <v>202.4</v>
      </c>
      <c r="BU103" s="2">
        <f t="shared" si="72"/>
        <v>739.2</v>
      </c>
      <c r="BV103" s="2">
        <f t="shared" si="72"/>
        <v>371.36000000000007</v>
      </c>
      <c r="BW103" s="2">
        <f t="shared" si="72"/>
        <v>246.4</v>
      </c>
      <c r="BX103" s="2">
        <f t="shared" si="72"/>
        <v>616.0000000000001</v>
      </c>
      <c r="BY103" s="2">
        <f t="shared" si="72"/>
        <v>346.71999999999997</v>
      </c>
      <c r="BZ103" s="2">
        <f t="shared" si="72"/>
        <v>290.40000000000003</v>
      </c>
      <c r="CA103" s="2">
        <f t="shared" si="72"/>
        <v>475.20000000000005</v>
      </c>
      <c r="CB103" s="2">
        <f t="shared" si="72"/>
        <v>383.68000000000006</v>
      </c>
      <c r="CC103" s="2">
        <f t="shared" si="72"/>
        <v>270.18288</v>
      </c>
      <c r="CD103" s="2">
        <f t="shared" si="72"/>
        <v>481.94784000000004</v>
      </c>
      <c r="CE103" s="2">
        <f t="shared" si="72"/>
        <v>372.41424</v>
      </c>
      <c r="CF103" s="2">
        <f t="shared" si="72"/>
        <v>330.90288</v>
      </c>
      <c r="CG103" s="2">
        <f t="shared" si="72"/>
        <v>567.2620800000001</v>
      </c>
      <c r="CH103" s="2">
        <f t="shared" si="72"/>
        <v>391.68096</v>
      </c>
      <c r="CK103" s="2"/>
      <c r="CL103" s="2" t="s">
        <v>160</v>
      </c>
      <c r="CN103" s="10"/>
    </row>
    <row r="104" spans="1:92" ht="15.75">
      <c r="A104" s="10"/>
      <c r="C104" s="2" t="s">
        <v>362</v>
      </c>
      <c r="D104" s="2" t="s">
        <v>67</v>
      </c>
      <c r="E104" s="2" t="s">
        <v>68</v>
      </c>
      <c r="F104" s="2" t="s">
        <v>160</v>
      </c>
      <c r="P104" s="2">
        <f>P103/8.8</f>
        <v>13.704545454545453</v>
      </c>
      <c r="Q104" s="2">
        <f aca="true" t="shared" si="73" ref="Q104:AD104">Q103/8.8</f>
        <v>16.445454545454545</v>
      </c>
      <c r="R104" s="2">
        <f t="shared" si="73"/>
        <v>15.074999999999998</v>
      </c>
      <c r="S104" s="2">
        <f t="shared" si="73"/>
        <v>16.445454545454545</v>
      </c>
      <c r="T104" s="2">
        <f t="shared" si="73"/>
        <v>19.186363636363634</v>
      </c>
      <c r="U104" s="2">
        <f t="shared" si="73"/>
        <v>17.81590909090909</v>
      </c>
      <c r="V104" s="2">
        <f t="shared" si="73"/>
        <v>7.459090909090909</v>
      </c>
      <c r="W104" s="2">
        <f t="shared" si="73"/>
        <v>9.323863636363635</v>
      </c>
      <c r="X104" s="2">
        <f t="shared" si="73"/>
        <v>8.391477272727272</v>
      </c>
      <c r="Y104" s="2">
        <f t="shared" si="73"/>
        <v>6.759999999999999</v>
      </c>
      <c r="Z104" s="2">
        <f t="shared" si="73"/>
        <v>17.679999999999996</v>
      </c>
      <c r="AA104" s="2">
        <f t="shared" si="73"/>
        <v>10.79</v>
      </c>
      <c r="AB104" s="2">
        <f t="shared" si="73"/>
        <v>8.45</v>
      </c>
      <c r="AC104" s="2">
        <f t="shared" si="73"/>
        <v>35.099999999999994</v>
      </c>
      <c r="AD104" s="2">
        <f t="shared" si="73"/>
        <v>20.799999999999997</v>
      </c>
      <c r="AE104" s="2" t="s">
        <v>160</v>
      </c>
      <c r="AF104" s="2">
        <f aca="true" t="shared" si="74" ref="AF104:AY104">AF103/8.8</f>
        <v>6.807272727272727</v>
      </c>
      <c r="AG104" s="2">
        <f t="shared" si="74"/>
        <v>19.37454545454545</v>
      </c>
      <c r="AH104" s="2">
        <f t="shared" si="74"/>
        <v>12.436363636363636</v>
      </c>
      <c r="AI104" s="2">
        <f t="shared" si="74"/>
        <v>11.78181818181818</v>
      </c>
      <c r="AJ104" s="2">
        <f t="shared" si="74"/>
        <v>22.25454545454545</v>
      </c>
      <c r="AK104" s="2">
        <f t="shared" si="74"/>
        <v>15.709090909090905</v>
      </c>
      <c r="AL104" s="2">
        <f t="shared" si="74"/>
        <v>9.818181818181817</v>
      </c>
      <c r="AM104" s="2">
        <f t="shared" si="74"/>
        <v>15.709090909090905</v>
      </c>
      <c r="AN104" s="2">
        <f t="shared" si="74"/>
        <v>12.436363636363636</v>
      </c>
      <c r="AO104" s="2">
        <f t="shared" si="74"/>
        <v>9.368681818181818</v>
      </c>
      <c r="AP104" s="2">
        <f t="shared" si="74"/>
        <v>33.56122727272727</v>
      </c>
      <c r="AQ104" s="2">
        <f t="shared" si="74"/>
        <v>19.5675</v>
      </c>
      <c r="AR104" s="2">
        <f t="shared" si="74"/>
        <v>14.886931818181816</v>
      </c>
      <c r="AS104" s="2">
        <f t="shared" si="74"/>
        <v>27.53522727272727</v>
      </c>
      <c r="AT104" s="2">
        <f t="shared" si="74"/>
        <v>21.267045454545453</v>
      </c>
      <c r="AU104" s="2">
        <f t="shared" si="74"/>
        <v>15.410227272727269</v>
      </c>
      <c r="AV104" s="2">
        <f t="shared" si="74"/>
        <v>55.3465909090909</v>
      </c>
      <c r="AW104" s="2">
        <f t="shared" si="74"/>
        <v>35.37840909090909</v>
      </c>
      <c r="AX104" s="2">
        <f t="shared" si="74"/>
        <v>27.74090909090909</v>
      </c>
      <c r="AY104" s="2">
        <f t="shared" si="74"/>
        <v>37.61340909090909</v>
      </c>
      <c r="AZ104" s="2">
        <f>AZ103/8.8</f>
        <v>34.02340909090909</v>
      </c>
      <c r="BA104" s="2" t="s">
        <v>160</v>
      </c>
      <c r="BB104" s="2">
        <f>BB103/8.8</f>
        <v>32.68636363636363</v>
      </c>
      <c r="BC104" s="2">
        <f>BC103/8.8</f>
        <v>49.02954545454545</v>
      </c>
      <c r="BD104" s="2">
        <f>BD103/8.8</f>
        <v>40.85795454545455</v>
      </c>
      <c r="BE104" s="2">
        <v>23</v>
      </c>
      <c r="BF104" s="2">
        <v>45</v>
      </c>
      <c r="BG104" s="2">
        <v>33.7</v>
      </c>
      <c r="BH104" s="2">
        <v>48.5</v>
      </c>
      <c r="BI104" s="2">
        <v>64.9</v>
      </c>
      <c r="BJ104" s="2">
        <v>57.5</v>
      </c>
      <c r="BK104" s="2">
        <v>29</v>
      </c>
      <c r="BL104" s="2">
        <v>50</v>
      </c>
      <c r="BM104" s="2">
        <v>33.2</v>
      </c>
      <c r="BN104" s="2">
        <v>23</v>
      </c>
      <c r="BO104" s="2">
        <v>45</v>
      </c>
      <c r="BP104" s="2">
        <v>30.8</v>
      </c>
      <c r="BQ104" s="2">
        <v>18</v>
      </c>
      <c r="BR104" s="2">
        <v>48</v>
      </c>
      <c r="BS104" s="2">
        <v>28.2</v>
      </c>
      <c r="BT104" s="2">
        <v>23</v>
      </c>
      <c r="BU104" s="2">
        <v>84</v>
      </c>
      <c r="BV104" s="2">
        <v>42.2</v>
      </c>
      <c r="BW104" s="2">
        <v>28</v>
      </c>
      <c r="BX104" s="2">
        <v>70</v>
      </c>
      <c r="BY104" s="2">
        <v>39.4</v>
      </c>
      <c r="BZ104" s="2">
        <v>33</v>
      </c>
      <c r="CA104" s="2">
        <v>54</v>
      </c>
      <c r="CB104" s="2">
        <v>43.6</v>
      </c>
      <c r="CC104" s="2">
        <f>37*CC3</f>
        <v>30.7026</v>
      </c>
      <c r="CD104" s="2">
        <f>66*CD3</f>
        <v>54.766799999999996</v>
      </c>
      <c r="CE104" s="2">
        <f>51*CE3</f>
        <v>42.3198</v>
      </c>
      <c r="CF104" s="2">
        <f>49*CF3</f>
        <v>37.602599999999995</v>
      </c>
      <c r="CG104" s="2">
        <f>84*CG3</f>
        <v>64.4616</v>
      </c>
      <c r="CH104" s="2">
        <f>58*CH3</f>
        <v>44.5092</v>
      </c>
      <c r="CK104" s="2">
        <v>52.06666666666666</v>
      </c>
      <c r="CL104" s="2" t="s">
        <v>160</v>
      </c>
      <c r="CN104" s="10"/>
    </row>
    <row r="105" spans="1:92" ht="15.75">
      <c r="A105" s="10"/>
      <c r="C105" s="2" t="s">
        <v>362</v>
      </c>
      <c r="D105" s="2" t="s">
        <v>142</v>
      </c>
      <c r="F105" s="2" t="s">
        <v>130</v>
      </c>
      <c r="J105" s="16">
        <f aca="true" t="shared" si="75" ref="J105:O105">J102/(4*100*16.38)</f>
        <v>0.001678876678876679</v>
      </c>
      <c r="K105" s="16">
        <f t="shared" si="75"/>
        <v>0.004578754578754579</v>
      </c>
      <c r="L105" s="16">
        <f t="shared" si="75"/>
        <v>0.003357753357753358</v>
      </c>
      <c r="M105" s="16">
        <f t="shared" si="75"/>
        <v>0.0013736263736263737</v>
      </c>
      <c r="N105" s="16">
        <f t="shared" si="75"/>
        <v>0.0030525030525030525</v>
      </c>
      <c r="O105" s="16">
        <f t="shared" si="75"/>
        <v>0.002442002442002442</v>
      </c>
      <c r="P105" s="16">
        <f>P102/(6*100*16.38)</f>
        <v>0.005087505087505087</v>
      </c>
      <c r="Q105" s="16">
        <f>Q102/(6*100*16.38)</f>
        <v>0.006105006105006105</v>
      </c>
      <c r="R105" s="16">
        <f>R102/(6*100*16.38)</f>
        <v>0.005596255596255597</v>
      </c>
      <c r="S105" s="16">
        <f>S102/(6.4*100*16.38)</f>
        <v>0.005723443223443224</v>
      </c>
      <c r="T105" s="16">
        <f>T102/(6.4*100*16.38)</f>
        <v>0.006677350427350428</v>
      </c>
      <c r="U105" s="16">
        <f>U102/(6.4*100*16.38)</f>
        <v>0.006200396825396826</v>
      </c>
      <c r="V105" s="16">
        <f aca="true" t="shared" si="76" ref="V105:AD105">V102/(8.8*100*16.38)</f>
        <v>0.0027750027750027746</v>
      </c>
      <c r="W105" s="16">
        <f t="shared" si="76"/>
        <v>0.0034687534687534685</v>
      </c>
      <c r="X105" s="16">
        <f t="shared" si="76"/>
        <v>0.0031218781218781216</v>
      </c>
      <c r="Y105" s="16">
        <f t="shared" si="76"/>
        <v>0.003607503607503607</v>
      </c>
      <c r="Z105" s="16">
        <f t="shared" si="76"/>
        <v>0.009435009435009434</v>
      </c>
      <c r="AA105" s="16">
        <f t="shared" si="76"/>
        <v>0.005758130758130757</v>
      </c>
      <c r="AB105" s="16">
        <f t="shared" si="76"/>
        <v>0.004509379509379509</v>
      </c>
      <c r="AC105" s="16">
        <f t="shared" si="76"/>
        <v>0.01873126873126873</v>
      </c>
      <c r="AD105" s="16">
        <f t="shared" si="76"/>
        <v>0.011100011100011098</v>
      </c>
      <c r="AE105" s="7"/>
      <c r="AF105" s="16">
        <f aca="true" t="shared" si="77" ref="AF105:AN105">AF102/(8.8*100*16.38)</f>
        <v>0.003607503607503607</v>
      </c>
      <c r="AG105" s="16">
        <f t="shared" si="77"/>
        <v>0.010267510267510266</v>
      </c>
      <c r="AH105" s="16">
        <f t="shared" si="77"/>
        <v>0.00659063159063159</v>
      </c>
      <c r="AI105" s="16">
        <f t="shared" si="77"/>
        <v>0.006243756243756243</v>
      </c>
      <c r="AJ105" s="16">
        <f t="shared" si="77"/>
        <v>0.011793761793761792</v>
      </c>
      <c r="AK105" s="16">
        <f t="shared" si="77"/>
        <v>0.008325008325008324</v>
      </c>
      <c r="AL105" s="16">
        <f t="shared" si="77"/>
        <v>0.005203130203130203</v>
      </c>
      <c r="AM105" s="16">
        <f t="shared" si="77"/>
        <v>0.008325008325008324</v>
      </c>
      <c r="AN105" s="16">
        <f t="shared" si="77"/>
        <v>0.00659063159063159</v>
      </c>
      <c r="AO105" s="16">
        <f>AO102/(8.8*100*16.38)</f>
        <v>0.00548063048063048</v>
      </c>
      <c r="AP105" s="16">
        <f>AP102/(8.8*100*16.38)</f>
        <v>0.019633144633144632</v>
      </c>
      <c r="AQ105" s="16">
        <f>AQ102/(8.8*100*16.38)</f>
        <v>0.011446886446886446</v>
      </c>
      <c r="AR105" s="16">
        <f>AR102/(8.8*100*16.38)</f>
        <v>0.009226884226884226</v>
      </c>
      <c r="AS105" s="16">
        <f aca="true" t="shared" si="78" ref="AS105:CH105">AS102/(8.8*100*16.38)</f>
        <v>0.017066267066267064</v>
      </c>
      <c r="AT105" s="16">
        <f t="shared" si="78"/>
        <v>0.01318126318126318</v>
      </c>
      <c r="AU105" s="16">
        <f t="shared" si="78"/>
        <v>0.00985125985125985</v>
      </c>
      <c r="AV105" s="16">
        <f t="shared" si="78"/>
        <v>0.03538128538128538</v>
      </c>
      <c r="AW105" s="16">
        <f t="shared" si="78"/>
        <v>0.022616272616272613</v>
      </c>
      <c r="AX105" s="16">
        <f t="shared" si="78"/>
        <v>0.023587523587523584</v>
      </c>
      <c r="AY105" s="16">
        <f t="shared" si="78"/>
        <v>0.03198190698190698</v>
      </c>
      <c r="AZ105" s="16">
        <f t="shared" si="78"/>
        <v>0.028929403929403928</v>
      </c>
      <c r="BA105" s="16"/>
      <c r="BB105" s="16">
        <f t="shared" si="78"/>
        <v>0.023587523587523584</v>
      </c>
      <c r="BC105" s="16">
        <f t="shared" si="78"/>
        <v>0.03538128538128538</v>
      </c>
      <c r="BD105" s="16">
        <f t="shared" si="78"/>
        <v>0.02948440448440448</v>
      </c>
      <c r="BE105" s="16">
        <f t="shared" si="78"/>
        <v>0.05421433992862564</v>
      </c>
      <c r="BF105" s="16">
        <f t="shared" si="78"/>
        <v>0.1060715346429632</v>
      </c>
      <c r="BG105" s="16">
        <f t="shared" si="78"/>
        <v>0.07943579372150801</v>
      </c>
      <c r="BH105" s="16">
        <f t="shared" si="78"/>
        <v>0.03602102142248128</v>
      </c>
      <c r="BI105" s="16">
        <f t="shared" si="78"/>
        <v>0.048201325573588354</v>
      </c>
      <c r="BJ105" s="16">
        <f t="shared" si="78"/>
        <v>0.0427053346761376</v>
      </c>
      <c r="BK105" s="16">
        <f t="shared" si="78"/>
        <v>0.02875510427889833</v>
      </c>
      <c r="BL105" s="16">
        <f t="shared" si="78"/>
        <v>0.04957776599810058</v>
      </c>
      <c r="BM105" s="16">
        <f t="shared" si="78"/>
        <v>0.032919636622738786</v>
      </c>
      <c r="BN105" s="16">
        <f t="shared" si="78"/>
        <v>0.05728891897802546</v>
      </c>
      <c r="BO105" s="16">
        <f t="shared" si="78"/>
        <v>0.11208701539178895</v>
      </c>
      <c r="BP105" s="16">
        <f t="shared" si="78"/>
        <v>0.07671733497926887</v>
      </c>
      <c r="BQ105" s="16">
        <f t="shared" si="78"/>
        <v>0.04146796599626788</v>
      </c>
      <c r="BR105" s="16">
        <f t="shared" si="78"/>
        <v>0.11058124265671435</v>
      </c>
      <c r="BS105" s="16">
        <f t="shared" si="78"/>
        <v>0.06496648006081968</v>
      </c>
      <c r="BT105" s="16">
        <f t="shared" si="78"/>
        <v>0.051004409885630375</v>
      </c>
      <c r="BU105" s="16">
        <f t="shared" si="78"/>
        <v>0.18627697523447614</v>
      </c>
      <c r="BV105" s="16">
        <f t="shared" si="78"/>
        <v>0.09358200422493922</v>
      </c>
      <c r="BW105" s="16">
        <f t="shared" si="78"/>
        <v>0.01742864711869606</v>
      </c>
      <c r="BX105" s="16">
        <f t="shared" si="78"/>
        <v>0.043571617796740146</v>
      </c>
      <c r="BY105" s="16">
        <f t="shared" si="78"/>
        <v>0.024524596302736592</v>
      </c>
      <c r="BZ105" s="16">
        <f t="shared" si="78"/>
        <v>0.021193477957626917</v>
      </c>
      <c r="CA105" s="16">
        <f t="shared" si="78"/>
        <v>0.03468023665793495</v>
      </c>
      <c r="CB105" s="16">
        <f t="shared" si="78"/>
        <v>0.028001079968258593</v>
      </c>
      <c r="CC105" s="16">
        <f t="shared" si="78"/>
        <v>0.022588522588522588</v>
      </c>
      <c r="CD105" s="16">
        <f t="shared" si="78"/>
        <v>0.040293040293040296</v>
      </c>
      <c r="CE105" s="16">
        <f t="shared" si="78"/>
        <v>0.031135531135531132</v>
      </c>
      <c r="CF105" s="16">
        <f t="shared" si="78"/>
        <v>0.029914529914529912</v>
      </c>
      <c r="CG105" s="16">
        <f t="shared" si="78"/>
        <v>0.05128205128205129</v>
      </c>
      <c r="CH105" s="16">
        <f t="shared" si="78"/>
        <v>0.03540903540903541</v>
      </c>
      <c r="CK105" s="16">
        <f>CK104/(100*16.38)</f>
        <v>0.03178673178673178</v>
      </c>
      <c r="CL105" s="2" t="s">
        <v>30</v>
      </c>
      <c r="CN105" s="10"/>
    </row>
    <row r="106" spans="1:92" ht="15.75">
      <c r="A106" s="10"/>
      <c r="C106" s="2" t="s">
        <v>362</v>
      </c>
      <c r="D106" s="2" t="s">
        <v>142</v>
      </c>
      <c r="F106" s="2" t="s">
        <v>140</v>
      </c>
      <c r="J106" s="14">
        <f aca="true" t="shared" si="79" ref="J106:O106">J105*67.54</f>
        <v>0.11339133089133091</v>
      </c>
      <c r="K106" s="14">
        <f t="shared" si="79"/>
        <v>0.3092490842490843</v>
      </c>
      <c r="L106" s="13">
        <f t="shared" si="79"/>
        <v>0.22678266178266182</v>
      </c>
      <c r="M106" s="14">
        <f t="shared" si="79"/>
        <v>0.09277472527472529</v>
      </c>
      <c r="N106" s="14">
        <f t="shared" si="79"/>
        <v>0.20616605616605618</v>
      </c>
      <c r="O106" s="13">
        <f t="shared" si="79"/>
        <v>0.16493284493284494</v>
      </c>
      <c r="P106" s="14">
        <f aca="true" t="shared" si="80" ref="P106:U106">P105*43.42</f>
        <v>0.2208994708994709</v>
      </c>
      <c r="Q106" s="14">
        <f t="shared" si="80"/>
        <v>0.2650793650793651</v>
      </c>
      <c r="R106" s="13">
        <f t="shared" si="80"/>
        <v>0.242989417989418</v>
      </c>
      <c r="S106" s="14">
        <f t="shared" si="80"/>
        <v>0.2485119047619048</v>
      </c>
      <c r="T106" s="14">
        <f t="shared" si="80"/>
        <v>0.2899305555555556</v>
      </c>
      <c r="U106" s="14">
        <f t="shared" si="80"/>
        <v>0.2692212301587302</v>
      </c>
      <c r="V106" s="14">
        <f>V105*28.265</f>
        <v>0.07843545343545343</v>
      </c>
      <c r="W106" s="14">
        <f>W105*28.265</f>
        <v>0.09804431679431679</v>
      </c>
      <c r="X106" s="13">
        <f>X105*28.265</f>
        <v>0.0882398851148851</v>
      </c>
      <c r="Y106" s="14">
        <f aca="true" t="shared" si="81" ref="Y106:AD106">Y105*21.416</f>
        <v>0.07725829725829725</v>
      </c>
      <c r="Z106" s="14">
        <f t="shared" si="81"/>
        <v>0.20206016206016206</v>
      </c>
      <c r="AA106" s="14">
        <f t="shared" si="81"/>
        <v>0.1233161283161283</v>
      </c>
      <c r="AB106" s="14">
        <f t="shared" si="81"/>
        <v>0.09657287157287157</v>
      </c>
      <c r="AC106" s="14">
        <f t="shared" si="81"/>
        <v>0.40114885114885107</v>
      </c>
      <c r="AD106" s="14">
        <f t="shared" si="81"/>
        <v>0.2377178377178377</v>
      </c>
      <c r="AE106" s="7"/>
      <c r="AF106" s="14">
        <f>AF105*20.74</f>
        <v>0.0748196248196248</v>
      </c>
      <c r="AG106" s="14">
        <f aca="true" t="shared" si="82" ref="AG106:AN106">AG105*20.74</f>
        <v>0.2129481629481629</v>
      </c>
      <c r="AH106" s="14">
        <f t="shared" si="82"/>
        <v>0.13668969918969917</v>
      </c>
      <c r="AI106" s="14">
        <f t="shared" si="82"/>
        <v>0.12949550449550448</v>
      </c>
      <c r="AJ106" s="14">
        <f t="shared" si="82"/>
        <v>0.24460261960261956</v>
      </c>
      <c r="AK106" s="14">
        <f t="shared" si="82"/>
        <v>0.17266067266067264</v>
      </c>
      <c r="AL106" s="14">
        <f t="shared" si="82"/>
        <v>0.1079129204129204</v>
      </c>
      <c r="AM106" s="14">
        <f t="shared" si="82"/>
        <v>0.17266067266067264</v>
      </c>
      <c r="AN106" s="13">
        <f t="shared" si="82"/>
        <v>0.13668969918969917</v>
      </c>
      <c r="AO106" s="14">
        <f>AO105*18.822</f>
        <v>0.10315642690642689</v>
      </c>
      <c r="AP106" s="14">
        <f>AP105*18.822</f>
        <v>0.36953504828504824</v>
      </c>
      <c r="AQ106" s="14">
        <f>AQ105*18.822</f>
        <v>0.2154532967032967</v>
      </c>
      <c r="AR106" s="14">
        <f>AR105*18</f>
        <v>0.16608391608391607</v>
      </c>
      <c r="AS106" s="14">
        <f aca="true" t="shared" si="83" ref="AS106:CH106">AS105*18</f>
        <v>0.30719280719280717</v>
      </c>
      <c r="AT106" s="14">
        <f t="shared" si="83"/>
        <v>0.23726273726273725</v>
      </c>
      <c r="AU106" s="14">
        <f t="shared" si="83"/>
        <v>0.1773226773226773</v>
      </c>
      <c r="AV106" s="14">
        <f t="shared" si="83"/>
        <v>0.6368631368631368</v>
      </c>
      <c r="AW106" s="14">
        <f t="shared" si="83"/>
        <v>0.407092907092907</v>
      </c>
      <c r="AX106" s="14">
        <f t="shared" si="83"/>
        <v>0.4245754245754245</v>
      </c>
      <c r="AY106" s="14">
        <f t="shared" si="83"/>
        <v>0.5756743256743255</v>
      </c>
      <c r="AZ106" s="14">
        <f t="shared" si="83"/>
        <v>0.5207292707292707</v>
      </c>
      <c r="BA106" s="14"/>
      <c r="BB106" s="14">
        <f t="shared" si="83"/>
        <v>0.4245754245754245</v>
      </c>
      <c r="BC106" s="14">
        <f t="shared" si="83"/>
        <v>0.6368631368631368</v>
      </c>
      <c r="BD106" s="13">
        <f t="shared" si="83"/>
        <v>0.5307192807192807</v>
      </c>
      <c r="BE106" s="14">
        <f t="shared" si="83"/>
        <v>0.9758581187152615</v>
      </c>
      <c r="BF106" s="14">
        <f t="shared" si="83"/>
        <v>1.9092876235733378</v>
      </c>
      <c r="BG106" s="13">
        <f t="shared" si="83"/>
        <v>1.4298442869871442</v>
      </c>
      <c r="BH106" s="14">
        <f t="shared" si="83"/>
        <v>0.648378385604663</v>
      </c>
      <c r="BI106" s="14">
        <f t="shared" si="83"/>
        <v>0.8676238603245904</v>
      </c>
      <c r="BJ106" s="13">
        <f t="shared" si="83"/>
        <v>0.7686960241704768</v>
      </c>
      <c r="BK106" s="14">
        <f t="shared" si="83"/>
        <v>0.51759187702017</v>
      </c>
      <c r="BL106" s="14">
        <f t="shared" si="83"/>
        <v>0.8923997879658104</v>
      </c>
      <c r="BM106" s="14">
        <f t="shared" si="83"/>
        <v>0.5925534592092981</v>
      </c>
      <c r="BN106" s="14">
        <f t="shared" si="83"/>
        <v>1.0312005416044583</v>
      </c>
      <c r="BO106" s="14">
        <f t="shared" si="83"/>
        <v>2.017566277052201</v>
      </c>
      <c r="BP106" s="14">
        <f t="shared" si="83"/>
        <v>1.3809120296268398</v>
      </c>
      <c r="BQ106" s="14">
        <f t="shared" si="83"/>
        <v>0.7464233879328219</v>
      </c>
      <c r="BR106" s="14">
        <f t="shared" si="83"/>
        <v>1.9904623678208582</v>
      </c>
      <c r="BS106" s="14">
        <f t="shared" si="83"/>
        <v>1.169396641094754</v>
      </c>
      <c r="BT106" s="14">
        <f t="shared" si="83"/>
        <v>0.9180793779413468</v>
      </c>
      <c r="BU106" s="14">
        <f t="shared" si="83"/>
        <v>3.3529855542205707</v>
      </c>
      <c r="BV106" s="14">
        <f t="shared" si="83"/>
        <v>1.684476076048906</v>
      </c>
      <c r="BW106" s="14">
        <f t="shared" si="83"/>
        <v>0.3137156481365291</v>
      </c>
      <c r="BX106" s="14">
        <f t="shared" si="83"/>
        <v>0.7842891203413226</v>
      </c>
      <c r="BY106" s="14">
        <f t="shared" si="83"/>
        <v>0.44144273344925866</v>
      </c>
      <c r="BZ106" s="14">
        <f t="shared" si="83"/>
        <v>0.3814826032372845</v>
      </c>
      <c r="CA106" s="14">
        <f t="shared" si="83"/>
        <v>0.6242442598428292</v>
      </c>
      <c r="CB106" s="14">
        <f t="shared" si="83"/>
        <v>0.5040194394286547</v>
      </c>
      <c r="CC106" s="14">
        <f t="shared" si="83"/>
        <v>0.4065934065934066</v>
      </c>
      <c r="CD106" s="14">
        <f t="shared" si="83"/>
        <v>0.7252747252747254</v>
      </c>
      <c r="CE106" s="14">
        <f t="shared" si="83"/>
        <v>0.5604395604395603</v>
      </c>
      <c r="CF106" s="14">
        <f t="shared" si="83"/>
        <v>0.5384615384615384</v>
      </c>
      <c r="CG106" s="14">
        <f t="shared" si="83"/>
        <v>0.9230769230769231</v>
      </c>
      <c r="CH106" s="14">
        <f t="shared" si="83"/>
        <v>0.6373626373626373</v>
      </c>
      <c r="CK106" s="14">
        <f>CK105*18</f>
        <v>0.5721611721611721</v>
      </c>
      <c r="CL106" s="2" t="s">
        <v>144</v>
      </c>
      <c r="CN106" s="10"/>
    </row>
    <row r="107" spans="1:92" ht="15.75">
      <c r="A107" s="10"/>
      <c r="D107" s="2" t="s">
        <v>211</v>
      </c>
      <c r="J107" s="14"/>
      <c r="K107" s="14"/>
      <c r="L107" s="13"/>
      <c r="M107" s="14"/>
      <c r="N107" s="14"/>
      <c r="O107" s="13"/>
      <c r="P107" s="14"/>
      <c r="Q107" s="14"/>
      <c r="R107" s="17">
        <f>100*R106/R116</f>
        <v>88.00810761009767</v>
      </c>
      <c r="S107" s="14"/>
      <c r="T107" s="14"/>
      <c r="U107" s="17">
        <f>100*U106/U116</f>
        <v>92.86569796520047</v>
      </c>
      <c r="V107" s="14"/>
      <c r="W107" s="14"/>
      <c r="X107" s="17">
        <f>100*X106/X116</f>
        <v>49.44761771472056</v>
      </c>
      <c r="Y107" s="14"/>
      <c r="Z107" s="14"/>
      <c r="AA107" s="17">
        <f>100*AA106/AA116</f>
        <v>67.26334271788816</v>
      </c>
      <c r="AB107" s="14"/>
      <c r="AC107" s="14"/>
      <c r="AD107" s="17">
        <f>100*AD106/AD116</f>
        <v>92.84258897992802</v>
      </c>
      <c r="AE107" s="7"/>
      <c r="AF107" s="14"/>
      <c r="AG107" s="14"/>
      <c r="AH107" s="17">
        <f>100*AH106/AH116</f>
        <v>59.80174339549339</v>
      </c>
      <c r="AI107" s="14"/>
      <c r="AJ107" s="14"/>
      <c r="AK107" s="17">
        <f>100*AK106/AK116</f>
        <v>71.09557109557107</v>
      </c>
      <c r="AL107" s="14"/>
      <c r="AM107" s="14"/>
      <c r="AN107" s="17">
        <f>100*AN106/AN116</f>
        <v>60.67689085981768</v>
      </c>
      <c r="AO107" s="14"/>
      <c r="AP107" s="14"/>
      <c r="AQ107" s="17">
        <f>100*AQ106/AQ116</f>
        <v>75.11973180076626</v>
      </c>
      <c r="AR107" s="14"/>
      <c r="AS107" s="14"/>
      <c r="AT107" s="17">
        <f>100*AT106/AT116</f>
        <v>56.71945141344622</v>
      </c>
      <c r="AU107" s="14"/>
      <c r="AV107" s="14"/>
      <c r="AW107" s="17">
        <f>100*AW106/AW116</f>
        <v>58.83003128729039</v>
      </c>
      <c r="AX107" s="14"/>
      <c r="AY107" s="14"/>
      <c r="AZ107" s="17">
        <f>100*AZ106/AZ116</f>
        <v>73.0770612506692</v>
      </c>
      <c r="BA107" s="14"/>
      <c r="BB107" s="14"/>
      <c r="BC107" s="14"/>
      <c r="BD107" s="17">
        <f>100*BD106/BD116</f>
        <v>77.84567141433678</v>
      </c>
      <c r="BE107" s="14"/>
      <c r="BF107" s="14"/>
      <c r="BG107" s="13"/>
      <c r="BH107" s="14"/>
      <c r="BI107" s="14"/>
      <c r="BJ107" s="13"/>
      <c r="BK107" s="14"/>
      <c r="BL107" s="14"/>
      <c r="BM107" s="17">
        <f>100*BM106/BM116</f>
        <v>88.50084233867192</v>
      </c>
      <c r="BN107" s="14"/>
      <c r="BO107" s="14"/>
      <c r="BP107" s="14"/>
      <c r="BQ107" s="14"/>
      <c r="BR107" s="14"/>
      <c r="BS107" s="14"/>
      <c r="BT107" s="14"/>
      <c r="BU107" s="14"/>
      <c r="BV107" s="14"/>
      <c r="BW107" s="14"/>
      <c r="BX107" s="14"/>
      <c r="BY107" s="14"/>
      <c r="BZ107" s="14"/>
      <c r="CA107" s="14"/>
      <c r="CB107" s="14"/>
      <c r="CC107" s="14"/>
      <c r="CD107" s="14"/>
      <c r="CE107" s="14"/>
      <c r="CF107" s="14"/>
      <c r="CG107" s="14"/>
      <c r="CH107" s="14"/>
      <c r="CK107" s="14"/>
      <c r="CN107" s="10"/>
    </row>
    <row r="108" spans="1:92" ht="15.75">
      <c r="A108" s="10"/>
      <c r="J108" s="14"/>
      <c r="K108" s="14"/>
      <c r="L108" s="14"/>
      <c r="M108" s="14"/>
      <c r="N108" s="14"/>
      <c r="O108" s="14"/>
      <c r="P108" s="14"/>
      <c r="Q108" s="14"/>
      <c r="R108" s="14"/>
      <c r="S108" s="14"/>
      <c r="T108" s="14"/>
      <c r="U108" s="14"/>
      <c r="V108" s="14"/>
      <c r="W108" s="14"/>
      <c r="X108" s="14"/>
      <c r="Y108" s="14"/>
      <c r="Z108" s="14"/>
      <c r="AA108" s="14"/>
      <c r="AB108" s="14"/>
      <c r="AC108" s="14"/>
      <c r="AD108" s="14"/>
      <c r="AE108" s="7"/>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K108" s="14"/>
      <c r="CN108" s="10"/>
    </row>
    <row r="109" spans="1:92" ht="15">
      <c r="A109" s="10" t="s">
        <v>363</v>
      </c>
      <c r="C109" s="2" t="s">
        <v>364</v>
      </c>
      <c r="D109" s="2" t="s">
        <v>385</v>
      </c>
      <c r="E109" s="2" t="s">
        <v>386</v>
      </c>
      <c r="F109" s="2" t="s">
        <v>69</v>
      </c>
      <c r="J109" s="2">
        <v>8</v>
      </c>
      <c r="K109" s="2">
        <v>21</v>
      </c>
      <c r="L109" s="2">
        <v>15</v>
      </c>
      <c r="M109" s="2">
        <v>9</v>
      </c>
      <c r="N109" s="2">
        <v>13</v>
      </c>
      <c r="O109" s="2">
        <v>11</v>
      </c>
      <c r="P109" s="2">
        <v>30</v>
      </c>
      <c r="Q109" s="2">
        <v>35</v>
      </c>
      <c r="R109" s="2">
        <v>33</v>
      </c>
      <c r="S109" s="2">
        <v>30</v>
      </c>
      <c r="T109" s="2">
        <v>40</v>
      </c>
      <c r="U109" s="2">
        <v>35</v>
      </c>
      <c r="V109" s="2">
        <v>16</v>
      </c>
      <c r="W109" s="2">
        <v>30</v>
      </c>
      <c r="X109" s="2">
        <v>23</v>
      </c>
      <c r="Y109" s="2">
        <v>25</v>
      </c>
      <c r="Z109" s="2">
        <v>55</v>
      </c>
      <c r="AA109" s="2">
        <v>40</v>
      </c>
      <c r="AB109" s="2">
        <v>40</v>
      </c>
      <c r="AC109" s="2">
        <v>90</v>
      </c>
      <c r="AD109" s="2">
        <v>60</v>
      </c>
      <c r="AE109" s="10" t="s">
        <v>363</v>
      </c>
      <c r="AF109" s="2">
        <v>34</v>
      </c>
      <c r="AG109" s="2">
        <v>58</v>
      </c>
      <c r="AH109" s="2">
        <v>48</v>
      </c>
      <c r="AI109" s="2">
        <v>50</v>
      </c>
      <c r="AJ109" s="2">
        <v>80</v>
      </c>
      <c r="AK109" s="2">
        <v>67</v>
      </c>
      <c r="AL109" s="2">
        <v>64</v>
      </c>
      <c r="AM109" s="2">
        <v>69</v>
      </c>
      <c r="AN109" s="2">
        <v>66</v>
      </c>
      <c r="AO109" s="2">
        <v>54</v>
      </c>
      <c r="AP109" s="2">
        <v>138</v>
      </c>
      <c r="AQ109" s="2">
        <v>93</v>
      </c>
      <c r="AR109" s="2">
        <v>96</v>
      </c>
      <c r="AS109" s="2">
        <v>196</v>
      </c>
      <c r="AT109" s="2">
        <v>173</v>
      </c>
      <c r="AU109" s="2">
        <v>110</v>
      </c>
      <c r="AV109" s="2">
        <v>247</v>
      </c>
      <c r="AW109" s="2">
        <v>157</v>
      </c>
      <c r="AX109" s="2">
        <v>180</v>
      </c>
      <c r="AY109" s="2">
        <v>400</v>
      </c>
      <c r="AZ109" s="2">
        <v>294</v>
      </c>
      <c r="BA109" s="10" t="s">
        <v>363</v>
      </c>
      <c r="BB109" s="2">
        <v>180</v>
      </c>
      <c r="BC109" s="2">
        <v>247</v>
      </c>
      <c r="BD109" s="2">
        <v>214</v>
      </c>
      <c r="BE109" s="2">
        <f aca="true" t="shared" si="84" ref="BE109:CH109">BE111/BE3*5.6</f>
        <v>583.7837837837837</v>
      </c>
      <c r="BF109" s="2">
        <f t="shared" si="84"/>
        <v>908.108108108108</v>
      </c>
      <c r="BG109" s="2">
        <f t="shared" si="84"/>
        <v>715.6756756756757</v>
      </c>
      <c r="BH109" s="2">
        <f t="shared" si="84"/>
        <v>307.93187347931877</v>
      </c>
      <c r="BI109" s="2">
        <f t="shared" si="84"/>
        <v>464.62287104622874</v>
      </c>
      <c r="BJ109" s="2">
        <f t="shared" si="84"/>
        <v>380.8272506082725</v>
      </c>
      <c r="BK109" s="2">
        <f t="shared" si="84"/>
        <v>272.86015916842615</v>
      </c>
      <c r="BL109" s="2">
        <f t="shared" si="84"/>
        <v>382.0042228357966</v>
      </c>
      <c r="BM109" s="2">
        <f t="shared" si="84"/>
        <v>330.16079259379563</v>
      </c>
      <c r="BN109" s="2">
        <f t="shared" si="84"/>
        <v>616.891064871481</v>
      </c>
      <c r="BO109" s="2">
        <f t="shared" si="84"/>
        <v>959.6083231334147</v>
      </c>
      <c r="BP109" s="2">
        <f t="shared" si="84"/>
        <v>801.9583843329252</v>
      </c>
      <c r="BQ109" s="2">
        <f t="shared" si="84"/>
        <v>591.6981132075471</v>
      </c>
      <c r="BR109" s="2">
        <f t="shared" si="84"/>
        <v>781.88679245283</v>
      </c>
      <c r="BS109" s="2">
        <f t="shared" si="84"/>
        <v>680.4528301886792</v>
      </c>
      <c r="BT109" s="2">
        <f t="shared" si="84"/>
        <v>467.85325099891026</v>
      </c>
      <c r="BU109" s="2">
        <f t="shared" si="84"/>
        <v>1179.803850345078</v>
      </c>
      <c r="BV109" s="2">
        <f t="shared" si="84"/>
        <v>707.8823102070468</v>
      </c>
      <c r="BW109" s="2">
        <f t="shared" si="84"/>
        <v>188.41761827079935</v>
      </c>
      <c r="BX109" s="2">
        <f t="shared" si="84"/>
        <v>291.1908646003262</v>
      </c>
      <c r="BY109" s="2">
        <f t="shared" si="84"/>
        <v>215.25285481239803</v>
      </c>
      <c r="BZ109" s="2">
        <f t="shared" si="84"/>
        <v>253.31369661266567</v>
      </c>
      <c r="CA109" s="2">
        <f t="shared" si="84"/>
        <v>382.9160530191458</v>
      </c>
      <c r="CB109" s="2">
        <f t="shared" si="84"/>
        <v>329.8969072164948</v>
      </c>
      <c r="CC109" s="2">
        <f t="shared" si="84"/>
        <v>224</v>
      </c>
      <c r="CD109" s="2">
        <f t="shared" si="84"/>
        <v>358.4</v>
      </c>
      <c r="CE109" s="2">
        <f t="shared" si="84"/>
        <v>263.2</v>
      </c>
      <c r="CF109" s="2">
        <f t="shared" si="84"/>
        <v>274.3999999999999</v>
      </c>
      <c r="CG109" s="2">
        <f t="shared" si="84"/>
        <v>358.4</v>
      </c>
      <c r="CH109" s="2">
        <f t="shared" si="84"/>
        <v>324.79999999999995</v>
      </c>
      <c r="CK109" s="2"/>
      <c r="CL109" s="10" t="s">
        <v>255</v>
      </c>
      <c r="CN109" s="10"/>
    </row>
    <row r="110" spans="1:92" ht="15">
      <c r="A110" s="10"/>
      <c r="C110" s="2" t="s">
        <v>364</v>
      </c>
      <c r="D110" s="2" t="s">
        <v>385</v>
      </c>
      <c r="E110" s="2" t="s">
        <v>386</v>
      </c>
      <c r="F110" s="2" t="s">
        <v>160</v>
      </c>
      <c r="G110" s="2">
        <f aca="true" t="shared" si="85" ref="G110:AD110">G109*G3</f>
        <v>0</v>
      </c>
      <c r="H110" s="2">
        <f t="shared" si="85"/>
        <v>0</v>
      </c>
      <c r="I110" s="2">
        <f t="shared" si="85"/>
        <v>0</v>
      </c>
      <c r="J110" s="2">
        <f t="shared" si="85"/>
        <v>30.016</v>
      </c>
      <c r="K110" s="2">
        <f t="shared" si="85"/>
        <v>78.792</v>
      </c>
      <c r="L110" s="2">
        <f t="shared" si="85"/>
        <v>56.279999999999994</v>
      </c>
      <c r="M110" s="2">
        <f t="shared" si="85"/>
        <v>33.768</v>
      </c>
      <c r="N110" s="2">
        <f t="shared" si="85"/>
        <v>48.775999999999996</v>
      </c>
      <c r="O110" s="2">
        <f t="shared" si="85"/>
        <v>41.272</v>
      </c>
      <c r="P110" s="2">
        <f t="shared" si="85"/>
        <v>72.36</v>
      </c>
      <c r="Q110" s="2">
        <f t="shared" si="85"/>
        <v>84.42</v>
      </c>
      <c r="R110" s="2">
        <f t="shared" si="85"/>
        <v>79.596</v>
      </c>
      <c r="S110" s="2">
        <f t="shared" si="85"/>
        <v>72.36</v>
      </c>
      <c r="T110" s="2">
        <f t="shared" si="85"/>
        <v>96.47999999999999</v>
      </c>
      <c r="U110" s="2">
        <f t="shared" si="85"/>
        <v>84.42</v>
      </c>
      <c r="V110" s="2">
        <f t="shared" si="85"/>
        <v>26.256</v>
      </c>
      <c r="W110" s="2">
        <f t="shared" si="85"/>
        <v>49.230000000000004</v>
      </c>
      <c r="X110" s="2">
        <f t="shared" si="85"/>
        <v>37.743</v>
      </c>
      <c r="Y110" s="2">
        <f t="shared" si="85"/>
        <v>28.599999999999998</v>
      </c>
      <c r="Z110" s="2">
        <f t="shared" si="85"/>
        <v>62.919999999999995</v>
      </c>
      <c r="AA110" s="2">
        <f t="shared" si="85"/>
        <v>45.76</v>
      </c>
      <c r="AB110" s="2">
        <f t="shared" si="85"/>
        <v>45.76</v>
      </c>
      <c r="AC110" s="2">
        <f t="shared" si="85"/>
        <v>102.96</v>
      </c>
      <c r="AD110" s="2">
        <f t="shared" si="85"/>
        <v>68.64</v>
      </c>
      <c r="AE110" s="2" t="s">
        <v>160</v>
      </c>
      <c r="AF110" s="2">
        <f aca="true" t="shared" si="86" ref="AF110:AZ110">AF109*AF3</f>
        <v>39.168</v>
      </c>
      <c r="AG110" s="2">
        <f t="shared" si="86"/>
        <v>66.81599999999999</v>
      </c>
      <c r="AH110" s="2">
        <f t="shared" si="86"/>
        <v>55.29599999999999</v>
      </c>
      <c r="AI110" s="2">
        <f t="shared" si="86"/>
        <v>57.599999999999994</v>
      </c>
      <c r="AJ110" s="2">
        <f t="shared" si="86"/>
        <v>92.16</v>
      </c>
      <c r="AK110" s="2">
        <f t="shared" si="86"/>
        <v>77.184</v>
      </c>
      <c r="AL110" s="2">
        <f t="shared" si="86"/>
        <v>73.728</v>
      </c>
      <c r="AM110" s="2">
        <f t="shared" si="86"/>
        <v>79.488</v>
      </c>
      <c r="AN110" s="2">
        <f t="shared" si="86"/>
        <v>76.032</v>
      </c>
      <c r="AO110" s="2">
        <f t="shared" si="86"/>
        <v>56.354400000000005</v>
      </c>
      <c r="AP110" s="2">
        <f t="shared" si="86"/>
        <v>144.01680000000002</v>
      </c>
      <c r="AQ110" s="2">
        <f t="shared" si="86"/>
        <v>97.05480000000001</v>
      </c>
      <c r="AR110" s="2">
        <f t="shared" si="86"/>
        <v>94.56</v>
      </c>
      <c r="AS110" s="2">
        <f t="shared" si="86"/>
        <v>193.06</v>
      </c>
      <c r="AT110" s="2">
        <f t="shared" si="86"/>
        <v>170.405</v>
      </c>
      <c r="AU110" s="2">
        <f t="shared" si="86"/>
        <v>105.05</v>
      </c>
      <c r="AV110" s="2">
        <f t="shared" si="86"/>
        <v>235.885</v>
      </c>
      <c r="AW110" s="2">
        <f t="shared" si="86"/>
        <v>149.935</v>
      </c>
      <c r="AX110" s="2">
        <f t="shared" si="86"/>
        <v>129.24</v>
      </c>
      <c r="AY110" s="2">
        <f t="shared" si="86"/>
        <v>287.2</v>
      </c>
      <c r="AZ110" s="2">
        <f t="shared" si="86"/>
        <v>211.09199999999998</v>
      </c>
      <c r="BA110" s="2" t="s">
        <v>160</v>
      </c>
      <c r="BB110" s="2">
        <f aca="true" t="shared" si="87" ref="BB110:BG110">BB109*BB3</f>
        <v>152.28</v>
      </c>
      <c r="BC110" s="2">
        <f t="shared" si="87"/>
        <v>208.962</v>
      </c>
      <c r="BD110" s="2">
        <f t="shared" si="87"/>
        <v>181.04399999999998</v>
      </c>
      <c r="BE110" s="2">
        <f t="shared" si="87"/>
        <v>151.2</v>
      </c>
      <c r="BF110" s="2">
        <f t="shared" si="87"/>
        <v>235.2</v>
      </c>
      <c r="BG110" s="2">
        <f t="shared" si="87"/>
        <v>185.36</v>
      </c>
      <c r="BH110" s="2">
        <f>BH111*5.6</f>
        <v>253.12</v>
      </c>
      <c r="BI110" s="2">
        <f>BI111*5.6</f>
        <v>381.92</v>
      </c>
      <c r="BJ110" s="2">
        <f>BJ111*5.6</f>
        <v>313.03999999999996</v>
      </c>
      <c r="BK110" s="2">
        <f aca="true" t="shared" si="88" ref="BK110:CB110">BK109*BK3</f>
        <v>168</v>
      </c>
      <c r="BL110" s="2">
        <f t="shared" si="88"/>
        <v>235.2</v>
      </c>
      <c r="BM110" s="2">
        <f t="shared" si="88"/>
        <v>203.27999999999997</v>
      </c>
      <c r="BN110" s="2">
        <f t="shared" si="88"/>
        <v>151.20000000000002</v>
      </c>
      <c r="BO110" s="2">
        <f t="shared" si="88"/>
        <v>235.19999999999996</v>
      </c>
      <c r="BP110" s="2">
        <f t="shared" si="88"/>
        <v>196.55999999999997</v>
      </c>
      <c r="BQ110" s="2">
        <f t="shared" si="88"/>
        <v>156.79999999999998</v>
      </c>
      <c r="BR110" s="2">
        <f t="shared" si="88"/>
        <v>207.19999999999996</v>
      </c>
      <c r="BS110" s="2">
        <f t="shared" si="88"/>
        <v>180.32</v>
      </c>
      <c r="BT110" s="2">
        <f t="shared" si="88"/>
        <v>128.79999999999998</v>
      </c>
      <c r="BU110" s="2">
        <f t="shared" si="88"/>
        <v>324.79999999999995</v>
      </c>
      <c r="BV110" s="2">
        <f t="shared" si="88"/>
        <v>194.87999999999997</v>
      </c>
      <c r="BW110" s="2">
        <f t="shared" si="88"/>
        <v>184.8</v>
      </c>
      <c r="BX110" s="2">
        <f t="shared" si="88"/>
        <v>285.59999999999997</v>
      </c>
      <c r="BY110" s="2">
        <f t="shared" si="88"/>
        <v>211.11999999999998</v>
      </c>
      <c r="BZ110" s="2">
        <f t="shared" si="88"/>
        <v>240.79999999999998</v>
      </c>
      <c r="CA110" s="2">
        <f t="shared" si="88"/>
        <v>364</v>
      </c>
      <c r="CB110" s="2">
        <f t="shared" si="88"/>
        <v>313.59999999999997</v>
      </c>
      <c r="CC110" s="2">
        <f aca="true" t="shared" si="89" ref="CC110:CH110">CC111*5.6</f>
        <v>185.87519999999998</v>
      </c>
      <c r="CD110" s="2">
        <f t="shared" si="89"/>
        <v>297.40031999999997</v>
      </c>
      <c r="CE110" s="2">
        <f t="shared" si="89"/>
        <v>218.40336</v>
      </c>
      <c r="CF110" s="2">
        <f t="shared" si="89"/>
        <v>210.57455999999996</v>
      </c>
      <c r="CG110" s="2">
        <f t="shared" si="89"/>
        <v>275.03616</v>
      </c>
      <c r="CH110" s="2">
        <f t="shared" si="89"/>
        <v>249.25151999999997</v>
      </c>
      <c r="CK110" s="2"/>
      <c r="CL110" s="2" t="s">
        <v>160</v>
      </c>
      <c r="CN110" s="10"/>
    </row>
    <row r="111" spans="1:92" ht="15">
      <c r="A111" s="10"/>
      <c r="C111" s="2" t="s">
        <v>364</v>
      </c>
      <c r="D111" s="2" t="s">
        <v>67</v>
      </c>
      <c r="E111" s="2" t="s">
        <v>68</v>
      </c>
      <c r="F111" s="2" t="s">
        <v>160</v>
      </c>
      <c r="P111" s="2">
        <f>P110/5.6</f>
        <v>12.921428571428573</v>
      </c>
      <c r="Q111" s="2">
        <f aca="true" t="shared" si="90" ref="Q111:AD111">Q110/5.6</f>
        <v>15.075000000000001</v>
      </c>
      <c r="R111" s="2">
        <f t="shared" si="90"/>
        <v>14.21357142857143</v>
      </c>
      <c r="S111" s="2">
        <f t="shared" si="90"/>
        <v>12.921428571428573</v>
      </c>
      <c r="T111" s="2">
        <f t="shared" si="90"/>
        <v>17.228571428571428</v>
      </c>
      <c r="U111" s="2">
        <f t="shared" si="90"/>
        <v>15.075000000000001</v>
      </c>
      <c r="V111" s="2">
        <f t="shared" si="90"/>
        <v>4.688571428571429</v>
      </c>
      <c r="W111" s="2">
        <f t="shared" si="90"/>
        <v>8.79107142857143</v>
      </c>
      <c r="X111" s="2">
        <f t="shared" si="90"/>
        <v>6.739821428571429</v>
      </c>
      <c r="Y111" s="2">
        <f t="shared" si="90"/>
        <v>5.107142857142857</v>
      </c>
      <c r="Z111" s="2">
        <f t="shared" si="90"/>
        <v>11.235714285714286</v>
      </c>
      <c r="AA111" s="2">
        <f t="shared" si="90"/>
        <v>8.17142857142857</v>
      </c>
      <c r="AB111" s="2">
        <f t="shared" si="90"/>
        <v>8.17142857142857</v>
      </c>
      <c r="AC111" s="2">
        <f t="shared" si="90"/>
        <v>18.385714285714286</v>
      </c>
      <c r="AD111" s="2">
        <f t="shared" si="90"/>
        <v>12.257142857142858</v>
      </c>
      <c r="AE111" s="2" t="s">
        <v>160</v>
      </c>
      <c r="AF111" s="2">
        <f aca="true" t="shared" si="91" ref="AF111:AZ111">AF110/5.6</f>
        <v>6.994285714285715</v>
      </c>
      <c r="AG111" s="2">
        <f t="shared" si="91"/>
        <v>11.93142857142857</v>
      </c>
      <c r="AH111" s="2">
        <f t="shared" si="91"/>
        <v>9.874285714285714</v>
      </c>
      <c r="AI111" s="2">
        <f t="shared" si="91"/>
        <v>10.285714285714285</v>
      </c>
      <c r="AJ111" s="2">
        <f t="shared" si="91"/>
        <v>16.45714285714286</v>
      </c>
      <c r="AK111" s="2">
        <f t="shared" si="91"/>
        <v>13.782857142857143</v>
      </c>
      <c r="AL111" s="2">
        <f t="shared" si="91"/>
        <v>13.165714285714285</v>
      </c>
      <c r="AM111" s="2">
        <f t="shared" si="91"/>
        <v>14.194285714285716</v>
      </c>
      <c r="AN111" s="2">
        <f t="shared" si="91"/>
        <v>13.577142857142857</v>
      </c>
      <c r="AO111" s="2">
        <f t="shared" si="91"/>
        <v>10.063285714285715</v>
      </c>
      <c r="AP111" s="2">
        <f t="shared" si="91"/>
        <v>25.71728571428572</v>
      </c>
      <c r="AQ111" s="2">
        <f t="shared" si="91"/>
        <v>17.33121428571429</v>
      </c>
      <c r="AR111" s="2">
        <f t="shared" si="91"/>
        <v>16.885714285714286</v>
      </c>
      <c r="AS111" s="2">
        <f t="shared" si="91"/>
        <v>34.475</v>
      </c>
      <c r="AT111" s="2">
        <f t="shared" si="91"/>
        <v>30.42946428571429</v>
      </c>
      <c r="AU111" s="2">
        <f t="shared" si="91"/>
        <v>18.758928571428573</v>
      </c>
      <c r="AV111" s="2">
        <f t="shared" si="91"/>
        <v>42.12232142857143</v>
      </c>
      <c r="AW111" s="2">
        <f t="shared" si="91"/>
        <v>26.774107142857144</v>
      </c>
      <c r="AX111" s="2">
        <f t="shared" si="91"/>
        <v>23.078571428571433</v>
      </c>
      <c r="AY111" s="2">
        <f t="shared" si="91"/>
        <v>51.285714285714285</v>
      </c>
      <c r="AZ111" s="2">
        <f t="shared" si="91"/>
        <v>37.695</v>
      </c>
      <c r="BA111" s="2" t="s">
        <v>160</v>
      </c>
      <c r="BB111" s="2">
        <f>BB110/5.6</f>
        <v>27.192857142857143</v>
      </c>
      <c r="BC111" s="2">
        <f>BC110/5.6</f>
        <v>37.31464285714286</v>
      </c>
      <c r="BD111" s="2">
        <f>BD110/5.6</f>
        <v>32.32928571428571</v>
      </c>
      <c r="BE111" s="2">
        <v>27</v>
      </c>
      <c r="BF111" s="2">
        <v>42</v>
      </c>
      <c r="BG111" s="2">
        <v>33.1</v>
      </c>
      <c r="BH111" s="2">
        <v>45.2</v>
      </c>
      <c r="BI111" s="2">
        <v>68.2</v>
      </c>
      <c r="BJ111" s="2">
        <v>55.9</v>
      </c>
      <c r="BK111" s="2">
        <v>30</v>
      </c>
      <c r="BL111" s="2">
        <v>42</v>
      </c>
      <c r="BM111" s="2">
        <v>36.3</v>
      </c>
      <c r="BN111" s="2">
        <v>27</v>
      </c>
      <c r="BO111" s="2">
        <v>42</v>
      </c>
      <c r="BP111" s="2">
        <v>35.1</v>
      </c>
      <c r="BQ111" s="2">
        <v>28</v>
      </c>
      <c r="BR111" s="2">
        <v>37</v>
      </c>
      <c r="BS111" s="2">
        <v>32.2</v>
      </c>
      <c r="BT111" s="2">
        <v>23</v>
      </c>
      <c r="BU111" s="2">
        <v>58</v>
      </c>
      <c r="BV111" s="2">
        <v>34.8</v>
      </c>
      <c r="BW111" s="2">
        <v>33</v>
      </c>
      <c r="BX111" s="2">
        <v>51</v>
      </c>
      <c r="BY111" s="2">
        <v>37.7</v>
      </c>
      <c r="BZ111" s="2">
        <v>43</v>
      </c>
      <c r="CA111" s="2">
        <v>65</v>
      </c>
      <c r="CB111" s="2">
        <v>56</v>
      </c>
      <c r="CC111" s="2">
        <f>40*CC3</f>
        <v>33.192</v>
      </c>
      <c r="CD111" s="2">
        <f>64*CD3</f>
        <v>53.1072</v>
      </c>
      <c r="CE111" s="2">
        <f>47*CE3</f>
        <v>39.0006</v>
      </c>
      <c r="CF111" s="2">
        <f>49*CF3</f>
        <v>37.602599999999995</v>
      </c>
      <c r="CG111" s="2">
        <f>64*CG3</f>
        <v>49.1136</v>
      </c>
      <c r="CH111" s="2">
        <f>58*CH3</f>
        <v>44.5092</v>
      </c>
      <c r="CK111" s="2">
        <v>36.0325</v>
      </c>
      <c r="CL111" s="2" t="s">
        <v>160</v>
      </c>
      <c r="CN111" s="10"/>
    </row>
    <row r="112" spans="1:92" ht="15">
      <c r="A112" s="10"/>
      <c r="CK112" s="2"/>
      <c r="CN112" s="10"/>
    </row>
    <row r="113" spans="1:92" ht="15">
      <c r="A113" s="10" t="s">
        <v>158</v>
      </c>
      <c r="C113" s="2" t="s">
        <v>365</v>
      </c>
      <c r="D113" s="2" t="s">
        <v>385</v>
      </c>
      <c r="E113" s="2" t="s">
        <v>387</v>
      </c>
      <c r="F113" s="2" t="s">
        <v>69</v>
      </c>
      <c r="M113" s="2">
        <v>10</v>
      </c>
      <c r="N113" s="2">
        <v>34</v>
      </c>
      <c r="O113" s="2">
        <v>26.6</v>
      </c>
      <c r="P113" s="2">
        <v>80</v>
      </c>
      <c r="Q113" s="2">
        <v>120</v>
      </c>
      <c r="R113" s="2">
        <v>100</v>
      </c>
      <c r="S113" s="2">
        <v>90</v>
      </c>
      <c r="T113" s="2">
        <v>120</v>
      </c>
      <c r="U113" s="2">
        <v>105</v>
      </c>
      <c r="V113" s="2">
        <v>90</v>
      </c>
      <c r="W113" s="2">
        <v>100</v>
      </c>
      <c r="X113" s="2">
        <v>95</v>
      </c>
      <c r="Y113" s="2">
        <v>100</v>
      </c>
      <c r="Z113" s="2">
        <v>180</v>
      </c>
      <c r="AA113" s="2">
        <v>140</v>
      </c>
      <c r="AD113" s="2">
        <f>AD114/AD3</f>
        <v>195.52447552447555</v>
      </c>
      <c r="AE113" s="10" t="s">
        <v>158</v>
      </c>
      <c r="AH113" s="2">
        <f>AH114/AH3</f>
        <v>173.33333333333334</v>
      </c>
      <c r="AK113" s="2">
        <f>AK114/AK3</f>
        <v>184.16666666666669</v>
      </c>
      <c r="AN113" s="2">
        <f>AN114/AN3</f>
        <v>170.83333333333334</v>
      </c>
      <c r="AQ113" s="2">
        <f>AQ114/AQ3</f>
        <v>240.09198926791873</v>
      </c>
      <c r="AR113" s="2">
        <v>309</v>
      </c>
      <c r="AS113" s="2">
        <v>502</v>
      </c>
      <c r="AT113" s="2">
        <v>371</v>
      </c>
      <c r="AU113" s="10">
        <v>550</v>
      </c>
      <c r="AV113" s="10">
        <v>750</v>
      </c>
      <c r="AW113" s="10">
        <v>633</v>
      </c>
      <c r="AX113" s="10">
        <v>700</v>
      </c>
      <c r="AY113" s="10">
        <v>1000</v>
      </c>
      <c r="AZ113" s="10">
        <v>867</v>
      </c>
      <c r="BA113" s="10" t="s">
        <v>158</v>
      </c>
      <c r="BB113" s="10">
        <v>550</v>
      </c>
      <c r="BC113" s="10">
        <v>900</v>
      </c>
      <c r="BD113" s="10">
        <v>704</v>
      </c>
      <c r="BK113" s="2">
        <v>900</v>
      </c>
      <c r="BL113" s="2">
        <v>1000</v>
      </c>
      <c r="BM113" s="2">
        <v>950</v>
      </c>
      <c r="BQ113" s="10"/>
      <c r="CK113" s="2"/>
      <c r="CL113" s="10" t="s">
        <v>159</v>
      </c>
      <c r="CN113" s="10"/>
    </row>
    <row r="114" spans="1:92" ht="15">
      <c r="A114" s="10"/>
      <c r="C114" s="2" t="s">
        <v>365</v>
      </c>
      <c r="D114" s="2" t="s">
        <v>385</v>
      </c>
      <c r="E114" s="2" t="s">
        <v>387</v>
      </c>
      <c r="F114" s="2" t="s">
        <v>160</v>
      </c>
      <c r="M114" s="2">
        <f aca="true" t="shared" si="92" ref="M114:AA114">M113*M3</f>
        <v>37.519999999999996</v>
      </c>
      <c r="N114" s="2">
        <f t="shared" si="92"/>
        <v>127.568</v>
      </c>
      <c r="O114" s="2">
        <f t="shared" si="92"/>
        <v>99.8032</v>
      </c>
      <c r="P114" s="2">
        <f t="shared" si="92"/>
        <v>192.95999999999998</v>
      </c>
      <c r="Q114" s="2">
        <f t="shared" si="92"/>
        <v>289.44</v>
      </c>
      <c r="R114" s="2">
        <f t="shared" si="92"/>
        <v>241.2</v>
      </c>
      <c r="S114" s="2">
        <f t="shared" si="92"/>
        <v>217.07999999999998</v>
      </c>
      <c r="T114" s="2">
        <f t="shared" si="92"/>
        <v>289.44</v>
      </c>
      <c r="U114" s="2">
        <f t="shared" si="92"/>
        <v>253.26</v>
      </c>
      <c r="V114" s="2">
        <f t="shared" si="92"/>
        <v>147.69</v>
      </c>
      <c r="W114" s="2">
        <f t="shared" si="92"/>
        <v>164.1</v>
      </c>
      <c r="X114" s="2">
        <f t="shared" si="92"/>
        <v>155.895</v>
      </c>
      <c r="Y114" s="2">
        <f t="shared" si="92"/>
        <v>114.39999999999999</v>
      </c>
      <c r="Z114" s="2">
        <f t="shared" si="92"/>
        <v>205.92</v>
      </c>
      <c r="AA114" s="2">
        <f t="shared" si="92"/>
        <v>160.16</v>
      </c>
      <c r="AD114" s="2">
        <f>AD115*9.6</f>
        <v>223.68</v>
      </c>
      <c r="AE114" s="2" t="s">
        <v>160</v>
      </c>
      <c r="AH114" s="2">
        <f>AH115*9.6</f>
        <v>199.68</v>
      </c>
      <c r="AK114" s="2">
        <f>AK115*9.6</f>
        <v>212.16</v>
      </c>
      <c r="AN114" s="2">
        <f>AN115*9.6</f>
        <v>196.79999999999998</v>
      </c>
      <c r="AQ114" s="2">
        <f>AQ115*9.6</f>
        <v>250.56</v>
      </c>
      <c r="AR114" s="2">
        <f aca="true" t="shared" si="93" ref="AR114:AZ114">AR113*AR3</f>
        <v>304.365</v>
      </c>
      <c r="AS114" s="2">
        <f t="shared" si="93"/>
        <v>494.46999999999997</v>
      </c>
      <c r="AT114" s="2">
        <f t="shared" si="93"/>
        <v>365.435</v>
      </c>
      <c r="AU114" s="10">
        <f t="shared" si="93"/>
        <v>525.25</v>
      </c>
      <c r="AV114" s="10">
        <f t="shared" si="93"/>
        <v>716.25</v>
      </c>
      <c r="AW114" s="10">
        <f t="shared" si="93"/>
        <v>604.515</v>
      </c>
      <c r="AX114" s="10">
        <f t="shared" si="93"/>
        <v>502.59999999999997</v>
      </c>
      <c r="AY114" s="10">
        <f t="shared" si="93"/>
        <v>718</v>
      </c>
      <c r="AZ114" s="10">
        <f t="shared" si="93"/>
        <v>622.506</v>
      </c>
      <c r="BA114" s="2" t="s">
        <v>160</v>
      </c>
      <c r="BB114" s="10">
        <f>BB113*BB3</f>
        <v>465.3</v>
      </c>
      <c r="BC114" s="10">
        <f>BC113*BC3</f>
        <v>761.4</v>
      </c>
      <c r="BD114" s="10">
        <f>BD113*BD3</f>
        <v>595.584</v>
      </c>
      <c r="BK114" s="2">
        <f>BK113*BK3</f>
        <v>554.13</v>
      </c>
      <c r="BL114" s="2">
        <f>BL113*BL3</f>
        <v>615.7</v>
      </c>
      <c r="BM114" s="2">
        <f>BM113*BM3</f>
        <v>584.9150000000001</v>
      </c>
      <c r="BQ114" s="10"/>
      <c r="CK114" s="2"/>
      <c r="CL114" s="2" t="s">
        <v>160</v>
      </c>
      <c r="CN114" s="10"/>
    </row>
    <row r="115" spans="1:92" ht="15">
      <c r="A115" s="10"/>
      <c r="C115" s="2" t="s">
        <v>365</v>
      </c>
      <c r="D115" s="2" t="s">
        <v>67</v>
      </c>
      <c r="E115" s="2" t="s">
        <v>68</v>
      </c>
      <c r="F115" s="2" t="s">
        <v>160</v>
      </c>
      <c r="P115" s="2">
        <f>P114/9.6</f>
        <v>20.099999999999998</v>
      </c>
      <c r="Q115" s="2">
        <f aca="true" t="shared" si="94" ref="Q115:AA115">Q114/9.6</f>
        <v>30.150000000000002</v>
      </c>
      <c r="R115" s="2">
        <f t="shared" si="94"/>
        <v>25.125</v>
      </c>
      <c r="S115" s="2">
        <f t="shared" si="94"/>
        <v>22.6125</v>
      </c>
      <c r="T115" s="2">
        <f t="shared" si="94"/>
        <v>30.150000000000002</v>
      </c>
      <c r="U115" s="2">
        <f t="shared" si="94"/>
        <v>26.38125</v>
      </c>
      <c r="V115" s="2">
        <f t="shared" si="94"/>
        <v>15.384375</v>
      </c>
      <c r="W115" s="2">
        <f t="shared" si="94"/>
        <v>17.09375</v>
      </c>
      <c r="X115" s="2">
        <f t="shared" si="94"/>
        <v>16.239062500000003</v>
      </c>
      <c r="Y115" s="2">
        <f t="shared" si="94"/>
        <v>11.916666666666666</v>
      </c>
      <c r="Z115" s="2">
        <f t="shared" si="94"/>
        <v>21.45</v>
      </c>
      <c r="AA115" s="2">
        <f t="shared" si="94"/>
        <v>16.683333333333334</v>
      </c>
      <c r="AD115" s="2">
        <v>23.3</v>
      </c>
      <c r="AE115" s="2" t="s">
        <v>160</v>
      </c>
      <c r="AH115" s="2">
        <v>20.8</v>
      </c>
      <c r="AK115" s="2">
        <v>22.1</v>
      </c>
      <c r="AN115" s="2">
        <v>20.5</v>
      </c>
      <c r="AQ115" s="2">
        <v>26.1</v>
      </c>
      <c r="AR115" s="2">
        <f>AR114/9.6</f>
        <v>31.704687500000002</v>
      </c>
      <c r="AS115" s="2">
        <f aca="true" t="shared" si="95" ref="AS115:AZ115">AS114/9.6</f>
        <v>51.50729166666667</v>
      </c>
      <c r="AT115" s="2">
        <f t="shared" si="95"/>
        <v>38.06614583333334</v>
      </c>
      <c r="AU115" s="2">
        <f t="shared" si="95"/>
        <v>54.71354166666667</v>
      </c>
      <c r="AV115" s="2">
        <f t="shared" si="95"/>
        <v>74.609375</v>
      </c>
      <c r="AW115" s="2">
        <f t="shared" si="95"/>
        <v>62.9703125</v>
      </c>
      <c r="AX115" s="2">
        <f t="shared" si="95"/>
        <v>52.354166666666664</v>
      </c>
      <c r="AY115" s="2">
        <f t="shared" si="95"/>
        <v>74.79166666666667</v>
      </c>
      <c r="AZ115" s="2">
        <f t="shared" si="95"/>
        <v>64.844375</v>
      </c>
      <c r="BA115" s="2" t="s">
        <v>160</v>
      </c>
      <c r="BB115" s="10">
        <f>BB114/9.6</f>
        <v>48.46875</v>
      </c>
      <c r="BC115" s="10">
        <f>BC114/9.6</f>
        <v>79.3125</v>
      </c>
      <c r="BD115" s="10">
        <f>BD114/9.6</f>
        <v>62.04</v>
      </c>
      <c r="BK115" s="2">
        <f>BK114/9.6</f>
        <v>57.721875000000004</v>
      </c>
      <c r="BL115" s="2">
        <f>BL114/9.6</f>
        <v>64.13541666666667</v>
      </c>
      <c r="BM115" s="2">
        <f>BM114/9.6</f>
        <v>60.92864583333334</v>
      </c>
      <c r="BQ115" s="10"/>
      <c r="CK115" s="2">
        <v>111.47</v>
      </c>
      <c r="CL115" s="2" t="s">
        <v>160</v>
      </c>
      <c r="CN115" s="10"/>
    </row>
    <row r="116" spans="1:92" ht="15">
      <c r="A116" s="10"/>
      <c r="D116" s="2" t="s">
        <v>142</v>
      </c>
      <c r="F116" s="2" t="s">
        <v>140</v>
      </c>
      <c r="H116" s="18" t="s">
        <v>143</v>
      </c>
      <c r="L116" s="19">
        <f>L106/0.88</f>
        <v>0.25770757020757024</v>
      </c>
      <c r="O116" s="19">
        <f>O106/0.88</f>
        <v>0.18742368742368742</v>
      </c>
      <c r="P116" s="14">
        <f>0.18*P115/16.38</f>
        <v>0.22087912087912087</v>
      </c>
      <c r="Q116" s="14">
        <f aca="true" t="shared" si="96" ref="Q116:BM116">0.18*Q115/16.38</f>
        <v>0.33131868131868136</v>
      </c>
      <c r="R116" s="13">
        <f t="shared" si="96"/>
        <v>0.2760989010989011</v>
      </c>
      <c r="S116" s="14">
        <f t="shared" si="96"/>
        <v>0.248489010989011</v>
      </c>
      <c r="T116" s="14">
        <f t="shared" si="96"/>
        <v>0.33131868131868136</v>
      </c>
      <c r="U116" s="14">
        <f t="shared" si="96"/>
        <v>0.2899038461538461</v>
      </c>
      <c r="V116" s="14">
        <f t="shared" si="96"/>
        <v>0.16905906593406594</v>
      </c>
      <c r="W116" s="14">
        <f t="shared" si="96"/>
        <v>0.1878434065934066</v>
      </c>
      <c r="X116" s="13">
        <f t="shared" si="96"/>
        <v>0.1784512362637363</v>
      </c>
      <c r="Y116" s="14">
        <f t="shared" si="96"/>
        <v>0.13095238095238096</v>
      </c>
      <c r="Z116" s="14">
        <f t="shared" si="96"/>
        <v>0.2357142857142857</v>
      </c>
      <c r="AA116" s="14">
        <f t="shared" si="96"/>
        <v>0.18333333333333335</v>
      </c>
      <c r="AD116" s="14">
        <f t="shared" si="96"/>
        <v>0.2560439560439561</v>
      </c>
      <c r="AE116" s="14"/>
      <c r="AH116" s="14">
        <f t="shared" si="96"/>
        <v>0.22857142857142856</v>
      </c>
      <c r="AK116" s="14">
        <f t="shared" si="96"/>
        <v>0.24285714285714288</v>
      </c>
      <c r="AN116" s="13">
        <f t="shared" si="96"/>
        <v>0.22527472527472528</v>
      </c>
      <c r="AQ116" s="14">
        <f t="shared" si="96"/>
        <v>0.28681318681318685</v>
      </c>
      <c r="AR116" s="14">
        <f t="shared" si="96"/>
        <v>0.34840315934065935</v>
      </c>
      <c r="AS116" s="14">
        <f t="shared" si="96"/>
        <v>0.5660141941391942</v>
      </c>
      <c r="AT116" s="14">
        <f t="shared" si="96"/>
        <v>0.41830929487179497</v>
      </c>
      <c r="AU116" s="14">
        <f t="shared" si="96"/>
        <v>0.6012477106227108</v>
      </c>
      <c r="AV116" s="14">
        <f t="shared" si="96"/>
        <v>0.8198832417582418</v>
      </c>
      <c r="AW116" s="14">
        <f t="shared" si="96"/>
        <v>0.6919814560439561</v>
      </c>
      <c r="AX116" s="14">
        <f t="shared" si="96"/>
        <v>0.5753205128205129</v>
      </c>
      <c r="AY116" s="14">
        <f t="shared" si="96"/>
        <v>0.821886446886447</v>
      </c>
      <c r="AZ116" s="14">
        <f t="shared" si="96"/>
        <v>0.7125755494505495</v>
      </c>
      <c r="BA116" s="14"/>
      <c r="BB116" s="14">
        <f t="shared" si="96"/>
        <v>0.5326236263736264</v>
      </c>
      <c r="BC116" s="14">
        <f t="shared" si="96"/>
        <v>0.8715659340659341</v>
      </c>
      <c r="BD116" s="13">
        <f t="shared" si="96"/>
        <v>0.6817582417582417</v>
      </c>
      <c r="BK116" s="14">
        <f t="shared" si="96"/>
        <v>0.6343063186813187</v>
      </c>
      <c r="BL116" s="14">
        <f t="shared" si="96"/>
        <v>0.7047847985347986</v>
      </c>
      <c r="BM116" s="14">
        <f t="shared" si="96"/>
        <v>0.6695455586080586</v>
      </c>
      <c r="BQ116" s="10"/>
      <c r="CK116" s="14">
        <f>0.18*CK115/16.38</f>
        <v>1.224945054945055</v>
      </c>
      <c r="CL116" s="2" t="s">
        <v>140</v>
      </c>
      <c r="CN116" s="10"/>
    </row>
    <row r="117" spans="1:92" ht="15">
      <c r="A117" s="10"/>
      <c r="BQ117" s="10"/>
      <c r="CK117" s="2"/>
      <c r="CN117" s="10"/>
    </row>
    <row r="118" spans="1:92" ht="15">
      <c r="A118" s="10" t="s">
        <v>366</v>
      </c>
      <c r="C118" s="2" t="s">
        <v>367</v>
      </c>
      <c r="D118" s="2" t="s">
        <v>385</v>
      </c>
      <c r="E118" s="2" t="s">
        <v>388</v>
      </c>
      <c r="F118" s="2" t="s">
        <v>69</v>
      </c>
      <c r="M118" s="2">
        <v>14</v>
      </c>
      <c r="N118" s="2">
        <v>16</v>
      </c>
      <c r="O118" s="2">
        <v>14.8</v>
      </c>
      <c r="P118" s="2">
        <v>50</v>
      </c>
      <c r="Q118" s="2">
        <v>60</v>
      </c>
      <c r="R118" s="2">
        <v>55</v>
      </c>
      <c r="S118" s="2">
        <v>50</v>
      </c>
      <c r="T118" s="2">
        <v>70</v>
      </c>
      <c r="U118" s="2">
        <v>60</v>
      </c>
      <c r="V118" s="2">
        <v>40</v>
      </c>
      <c r="W118" s="2">
        <v>60</v>
      </c>
      <c r="X118" s="2">
        <v>50</v>
      </c>
      <c r="AA118" s="2">
        <f>AA119/AA3</f>
        <v>35.58566433566435</v>
      </c>
      <c r="AE118" s="10" t="s">
        <v>366</v>
      </c>
      <c r="AH118" s="2">
        <f>AH119/AH3</f>
        <v>68.28125000000001</v>
      </c>
      <c r="AK118" s="2">
        <f>AK119/AK3</f>
        <v>77.86458333333334</v>
      </c>
      <c r="AN118" s="2">
        <f>AN119/AN3</f>
        <v>76.66666666666669</v>
      </c>
      <c r="AQ118" s="2">
        <f>AQ119/AQ3</f>
        <v>130.2510540436949</v>
      </c>
      <c r="AU118" s="2">
        <v>250</v>
      </c>
      <c r="AV118" s="2">
        <v>350</v>
      </c>
      <c r="AW118" s="2">
        <v>300</v>
      </c>
      <c r="AX118" s="2">
        <v>358</v>
      </c>
      <c r="AY118" s="2">
        <v>595</v>
      </c>
      <c r="AZ118" s="2">
        <v>453</v>
      </c>
      <c r="BA118" s="10" t="s">
        <v>366</v>
      </c>
      <c r="BB118" s="2">
        <v>250</v>
      </c>
      <c r="BC118" s="2">
        <v>390</v>
      </c>
      <c r="BD118" s="2">
        <v>325</v>
      </c>
      <c r="BE118" s="10"/>
      <c r="BF118" s="10"/>
      <c r="BG118" s="10"/>
      <c r="BH118" s="10"/>
      <c r="BI118" s="10"/>
      <c r="BK118" s="2">
        <v>490</v>
      </c>
      <c r="BL118" s="2">
        <v>700</v>
      </c>
      <c r="BM118" s="2">
        <v>595</v>
      </c>
      <c r="BQ118" s="10"/>
      <c r="CK118" s="2"/>
      <c r="CL118" s="10" t="s">
        <v>256</v>
      </c>
      <c r="CN118" s="10"/>
    </row>
    <row r="119" spans="1:92" ht="15">
      <c r="A119" s="10"/>
      <c r="C119" s="2" t="s">
        <v>367</v>
      </c>
      <c r="D119" s="2" t="s">
        <v>385</v>
      </c>
      <c r="E119" s="2" t="s">
        <v>388</v>
      </c>
      <c r="F119" s="2" t="s">
        <v>160</v>
      </c>
      <c r="M119" s="2">
        <f aca="true" t="shared" si="97" ref="M119:Z119">M118*M3</f>
        <v>52.528</v>
      </c>
      <c r="N119" s="2">
        <f t="shared" si="97"/>
        <v>60.032</v>
      </c>
      <c r="O119" s="2">
        <f t="shared" si="97"/>
        <v>55.5296</v>
      </c>
      <c r="P119" s="2">
        <f t="shared" si="97"/>
        <v>120.6</v>
      </c>
      <c r="Q119" s="2">
        <f t="shared" si="97"/>
        <v>144.72</v>
      </c>
      <c r="R119" s="2">
        <f t="shared" si="97"/>
        <v>132.66</v>
      </c>
      <c r="S119" s="2">
        <f t="shared" si="97"/>
        <v>120.6</v>
      </c>
      <c r="T119" s="2">
        <f t="shared" si="97"/>
        <v>168.84</v>
      </c>
      <c r="U119" s="2">
        <f t="shared" si="97"/>
        <v>144.72</v>
      </c>
      <c r="V119" s="2">
        <f t="shared" si="97"/>
        <v>65.64</v>
      </c>
      <c r="W119" s="2">
        <f t="shared" si="97"/>
        <v>98.46000000000001</v>
      </c>
      <c r="X119" s="2">
        <f t="shared" si="97"/>
        <v>82.05</v>
      </c>
      <c r="Y119" s="2">
        <f t="shared" si="97"/>
        <v>0</v>
      </c>
      <c r="Z119" s="2">
        <f t="shared" si="97"/>
        <v>0</v>
      </c>
      <c r="AA119" s="2">
        <f>AA120*6.9</f>
        <v>40.71000000000001</v>
      </c>
      <c r="AD119" s="2">
        <f>AD120*6.9</f>
        <v>92.46000000000001</v>
      </c>
      <c r="AE119" s="2" t="s">
        <v>160</v>
      </c>
      <c r="AH119" s="2">
        <f>AH120*6.9</f>
        <v>78.66000000000001</v>
      </c>
      <c r="AK119" s="2">
        <f>AK120*6.9</f>
        <v>89.7</v>
      </c>
      <c r="AN119" s="2">
        <f>AN120*6.9</f>
        <v>88.32000000000001</v>
      </c>
      <c r="AQ119" s="2">
        <f>AQ120*6.9</f>
        <v>135.93</v>
      </c>
      <c r="AR119" s="2">
        <f aca="true" t="shared" si="98" ref="AR119:AZ119">AR118*AR3</f>
        <v>0</v>
      </c>
      <c r="AS119" s="2">
        <f t="shared" si="98"/>
        <v>0</v>
      </c>
      <c r="AT119" s="2">
        <f t="shared" si="98"/>
        <v>0</v>
      </c>
      <c r="AU119" s="2">
        <f t="shared" si="98"/>
        <v>238.75</v>
      </c>
      <c r="AV119" s="2">
        <f t="shared" si="98"/>
        <v>334.25</v>
      </c>
      <c r="AW119" s="2">
        <f t="shared" si="98"/>
        <v>286.5</v>
      </c>
      <c r="AX119" s="2">
        <f t="shared" si="98"/>
        <v>257.044</v>
      </c>
      <c r="AY119" s="2">
        <f t="shared" si="98"/>
        <v>427.21</v>
      </c>
      <c r="AZ119" s="2">
        <f t="shared" si="98"/>
        <v>325.25399999999996</v>
      </c>
      <c r="BA119" s="2" t="s">
        <v>160</v>
      </c>
      <c r="BB119" s="2">
        <f aca="true" t="shared" si="99" ref="BB119:CH119">BB118*BB3</f>
        <v>211.5</v>
      </c>
      <c r="BC119" s="2">
        <f t="shared" si="99"/>
        <v>329.94</v>
      </c>
      <c r="BD119" s="2">
        <f t="shared" si="99"/>
        <v>274.95</v>
      </c>
      <c r="BE119" s="2">
        <f t="shared" si="99"/>
        <v>0</v>
      </c>
      <c r="BF119" s="2">
        <f t="shared" si="99"/>
        <v>0</v>
      </c>
      <c r="BG119" s="2">
        <f t="shared" si="99"/>
        <v>0</v>
      </c>
      <c r="BH119" s="2">
        <f t="shared" si="99"/>
        <v>0</v>
      </c>
      <c r="BI119" s="2">
        <f t="shared" si="99"/>
        <v>0</v>
      </c>
      <c r="BJ119" s="2">
        <f t="shared" si="99"/>
        <v>0</v>
      </c>
      <c r="BK119" s="2">
        <f t="shared" si="99"/>
        <v>301.69300000000004</v>
      </c>
      <c r="BL119" s="2">
        <f t="shared" si="99"/>
        <v>430.99</v>
      </c>
      <c r="BM119" s="2">
        <f t="shared" si="99"/>
        <v>366.3415</v>
      </c>
      <c r="BN119" s="2">
        <f t="shared" si="99"/>
        <v>0</v>
      </c>
      <c r="BO119" s="2">
        <f t="shared" si="99"/>
        <v>0</v>
      </c>
      <c r="BP119" s="2">
        <f t="shared" si="99"/>
        <v>0</v>
      </c>
      <c r="BQ119" s="2">
        <f t="shared" si="99"/>
        <v>0</v>
      </c>
      <c r="BR119" s="2">
        <f t="shared" si="99"/>
        <v>0</v>
      </c>
      <c r="BS119" s="2">
        <f t="shared" si="99"/>
        <v>0</v>
      </c>
      <c r="BT119" s="2">
        <f t="shared" si="99"/>
        <v>0</v>
      </c>
      <c r="BU119" s="2">
        <f t="shared" si="99"/>
        <v>0</v>
      </c>
      <c r="BV119" s="2">
        <f t="shared" si="99"/>
        <v>0</v>
      </c>
      <c r="BW119" s="2">
        <f t="shared" si="99"/>
        <v>0</v>
      </c>
      <c r="BX119" s="2">
        <f t="shared" si="99"/>
        <v>0</v>
      </c>
      <c r="BY119" s="2">
        <f t="shared" si="99"/>
        <v>0</v>
      </c>
      <c r="BZ119" s="2">
        <f t="shared" si="99"/>
        <v>0</v>
      </c>
      <c r="CA119" s="2">
        <f t="shared" si="99"/>
        <v>0</v>
      </c>
      <c r="CB119" s="2">
        <f t="shared" si="99"/>
        <v>0</v>
      </c>
      <c r="CC119" s="2">
        <f t="shared" si="99"/>
        <v>0</v>
      </c>
      <c r="CD119" s="2">
        <f t="shared" si="99"/>
        <v>0</v>
      </c>
      <c r="CE119" s="2">
        <f t="shared" si="99"/>
        <v>0</v>
      </c>
      <c r="CF119" s="2">
        <f t="shared" si="99"/>
        <v>0</v>
      </c>
      <c r="CG119" s="2">
        <f t="shared" si="99"/>
        <v>0</v>
      </c>
      <c r="CH119" s="2">
        <f t="shared" si="99"/>
        <v>0</v>
      </c>
      <c r="CK119" s="2"/>
      <c r="CL119" s="2" t="s">
        <v>160</v>
      </c>
      <c r="CN119" s="10"/>
    </row>
    <row r="120" spans="1:92" ht="15">
      <c r="A120" s="10"/>
      <c r="C120" s="2" t="s">
        <v>367</v>
      </c>
      <c r="D120" s="2" t="s">
        <v>67</v>
      </c>
      <c r="E120" s="2" t="s">
        <v>68</v>
      </c>
      <c r="F120" s="2" t="s">
        <v>160</v>
      </c>
      <c r="P120" s="2">
        <f>P119/6.9</f>
        <v>17.478260869565215</v>
      </c>
      <c r="Q120" s="2">
        <f aca="true" t="shared" si="100" ref="Q120:X120">Q119/6.9</f>
        <v>20.97391304347826</v>
      </c>
      <c r="R120" s="2">
        <f t="shared" si="100"/>
        <v>19.226086956521737</v>
      </c>
      <c r="S120" s="2">
        <f t="shared" si="100"/>
        <v>17.478260869565215</v>
      </c>
      <c r="T120" s="2">
        <f t="shared" si="100"/>
        <v>24.469565217391303</v>
      </c>
      <c r="U120" s="2">
        <f t="shared" si="100"/>
        <v>20.97391304347826</v>
      </c>
      <c r="V120" s="2">
        <f t="shared" si="100"/>
        <v>9.513043478260869</v>
      </c>
      <c r="W120" s="2">
        <f t="shared" si="100"/>
        <v>14.269565217391305</v>
      </c>
      <c r="X120" s="2">
        <f t="shared" si="100"/>
        <v>11.891304347826086</v>
      </c>
      <c r="AA120" s="2">
        <v>5.9</v>
      </c>
      <c r="AD120" s="2">
        <v>13.4</v>
      </c>
      <c r="AE120" s="2" t="s">
        <v>160</v>
      </c>
      <c r="AH120" s="2">
        <v>11.4</v>
      </c>
      <c r="AK120" s="2">
        <v>13</v>
      </c>
      <c r="AN120" s="2">
        <v>12.8</v>
      </c>
      <c r="AQ120" s="2">
        <v>19.7</v>
      </c>
      <c r="AU120" s="2">
        <f aca="true" t="shared" si="101" ref="AU120:AZ120">AU119/6.9</f>
        <v>34.60144927536232</v>
      </c>
      <c r="AV120" s="2">
        <f t="shared" si="101"/>
        <v>48.44202898550724</v>
      </c>
      <c r="AW120" s="2">
        <f t="shared" si="101"/>
        <v>41.52173913043478</v>
      </c>
      <c r="AX120" s="2">
        <f t="shared" si="101"/>
        <v>37.252753623188404</v>
      </c>
      <c r="AY120" s="2">
        <f t="shared" si="101"/>
        <v>61.91449275362318</v>
      </c>
      <c r="AZ120" s="2">
        <f t="shared" si="101"/>
        <v>47.13826086956521</v>
      </c>
      <c r="BA120" s="2" t="s">
        <v>160</v>
      </c>
      <c r="BB120" s="2">
        <f>BB119/6.9</f>
        <v>30.652173913043477</v>
      </c>
      <c r="BC120" s="2">
        <f>BC119/6.9</f>
        <v>47.81739130434782</v>
      </c>
      <c r="BD120" s="2">
        <f>BD119/6.9</f>
        <v>39.847826086956516</v>
      </c>
      <c r="BJ120" s="2">
        <f>BJ119/6.9</f>
        <v>0</v>
      </c>
      <c r="BK120" s="2">
        <f>BK119/6.9</f>
        <v>43.7236231884058</v>
      </c>
      <c r="BL120" s="2">
        <f>BL119/6.9</f>
        <v>62.462318840579705</v>
      </c>
      <c r="BM120" s="2">
        <f>BM119/6.9</f>
        <v>53.09297101449275</v>
      </c>
      <c r="CK120" s="2">
        <v>55.025</v>
      </c>
      <c r="CL120" s="2" t="s">
        <v>160</v>
      </c>
      <c r="CN120" s="10"/>
    </row>
    <row r="121" spans="1:92" ht="15">
      <c r="A121" s="10" t="s">
        <v>368</v>
      </c>
      <c r="B121" s="2" t="s">
        <v>369</v>
      </c>
      <c r="C121" s="2" t="s">
        <v>370</v>
      </c>
      <c r="D121" s="2" t="s">
        <v>67</v>
      </c>
      <c r="E121" s="2" t="s">
        <v>68</v>
      </c>
      <c r="F121" s="2" t="s">
        <v>69</v>
      </c>
      <c r="M121" s="2">
        <v>9</v>
      </c>
      <c r="N121" s="2">
        <v>16</v>
      </c>
      <c r="O121" s="2">
        <v>13</v>
      </c>
      <c r="P121" s="2">
        <v>20</v>
      </c>
      <c r="Q121" s="2">
        <v>30</v>
      </c>
      <c r="R121" s="2">
        <v>25</v>
      </c>
      <c r="S121" s="2">
        <v>20</v>
      </c>
      <c r="T121" s="2">
        <v>30</v>
      </c>
      <c r="U121" s="2">
        <v>25</v>
      </c>
      <c r="V121" s="2">
        <v>20</v>
      </c>
      <c r="W121" s="2">
        <v>30</v>
      </c>
      <c r="X121" s="2">
        <v>25</v>
      </c>
      <c r="Y121" s="2">
        <v>25</v>
      </c>
      <c r="Z121" s="2">
        <v>30</v>
      </c>
      <c r="AA121" s="2">
        <v>28</v>
      </c>
      <c r="AB121" s="2">
        <v>30</v>
      </c>
      <c r="AC121" s="2">
        <v>35</v>
      </c>
      <c r="AD121" s="2">
        <v>33</v>
      </c>
      <c r="AE121" s="10" t="s">
        <v>368</v>
      </c>
      <c r="AF121" s="2">
        <f aca="true" t="shared" si="102" ref="AF121:AT121">AF122/AF3</f>
        <v>30.381944444444446</v>
      </c>
      <c r="AG121" s="2">
        <f t="shared" si="102"/>
        <v>34.72222222222222</v>
      </c>
      <c r="AH121" s="2">
        <f t="shared" si="102"/>
        <v>32.986111111111114</v>
      </c>
      <c r="AI121" s="2">
        <f t="shared" si="102"/>
        <v>43.40277777777778</v>
      </c>
      <c r="AJ121" s="2">
        <f t="shared" si="102"/>
        <v>52.083333333333336</v>
      </c>
      <c r="AK121" s="2">
        <f t="shared" si="102"/>
        <v>47.74305555555556</v>
      </c>
      <c r="AL121" s="2">
        <f t="shared" si="102"/>
        <v>52.083333333333336</v>
      </c>
      <c r="AM121" s="2">
        <f t="shared" si="102"/>
        <v>60.76388888888889</v>
      </c>
      <c r="AN121" s="2">
        <f t="shared" si="102"/>
        <v>56.423611111111114</v>
      </c>
      <c r="AO121" s="2">
        <f t="shared" si="102"/>
        <v>67.07550785741662</v>
      </c>
      <c r="AP121" s="2">
        <f t="shared" si="102"/>
        <v>76.65772326561901</v>
      </c>
      <c r="AQ121" s="2">
        <f t="shared" si="102"/>
        <v>71.86661556151782</v>
      </c>
      <c r="AR121" s="2">
        <f t="shared" si="102"/>
        <v>65.98984771573605</v>
      </c>
      <c r="AS121" s="2">
        <f t="shared" si="102"/>
        <v>71.06598984771574</v>
      </c>
      <c r="AT121" s="2">
        <f t="shared" si="102"/>
        <v>69.03553299492386</v>
      </c>
      <c r="AU121" s="2">
        <v>70</v>
      </c>
      <c r="AV121" s="2">
        <v>80</v>
      </c>
      <c r="AW121" s="2">
        <v>86</v>
      </c>
      <c r="AX121" s="2">
        <v>90</v>
      </c>
      <c r="AY121" s="2">
        <v>140</v>
      </c>
      <c r="AZ121" s="2">
        <v>113</v>
      </c>
      <c r="BA121" s="10" t="s">
        <v>368</v>
      </c>
      <c r="BB121" s="2">
        <v>90</v>
      </c>
      <c r="BC121" s="2">
        <v>110</v>
      </c>
      <c r="BD121" s="2">
        <v>99</v>
      </c>
      <c r="BE121" s="10"/>
      <c r="BF121" s="10"/>
      <c r="BG121" s="10"/>
      <c r="BH121" s="10"/>
      <c r="BI121" s="10"/>
      <c r="BK121" s="2">
        <v>140</v>
      </c>
      <c r="BL121" s="2">
        <v>180</v>
      </c>
      <c r="BM121" s="2">
        <v>160</v>
      </c>
      <c r="BQ121" s="10"/>
      <c r="BX121" s="10"/>
      <c r="BY121" s="10">
        <v>170</v>
      </c>
      <c r="CB121" s="10">
        <v>200</v>
      </c>
      <c r="CE121" s="5" t="s">
        <v>99</v>
      </c>
      <c r="CK121" s="2"/>
      <c r="CL121" s="10" t="s">
        <v>169</v>
      </c>
      <c r="CN121" s="10"/>
    </row>
    <row r="122" spans="1:92" ht="15">
      <c r="A122" s="10"/>
      <c r="C122" s="2" t="s">
        <v>370</v>
      </c>
      <c r="D122" s="2" t="s">
        <v>67</v>
      </c>
      <c r="E122" s="2" t="s">
        <v>68</v>
      </c>
      <c r="F122" s="2" t="s">
        <v>160</v>
      </c>
      <c r="M122" s="2">
        <f aca="true" t="shared" si="103" ref="M122:AD122">M121*M3</f>
        <v>33.768</v>
      </c>
      <c r="N122" s="2">
        <f t="shared" si="103"/>
        <v>60.032</v>
      </c>
      <c r="O122" s="2">
        <f t="shared" si="103"/>
        <v>48.775999999999996</v>
      </c>
      <c r="P122" s="2">
        <f t="shared" si="103"/>
        <v>48.239999999999995</v>
      </c>
      <c r="Q122" s="2">
        <f t="shared" si="103"/>
        <v>72.36</v>
      </c>
      <c r="R122" s="2">
        <f t="shared" si="103"/>
        <v>60.3</v>
      </c>
      <c r="S122" s="2">
        <f t="shared" si="103"/>
        <v>48.239999999999995</v>
      </c>
      <c r="T122" s="2">
        <f t="shared" si="103"/>
        <v>72.36</v>
      </c>
      <c r="U122" s="2">
        <f t="shared" si="103"/>
        <v>60.3</v>
      </c>
      <c r="V122" s="2">
        <f t="shared" si="103"/>
        <v>32.82</v>
      </c>
      <c r="W122" s="2">
        <f t="shared" si="103"/>
        <v>49.230000000000004</v>
      </c>
      <c r="X122" s="2">
        <f t="shared" si="103"/>
        <v>41.025</v>
      </c>
      <c r="Y122" s="2">
        <f t="shared" si="103"/>
        <v>28.599999999999998</v>
      </c>
      <c r="Z122" s="2">
        <f t="shared" si="103"/>
        <v>34.32</v>
      </c>
      <c r="AA122" s="2">
        <f t="shared" si="103"/>
        <v>32.032</v>
      </c>
      <c r="AB122" s="2">
        <f t="shared" si="103"/>
        <v>34.32</v>
      </c>
      <c r="AC122" s="2">
        <f t="shared" si="103"/>
        <v>40.04</v>
      </c>
      <c r="AD122" s="2">
        <f t="shared" si="103"/>
        <v>37.751999999999995</v>
      </c>
      <c r="AE122" s="2" t="s">
        <v>160</v>
      </c>
      <c r="AF122" s="2">
        <v>35</v>
      </c>
      <c r="AG122" s="2">
        <v>40</v>
      </c>
      <c r="AH122" s="2">
        <v>38</v>
      </c>
      <c r="AI122" s="2">
        <v>50</v>
      </c>
      <c r="AJ122" s="2">
        <v>60</v>
      </c>
      <c r="AK122" s="2">
        <v>55</v>
      </c>
      <c r="AL122" s="2">
        <v>60</v>
      </c>
      <c r="AM122" s="2">
        <v>70</v>
      </c>
      <c r="AN122" s="2">
        <v>65</v>
      </c>
      <c r="AO122" s="2">
        <v>70</v>
      </c>
      <c r="AP122" s="2">
        <v>80</v>
      </c>
      <c r="AQ122" s="2">
        <v>75</v>
      </c>
      <c r="AR122" s="2">
        <v>65</v>
      </c>
      <c r="AS122" s="2">
        <v>70</v>
      </c>
      <c r="AT122" s="2">
        <v>68</v>
      </c>
      <c r="AU122" s="2">
        <f aca="true" t="shared" si="104" ref="AU122:AZ122">AU121*AU3</f>
        <v>66.85</v>
      </c>
      <c r="AV122" s="2">
        <f t="shared" si="104"/>
        <v>76.39999999999999</v>
      </c>
      <c r="AW122" s="2">
        <f t="shared" si="104"/>
        <v>82.13</v>
      </c>
      <c r="AX122" s="2">
        <f t="shared" si="104"/>
        <v>64.62</v>
      </c>
      <c r="AY122" s="2">
        <f t="shared" si="104"/>
        <v>100.52</v>
      </c>
      <c r="AZ122" s="2">
        <f t="shared" si="104"/>
        <v>81.134</v>
      </c>
      <c r="BA122" s="2" t="s">
        <v>160</v>
      </c>
      <c r="BB122" s="2">
        <f aca="true" t="shared" si="105" ref="BB122:CD122">BB121*BB3</f>
        <v>76.14</v>
      </c>
      <c r="BC122" s="2">
        <f t="shared" si="105"/>
        <v>93.06</v>
      </c>
      <c r="BD122" s="2">
        <f t="shared" si="105"/>
        <v>83.75399999999999</v>
      </c>
      <c r="BE122" s="2">
        <f t="shared" si="105"/>
        <v>0</v>
      </c>
      <c r="BF122" s="2">
        <f t="shared" si="105"/>
        <v>0</v>
      </c>
      <c r="BG122" s="2">
        <f t="shared" si="105"/>
        <v>0</v>
      </c>
      <c r="BH122" s="2">
        <f t="shared" si="105"/>
        <v>0</v>
      </c>
      <c r="BI122" s="2">
        <f t="shared" si="105"/>
        <v>0</v>
      </c>
      <c r="BJ122" s="2">
        <f t="shared" si="105"/>
        <v>0</v>
      </c>
      <c r="BK122" s="2">
        <f t="shared" si="105"/>
        <v>86.19800000000001</v>
      </c>
      <c r="BL122" s="2">
        <f t="shared" si="105"/>
        <v>110.82600000000001</v>
      </c>
      <c r="BM122" s="2">
        <f t="shared" si="105"/>
        <v>98.512</v>
      </c>
      <c r="BN122" s="2">
        <f t="shared" si="105"/>
        <v>0</v>
      </c>
      <c r="BO122" s="2">
        <f t="shared" si="105"/>
        <v>0</v>
      </c>
      <c r="BP122" s="2">
        <f t="shared" si="105"/>
        <v>0</v>
      </c>
      <c r="BQ122" s="2">
        <f t="shared" si="105"/>
        <v>0</v>
      </c>
      <c r="BR122" s="2">
        <f t="shared" si="105"/>
        <v>0</v>
      </c>
      <c r="BS122" s="2">
        <f t="shared" si="105"/>
        <v>0</v>
      </c>
      <c r="BT122" s="2">
        <f t="shared" si="105"/>
        <v>0</v>
      </c>
      <c r="BU122" s="2">
        <f t="shared" si="105"/>
        <v>0</v>
      </c>
      <c r="BV122" s="2">
        <f t="shared" si="105"/>
        <v>0</v>
      </c>
      <c r="BW122" s="2">
        <f t="shared" si="105"/>
        <v>0</v>
      </c>
      <c r="BX122" s="2">
        <f t="shared" si="105"/>
        <v>0</v>
      </c>
      <c r="BY122" s="10">
        <f t="shared" si="105"/>
        <v>166.736</v>
      </c>
      <c r="BZ122" s="2">
        <f t="shared" si="105"/>
        <v>0</v>
      </c>
      <c r="CA122" s="2">
        <f t="shared" si="105"/>
        <v>0</v>
      </c>
      <c r="CB122" s="10">
        <f t="shared" si="105"/>
        <v>190.12</v>
      </c>
      <c r="CC122" s="2">
        <f t="shared" si="105"/>
        <v>0</v>
      </c>
      <c r="CD122" s="2">
        <f t="shared" si="105"/>
        <v>0</v>
      </c>
      <c r="CE122" s="2">
        <v>600</v>
      </c>
      <c r="CF122" s="2">
        <f>CF121*CF3</f>
        <v>0</v>
      </c>
      <c r="CG122" s="2">
        <f>CG121*CG3</f>
        <v>0</v>
      </c>
      <c r="CH122" s="2">
        <f>CH121*CH3</f>
        <v>0</v>
      </c>
      <c r="CK122" s="2">
        <v>290.39</v>
      </c>
      <c r="CL122" s="2" t="s">
        <v>160</v>
      </c>
      <c r="CN122" s="10"/>
    </row>
    <row r="123" spans="1:92" ht="15">
      <c r="A123" s="10"/>
      <c r="D123" s="2" t="s">
        <v>142</v>
      </c>
      <c r="F123" s="2" t="s">
        <v>140</v>
      </c>
      <c r="M123" s="14">
        <f aca="true" t="shared" si="106" ref="M123:AD123">0.18*M122/16.38</f>
        <v>0.3710769230769231</v>
      </c>
      <c r="N123" s="14">
        <f t="shared" si="106"/>
        <v>0.6596923076923077</v>
      </c>
      <c r="O123" s="13">
        <f t="shared" si="106"/>
        <v>0.5359999999999999</v>
      </c>
      <c r="P123" s="14">
        <f t="shared" si="106"/>
        <v>0.5301098901098901</v>
      </c>
      <c r="Q123" s="14">
        <f t="shared" si="106"/>
        <v>0.7951648351648352</v>
      </c>
      <c r="R123" s="13">
        <f t="shared" si="106"/>
        <v>0.6626373626373626</v>
      </c>
      <c r="S123" s="14">
        <f t="shared" si="106"/>
        <v>0.5301098901098901</v>
      </c>
      <c r="T123" s="14">
        <f t="shared" si="106"/>
        <v>0.7951648351648352</v>
      </c>
      <c r="U123" s="13">
        <f t="shared" si="106"/>
        <v>0.6626373626373626</v>
      </c>
      <c r="V123" s="14">
        <f t="shared" si="106"/>
        <v>0.36065934065934063</v>
      </c>
      <c r="W123" s="14">
        <f t="shared" si="106"/>
        <v>0.540989010989011</v>
      </c>
      <c r="X123" s="13">
        <f t="shared" si="106"/>
        <v>0.4508241758241758</v>
      </c>
      <c r="Y123" s="14">
        <f t="shared" si="106"/>
        <v>0.3142857142857143</v>
      </c>
      <c r="Z123" s="14">
        <f t="shared" si="106"/>
        <v>0.37714285714285717</v>
      </c>
      <c r="AA123" s="13">
        <f t="shared" si="106"/>
        <v>0.352</v>
      </c>
      <c r="AB123" s="14">
        <f t="shared" si="106"/>
        <v>0.37714285714285717</v>
      </c>
      <c r="AC123" s="14">
        <f t="shared" si="106"/>
        <v>0.44</v>
      </c>
      <c r="AD123" s="13">
        <f t="shared" si="106"/>
        <v>0.4148571428571428</v>
      </c>
      <c r="AE123" s="2" t="s">
        <v>140</v>
      </c>
      <c r="AF123" s="14">
        <f aca="true" t="shared" si="107" ref="AF123:AZ123">0.18*AF122/16.38</f>
        <v>0.38461538461538464</v>
      </c>
      <c r="AG123" s="14">
        <f t="shared" si="107"/>
        <v>0.43956043956043955</v>
      </c>
      <c r="AH123" s="13">
        <f t="shared" si="107"/>
        <v>0.4175824175824176</v>
      </c>
      <c r="AI123" s="14">
        <f t="shared" si="107"/>
        <v>0.5494505494505495</v>
      </c>
      <c r="AJ123" s="14">
        <f t="shared" si="107"/>
        <v>0.6593406593406593</v>
      </c>
      <c r="AK123" s="13">
        <f t="shared" si="107"/>
        <v>0.6043956043956045</v>
      </c>
      <c r="AL123" s="14">
        <f t="shared" si="107"/>
        <v>0.6593406593406593</v>
      </c>
      <c r="AM123" s="14">
        <f t="shared" si="107"/>
        <v>0.7692307692307693</v>
      </c>
      <c r="AN123" s="13">
        <f t="shared" si="107"/>
        <v>0.7142857142857143</v>
      </c>
      <c r="AO123" s="14">
        <f t="shared" si="107"/>
        <v>0.7692307692307693</v>
      </c>
      <c r="AP123" s="14">
        <f t="shared" si="107"/>
        <v>0.8791208791208791</v>
      </c>
      <c r="AQ123" s="13">
        <f t="shared" si="107"/>
        <v>0.8241758241758242</v>
      </c>
      <c r="AR123" s="14">
        <f t="shared" si="107"/>
        <v>0.7142857142857143</v>
      </c>
      <c r="AS123" s="14">
        <f t="shared" si="107"/>
        <v>0.7692307692307693</v>
      </c>
      <c r="AT123" s="13">
        <f t="shared" si="107"/>
        <v>0.7472527472527473</v>
      </c>
      <c r="AU123" s="14">
        <f t="shared" si="107"/>
        <v>0.7346153846153846</v>
      </c>
      <c r="AV123" s="14">
        <f t="shared" si="107"/>
        <v>0.8395604395604395</v>
      </c>
      <c r="AW123" s="13">
        <f t="shared" si="107"/>
        <v>0.9025274725274725</v>
      </c>
      <c r="AX123" s="14">
        <f t="shared" si="107"/>
        <v>0.7101098901098902</v>
      </c>
      <c r="AY123" s="14">
        <f t="shared" si="107"/>
        <v>1.1046153846153846</v>
      </c>
      <c r="AZ123" s="13">
        <f t="shared" si="107"/>
        <v>0.8915824175824176</v>
      </c>
      <c r="BA123" s="2" t="s">
        <v>140</v>
      </c>
      <c r="BB123" s="14">
        <f>0.18*BB122/16.38</f>
        <v>0.8367032967032967</v>
      </c>
      <c r="BC123" s="14">
        <f>0.18*BC122/16.38</f>
        <v>1.0226373626373626</v>
      </c>
      <c r="BD123" s="13">
        <f>0.18*BD122/16.38</f>
        <v>0.9203736263736262</v>
      </c>
      <c r="BK123" s="14">
        <f>0.18*BK122/16.38</f>
        <v>0.9472307692307693</v>
      </c>
      <c r="BL123" s="14">
        <f>0.18*BL122/16.38</f>
        <v>1.217868131868132</v>
      </c>
      <c r="BM123" s="13">
        <f>0.18*BM122/16.38</f>
        <v>1.0825494505494506</v>
      </c>
      <c r="BY123" s="13">
        <f>0.18*BY122/16.38</f>
        <v>1.8322637362637362</v>
      </c>
      <c r="CB123" s="13">
        <f>0.18*CB122/16.38</f>
        <v>2.0892307692307694</v>
      </c>
      <c r="CE123" s="13">
        <f>0.18*CE122/16.38</f>
        <v>6.593406593406594</v>
      </c>
      <c r="CK123" s="2"/>
      <c r="CL123" s="2" t="s">
        <v>140</v>
      </c>
      <c r="CN123" s="10"/>
    </row>
    <row r="124" spans="1:92" ht="15">
      <c r="A124" s="10"/>
      <c r="BY124" s="10"/>
      <c r="CB124" s="10"/>
      <c r="CK124" s="2"/>
      <c r="CN124" s="10"/>
    </row>
    <row r="125" spans="1:92" ht="15">
      <c r="A125" s="10" t="s">
        <v>208</v>
      </c>
      <c r="B125" s="2" t="s">
        <v>369</v>
      </c>
      <c r="C125" s="2" t="s">
        <v>372</v>
      </c>
      <c r="D125" s="2" t="s">
        <v>67</v>
      </c>
      <c r="E125" s="2" t="s">
        <v>68</v>
      </c>
      <c r="F125" s="2" t="s">
        <v>69</v>
      </c>
      <c r="M125" s="2">
        <v>50</v>
      </c>
      <c r="N125" s="2">
        <v>60</v>
      </c>
      <c r="O125" s="2">
        <v>56.7</v>
      </c>
      <c r="P125" s="2">
        <v>100</v>
      </c>
      <c r="Q125" s="2">
        <v>120</v>
      </c>
      <c r="R125" s="2">
        <v>110</v>
      </c>
      <c r="S125" s="2">
        <v>100</v>
      </c>
      <c r="T125" s="2">
        <v>120</v>
      </c>
      <c r="U125" s="2">
        <v>110</v>
      </c>
      <c r="V125" s="2">
        <v>80</v>
      </c>
      <c r="W125" s="2">
        <v>100</v>
      </c>
      <c r="X125" s="2">
        <v>90</v>
      </c>
      <c r="Y125" s="2">
        <v>100</v>
      </c>
      <c r="Z125" s="2">
        <v>120</v>
      </c>
      <c r="AA125" s="2">
        <v>110</v>
      </c>
      <c r="AB125" s="2">
        <v>110</v>
      </c>
      <c r="AC125" s="2">
        <v>130</v>
      </c>
      <c r="AD125" s="2">
        <v>120</v>
      </c>
      <c r="AE125" s="10" t="s">
        <v>208</v>
      </c>
      <c r="AF125" s="2">
        <f aca="true" t="shared" si="108" ref="AF125:AT125">AF126/AF3</f>
        <v>112.84722222222223</v>
      </c>
      <c r="AG125" s="2">
        <f t="shared" si="108"/>
        <v>121.52777777777779</v>
      </c>
      <c r="AH125" s="2">
        <f t="shared" si="108"/>
        <v>117.18750000000001</v>
      </c>
      <c r="AI125" s="2">
        <f t="shared" si="108"/>
        <v>147.56944444444446</v>
      </c>
      <c r="AJ125" s="2">
        <f t="shared" si="108"/>
        <v>156.25</v>
      </c>
      <c r="AK125" s="2">
        <f t="shared" si="108"/>
        <v>151.90972222222223</v>
      </c>
      <c r="AL125" s="2">
        <f t="shared" si="108"/>
        <v>151.90972222222223</v>
      </c>
      <c r="AM125" s="2">
        <f t="shared" si="108"/>
        <v>160.5902777777778</v>
      </c>
      <c r="AN125" s="2">
        <f t="shared" si="108"/>
        <v>156.25</v>
      </c>
      <c r="AO125" s="2">
        <f t="shared" si="108"/>
        <v>191.64430816404752</v>
      </c>
      <c r="AP125" s="2">
        <f t="shared" si="108"/>
        <v>201.22652357224987</v>
      </c>
      <c r="AQ125" s="2">
        <f t="shared" si="108"/>
        <v>196.4354158681487</v>
      </c>
      <c r="AR125" s="2">
        <f t="shared" si="108"/>
        <v>243.6548223350254</v>
      </c>
      <c r="AS125" s="2">
        <f t="shared" si="108"/>
        <v>253.80710659898477</v>
      </c>
      <c r="AT125" s="2">
        <f t="shared" si="108"/>
        <v>248.73096446700507</v>
      </c>
      <c r="AU125" s="2">
        <v>400</v>
      </c>
      <c r="AV125" s="2">
        <v>450</v>
      </c>
      <c r="AW125" s="2">
        <v>425</v>
      </c>
      <c r="AX125" s="2">
        <v>560</v>
      </c>
      <c r="AY125" s="2">
        <v>600</v>
      </c>
      <c r="AZ125" s="2">
        <v>580</v>
      </c>
      <c r="BA125" s="10" t="s">
        <v>208</v>
      </c>
      <c r="BB125" s="2">
        <v>560</v>
      </c>
      <c r="BC125" s="2">
        <v>600</v>
      </c>
      <c r="BD125" s="2">
        <v>580</v>
      </c>
      <c r="BE125" s="10"/>
      <c r="BF125" s="10"/>
      <c r="BG125" s="10"/>
      <c r="BH125" s="10"/>
      <c r="BI125" s="10"/>
      <c r="BK125" s="2">
        <v>560</v>
      </c>
      <c r="BL125" s="2">
        <v>600</v>
      </c>
      <c r="BM125" s="2">
        <v>580</v>
      </c>
      <c r="BQ125" s="10"/>
      <c r="CK125" s="2"/>
      <c r="CL125" s="10" t="s">
        <v>257</v>
      </c>
      <c r="CN125" s="10"/>
    </row>
    <row r="126" spans="1:92" ht="15">
      <c r="A126" s="10"/>
      <c r="C126" s="2" t="s">
        <v>372</v>
      </c>
      <c r="D126" s="2" t="s">
        <v>67</v>
      </c>
      <c r="E126" s="2" t="s">
        <v>68</v>
      </c>
      <c r="F126" s="2" t="s">
        <v>160</v>
      </c>
      <c r="M126" s="2">
        <f aca="true" t="shared" si="109" ref="M126:AD126">M125*M3</f>
        <v>187.6</v>
      </c>
      <c r="N126" s="2">
        <f t="shared" si="109"/>
        <v>225.11999999999998</v>
      </c>
      <c r="O126" s="2">
        <f t="shared" si="109"/>
        <v>212.73839999999998</v>
      </c>
      <c r="P126" s="2">
        <f t="shared" si="109"/>
        <v>241.2</v>
      </c>
      <c r="Q126" s="2">
        <f t="shared" si="109"/>
        <v>289.44</v>
      </c>
      <c r="R126" s="2">
        <f t="shared" si="109"/>
        <v>265.32</v>
      </c>
      <c r="S126" s="2">
        <f t="shared" si="109"/>
        <v>241.2</v>
      </c>
      <c r="T126" s="2">
        <f t="shared" si="109"/>
        <v>289.44</v>
      </c>
      <c r="U126" s="2">
        <f t="shared" si="109"/>
        <v>265.32</v>
      </c>
      <c r="V126" s="2">
        <f t="shared" si="109"/>
        <v>131.28</v>
      </c>
      <c r="W126" s="2">
        <f t="shared" si="109"/>
        <v>164.1</v>
      </c>
      <c r="X126" s="2">
        <f t="shared" si="109"/>
        <v>147.69</v>
      </c>
      <c r="Y126" s="2">
        <f t="shared" si="109"/>
        <v>114.39999999999999</v>
      </c>
      <c r="Z126" s="2">
        <f t="shared" si="109"/>
        <v>137.28</v>
      </c>
      <c r="AA126" s="2">
        <f t="shared" si="109"/>
        <v>125.83999999999999</v>
      </c>
      <c r="AB126" s="2">
        <f t="shared" si="109"/>
        <v>125.83999999999999</v>
      </c>
      <c r="AC126" s="2">
        <f t="shared" si="109"/>
        <v>148.72</v>
      </c>
      <c r="AD126" s="2">
        <f t="shared" si="109"/>
        <v>137.28</v>
      </c>
      <c r="AE126" s="2" t="s">
        <v>160</v>
      </c>
      <c r="AF126" s="2">
        <v>130</v>
      </c>
      <c r="AG126" s="2">
        <v>140</v>
      </c>
      <c r="AH126" s="10">
        <v>135</v>
      </c>
      <c r="AI126" s="2">
        <v>170</v>
      </c>
      <c r="AJ126" s="2">
        <v>180</v>
      </c>
      <c r="AK126" s="10">
        <v>175</v>
      </c>
      <c r="AL126" s="2">
        <v>175</v>
      </c>
      <c r="AM126" s="2">
        <v>185</v>
      </c>
      <c r="AN126" s="2">
        <v>180</v>
      </c>
      <c r="AO126" s="2">
        <v>200</v>
      </c>
      <c r="AP126" s="2">
        <v>210</v>
      </c>
      <c r="AQ126" s="2">
        <v>205</v>
      </c>
      <c r="AR126" s="2">
        <v>240</v>
      </c>
      <c r="AS126" s="2">
        <v>250</v>
      </c>
      <c r="AT126" s="2">
        <v>245</v>
      </c>
      <c r="AU126" s="2">
        <f aca="true" t="shared" si="110" ref="AU126:AZ126">AU125*AU3</f>
        <v>382</v>
      </c>
      <c r="AV126" s="2">
        <f t="shared" si="110"/>
        <v>429.75</v>
      </c>
      <c r="AW126" s="2">
        <f t="shared" si="110"/>
        <v>405.875</v>
      </c>
      <c r="AX126" s="2">
        <f t="shared" si="110"/>
        <v>402.08</v>
      </c>
      <c r="AY126" s="2">
        <f t="shared" si="110"/>
        <v>430.79999999999995</v>
      </c>
      <c r="AZ126" s="2">
        <f t="shared" si="110"/>
        <v>416.44</v>
      </c>
      <c r="BA126" s="2" t="s">
        <v>160</v>
      </c>
      <c r="BB126" s="2">
        <f aca="true" t="shared" si="111" ref="BB126:CH126">BB125*BB3</f>
        <v>473.76</v>
      </c>
      <c r="BC126" s="2">
        <f t="shared" si="111"/>
        <v>507.59999999999997</v>
      </c>
      <c r="BD126" s="2">
        <f t="shared" si="111"/>
        <v>490.68</v>
      </c>
      <c r="BE126" s="2">
        <f t="shared" si="111"/>
        <v>0</v>
      </c>
      <c r="BF126" s="2">
        <f t="shared" si="111"/>
        <v>0</v>
      </c>
      <c r="BG126" s="2">
        <f t="shared" si="111"/>
        <v>0</v>
      </c>
      <c r="BH126" s="2">
        <f t="shared" si="111"/>
        <v>0</v>
      </c>
      <c r="BI126" s="2">
        <f t="shared" si="111"/>
        <v>0</v>
      </c>
      <c r="BJ126" s="2">
        <f t="shared" si="111"/>
        <v>0</v>
      </c>
      <c r="BK126" s="2">
        <f t="shared" si="111"/>
        <v>344.79200000000003</v>
      </c>
      <c r="BL126" s="2">
        <f t="shared" si="111"/>
        <v>369.42</v>
      </c>
      <c r="BM126" s="2">
        <f t="shared" si="111"/>
        <v>357.106</v>
      </c>
      <c r="BN126" s="2">
        <f t="shared" si="111"/>
        <v>0</v>
      </c>
      <c r="BO126" s="2">
        <f t="shared" si="111"/>
        <v>0</v>
      </c>
      <c r="BP126" s="2">
        <f t="shared" si="111"/>
        <v>0</v>
      </c>
      <c r="BQ126" s="2">
        <f t="shared" si="111"/>
        <v>0</v>
      </c>
      <c r="BR126" s="2">
        <f t="shared" si="111"/>
        <v>0</v>
      </c>
      <c r="BS126" s="2">
        <f t="shared" si="111"/>
        <v>0</v>
      </c>
      <c r="BT126" s="2">
        <f t="shared" si="111"/>
        <v>0</v>
      </c>
      <c r="BU126" s="2">
        <f t="shared" si="111"/>
        <v>0</v>
      </c>
      <c r="BV126" s="2">
        <f t="shared" si="111"/>
        <v>0</v>
      </c>
      <c r="BW126" s="2">
        <f t="shared" si="111"/>
        <v>0</v>
      </c>
      <c r="BX126" s="2">
        <f t="shared" si="111"/>
        <v>0</v>
      </c>
      <c r="BY126" s="2">
        <f t="shared" si="111"/>
        <v>0</v>
      </c>
      <c r="BZ126" s="2">
        <f t="shared" si="111"/>
        <v>0</v>
      </c>
      <c r="CA126" s="2">
        <f t="shared" si="111"/>
        <v>0</v>
      </c>
      <c r="CB126" s="2">
        <f t="shared" si="111"/>
        <v>0</v>
      </c>
      <c r="CC126" s="2">
        <f t="shared" si="111"/>
        <v>0</v>
      </c>
      <c r="CD126" s="2">
        <f t="shared" si="111"/>
        <v>0</v>
      </c>
      <c r="CE126" s="2">
        <f t="shared" si="111"/>
        <v>0</v>
      </c>
      <c r="CF126" s="2">
        <f t="shared" si="111"/>
        <v>0</v>
      </c>
      <c r="CG126" s="2">
        <f t="shared" si="111"/>
        <v>0</v>
      </c>
      <c r="CH126" s="2">
        <f t="shared" si="111"/>
        <v>0</v>
      </c>
      <c r="CK126" s="2"/>
      <c r="CL126" s="2" t="s">
        <v>160</v>
      </c>
      <c r="CN126" s="10"/>
    </row>
    <row r="127" spans="1:92" ht="15">
      <c r="A127" s="10" t="s">
        <v>373</v>
      </c>
      <c r="B127" s="2" t="s">
        <v>374</v>
      </c>
      <c r="C127" s="2" t="s">
        <v>375</v>
      </c>
      <c r="D127" s="2" t="s">
        <v>67</v>
      </c>
      <c r="E127" s="2" t="s">
        <v>68</v>
      </c>
      <c r="F127" s="2" t="s">
        <v>69</v>
      </c>
      <c r="M127" s="2">
        <v>35</v>
      </c>
      <c r="N127" s="2">
        <v>47</v>
      </c>
      <c r="O127" s="2">
        <v>39.3</v>
      </c>
      <c r="P127" s="2">
        <v>60</v>
      </c>
      <c r="Q127" s="2">
        <v>110</v>
      </c>
      <c r="R127" s="2">
        <v>85</v>
      </c>
      <c r="S127" s="2">
        <v>85</v>
      </c>
      <c r="T127" s="2">
        <v>90</v>
      </c>
      <c r="U127" s="2">
        <v>87</v>
      </c>
      <c r="Y127" s="2">
        <v>50</v>
      </c>
      <c r="Z127" s="2">
        <v>75</v>
      </c>
      <c r="AA127" s="2">
        <v>63</v>
      </c>
      <c r="AB127" s="2">
        <v>60</v>
      </c>
      <c r="AC127" s="2">
        <v>72</v>
      </c>
      <c r="AD127" s="2">
        <v>66</v>
      </c>
      <c r="AE127" s="10" t="s">
        <v>373</v>
      </c>
      <c r="AF127" s="10"/>
      <c r="AG127" s="10"/>
      <c r="AU127" s="2">
        <v>140</v>
      </c>
      <c r="AV127" s="2">
        <v>160</v>
      </c>
      <c r="AW127" s="2">
        <v>150</v>
      </c>
      <c r="AZ127" s="2">
        <v>180</v>
      </c>
      <c r="BA127" s="10" t="s">
        <v>373</v>
      </c>
      <c r="BB127" s="2">
        <v>160</v>
      </c>
      <c r="BC127" s="2">
        <v>180</v>
      </c>
      <c r="BD127" s="2">
        <v>169</v>
      </c>
      <c r="BE127" s="10"/>
      <c r="BF127" s="10"/>
      <c r="BG127" s="10"/>
      <c r="BH127" s="10"/>
      <c r="BI127" s="10"/>
      <c r="BK127" s="2">
        <v>260</v>
      </c>
      <c r="BL127" s="2">
        <v>340</v>
      </c>
      <c r="BM127" s="2">
        <v>300</v>
      </c>
      <c r="BN127" s="10"/>
      <c r="BO127" s="10"/>
      <c r="BP127" s="10"/>
      <c r="BQ127" s="10"/>
      <c r="CK127" s="2"/>
      <c r="CL127" s="10" t="s">
        <v>373</v>
      </c>
      <c r="CN127" s="10"/>
    </row>
    <row r="128" spans="1:92" ht="15">
      <c r="A128" s="10"/>
      <c r="F128" s="2" t="s">
        <v>160</v>
      </c>
      <c r="M128" s="2">
        <f aca="true" t="shared" si="112" ref="M128:AD128">M127*M3</f>
        <v>131.32</v>
      </c>
      <c r="N128" s="2">
        <f t="shared" si="112"/>
        <v>176.344</v>
      </c>
      <c r="O128" s="2">
        <f t="shared" si="112"/>
        <v>147.4536</v>
      </c>
      <c r="P128" s="2">
        <f t="shared" si="112"/>
        <v>144.72</v>
      </c>
      <c r="Q128" s="2">
        <f t="shared" si="112"/>
        <v>265.32</v>
      </c>
      <c r="R128" s="2">
        <f t="shared" si="112"/>
        <v>205.01999999999998</v>
      </c>
      <c r="S128" s="2">
        <f t="shared" si="112"/>
        <v>205.01999999999998</v>
      </c>
      <c r="T128" s="2">
        <f t="shared" si="112"/>
        <v>217.07999999999998</v>
      </c>
      <c r="U128" s="2">
        <f t="shared" si="112"/>
        <v>209.844</v>
      </c>
      <c r="V128" s="2">
        <f t="shared" si="112"/>
        <v>0</v>
      </c>
      <c r="W128" s="2">
        <f t="shared" si="112"/>
        <v>0</v>
      </c>
      <c r="X128" s="2">
        <f t="shared" si="112"/>
        <v>0</v>
      </c>
      <c r="Y128" s="2">
        <f t="shared" si="112"/>
        <v>57.199999999999996</v>
      </c>
      <c r="Z128" s="2">
        <f t="shared" si="112"/>
        <v>85.8</v>
      </c>
      <c r="AA128" s="2">
        <f t="shared" si="112"/>
        <v>72.07199999999999</v>
      </c>
      <c r="AB128" s="2">
        <f t="shared" si="112"/>
        <v>68.64</v>
      </c>
      <c r="AC128" s="2">
        <f t="shared" si="112"/>
        <v>82.368</v>
      </c>
      <c r="AD128" s="2">
        <f t="shared" si="112"/>
        <v>75.50399999999999</v>
      </c>
      <c r="AE128" s="2" t="s">
        <v>160</v>
      </c>
      <c r="AF128" s="10"/>
      <c r="AG128" s="10"/>
      <c r="AU128" s="2">
        <f aca="true" t="shared" si="113" ref="AU128:AZ128">AU127*AU3</f>
        <v>133.7</v>
      </c>
      <c r="AV128" s="2">
        <f t="shared" si="113"/>
        <v>152.79999999999998</v>
      </c>
      <c r="AW128" s="2">
        <f t="shared" si="113"/>
        <v>143.25</v>
      </c>
      <c r="AX128" s="2">
        <f t="shared" si="113"/>
        <v>0</v>
      </c>
      <c r="AY128" s="2">
        <f t="shared" si="113"/>
        <v>0</v>
      </c>
      <c r="AZ128" s="2">
        <f t="shared" si="113"/>
        <v>129.24</v>
      </c>
      <c r="BA128" s="2" t="s">
        <v>160</v>
      </c>
      <c r="BB128" s="2">
        <f aca="true" t="shared" si="114" ref="BB128:CH128">BB127*BB3</f>
        <v>135.35999999999999</v>
      </c>
      <c r="BC128" s="2">
        <f t="shared" si="114"/>
        <v>152.28</v>
      </c>
      <c r="BD128" s="2">
        <f t="shared" si="114"/>
        <v>142.974</v>
      </c>
      <c r="BE128" s="2">
        <f t="shared" si="114"/>
        <v>0</v>
      </c>
      <c r="BF128" s="2">
        <f t="shared" si="114"/>
        <v>0</v>
      </c>
      <c r="BG128" s="2">
        <f t="shared" si="114"/>
        <v>0</v>
      </c>
      <c r="BH128" s="2">
        <f t="shared" si="114"/>
        <v>0</v>
      </c>
      <c r="BI128" s="2">
        <f t="shared" si="114"/>
        <v>0</v>
      </c>
      <c r="BJ128" s="2">
        <f t="shared" si="114"/>
        <v>0</v>
      </c>
      <c r="BK128" s="2">
        <f t="shared" si="114"/>
        <v>160.082</v>
      </c>
      <c r="BL128" s="2">
        <f t="shared" si="114"/>
        <v>209.33800000000002</v>
      </c>
      <c r="BM128" s="2">
        <f t="shared" si="114"/>
        <v>184.71</v>
      </c>
      <c r="BN128" s="2">
        <f t="shared" si="114"/>
        <v>0</v>
      </c>
      <c r="BO128" s="2">
        <f t="shared" si="114"/>
        <v>0</v>
      </c>
      <c r="BP128" s="2">
        <f t="shared" si="114"/>
        <v>0</v>
      </c>
      <c r="BQ128" s="2">
        <f t="shared" si="114"/>
        <v>0</v>
      </c>
      <c r="BR128" s="2">
        <f t="shared" si="114"/>
        <v>0</v>
      </c>
      <c r="BS128" s="2">
        <f t="shared" si="114"/>
        <v>0</v>
      </c>
      <c r="BT128" s="2">
        <f t="shared" si="114"/>
        <v>0</v>
      </c>
      <c r="BU128" s="2">
        <f t="shared" si="114"/>
        <v>0</v>
      </c>
      <c r="BV128" s="2">
        <f t="shared" si="114"/>
        <v>0</v>
      </c>
      <c r="BW128" s="2">
        <f t="shared" si="114"/>
        <v>0</v>
      </c>
      <c r="BX128" s="2">
        <f t="shared" si="114"/>
        <v>0</v>
      </c>
      <c r="BY128" s="2">
        <f t="shared" si="114"/>
        <v>0</v>
      </c>
      <c r="BZ128" s="2">
        <f t="shared" si="114"/>
        <v>0</v>
      </c>
      <c r="CA128" s="2">
        <f t="shared" si="114"/>
        <v>0</v>
      </c>
      <c r="CB128" s="2">
        <f t="shared" si="114"/>
        <v>0</v>
      </c>
      <c r="CC128" s="2">
        <f t="shared" si="114"/>
        <v>0</v>
      </c>
      <c r="CD128" s="2">
        <f t="shared" si="114"/>
        <v>0</v>
      </c>
      <c r="CE128" s="2">
        <f t="shared" si="114"/>
        <v>0</v>
      </c>
      <c r="CF128" s="2">
        <f t="shared" si="114"/>
        <v>0</v>
      </c>
      <c r="CG128" s="2">
        <f t="shared" si="114"/>
        <v>0</v>
      </c>
      <c r="CH128" s="2">
        <f t="shared" si="114"/>
        <v>0</v>
      </c>
      <c r="CK128" s="2">
        <v>455.82</v>
      </c>
      <c r="CL128" s="2" t="s">
        <v>160</v>
      </c>
      <c r="CN128" s="10"/>
    </row>
    <row r="129" spans="1:92" ht="15">
      <c r="A129" s="10" t="s">
        <v>376</v>
      </c>
      <c r="C129" s="2" t="s">
        <v>377</v>
      </c>
      <c r="D129" s="2" t="s">
        <v>67</v>
      </c>
      <c r="E129" s="2" t="s">
        <v>68</v>
      </c>
      <c r="F129" s="2" t="s">
        <v>69</v>
      </c>
      <c r="X129" s="2">
        <v>240</v>
      </c>
      <c r="AA129" s="2">
        <v>240</v>
      </c>
      <c r="AE129" s="10" t="s">
        <v>376</v>
      </c>
      <c r="AF129" s="10"/>
      <c r="AG129" s="10"/>
      <c r="AN129" s="2">
        <v>240</v>
      </c>
      <c r="AQ129" s="2">
        <v>400</v>
      </c>
      <c r="BA129" s="10" t="s">
        <v>376</v>
      </c>
      <c r="BE129" s="10"/>
      <c r="BF129" s="10"/>
      <c r="BG129" s="10"/>
      <c r="BH129" s="10"/>
      <c r="BI129" s="10"/>
      <c r="BJ129" s="10"/>
      <c r="BK129" s="10"/>
      <c r="BL129" s="10"/>
      <c r="BM129" s="10"/>
      <c r="BN129" s="10"/>
      <c r="BO129" s="10"/>
      <c r="BP129" s="10"/>
      <c r="BQ129" s="10"/>
      <c r="CK129" s="2"/>
      <c r="CL129" s="10" t="s">
        <v>376</v>
      </c>
      <c r="CN129" s="10"/>
    </row>
    <row r="130" spans="1:92" ht="15">
      <c r="A130" s="10"/>
      <c r="D130" s="2" t="s">
        <v>142</v>
      </c>
      <c r="F130" s="2" t="s">
        <v>140</v>
      </c>
      <c r="X130" s="8">
        <f>18*X3*X129/(100*16.38)</f>
        <v>4.327912087912088</v>
      </c>
      <c r="Y130" s="7"/>
      <c r="Z130" s="7"/>
      <c r="AA130" s="7">
        <f>18*AA3*AA129/(100*16.38)</f>
        <v>3.017142857142857</v>
      </c>
      <c r="AE130" s="10"/>
      <c r="AF130" s="10"/>
      <c r="AG130" s="10"/>
      <c r="AN130" s="8">
        <f>18*AN3*AN129/(100*16.38)</f>
        <v>3.038241758241758</v>
      </c>
      <c r="AO130" s="7"/>
      <c r="AP130" s="7"/>
      <c r="AQ130" s="7">
        <f>18*AQ3*AQ129/(100*16.38)</f>
        <v>4.587252747252747</v>
      </c>
      <c r="BA130" s="10"/>
      <c r="BE130" s="10"/>
      <c r="BF130" s="10"/>
      <c r="BG130" s="10"/>
      <c r="BH130" s="10"/>
      <c r="BI130" s="10"/>
      <c r="BJ130" s="10"/>
      <c r="BK130" s="10"/>
      <c r="BL130" s="10"/>
      <c r="BM130" s="10"/>
      <c r="BN130" s="10"/>
      <c r="BO130" s="10"/>
      <c r="BP130" s="10"/>
      <c r="BQ130" s="10"/>
      <c r="CK130" s="2"/>
      <c r="CL130" s="10"/>
      <c r="CN130" s="10"/>
    </row>
    <row r="131" spans="1:92" ht="15">
      <c r="A131" s="10"/>
      <c r="AE131" s="10"/>
      <c r="AF131" s="10"/>
      <c r="AG131" s="10"/>
      <c r="BA131" s="10"/>
      <c r="BE131" s="10"/>
      <c r="BF131" s="10"/>
      <c r="BG131" s="10"/>
      <c r="BH131" s="10"/>
      <c r="BI131" s="10"/>
      <c r="BJ131" s="10"/>
      <c r="BK131" s="10"/>
      <c r="BL131" s="10"/>
      <c r="BM131" s="10"/>
      <c r="BN131" s="10"/>
      <c r="BO131" s="10"/>
      <c r="BP131" s="10"/>
      <c r="BQ131" s="10"/>
      <c r="CK131" s="2"/>
      <c r="CL131" s="10"/>
      <c r="CN131" s="10"/>
    </row>
    <row r="132" spans="1:92" ht="15">
      <c r="A132" s="10"/>
      <c r="F132" s="2" t="s">
        <v>160</v>
      </c>
      <c r="M132" s="2">
        <f aca="true" t="shared" si="115" ref="M132:AD132">M129*M3</f>
        <v>0</v>
      </c>
      <c r="N132" s="2">
        <f t="shared" si="115"/>
        <v>0</v>
      </c>
      <c r="O132" s="2">
        <f t="shared" si="115"/>
        <v>0</v>
      </c>
      <c r="P132" s="2">
        <f t="shared" si="115"/>
        <v>0</v>
      </c>
      <c r="Q132" s="2">
        <f t="shared" si="115"/>
        <v>0</v>
      </c>
      <c r="R132" s="2">
        <f t="shared" si="115"/>
        <v>0</v>
      </c>
      <c r="S132" s="2">
        <f t="shared" si="115"/>
        <v>0</v>
      </c>
      <c r="T132" s="2">
        <f t="shared" si="115"/>
        <v>0</v>
      </c>
      <c r="U132" s="2">
        <f t="shared" si="115"/>
        <v>0</v>
      </c>
      <c r="V132" s="2">
        <f t="shared" si="115"/>
        <v>0</v>
      </c>
      <c r="W132" s="2">
        <f t="shared" si="115"/>
        <v>0</v>
      </c>
      <c r="X132" s="2">
        <f t="shared" si="115"/>
        <v>393.84000000000003</v>
      </c>
      <c r="Y132" s="2">
        <f t="shared" si="115"/>
        <v>0</v>
      </c>
      <c r="Z132" s="2">
        <f t="shared" si="115"/>
        <v>0</v>
      </c>
      <c r="AA132" s="2">
        <f t="shared" si="115"/>
        <v>274.56</v>
      </c>
      <c r="AB132" s="2">
        <f t="shared" si="115"/>
        <v>0</v>
      </c>
      <c r="AC132" s="2">
        <f t="shared" si="115"/>
        <v>0</v>
      </c>
      <c r="AD132" s="2">
        <f t="shared" si="115"/>
        <v>0</v>
      </c>
      <c r="AE132" s="2" t="s">
        <v>160</v>
      </c>
      <c r="AF132" s="2">
        <f aca="true" t="shared" si="116" ref="AF132:AN132">AF129*AF3</f>
        <v>0</v>
      </c>
      <c r="AG132" s="2">
        <f t="shared" si="116"/>
        <v>0</v>
      </c>
      <c r="AH132" s="2">
        <f t="shared" si="116"/>
        <v>0</v>
      </c>
      <c r="AI132" s="2">
        <f t="shared" si="116"/>
        <v>0</v>
      </c>
      <c r="AJ132" s="2">
        <f t="shared" si="116"/>
        <v>0</v>
      </c>
      <c r="AK132" s="2">
        <f t="shared" si="116"/>
        <v>0</v>
      </c>
      <c r="AL132" s="2">
        <f t="shared" si="116"/>
        <v>0</v>
      </c>
      <c r="AM132" s="2">
        <f t="shared" si="116"/>
        <v>0</v>
      </c>
      <c r="AN132" s="2">
        <f t="shared" si="116"/>
        <v>276.47999999999996</v>
      </c>
      <c r="AQ132" s="2">
        <f>AQ129*AQ3</f>
        <v>417.44000000000005</v>
      </c>
      <c r="AV132" s="2">
        <f>AV129*AV3</f>
        <v>0</v>
      </c>
      <c r="AW132" s="2">
        <f>AW129*AW3</f>
        <v>0</v>
      </c>
      <c r="AX132" s="2">
        <f>AX129*AX3</f>
        <v>0</v>
      </c>
      <c r="AY132" s="2">
        <f>AY129*AY3</f>
        <v>0</v>
      </c>
      <c r="AZ132" s="2">
        <f>AZ129*AZ3</f>
        <v>0</v>
      </c>
      <c r="BA132" s="2" t="s">
        <v>160</v>
      </c>
      <c r="BB132" s="2">
        <f aca="true" t="shared" si="117" ref="BB132:CH132">BB129*BB3</f>
        <v>0</v>
      </c>
      <c r="BC132" s="2">
        <f t="shared" si="117"/>
        <v>0</v>
      </c>
      <c r="BD132" s="2">
        <f t="shared" si="117"/>
        <v>0</v>
      </c>
      <c r="BE132" s="2">
        <f t="shared" si="117"/>
        <v>0</v>
      </c>
      <c r="BF132" s="2">
        <f t="shared" si="117"/>
        <v>0</v>
      </c>
      <c r="BG132" s="2">
        <f t="shared" si="117"/>
        <v>0</v>
      </c>
      <c r="BH132" s="2">
        <f t="shared" si="117"/>
        <v>0</v>
      </c>
      <c r="BI132" s="2">
        <f t="shared" si="117"/>
        <v>0</v>
      </c>
      <c r="BJ132" s="2">
        <f t="shared" si="117"/>
        <v>0</v>
      </c>
      <c r="BK132" s="2">
        <f t="shared" si="117"/>
        <v>0</v>
      </c>
      <c r="BL132" s="2">
        <f t="shared" si="117"/>
        <v>0</v>
      </c>
      <c r="BM132" s="2">
        <f t="shared" si="117"/>
        <v>0</v>
      </c>
      <c r="BN132" s="2">
        <f t="shared" si="117"/>
        <v>0</v>
      </c>
      <c r="BO132" s="2">
        <f t="shared" si="117"/>
        <v>0</v>
      </c>
      <c r="BP132" s="2">
        <f t="shared" si="117"/>
        <v>0</v>
      </c>
      <c r="BQ132" s="2">
        <f t="shared" si="117"/>
        <v>0</v>
      </c>
      <c r="BR132" s="2">
        <f t="shared" si="117"/>
        <v>0</v>
      </c>
      <c r="BS132" s="2">
        <f t="shared" si="117"/>
        <v>0</v>
      </c>
      <c r="BT132" s="2">
        <f t="shared" si="117"/>
        <v>0</v>
      </c>
      <c r="BU132" s="2">
        <f t="shared" si="117"/>
        <v>0</v>
      </c>
      <c r="BV132" s="2">
        <f t="shared" si="117"/>
        <v>0</v>
      </c>
      <c r="BW132" s="2">
        <f t="shared" si="117"/>
        <v>0</v>
      </c>
      <c r="BX132" s="2">
        <f t="shared" si="117"/>
        <v>0</v>
      </c>
      <c r="BY132" s="2">
        <f t="shared" si="117"/>
        <v>0</v>
      </c>
      <c r="BZ132" s="2">
        <f t="shared" si="117"/>
        <v>0</v>
      </c>
      <c r="CA132" s="2">
        <f t="shared" si="117"/>
        <v>0</v>
      </c>
      <c r="CB132" s="2">
        <f t="shared" si="117"/>
        <v>0</v>
      </c>
      <c r="CC132" s="2">
        <f t="shared" si="117"/>
        <v>0</v>
      </c>
      <c r="CD132" s="2">
        <f t="shared" si="117"/>
        <v>0</v>
      </c>
      <c r="CE132" s="2">
        <f t="shared" si="117"/>
        <v>0</v>
      </c>
      <c r="CF132" s="2">
        <f t="shared" si="117"/>
        <v>0</v>
      </c>
      <c r="CG132" s="2">
        <f t="shared" si="117"/>
        <v>0</v>
      </c>
      <c r="CH132" s="2">
        <f t="shared" si="117"/>
        <v>0</v>
      </c>
      <c r="CK132" s="2">
        <v>331.286</v>
      </c>
      <c r="CL132" s="2" t="s">
        <v>160</v>
      </c>
      <c r="CN132" s="10"/>
    </row>
    <row r="133" spans="1:90" ht="15">
      <c r="A133" s="10" t="s">
        <v>378</v>
      </c>
      <c r="C133" s="2" t="s">
        <v>379</v>
      </c>
      <c r="D133" s="2" t="s">
        <v>67</v>
      </c>
      <c r="E133" s="2" t="s">
        <v>68</v>
      </c>
      <c r="F133" s="2" t="s">
        <v>69</v>
      </c>
      <c r="M133" s="2">
        <v>39</v>
      </c>
      <c r="N133" s="2">
        <v>100</v>
      </c>
      <c r="O133" s="2">
        <v>70</v>
      </c>
      <c r="P133" s="2">
        <v>200</v>
      </c>
      <c r="Q133" s="2">
        <v>250</v>
      </c>
      <c r="R133" s="2">
        <v>225</v>
      </c>
      <c r="S133" s="2">
        <v>70</v>
      </c>
      <c r="T133" s="2">
        <v>200</v>
      </c>
      <c r="U133" s="2">
        <v>135</v>
      </c>
      <c r="Y133" s="2">
        <v>200</v>
      </c>
      <c r="Z133" s="2">
        <v>250</v>
      </c>
      <c r="AA133" s="2">
        <v>225</v>
      </c>
      <c r="AE133" s="10" t="s">
        <v>378</v>
      </c>
      <c r="AF133" s="10"/>
      <c r="AG133" s="10"/>
      <c r="AN133" s="2">
        <v>340</v>
      </c>
      <c r="AO133" s="2">
        <v>320</v>
      </c>
      <c r="AP133" s="2">
        <v>400</v>
      </c>
      <c r="AQ133" s="2">
        <v>360</v>
      </c>
      <c r="BA133" s="10" t="s">
        <v>378</v>
      </c>
      <c r="BE133" s="10"/>
      <c r="BF133" s="10"/>
      <c r="BG133" s="10"/>
      <c r="BH133" s="10"/>
      <c r="BI133" s="10"/>
      <c r="BJ133" s="10"/>
      <c r="BK133" s="10"/>
      <c r="BL133" s="10"/>
      <c r="BM133" s="10"/>
      <c r="BN133" s="10"/>
      <c r="BO133" s="10"/>
      <c r="BP133" s="10"/>
      <c r="BQ133" s="10"/>
      <c r="CK133" s="2"/>
      <c r="CL133" s="10" t="s">
        <v>378</v>
      </c>
    </row>
    <row r="134" spans="1:90" ht="15">
      <c r="A134" s="10"/>
      <c r="F134" s="2" t="s">
        <v>160</v>
      </c>
      <c r="M134" s="2">
        <f aca="true" t="shared" si="118" ref="M134:AD134">M133*M3</f>
        <v>146.328</v>
      </c>
      <c r="N134" s="2">
        <f t="shared" si="118"/>
        <v>375.2</v>
      </c>
      <c r="O134" s="2">
        <f t="shared" si="118"/>
        <v>262.64</v>
      </c>
      <c r="P134" s="2">
        <f t="shared" si="118"/>
        <v>482.4</v>
      </c>
      <c r="Q134" s="2">
        <f t="shared" si="118"/>
        <v>603</v>
      </c>
      <c r="R134" s="2">
        <f t="shared" si="118"/>
        <v>542.6999999999999</v>
      </c>
      <c r="S134" s="2">
        <f t="shared" si="118"/>
        <v>168.84</v>
      </c>
      <c r="T134" s="2">
        <f t="shared" si="118"/>
        <v>482.4</v>
      </c>
      <c r="U134" s="2">
        <f t="shared" si="118"/>
        <v>325.62</v>
      </c>
      <c r="V134" s="2">
        <f t="shared" si="118"/>
        <v>0</v>
      </c>
      <c r="W134" s="2">
        <f t="shared" si="118"/>
        <v>0</v>
      </c>
      <c r="X134" s="2">
        <f t="shared" si="118"/>
        <v>0</v>
      </c>
      <c r="Y134" s="2">
        <f t="shared" si="118"/>
        <v>228.79999999999998</v>
      </c>
      <c r="Z134" s="2">
        <f t="shared" si="118"/>
        <v>286</v>
      </c>
      <c r="AA134" s="2">
        <f t="shared" si="118"/>
        <v>257.4</v>
      </c>
      <c r="AB134" s="2">
        <f t="shared" si="118"/>
        <v>0</v>
      </c>
      <c r="AC134" s="2">
        <f t="shared" si="118"/>
        <v>0</v>
      </c>
      <c r="AD134" s="2">
        <f t="shared" si="118"/>
        <v>0</v>
      </c>
      <c r="AE134" s="2" t="s">
        <v>160</v>
      </c>
      <c r="AF134" s="2">
        <f aca="true" t="shared" si="119" ref="AF134:AQ134">AF133*AF3</f>
        <v>0</v>
      </c>
      <c r="AG134" s="2">
        <f t="shared" si="119"/>
        <v>0</v>
      </c>
      <c r="AH134" s="2">
        <f t="shared" si="119"/>
        <v>0</v>
      </c>
      <c r="AI134" s="2">
        <f t="shared" si="119"/>
        <v>0</v>
      </c>
      <c r="AJ134" s="2">
        <f t="shared" si="119"/>
        <v>0</v>
      </c>
      <c r="AK134" s="2">
        <f t="shared" si="119"/>
        <v>0</v>
      </c>
      <c r="AL134" s="2">
        <f t="shared" si="119"/>
        <v>0</v>
      </c>
      <c r="AM134" s="2">
        <f t="shared" si="119"/>
        <v>0</v>
      </c>
      <c r="AN134" s="2">
        <f t="shared" si="119"/>
        <v>391.67999999999995</v>
      </c>
      <c r="AO134" s="2">
        <f t="shared" si="119"/>
        <v>333.952</v>
      </c>
      <c r="AP134" s="2">
        <f t="shared" si="119"/>
        <v>417.44000000000005</v>
      </c>
      <c r="AQ134" s="2">
        <f t="shared" si="119"/>
        <v>375.696</v>
      </c>
      <c r="AV134" s="2">
        <f>AV133*AV3</f>
        <v>0</v>
      </c>
      <c r="AW134" s="2">
        <f>AW133*AW3</f>
        <v>0</v>
      </c>
      <c r="AX134" s="2">
        <f>AX133*AX3</f>
        <v>0</v>
      </c>
      <c r="AY134" s="2">
        <f>AY133*AY3</f>
        <v>0</v>
      </c>
      <c r="AZ134" s="2">
        <f>AZ133*AZ3</f>
        <v>0</v>
      </c>
      <c r="BA134" s="2" t="s">
        <v>160</v>
      </c>
      <c r="BB134" s="2">
        <f aca="true" t="shared" si="120" ref="BB134:CH134">BB133*BB3</f>
        <v>0</v>
      </c>
      <c r="BC134" s="2">
        <f t="shared" si="120"/>
        <v>0</v>
      </c>
      <c r="BD134" s="2">
        <f t="shared" si="120"/>
        <v>0</v>
      </c>
      <c r="BE134" s="2">
        <f t="shared" si="120"/>
        <v>0</v>
      </c>
      <c r="BF134" s="2">
        <f t="shared" si="120"/>
        <v>0</v>
      </c>
      <c r="BG134" s="2">
        <f t="shared" si="120"/>
        <v>0</v>
      </c>
      <c r="BH134" s="2">
        <f t="shared" si="120"/>
        <v>0</v>
      </c>
      <c r="BI134" s="2">
        <f t="shared" si="120"/>
        <v>0</v>
      </c>
      <c r="BJ134" s="2">
        <f t="shared" si="120"/>
        <v>0</v>
      </c>
      <c r="BK134" s="2">
        <f t="shared" si="120"/>
        <v>0</v>
      </c>
      <c r="BL134" s="2">
        <f t="shared" si="120"/>
        <v>0</v>
      </c>
      <c r="BM134" s="2">
        <f t="shared" si="120"/>
        <v>0</v>
      </c>
      <c r="BN134" s="2">
        <f t="shared" si="120"/>
        <v>0</v>
      </c>
      <c r="BO134" s="2">
        <f t="shared" si="120"/>
        <v>0</v>
      </c>
      <c r="BP134" s="2">
        <f t="shared" si="120"/>
        <v>0</v>
      </c>
      <c r="BQ134" s="2">
        <f t="shared" si="120"/>
        <v>0</v>
      </c>
      <c r="BR134" s="2">
        <f t="shared" si="120"/>
        <v>0</v>
      </c>
      <c r="BS134" s="2">
        <f t="shared" si="120"/>
        <v>0</v>
      </c>
      <c r="BT134" s="2">
        <f t="shared" si="120"/>
        <v>0</v>
      </c>
      <c r="BU134" s="2">
        <f t="shared" si="120"/>
        <v>0</v>
      </c>
      <c r="BV134" s="2">
        <f t="shared" si="120"/>
        <v>0</v>
      </c>
      <c r="BW134" s="2">
        <f t="shared" si="120"/>
        <v>0</v>
      </c>
      <c r="BX134" s="2">
        <f t="shared" si="120"/>
        <v>0</v>
      </c>
      <c r="BY134" s="2">
        <f t="shared" si="120"/>
        <v>0</v>
      </c>
      <c r="BZ134" s="2">
        <f t="shared" si="120"/>
        <v>0</v>
      </c>
      <c r="CA134" s="2">
        <f t="shared" si="120"/>
        <v>0</v>
      </c>
      <c r="CB134" s="2">
        <f t="shared" si="120"/>
        <v>0</v>
      </c>
      <c r="CC134" s="2">
        <f t="shared" si="120"/>
        <v>0</v>
      </c>
      <c r="CD134" s="2">
        <f t="shared" si="120"/>
        <v>0</v>
      </c>
      <c r="CE134" s="2">
        <f t="shared" si="120"/>
        <v>0</v>
      </c>
      <c r="CF134" s="2">
        <f t="shared" si="120"/>
        <v>0</v>
      </c>
      <c r="CG134" s="2">
        <f t="shared" si="120"/>
        <v>0</v>
      </c>
      <c r="CH134" s="2">
        <f t="shared" si="120"/>
        <v>0</v>
      </c>
      <c r="CK134" s="2">
        <v>625</v>
      </c>
      <c r="CL134" s="2" t="s">
        <v>160</v>
      </c>
    </row>
    <row r="135" spans="1:90" ht="15">
      <c r="A135" s="10" t="s">
        <v>145</v>
      </c>
      <c r="C135" s="2" t="s">
        <v>380</v>
      </c>
      <c r="D135" s="2" t="s">
        <v>67</v>
      </c>
      <c r="E135" s="2" t="s">
        <v>68</v>
      </c>
      <c r="F135" s="2" t="s">
        <v>69</v>
      </c>
      <c r="M135" s="2">
        <v>600</v>
      </c>
      <c r="N135" s="2">
        <v>1440</v>
      </c>
      <c r="O135" s="2">
        <v>1020</v>
      </c>
      <c r="P135" s="2">
        <v>380</v>
      </c>
      <c r="Q135" s="2">
        <v>640</v>
      </c>
      <c r="R135" s="2">
        <v>510</v>
      </c>
      <c r="S135" s="2">
        <v>480</v>
      </c>
      <c r="T135" s="2">
        <v>600</v>
      </c>
      <c r="U135" s="2">
        <v>540</v>
      </c>
      <c r="V135" s="2">
        <v>450</v>
      </c>
      <c r="W135" s="2">
        <v>700</v>
      </c>
      <c r="X135" s="2">
        <v>575</v>
      </c>
      <c r="Y135" s="2">
        <v>300</v>
      </c>
      <c r="Z135" s="2">
        <v>800</v>
      </c>
      <c r="AA135" s="2">
        <v>550</v>
      </c>
      <c r="AE135" s="10" t="s">
        <v>145</v>
      </c>
      <c r="AF135" s="10"/>
      <c r="AG135" s="10"/>
      <c r="AN135" s="2">
        <v>1360</v>
      </c>
      <c r="BA135" s="10" t="s">
        <v>145</v>
      </c>
      <c r="BE135" s="10"/>
      <c r="BF135" s="10"/>
      <c r="BG135" s="10"/>
      <c r="BH135" s="10"/>
      <c r="BI135" s="10"/>
      <c r="BJ135" s="10"/>
      <c r="BK135" s="10"/>
      <c r="BL135" s="10"/>
      <c r="BM135" s="10"/>
      <c r="BN135" s="10"/>
      <c r="BO135" s="10"/>
      <c r="BP135" s="10"/>
      <c r="BQ135" s="10"/>
      <c r="CK135" s="2"/>
      <c r="CL135" s="10" t="s">
        <v>145</v>
      </c>
    </row>
    <row r="136" spans="1:90" ht="15">
      <c r="A136" s="10"/>
      <c r="F136" s="2" t="s">
        <v>160</v>
      </c>
      <c r="M136" s="2">
        <f aca="true" t="shared" si="121" ref="M136:AD136">M135*M3</f>
        <v>2251.2</v>
      </c>
      <c r="N136" s="2">
        <f t="shared" si="121"/>
        <v>5402.88</v>
      </c>
      <c r="O136" s="2">
        <f t="shared" si="121"/>
        <v>3827.04</v>
      </c>
      <c r="P136" s="2">
        <f t="shared" si="121"/>
        <v>916.56</v>
      </c>
      <c r="Q136" s="2">
        <f t="shared" si="121"/>
        <v>1543.6799999999998</v>
      </c>
      <c r="R136" s="2">
        <f t="shared" si="121"/>
        <v>1230.12</v>
      </c>
      <c r="S136" s="2">
        <f t="shared" si="121"/>
        <v>1157.76</v>
      </c>
      <c r="T136" s="2">
        <f t="shared" si="121"/>
        <v>1447.2</v>
      </c>
      <c r="U136" s="2">
        <f t="shared" si="121"/>
        <v>1302.48</v>
      </c>
      <c r="V136" s="2">
        <f t="shared" si="121"/>
        <v>738.45</v>
      </c>
      <c r="W136" s="2">
        <f t="shared" si="121"/>
        <v>1148.7</v>
      </c>
      <c r="X136" s="2">
        <f t="shared" si="121"/>
        <v>943.575</v>
      </c>
      <c r="Y136" s="2">
        <f t="shared" si="121"/>
        <v>343.2</v>
      </c>
      <c r="Z136" s="2">
        <f t="shared" si="121"/>
        <v>915.1999999999999</v>
      </c>
      <c r="AA136" s="2">
        <f t="shared" si="121"/>
        <v>629.1999999999999</v>
      </c>
      <c r="AB136" s="2">
        <f t="shared" si="121"/>
        <v>0</v>
      </c>
      <c r="AC136" s="2">
        <f t="shared" si="121"/>
        <v>0</v>
      </c>
      <c r="AD136" s="2">
        <f t="shared" si="121"/>
        <v>0</v>
      </c>
      <c r="AE136" s="2" t="s">
        <v>160</v>
      </c>
      <c r="AF136" s="2">
        <f aca="true" t="shared" si="122" ref="AF136:AQ136">AF135*AF3</f>
        <v>0</v>
      </c>
      <c r="AG136" s="2">
        <f t="shared" si="122"/>
        <v>0</v>
      </c>
      <c r="AH136" s="2">
        <f t="shared" si="122"/>
        <v>0</v>
      </c>
      <c r="AI136" s="2">
        <f t="shared" si="122"/>
        <v>0</v>
      </c>
      <c r="AJ136" s="2">
        <f t="shared" si="122"/>
        <v>0</v>
      </c>
      <c r="AK136" s="2">
        <f t="shared" si="122"/>
        <v>0</v>
      </c>
      <c r="AL136" s="2">
        <f t="shared" si="122"/>
        <v>0</v>
      </c>
      <c r="AM136" s="2">
        <f t="shared" si="122"/>
        <v>0</v>
      </c>
      <c r="AN136" s="2">
        <f t="shared" si="122"/>
        <v>1566.7199999999998</v>
      </c>
      <c r="AO136" s="2">
        <f t="shared" si="122"/>
        <v>0</v>
      </c>
      <c r="AP136" s="2">
        <f t="shared" si="122"/>
        <v>0</v>
      </c>
      <c r="AQ136" s="2">
        <f t="shared" si="122"/>
        <v>0</v>
      </c>
      <c r="AV136" s="2">
        <f>AV135*AV3</f>
        <v>0</v>
      </c>
      <c r="AW136" s="2">
        <f>AW135*AW3</f>
        <v>0</v>
      </c>
      <c r="AX136" s="2">
        <f>AX135*AX3</f>
        <v>0</v>
      </c>
      <c r="AY136" s="2">
        <f>AY135*AY3</f>
        <v>0</v>
      </c>
      <c r="AZ136" s="2">
        <f>AZ135*AZ3</f>
        <v>0</v>
      </c>
      <c r="BA136" s="2" t="s">
        <v>160</v>
      </c>
      <c r="BB136" s="2">
        <f aca="true" t="shared" si="123" ref="BB136:CH136">BB135*BB3</f>
        <v>0</v>
      </c>
      <c r="BC136" s="2">
        <f t="shared" si="123"/>
        <v>0</v>
      </c>
      <c r="BD136" s="2">
        <f t="shared" si="123"/>
        <v>0</v>
      </c>
      <c r="BE136" s="2">
        <f t="shared" si="123"/>
        <v>0</v>
      </c>
      <c r="BF136" s="2">
        <f t="shared" si="123"/>
        <v>0</v>
      </c>
      <c r="BG136" s="2">
        <f t="shared" si="123"/>
        <v>0</v>
      </c>
      <c r="BH136" s="2">
        <f t="shared" si="123"/>
        <v>0</v>
      </c>
      <c r="BI136" s="2">
        <f t="shared" si="123"/>
        <v>0</v>
      </c>
      <c r="BJ136" s="2">
        <f t="shared" si="123"/>
        <v>0</v>
      </c>
      <c r="BK136" s="2">
        <f t="shared" si="123"/>
        <v>0</v>
      </c>
      <c r="BL136" s="2">
        <f t="shared" si="123"/>
        <v>0</v>
      </c>
      <c r="BM136" s="2">
        <f t="shared" si="123"/>
        <v>0</v>
      </c>
      <c r="BN136" s="2">
        <f t="shared" si="123"/>
        <v>0</v>
      </c>
      <c r="BO136" s="2">
        <f t="shared" si="123"/>
        <v>0</v>
      </c>
      <c r="BP136" s="2">
        <f t="shared" si="123"/>
        <v>0</v>
      </c>
      <c r="BQ136" s="2">
        <f t="shared" si="123"/>
        <v>0</v>
      </c>
      <c r="BR136" s="2">
        <f t="shared" si="123"/>
        <v>0</v>
      </c>
      <c r="BS136" s="2">
        <f t="shared" si="123"/>
        <v>0</v>
      </c>
      <c r="BT136" s="2">
        <f t="shared" si="123"/>
        <v>0</v>
      </c>
      <c r="BU136" s="2">
        <f t="shared" si="123"/>
        <v>0</v>
      </c>
      <c r="BV136" s="2">
        <f t="shared" si="123"/>
        <v>0</v>
      </c>
      <c r="BW136" s="2">
        <f t="shared" si="123"/>
        <v>0</v>
      </c>
      <c r="BX136" s="2">
        <f t="shared" si="123"/>
        <v>0</v>
      </c>
      <c r="BY136" s="2">
        <f t="shared" si="123"/>
        <v>0</v>
      </c>
      <c r="BZ136" s="2">
        <f t="shared" si="123"/>
        <v>0</v>
      </c>
      <c r="CA136" s="2">
        <f t="shared" si="123"/>
        <v>0</v>
      </c>
      <c r="CB136" s="2">
        <f t="shared" si="123"/>
        <v>0</v>
      </c>
      <c r="CC136" s="2">
        <f t="shared" si="123"/>
        <v>0</v>
      </c>
      <c r="CD136" s="2">
        <f t="shared" si="123"/>
        <v>0</v>
      </c>
      <c r="CE136" s="2">
        <f t="shared" si="123"/>
        <v>0</v>
      </c>
      <c r="CF136" s="2">
        <f t="shared" si="123"/>
        <v>0</v>
      </c>
      <c r="CG136" s="2">
        <f t="shared" si="123"/>
        <v>0</v>
      </c>
      <c r="CH136" s="2">
        <f t="shared" si="123"/>
        <v>0</v>
      </c>
      <c r="CK136" s="2">
        <v>1193</v>
      </c>
      <c r="CL136" s="2" t="s">
        <v>160</v>
      </c>
    </row>
    <row r="137" spans="1:90" ht="15">
      <c r="A137" s="10" t="s">
        <v>381</v>
      </c>
      <c r="C137" s="2" t="s">
        <v>382</v>
      </c>
      <c r="D137" s="2" t="s">
        <v>293</v>
      </c>
      <c r="E137" s="2" t="s">
        <v>383</v>
      </c>
      <c r="F137" s="2" t="s">
        <v>69</v>
      </c>
      <c r="AE137" s="10" t="s">
        <v>381</v>
      </c>
      <c r="AF137" s="10"/>
      <c r="AG137" s="10"/>
      <c r="AQ137" s="2">
        <v>225</v>
      </c>
      <c r="AZ137" s="2">
        <v>425</v>
      </c>
      <c r="BA137" s="10" t="s">
        <v>381</v>
      </c>
      <c r="BE137" s="10"/>
      <c r="BF137" s="10"/>
      <c r="BG137" s="10"/>
      <c r="BH137" s="10"/>
      <c r="BI137" s="10"/>
      <c r="BJ137" s="10"/>
      <c r="BK137" s="10"/>
      <c r="BL137" s="10"/>
      <c r="BM137" s="10"/>
      <c r="BN137" s="10"/>
      <c r="BO137" s="10"/>
      <c r="BP137" s="10"/>
      <c r="BQ137" s="10"/>
      <c r="CK137" s="2"/>
      <c r="CL137" s="10" t="s">
        <v>381</v>
      </c>
    </row>
    <row r="138" spans="1:90" ht="15">
      <c r="A138" s="10"/>
      <c r="F138" s="2" t="s">
        <v>160</v>
      </c>
      <c r="M138" s="2">
        <f aca="true" t="shared" si="124" ref="M138:AD138">M137*M3</f>
        <v>0</v>
      </c>
      <c r="N138" s="2">
        <f t="shared" si="124"/>
        <v>0</v>
      </c>
      <c r="O138" s="2">
        <f t="shared" si="124"/>
        <v>0</v>
      </c>
      <c r="P138" s="2">
        <f t="shared" si="124"/>
        <v>0</v>
      </c>
      <c r="Q138" s="2">
        <f t="shared" si="124"/>
        <v>0</v>
      </c>
      <c r="R138" s="2">
        <f t="shared" si="124"/>
        <v>0</v>
      </c>
      <c r="S138" s="2">
        <f t="shared" si="124"/>
        <v>0</v>
      </c>
      <c r="T138" s="2">
        <f t="shared" si="124"/>
        <v>0</v>
      </c>
      <c r="U138" s="2">
        <f t="shared" si="124"/>
        <v>0</v>
      </c>
      <c r="V138" s="2">
        <f t="shared" si="124"/>
        <v>0</v>
      </c>
      <c r="W138" s="2">
        <f t="shared" si="124"/>
        <v>0</v>
      </c>
      <c r="X138" s="2">
        <f t="shared" si="124"/>
        <v>0</v>
      </c>
      <c r="Y138" s="2">
        <f t="shared" si="124"/>
        <v>0</v>
      </c>
      <c r="Z138" s="2">
        <f t="shared" si="124"/>
        <v>0</v>
      </c>
      <c r="AA138" s="2">
        <f t="shared" si="124"/>
        <v>0</v>
      </c>
      <c r="AB138" s="2">
        <f t="shared" si="124"/>
        <v>0</v>
      </c>
      <c r="AC138" s="2">
        <f t="shared" si="124"/>
        <v>0</v>
      </c>
      <c r="AD138" s="2">
        <f t="shared" si="124"/>
        <v>0</v>
      </c>
      <c r="AE138" s="2" t="s">
        <v>160</v>
      </c>
      <c r="AF138" s="2">
        <f aca="true" t="shared" si="125" ref="AF138:AQ138">AF137*AF3</f>
        <v>0</v>
      </c>
      <c r="AG138" s="2">
        <f t="shared" si="125"/>
        <v>0</v>
      </c>
      <c r="AH138" s="2">
        <f t="shared" si="125"/>
        <v>0</v>
      </c>
      <c r="AI138" s="2">
        <f t="shared" si="125"/>
        <v>0</v>
      </c>
      <c r="AJ138" s="2">
        <f t="shared" si="125"/>
        <v>0</v>
      </c>
      <c r="AK138" s="2">
        <f t="shared" si="125"/>
        <v>0</v>
      </c>
      <c r="AL138" s="2">
        <f t="shared" si="125"/>
        <v>0</v>
      </c>
      <c r="AM138" s="2">
        <f t="shared" si="125"/>
        <v>0</v>
      </c>
      <c r="AN138" s="2">
        <f t="shared" si="125"/>
        <v>0</v>
      </c>
      <c r="AO138" s="2">
        <f t="shared" si="125"/>
        <v>0</v>
      </c>
      <c r="AP138" s="2">
        <f t="shared" si="125"/>
        <v>0</v>
      </c>
      <c r="AQ138" s="2">
        <f t="shared" si="125"/>
        <v>234.81000000000003</v>
      </c>
      <c r="AV138" s="2">
        <f>AV137*AV3</f>
        <v>0</v>
      </c>
      <c r="AW138" s="2">
        <f>AW137*AW3</f>
        <v>0</v>
      </c>
      <c r="AX138" s="2">
        <f>AX137*AX3</f>
        <v>0</v>
      </c>
      <c r="AY138" s="2">
        <f>AY137*AY3</f>
        <v>0</v>
      </c>
      <c r="AZ138" s="2">
        <f>AZ137*AZ3</f>
        <v>305.15</v>
      </c>
      <c r="BA138" s="2" t="s">
        <v>160</v>
      </c>
      <c r="BB138" s="2">
        <f aca="true" t="shared" si="126" ref="BB138:CH138">BB137*BB3</f>
        <v>0</v>
      </c>
      <c r="BC138" s="2">
        <f t="shared" si="126"/>
        <v>0</v>
      </c>
      <c r="BD138" s="2">
        <f t="shared" si="126"/>
        <v>0</v>
      </c>
      <c r="BE138" s="2">
        <f t="shared" si="126"/>
        <v>0</v>
      </c>
      <c r="BF138" s="2">
        <f t="shared" si="126"/>
        <v>0</v>
      </c>
      <c r="BG138" s="2">
        <f t="shared" si="126"/>
        <v>0</v>
      </c>
      <c r="BH138" s="2">
        <f t="shared" si="126"/>
        <v>0</v>
      </c>
      <c r="BI138" s="2">
        <f t="shared" si="126"/>
        <v>0</v>
      </c>
      <c r="BJ138" s="2">
        <f t="shared" si="126"/>
        <v>0</v>
      </c>
      <c r="BK138" s="2">
        <f t="shared" si="126"/>
        <v>0</v>
      </c>
      <c r="BL138" s="2">
        <f t="shared" si="126"/>
        <v>0</v>
      </c>
      <c r="BM138" s="2">
        <f t="shared" si="126"/>
        <v>0</v>
      </c>
      <c r="BN138" s="2">
        <f t="shared" si="126"/>
        <v>0</v>
      </c>
      <c r="BO138" s="2">
        <f t="shared" si="126"/>
        <v>0</v>
      </c>
      <c r="BP138" s="2">
        <f t="shared" si="126"/>
        <v>0</v>
      </c>
      <c r="BQ138" s="2">
        <f t="shared" si="126"/>
        <v>0</v>
      </c>
      <c r="BR138" s="2">
        <f t="shared" si="126"/>
        <v>0</v>
      </c>
      <c r="BS138" s="2">
        <f t="shared" si="126"/>
        <v>0</v>
      </c>
      <c r="BT138" s="2">
        <f t="shared" si="126"/>
        <v>0</v>
      </c>
      <c r="BU138" s="2">
        <f t="shared" si="126"/>
        <v>0</v>
      </c>
      <c r="BV138" s="2">
        <f t="shared" si="126"/>
        <v>0</v>
      </c>
      <c r="BW138" s="2">
        <f t="shared" si="126"/>
        <v>0</v>
      </c>
      <c r="BX138" s="2">
        <f t="shared" si="126"/>
        <v>0</v>
      </c>
      <c r="BY138" s="2">
        <f t="shared" si="126"/>
        <v>0</v>
      </c>
      <c r="BZ138" s="2">
        <f t="shared" si="126"/>
        <v>0</v>
      </c>
      <c r="CA138" s="2">
        <f t="shared" si="126"/>
        <v>0</v>
      </c>
      <c r="CB138" s="2">
        <f t="shared" si="126"/>
        <v>0</v>
      </c>
      <c r="CC138" s="2">
        <f t="shared" si="126"/>
        <v>0</v>
      </c>
      <c r="CD138" s="2">
        <f t="shared" si="126"/>
        <v>0</v>
      </c>
      <c r="CE138" s="2">
        <f t="shared" si="126"/>
        <v>0</v>
      </c>
      <c r="CF138" s="2">
        <f t="shared" si="126"/>
        <v>0</v>
      </c>
      <c r="CG138" s="2">
        <f t="shared" si="126"/>
        <v>0</v>
      </c>
      <c r="CH138" s="2">
        <f t="shared" si="126"/>
        <v>0</v>
      </c>
      <c r="CK138" s="2">
        <v>153.36</v>
      </c>
      <c r="CL138" s="2" t="s">
        <v>160</v>
      </c>
    </row>
    <row r="139" spans="1:90" ht="15">
      <c r="A139" s="10"/>
      <c r="G139" s="10" t="s">
        <v>317</v>
      </c>
      <c r="H139" s="10" t="s">
        <v>317</v>
      </c>
      <c r="I139" s="10" t="s">
        <v>317</v>
      </c>
      <c r="J139" s="10" t="s">
        <v>181</v>
      </c>
      <c r="K139" s="10" t="s">
        <v>181</v>
      </c>
      <c r="L139" s="10" t="s">
        <v>181</v>
      </c>
      <c r="M139" s="10" t="s">
        <v>259</v>
      </c>
      <c r="N139" s="10" t="s">
        <v>259</v>
      </c>
      <c r="O139" s="10" t="s">
        <v>259</v>
      </c>
      <c r="P139" s="10" t="s">
        <v>182</v>
      </c>
      <c r="Q139" s="10" t="s">
        <v>182</v>
      </c>
      <c r="R139" s="10" t="s">
        <v>182</v>
      </c>
      <c r="S139" s="10" t="s">
        <v>183</v>
      </c>
      <c r="T139" s="10" t="s">
        <v>183</v>
      </c>
      <c r="U139" s="10" t="s">
        <v>183</v>
      </c>
      <c r="V139" s="10" t="s">
        <v>260</v>
      </c>
      <c r="W139" s="10" t="s">
        <v>260</v>
      </c>
      <c r="X139" s="10" t="s">
        <v>260</v>
      </c>
      <c r="Y139" s="10" t="s">
        <v>185</v>
      </c>
      <c r="Z139" s="10" t="s">
        <v>185</v>
      </c>
      <c r="AA139" s="10" t="s">
        <v>185</v>
      </c>
      <c r="AB139" s="10" t="s">
        <v>186</v>
      </c>
      <c r="AC139" s="10" t="s">
        <v>186</v>
      </c>
      <c r="AD139" s="10" t="s">
        <v>186</v>
      </c>
      <c r="AF139" s="10" t="s">
        <v>196</v>
      </c>
      <c r="AG139" s="10" t="s">
        <v>196</v>
      </c>
      <c r="AH139" s="10" t="s">
        <v>196</v>
      </c>
      <c r="AI139" s="10" t="s">
        <v>197</v>
      </c>
      <c r="AJ139" s="10" t="s">
        <v>197</v>
      </c>
      <c r="AK139" s="10" t="s">
        <v>197</v>
      </c>
      <c r="AL139" s="10" t="s">
        <v>198</v>
      </c>
      <c r="AM139" s="10" t="s">
        <v>198</v>
      </c>
      <c r="AN139" s="10" t="s">
        <v>198</v>
      </c>
      <c r="AO139" s="10" t="s">
        <v>199</v>
      </c>
      <c r="AP139" s="10" t="s">
        <v>199</v>
      </c>
      <c r="AQ139" s="10" t="s">
        <v>199</v>
      </c>
      <c r="AR139" s="10" t="s">
        <v>200</v>
      </c>
      <c r="AS139" s="10" t="s">
        <v>200</v>
      </c>
      <c r="AT139" s="10" t="s">
        <v>200</v>
      </c>
      <c r="AU139" s="10" t="s">
        <v>201</v>
      </c>
      <c r="AV139" s="10" t="s">
        <v>201</v>
      </c>
      <c r="AW139" s="10" t="s">
        <v>201</v>
      </c>
      <c r="AX139" s="10" t="s">
        <v>266</v>
      </c>
      <c r="AY139" s="10" t="s">
        <v>266</v>
      </c>
      <c r="AZ139" s="10" t="s">
        <v>266</v>
      </c>
      <c r="BB139" s="10" t="s">
        <v>261</v>
      </c>
      <c r="BC139" s="10" t="s">
        <v>261</v>
      </c>
      <c r="BD139" s="10" t="s">
        <v>261</v>
      </c>
      <c r="BE139" s="10" t="s">
        <v>390</v>
      </c>
      <c r="BF139" s="10" t="s">
        <v>390</v>
      </c>
      <c r="BG139" s="10" t="s">
        <v>390</v>
      </c>
      <c r="BH139" s="10" t="s">
        <v>391</v>
      </c>
      <c r="BI139" s="10" t="s">
        <v>391</v>
      </c>
      <c r="BJ139" s="10" t="s">
        <v>391</v>
      </c>
      <c r="BK139" s="10" t="s">
        <v>267</v>
      </c>
      <c r="BL139" s="10" t="s">
        <v>267</v>
      </c>
      <c r="BM139" s="10" t="s">
        <v>267</v>
      </c>
      <c r="BN139" s="10" t="s">
        <v>268</v>
      </c>
      <c r="BO139" s="10" t="s">
        <v>268</v>
      </c>
      <c r="BP139" s="10" t="s">
        <v>268</v>
      </c>
      <c r="BQ139" s="10" t="s">
        <v>269</v>
      </c>
      <c r="BR139" s="10" t="s">
        <v>269</v>
      </c>
      <c r="BS139" s="10" t="s">
        <v>269</v>
      </c>
      <c r="BT139" s="10" t="s">
        <v>270</v>
      </c>
      <c r="BU139" s="10" t="s">
        <v>270</v>
      </c>
      <c r="BV139" s="10" t="s">
        <v>270</v>
      </c>
      <c r="BW139" s="10" t="s">
        <v>271</v>
      </c>
      <c r="BX139" s="10" t="s">
        <v>271</v>
      </c>
      <c r="BY139" s="10" t="s">
        <v>271</v>
      </c>
      <c r="BZ139" s="10" t="s">
        <v>272</v>
      </c>
      <c r="CA139" s="10" t="s">
        <v>272</v>
      </c>
      <c r="CB139" s="10" t="s">
        <v>272</v>
      </c>
      <c r="CC139" s="10" t="s">
        <v>273</v>
      </c>
      <c r="CD139" s="10" t="s">
        <v>273</v>
      </c>
      <c r="CE139" s="10" t="s">
        <v>273</v>
      </c>
      <c r="CF139" s="10" t="s">
        <v>274</v>
      </c>
      <c r="CG139" s="10" t="s">
        <v>274</v>
      </c>
      <c r="CH139" s="10" t="s">
        <v>274</v>
      </c>
      <c r="CI139" s="10">
        <v>1871</v>
      </c>
      <c r="CJ139" s="10">
        <v>1871</v>
      </c>
      <c r="CK139" s="10">
        <v>1871</v>
      </c>
      <c r="CL139" s="10"/>
    </row>
    <row r="140" spans="1:90" ht="15">
      <c r="A140" s="10" t="s">
        <v>384</v>
      </c>
      <c r="C140" s="2" t="s">
        <v>239</v>
      </c>
      <c r="D140" s="2" t="s">
        <v>240</v>
      </c>
      <c r="F140" s="2" t="s">
        <v>69</v>
      </c>
      <c r="P140" s="2">
        <v>60</v>
      </c>
      <c r="Q140" s="2">
        <v>100</v>
      </c>
      <c r="R140" s="2">
        <v>80</v>
      </c>
      <c r="AE140" s="10" t="s">
        <v>384</v>
      </c>
      <c r="AF140" s="10"/>
      <c r="AG140" s="10"/>
      <c r="BA140" s="10" t="s">
        <v>384</v>
      </c>
      <c r="BE140" s="10"/>
      <c r="BF140" s="10"/>
      <c r="BG140" s="10"/>
      <c r="BH140" s="10"/>
      <c r="BI140" s="10"/>
      <c r="BJ140" s="10"/>
      <c r="BK140" s="10"/>
      <c r="BL140" s="10"/>
      <c r="BM140" s="10"/>
      <c r="BN140" s="10"/>
      <c r="BO140" s="10"/>
      <c r="BP140" s="10"/>
      <c r="BQ140" s="10"/>
      <c r="CK140" s="2"/>
      <c r="CL140" s="10" t="s">
        <v>384</v>
      </c>
    </row>
    <row r="141" spans="1:90" ht="15">
      <c r="A141" s="10"/>
      <c r="F141" s="2" t="s">
        <v>160</v>
      </c>
      <c r="G141" s="2">
        <f aca="true" t="shared" si="127" ref="G141:AD141">G140*G3</f>
        <v>0</v>
      </c>
      <c r="H141" s="2">
        <f t="shared" si="127"/>
        <v>0</v>
      </c>
      <c r="I141" s="2">
        <f t="shared" si="127"/>
        <v>0</v>
      </c>
      <c r="J141" s="2">
        <f t="shared" si="127"/>
        <v>0</v>
      </c>
      <c r="K141" s="2">
        <f t="shared" si="127"/>
        <v>0</v>
      </c>
      <c r="L141" s="2">
        <f t="shared" si="127"/>
        <v>0</v>
      </c>
      <c r="M141" s="2">
        <f t="shared" si="127"/>
        <v>0</v>
      </c>
      <c r="N141" s="2">
        <f t="shared" si="127"/>
        <v>0</v>
      </c>
      <c r="O141" s="2">
        <f t="shared" si="127"/>
        <v>0</v>
      </c>
      <c r="P141" s="2">
        <f t="shared" si="127"/>
        <v>144.72</v>
      </c>
      <c r="Q141" s="2">
        <f t="shared" si="127"/>
        <v>241.2</v>
      </c>
      <c r="R141" s="2">
        <f t="shared" si="127"/>
        <v>192.95999999999998</v>
      </c>
      <c r="S141" s="2">
        <f t="shared" si="127"/>
        <v>0</v>
      </c>
      <c r="T141" s="2">
        <f t="shared" si="127"/>
        <v>0</v>
      </c>
      <c r="U141" s="2">
        <f t="shared" si="127"/>
        <v>0</v>
      </c>
      <c r="V141" s="2">
        <f t="shared" si="127"/>
        <v>0</v>
      </c>
      <c r="W141" s="2">
        <f t="shared" si="127"/>
        <v>0</v>
      </c>
      <c r="X141" s="2">
        <f t="shared" si="127"/>
        <v>0</v>
      </c>
      <c r="Y141" s="2">
        <f t="shared" si="127"/>
        <v>0</v>
      </c>
      <c r="Z141" s="2">
        <f t="shared" si="127"/>
        <v>0</v>
      </c>
      <c r="AA141" s="2">
        <f t="shared" si="127"/>
        <v>0</v>
      </c>
      <c r="AB141" s="2">
        <f t="shared" si="127"/>
        <v>0</v>
      </c>
      <c r="AC141" s="2">
        <f t="shared" si="127"/>
        <v>0</v>
      </c>
      <c r="AD141" s="2">
        <f t="shared" si="127"/>
        <v>0</v>
      </c>
      <c r="AE141" s="2" t="s">
        <v>160</v>
      </c>
      <c r="AF141" s="2">
        <f aca="true" t="shared" si="128" ref="AF141:AN141">AF140*AF3</f>
        <v>0</v>
      </c>
      <c r="AG141" s="2">
        <f t="shared" si="128"/>
        <v>0</v>
      </c>
      <c r="AH141" s="2">
        <f t="shared" si="128"/>
        <v>0</v>
      </c>
      <c r="AI141" s="2">
        <f t="shared" si="128"/>
        <v>0</v>
      </c>
      <c r="AJ141" s="2">
        <f t="shared" si="128"/>
        <v>0</v>
      </c>
      <c r="AK141" s="2">
        <f t="shared" si="128"/>
        <v>0</v>
      </c>
      <c r="AL141" s="2">
        <f t="shared" si="128"/>
        <v>0</v>
      </c>
      <c r="AM141" s="2">
        <f t="shared" si="128"/>
        <v>0</v>
      </c>
      <c r="AN141" s="2">
        <f t="shared" si="128"/>
        <v>0</v>
      </c>
      <c r="AV141" s="2">
        <f>AV140*AV3</f>
        <v>0</v>
      </c>
      <c r="AW141" s="2">
        <f>AW140*AW3</f>
        <v>0</v>
      </c>
      <c r="AX141" s="2">
        <f>AX140*AX3</f>
        <v>0</v>
      </c>
      <c r="AY141" s="2">
        <f>AY140*AY3</f>
        <v>0</v>
      </c>
      <c r="AZ141" s="2">
        <f>AZ140*AZ3</f>
        <v>0</v>
      </c>
      <c r="BA141" s="2" t="s">
        <v>160</v>
      </c>
      <c r="BB141" s="2">
        <f aca="true" t="shared" si="129" ref="BB141:CH141">BB140*BB3</f>
        <v>0</v>
      </c>
      <c r="BC141" s="2">
        <f t="shared" si="129"/>
        <v>0</v>
      </c>
      <c r="BD141" s="2">
        <f t="shared" si="129"/>
        <v>0</v>
      </c>
      <c r="BE141" s="2">
        <f t="shared" si="129"/>
        <v>0</v>
      </c>
      <c r="BF141" s="2">
        <f t="shared" si="129"/>
        <v>0</v>
      </c>
      <c r="BG141" s="2">
        <f t="shared" si="129"/>
        <v>0</v>
      </c>
      <c r="BH141" s="2">
        <f t="shared" si="129"/>
        <v>0</v>
      </c>
      <c r="BI141" s="2">
        <f t="shared" si="129"/>
        <v>0</v>
      </c>
      <c r="BJ141" s="2">
        <f t="shared" si="129"/>
        <v>0</v>
      </c>
      <c r="BK141" s="2">
        <f t="shared" si="129"/>
        <v>0</v>
      </c>
      <c r="BL141" s="2">
        <f t="shared" si="129"/>
        <v>0</v>
      </c>
      <c r="BM141" s="2">
        <f t="shared" si="129"/>
        <v>0</v>
      </c>
      <c r="BN141" s="2">
        <f t="shared" si="129"/>
        <v>0</v>
      </c>
      <c r="BO141" s="2">
        <f t="shared" si="129"/>
        <v>0</v>
      </c>
      <c r="BP141" s="2">
        <f t="shared" si="129"/>
        <v>0</v>
      </c>
      <c r="BQ141" s="2">
        <f t="shared" si="129"/>
        <v>0</v>
      </c>
      <c r="BR141" s="2">
        <f t="shared" si="129"/>
        <v>0</v>
      </c>
      <c r="BS141" s="2">
        <f t="shared" si="129"/>
        <v>0</v>
      </c>
      <c r="BT141" s="2">
        <f t="shared" si="129"/>
        <v>0</v>
      </c>
      <c r="BU141" s="2">
        <f t="shared" si="129"/>
        <v>0</v>
      </c>
      <c r="BV141" s="2">
        <f t="shared" si="129"/>
        <v>0</v>
      </c>
      <c r="BW141" s="2">
        <f t="shared" si="129"/>
        <v>0</v>
      </c>
      <c r="BX141" s="2">
        <f t="shared" si="129"/>
        <v>0</v>
      </c>
      <c r="BY141" s="2">
        <f t="shared" si="129"/>
        <v>0</v>
      </c>
      <c r="BZ141" s="2">
        <f t="shared" si="129"/>
        <v>0</v>
      </c>
      <c r="CA141" s="2">
        <f t="shared" si="129"/>
        <v>0</v>
      </c>
      <c r="CB141" s="2">
        <f t="shared" si="129"/>
        <v>0</v>
      </c>
      <c r="CC141" s="2">
        <f t="shared" si="129"/>
        <v>0</v>
      </c>
      <c r="CD141" s="2">
        <f t="shared" si="129"/>
        <v>0</v>
      </c>
      <c r="CE141" s="2">
        <f t="shared" si="129"/>
        <v>0</v>
      </c>
      <c r="CF141" s="2">
        <f t="shared" si="129"/>
        <v>0</v>
      </c>
      <c r="CG141" s="2">
        <f t="shared" si="129"/>
        <v>0</v>
      </c>
      <c r="CH141" s="2">
        <f t="shared" si="129"/>
        <v>0</v>
      </c>
      <c r="CK141" s="2"/>
      <c r="CL141" s="2" t="s">
        <v>160</v>
      </c>
    </row>
    <row r="142" spans="1:90" ht="15">
      <c r="A142" s="10" t="s">
        <v>371</v>
      </c>
      <c r="C142" s="2" t="s">
        <v>330</v>
      </c>
      <c r="D142" s="2" t="s">
        <v>67</v>
      </c>
      <c r="E142" s="2" t="s">
        <v>68</v>
      </c>
      <c r="F142" s="2" t="s">
        <v>69</v>
      </c>
      <c r="L142" s="2">
        <v>6</v>
      </c>
      <c r="M142" s="2">
        <v>9</v>
      </c>
      <c r="N142" s="2">
        <v>11.5</v>
      </c>
      <c r="O142" s="2">
        <v>10.2</v>
      </c>
      <c r="P142" s="2">
        <v>18</v>
      </c>
      <c r="Q142" s="2">
        <v>20</v>
      </c>
      <c r="R142" s="2">
        <v>19</v>
      </c>
      <c r="U142" s="2">
        <v>20</v>
      </c>
      <c r="V142" s="2">
        <v>20</v>
      </c>
      <c r="W142" s="2">
        <v>30</v>
      </c>
      <c r="X142" s="2">
        <v>25</v>
      </c>
      <c r="Y142" s="2">
        <v>24</v>
      </c>
      <c r="Z142" s="2">
        <v>30</v>
      </c>
      <c r="AA142" s="2">
        <v>28</v>
      </c>
      <c r="AE142" s="10" t="s">
        <v>371</v>
      </c>
      <c r="AF142" s="10"/>
      <c r="AG142" s="10"/>
      <c r="AH142" s="2">
        <v>24</v>
      </c>
      <c r="AN142" s="2">
        <v>35</v>
      </c>
      <c r="BA142" s="10" t="s">
        <v>371</v>
      </c>
      <c r="CK142" s="2"/>
      <c r="CL142" s="10" t="s">
        <v>371</v>
      </c>
    </row>
    <row r="143" spans="1:90" ht="15">
      <c r="A143" s="10"/>
      <c r="F143" s="2" t="s">
        <v>160</v>
      </c>
      <c r="G143" s="2">
        <f aca="true" t="shared" si="130" ref="G143:AD143">G142*G3</f>
        <v>0</v>
      </c>
      <c r="H143" s="2">
        <f t="shared" si="130"/>
        <v>0</v>
      </c>
      <c r="I143" s="2">
        <f t="shared" si="130"/>
        <v>0</v>
      </c>
      <c r="J143" s="2">
        <f t="shared" si="130"/>
        <v>0</v>
      </c>
      <c r="K143" s="2">
        <f t="shared" si="130"/>
        <v>0</v>
      </c>
      <c r="L143" s="2">
        <f t="shared" si="130"/>
        <v>22.512</v>
      </c>
      <c r="M143" s="2">
        <f t="shared" si="130"/>
        <v>33.768</v>
      </c>
      <c r="N143" s="2">
        <f t="shared" si="130"/>
        <v>43.147999999999996</v>
      </c>
      <c r="O143" s="2">
        <f t="shared" si="130"/>
        <v>38.270399999999995</v>
      </c>
      <c r="P143" s="2">
        <f t="shared" si="130"/>
        <v>43.416</v>
      </c>
      <c r="Q143" s="2">
        <f t="shared" si="130"/>
        <v>48.239999999999995</v>
      </c>
      <c r="R143" s="2">
        <f t="shared" si="130"/>
        <v>45.827999999999996</v>
      </c>
      <c r="S143" s="2">
        <f t="shared" si="130"/>
        <v>0</v>
      </c>
      <c r="T143" s="2">
        <f t="shared" si="130"/>
        <v>0</v>
      </c>
      <c r="U143" s="2">
        <f t="shared" si="130"/>
        <v>48.239999999999995</v>
      </c>
      <c r="V143" s="2">
        <f t="shared" si="130"/>
        <v>32.82</v>
      </c>
      <c r="W143" s="2">
        <f t="shared" si="130"/>
        <v>49.230000000000004</v>
      </c>
      <c r="X143" s="2">
        <f t="shared" si="130"/>
        <v>41.025</v>
      </c>
      <c r="Y143" s="2">
        <f t="shared" si="130"/>
        <v>27.455999999999996</v>
      </c>
      <c r="Z143" s="2">
        <f t="shared" si="130"/>
        <v>34.32</v>
      </c>
      <c r="AA143" s="2">
        <f t="shared" si="130"/>
        <v>32.032</v>
      </c>
      <c r="AB143" s="2">
        <f t="shared" si="130"/>
        <v>0</v>
      </c>
      <c r="AC143" s="2">
        <f t="shared" si="130"/>
        <v>0</v>
      </c>
      <c r="AD143" s="2">
        <f t="shared" si="130"/>
        <v>0</v>
      </c>
      <c r="AE143" s="2" t="s">
        <v>160</v>
      </c>
      <c r="AF143" s="2">
        <f aca="true" t="shared" si="131" ref="AF143:AN143">AF142*AF3</f>
        <v>0</v>
      </c>
      <c r="AG143" s="2">
        <f t="shared" si="131"/>
        <v>0</v>
      </c>
      <c r="AH143" s="2">
        <f t="shared" si="131"/>
        <v>27.647999999999996</v>
      </c>
      <c r="AI143" s="2">
        <f t="shared" si="131"/>
        <v>0</v>
      </c>
      <c r="AJ143" s="2">
        <f t="shared" si="131"/>
        <v>0</v>
      </c>
      <c r="AK143" s="2">
        <f t="shared" si="131"/>
        <v>0</v>
      </c>
      <c r="AL143" s="2">
        <f t="shared" si="131"/>
        <v>0</v>
      </c>
      <c r="AM143" s="2">
        <f t="shared" si="131"/>
        <v>0</v>
      </c>
      <c r="AN143" s="2">
        <f t="shared" si="131"/>
        <v>40.32</v>
      </c>
      <c r="AV143" s="2">
        <f>AV142*AV3</f>
        <v>0</v>
      </c>
      <c r="AW143" s="2">
        <f>AW142*AW3</f>
        <v>0</v>
      </c>
      <c r="AX143" s="2">
        <f>AX142*AX3</f>
        <v>0</v>
      </c>
      <c r="AY143" s="2">
        <f>AY142*AY3</f>
        <v>0</v>
      </c>
      <c r="AZ143" s="2">
        <f>AZ142*AZ3</f>
        <v>0</v>
      </c>
      <c r="BA143" s="2" t="s">
        <v>160</v>
      </c>
      <c r="BB143" s="2">
        <f aca="true" t="shared" si="132" ref="BB143:CH143">BB142*BB3</f>
        <v>0</v>
      </c>
      <c r="BC143" s="2">
        <f t="shared" si="132"/>
        <v>0</v>
      </c>
      <c r="BD143" s="2">
        <f t="shared" si="132"/>
        <v>0</v>
      </c>
      <c r="BE143" s="2">
        <f t="shared" si="132"/>
        <v>0</v>
      </c>
      <c r="BF143" s="2">
        <f t="shared" si="132"/>
        <v>0</v>
      </c>
      <c r="BG143" s="2">
        <f t="shared" si="132"/>
        <v>0</v>
      </c>
      <c r="BH143" s="2">
        <f t="shared" si="132"/>
        <v>0</v>
      </c>
      <c r="BI143" s="2">
        <f t="shared" si="132"/>
        <v>0</v>
      </c>
      <c r="BJ143" s="2">
        <f t="shared" si="132"/>
        <v>0</v>
      </c>
      <c r="BK143" s="2">
        <f t="shared" si="132"/>
        <v>0</v>
      </c>
      <c r="BL143" s="2">
        <f t="shared" si="132"/>
        <v>0</v>
      </c>
      <c r="BM143" s="2">
        <f t="shared" si="132"/>
        <v>0</v>
      </c>
      <c r="BN143" s="2">
        <f t="shared" si="132"/>
        <v>0</v>
      </c>
      <c r="BO143" s="2">
        <f t="shared" si="132"/>
        <v>0</v>
      </c>
      <c r="BP143" s="2">
        <f t="shared" si="132"/>
        <v>0</v>
      </c>
      <c r="BQ143" s="2">
        <f t="shared" si="132"/>
        <v>0</v>
      </c>
      <c r="BR143" s="2">
        <f t="shared" si="132"/>
        <v>0</v>
      </c>
      <c r="BS143" s="2">
        <f t="shared" si="132"/>
        <v>0</v>
      </c>
      <c r="BT143" s="2">
        <f t="shared" si="132"/>
        <v>0</v>
      </c>
      <c r="BU143" s="2">
        <f t="shared" si="132"/>
        <v>0</v>
      </c>
      <c r="BV143" s="2">
        <f t="shared" si="132"/>
        <v>0</v>
      </c>
      <c r="BW143" s="2">
        <f t="shared" si="132"/>
        <v>0</v>
      </c>
      <c r="BX143" s="2">
        <f t="shared" si="132"/>
        <v>0</v>
      </c>
      <c r="BY143" s="2">
        <f t="shared" si="132"/>
        <v>0</v>
      </c>
      <c r="BZ143" s="2">
        <f t="shared" si="132"/>
        <v>0</v>
      </c>
      <c r="CA143" s="2">
        <f t="shared" si="132"/>
        <v>0</v>
      </c>
      <c r="CB143" s="2">
        <f t="shared" si="132"/>
        <v>0</v>
      </c>
      <c r="CC143" s="2">
        <f t="shared" si="132"/>
        <v>0</v>
      </c>
      <c r="CD143" s="2">
        <f t="shared" si="132"/>
        <v>0</v>
      </c>
      <c r="CE143" s="2">
        <f t="shared" si="132"/>
        <v>0</v>
      </c>
      <c r="CF143" s="2">
        <f t="shared" si="132"/>
        <v>0</v>
      </c>
      <c r="CG143" s="2">
        <f t="shared" si="132"/>
        <v>0</v>
      </c>
      <c r="CH143" s="2">
        <f t="shared" si="132"/>
        <v>0</v>
      </c>
      <c r="CK143" s="2">
        <v>85.2</v>
      </c>
      <c r="CL143" s="2" t="s">
        <v>160</v>
      </c>
    </row>
    <row r="144" spans="1:90" ht="15">
      <c r="A144" s="10" t="s">
        <v>395</v>
      </c>
      <c r="C144" s="2" t="s">
        <v>396</v>
      </c>
      <c r="D144" s="2" t="s">
        <v>67</v>
      </c>
      <c r="F144" s="2" t="s">
        <v>69</v>
      </c>
      <c r="AE144" s="10" t="s">
        <v>395</v>
      </c>
      <c r="BA144" s="10" t="s">
        <v>395</v>
      </c>
      <c r="CK144" s="2"/>
      <c r="CL144" s="10" t="s">
        <v>395</v>
      </c>
    </row>
    <row r="145" spans="1:90" ht="15">
      <c r="A145" s="10"/>
      <c r="F145" s="2" t="s">
        <v>160</v>
      </c>
      <c r="G145" s="2">
        <f aca="true" t="shared" si="133" ref="G145:AD145">G144*G3</f>
        <v>0</v>
      </c>
      <c r="H145" s="2">
        <f t="shared" si="133"/>
        <v>0</v>
      </c>
      <c r="I145" s="2">
        <f t="shared" si="133"/>
        <v>0</v>
      </c>
      <c r="J145" s="2">
        <f t="shared" si="133"/>
        <v>0</v>
      </c>
      <c r="K145" s="2">
        <f t="shared" si="133"/>
        <v>0</v>
      </c>
      <c r="L145" s="2">
        <f t="shared" si="133"/>
        <v>0</v>
      </c>
      <c r="M145" s="2">
        <f t="shared" si="133"/>
        <v>0</v>
      </c>
      <c r="N145" s="2">
        <f t="shared" si="133"/>
        <v>0</v>
      </c>
      <c r="O145" s="2">
        <f t="shared" si="133"/>
        <v>0</v>
      </c>
      <c r="P145" s="2">
        <f t="shared" si="133"/>
        <v>0</v>
      </c>
      <c r="Q145" s="2">
        <f t="shared" si="133"/>
        <v>0</v>
      </c>
      <c r="R145" s="2">
        <f t="shared" si="133"/>
        <v>0</v>
      </c>
      <c r="S145" s="2">
        <f t="shared" si="133"/>
        <v>0</v>
      </c>
      <c r="T145" s="2">
        <f t="shared" si="133"/>
        <v>0</v>
      </c>
      <c r="U145" s="2">
        <f t="shared" si="133"/>
        <v>0</v>
      </c>
      <c r="V145" s="2">
        <f t="shared" si="133"/>
        <v>0</v>
      </c>
      <c r="W145" s="2">
        <f t="shared" si="133"/>
        <v>0</v>
      </c>
      <c r="X145" s="2">
        <f t="shared" si="133"/>
        <v>0</v>
      </c>
      <c r="Y145" s="2">
        <f t="shared" si="133"/>
        <v>0</v>
      </c>
      <c r="Z145" s="2">
        <f t="shared" si="133"/>
        <v>0</v>
      </c>
      <c r="AA145" s="2">
        <f t="shared" si="133"/>
        <v>0</v>
      </c>
      <c r="AB145" s="2">
        <f t="shared" si="133"/>
        <v>0</v>
      </c>
      <c r="AC145" s="2">
        <f t="shared" si="133"/>
        <v>0</v>
      </c>
      <c r="AD145" s="2">
        <f t="shared" si="133"/>
        <v>0</v>
      </c>
      <c r="AE145" s="2" t="s">
        <v>160</v>
      </c>
      <c r="AF145" s="2">
        <f aca="true" t="shared" si="134" ref="AF145:AN145">AF144*AF3</f>
        <v>0</v>
      </c>
      <c r="AG145" s="2">
        <f t="shared" si="134"/>
        <v>0</v>
      </c>
      <c r="AH145" s="2">
        <f t="shared" si="134"/>
        <v>0</v>
      </c>
      <c r="AI145" s="2">
        <f t="shared" si="134"/>
        <v>0</v>
      </c>
      <c r="AJ145" s="2">
        <f t="shared" si="134"/>
        <v>0</v>
      </c>
      <c r="AK145" s="2">
        <f t="shared" si="134"/>
        <v>0</v>
      </c>
      <c r="AL145" s="2">
        <f t="shared" si="134"/>
        <v>0</v>
      </c>
      <c r="AM145" s="2">
        <f t="shared" si="134"/>
        <v>0</v>
      </c>
      <c r="AN145" s="2">
        <f t="shared" si="134"/>
        <v>0</v>
      </c>
      <c r="AV145" s="2">
        <f>AV144*AV3</f>
        <v>0</v>
      </c>
      <c r="AW145" s="2">
        <f>AW144*AW3</f>
        <v>0</v>
      </c>
      <c r="AX145" s="2">
        <f>AX144*AX3</f>
        <v>0</v>
      </c>
      <c r="AY145" s="2">
        <f>AY144*AY3</f>
        <v>0</v>
      </c>
      <c r="AZ145" s="2">
        <f>AZ144*AZ3</f>
        <v>0</v>
      </c>
      <c r="BA145" s="2" t="s">
        <v>160</v>
      </c>
      <c r="BB145" s="2">
        <f aca="true" t="shared" si="135" ref="BB145:CH145">BB144*BB3</f>
        <v>0</v>
      </c>
      <c r="BC145" s="2">
        <f t="shared" si="135"/>
        <v>0</v>
      </c>
      <c r="BD145" s="2">
        <f t="shared" si="135"/>
        <v>0</v>
      </c>
      <c r="BE145" s="2">
        <f t="shared" si="135"/>
        <v>0</v>
      </c>
      <c r="BF145" s="2">
        <f t="shared" si="135"/>
        <v>0</v>
      </c>
      <c r="BG145" s="2">
        <f t="shared" si="135"/>
        <v>0</v>
      </c>
      <c r="BH145" s="2">
        <f t="shared" si="135"/>
        <v>0</v>
      </c>
      <c r="BI145" s="2">
        <f t="shared" si="135"/>
        <v>0</v>
      </c>
      <c r="BJ145" s="2">
        <f t="shared" si="135"/>
        <v>0</v>
      </c>
      <c r="BK145" s="2">
        <f t="shared" si="135"/>
        <v>0</v>
      </c>
      <c r="BL145" s="2">
        <f t="shared" si="135"/>
        <v>0</v>
      </c>
      <c r="BM145" s="2">
        <f t="shared" si="135"/>
        <v>0</v>
      </c>
      <c r="BN145" s="2">
        <f t="shared" si="135"/>
        <v>0</v>
      </c>
      <c r="BO145" s="2">
        <f t="shared" si="135"/>
        <v>0</v>
      </c>
      <c r="BP145" s="2">
        <f t="shared" si="135"/>
        <v>0</v>
      </c>
      <c r="BQ145" s="2">
        <f t="shared" si="135"/>
        <v>0</v>
      </c>
      <c r="BR145" s="2">
        <f t="shared" si="135"/>
        <v>0</v>
      </c>
      <c r="BS145" s="2">
        <f t="shared" si="135"/>
        <v>0</v>
      </c>
      <c r="BT145" s="2">
        <f t="shared" si="135"/>
        <v>0</v>
      </c>
      <c r="BU145" s="2">
        <f t="shared" si="135"/>
        <v>0</v>
      </c>
      <c r="BV145" s="2">
        <f t="shared" si="135"/>
        <v>0</v>
      </c>
      <c r="BW145" s="2">
        <f t="shared" si="135"/>
        <v>0</v>
      </c>
      <c r="BX145" s="2">
        <f t="shared" si="135"/>
        <v>0</v>
      </c>
      <c r="BY145" s="2">
        <f t="shared" si="135"/>
        <v>0</v>
      </c>
      <c r="BZ145" s="2">
        <f t="shared" si="135"/>
        <v>0</v>
      </c>
      <c r="CA145" s="2">
        <f t="shared" si="135"/>
        <v>0</v>
      </c>
      <c r="CB145" s="2">
        <f t="shared" si="135"/>
        <v>0</v>
      </c>
      <c r="CC145" s="2">
        <f t="shared" si="135"/>
        <v>0</v>
      </c>
      <c r="CD145" s="2">
        <f t="shared" si="135"/>
        <v>0</v>
      </c>
      <c r="CE145" s="2">
        <f t="shared" si="135"/>
        <v>0</v>
      </c>
      <c r="CF145" s="2">
        <f t="shared" si="135"/>
        <v>0</v>
      </c>
      <c r="CG145" s="2">
        <f t="shared" si="135"/>
        <v>0</v>
      </c>
      <c r="CH145" s="2">
        <f t="shared" si="135"/>
        <v>0</v>
      </c>
      <c r="CK145" s="2">
        <v>49.416</v>
      </c>
      <c r="CL145" s="2" t="s">
        <v>160</v>
      </c>
    </row>
    <row r="146" spans="1:90" ht="15">
      <c r="A146" s="10" t="s">
        <v>397</v>
      </c>
      <c r="C146" s="2" t="s">
        <v>398</v>
      </c>
      <c r="D146" s="2">
        <v>10</v>
      </c>
      <c r="F146" s="2" t="s">
        <v>69</v>
      </c>
      <c r="P146" s="2">
        <v>1</v>
      </c>
      <c r="Q146" s="2">
        <v>1.2</v>
      </c>
      <c r="R146" s="2">
        <v>1.1</v>
      </c>
      <c r="S146" s="2">
        <v>1</v>
      </c>
      <c r="T146" s="2">
        <v>1.2</v>
      </c>
      <c r="U146" s="2">
        <v>1.2</v>
      </c>
      <c r="V146" s="2">
        <v>1</v>
      </c>
      <c r="W146" s="2">
        <v>1.2</v>
      </c>
      <c r="X146" s="2">
        <v>1.1</v>
      </c>
      <c r="Y146" s="2">
        <v>1.5</v>
      </c>
      <c r="Z146" s="2">
        <v>2</v>
      </c>
      <c r="AA146" s="2">
        <v>1.8</v>
      </c>
      <c r="AB146" s="2">
        <v>2</v>
      </c>
      <c r="AC146" s="2">
        <v>2.5</v>
      </c>
      <c r="AD146" s="2">
        <v>2.3</v>
      </c>
      <c r="AE146" s="10" t="s">
        <v>397</v>
      </c>
      <c r="AF146" s="2">
        <v>2</v>
      </c>
      <c r="AG146" s="2">
        <v>3</v>
      </c>
      <c r="AH146" s="2">
        <v>2.5</v>
      </c>
      <c r="AN146" s="2">
        <v>3</v>
      </c>
      <c r="AU146" s="2">
        <v>4</v>
      </c>
      <c r="AV146" s="2">
        <v>6</v>
      </c>
      <c r="AW146" s="2">
        <v>5</v>
      </c>
      <c r="AX146" s="2">
        <v>7</v>
      </c>
      <c r="AY146" s="2">
        <v>10</v>
      </c>
      <c r="AZ146" s="2">
        <v>14</v>
      </c>
      <c r="BA146" s="10" t="s">
        <v>397</v>
      </c>
      <c r="BB146" s="2">
        <v>5</v>
      </c>
      <c r="BC146" s="2">
        <v>8</v>
      </c>
      <c r="BD146" s="2">
        <v>10</v>
      </c>
      <c r="BK146" s="2">
        <v>25</v>
      </c>
      <c r="BL146" s="2">
        <v>30</v>
      </c>
      <c r="BM146" s="2">
        <v>28</v>
      </c>
      <c r="CK146" s="2"/>
      <c r="CL146" s="10" t="s">
        <v>397</v>
      </c>
    </row>
    <row r="147" spans="1:90" ht="15">
      <c r="A147" s="10"/>
      <c r="F147" s="2" t="s">
        <v>160</v>
      </c>
      <c r="G147" s="2">
        <f aca="true" t="shared" si="136" ref="G147:AD147">G146*G3</f>
        <v>0</v>
      </c>
      <c r="H147" s="2">
        <f t="shared" si="136"/>
        <v>0</v>
      </c>
      <c r="I147" s="2">
        <f t="shared" si="136"/>
        <v>0</v>
      </c>
      <c r="J147" s="2">
        <f t="shared" si="136"/>
        <v>0</v>
      </c>
      <c r="K147" s="2">
        <f t="shared" si="136"/>
        <v>0</v>
      </c>
      <c r="L147" s="2">
        <f t="shared" si="136"/>
        <v>0</v>
      </c>
      <c r="M147" s="2">
        <f t="shared" si="136"/>
        <v>0</v>
      </c>
      <c r="N147" s="2">
        <f t="shared" si="136"/>
        <v>0</v>
      </c>
      <c r="O147" s="2">
        <f t="shared" si="136"/>
        <v>0</v>
      </c>
      <c r="P147" s="2">
        <f t="shared" si="136"/>
        <v>2.412</v>
      </c>
      <c r="Q147" s="2">
        <f t="shared" si="136"/>
        <v>2.8943999999999996</v>
      </c>
      <c r="R147" s="2">
        <f t="shared" si="136"/>
        <v>2.6532</v>
      </c>
      <c r="S147" s="2">
        <f t="shared" si="136"/>
        <v>2.412</v>
      </c>
      <c r="T147" s="2">
        <f t="shared" si="136"/>
        <v>2.8943999999999996</v>
      </c>
      <c r="U147" s="2">
        <f t="shared" si="136"/>
        <v>2.8943999999999996</v>
      </c>
      <c r="V147" s="2">
        <f t="shared" si="136"/>
        <v>1.641</v>
      </c>
      <c r="W147" s="2">
        <f t="shared" si="136"/>
        <v>1.9691999999999998</v>
      </c>
      <c r="X147" s="2">
        <f t="shared" si="136"/>
        <v>1.8051000000000001</v>
      </c>
      <c r="Y147" s="2">
        <f t="shared" si="136"/>
        <v>1.7159999999999997</v>
      </c>
      <c r="Z147" s="2">
        <f t="shared" si="136"/>
        <v>2.288</v>
      </c>
      <c r="AA147" s="2">
        <f t="shared" si="136"/>
        <v>2.0591999999999997</v>
      </c>
      <c r="AB147" s="2">
        <f t="shared" si="136"/>
        <v>2.288</v>
      </c>
      <c r="AC147" s="2">
        <f t="shared" si="136"/>
        <v>2.86</v>
      </c>
      <c r="AD147" s="2">
        <f t="shared" si="136"/>
        <v>2.6311999999999998</v>
      </c>
      <c r="AE147" s="2" t="s">
        <v>160</v>
      </c>
      <c r="AF147" s="2">
        <f aca="true" t="shared" si="137" ref="AF147:AN147">AF146*AF3</f>
        <v>2.304</v>
      </c>
      <c r="AG147" s="2">
        <f t="shared" si="137"/>
        <v>3.4559999999999995</v>
      </c>
      <c r="AH147" s="2">
        <f t="shared" si="137"/>
        <v>2.88</v>
      </c>
      <c r="AI147" s="2">
        <f t="shared" si="137"/>
        <v>0</v>
      </c>
      <c r="AJ147" s="2">
        <f t="shared" si="137"/>
        <v>0</v>
      </c>
      <c r="AK147" s="2">
        <f t="shared" si="137"/>
        <v>0</v>
      </c>
      <c r="AL147" s="2">
        <f t="shared" si="137"/>
        <v>0</v>
      </c>
      <c r="AM147" s="2">
        <f t="shared" si="137"/>
        <v>0</v>
      </c>
      <c r="AN147" s="2">
        <f t="shared" si="137"/>
        <v>3.4559999999999995</v>
      </c>
      <c r="AU147" s="2">
        <f aca="true" t="shared" si="138" ref="AU147:AZ147">AU146*AU3</f>
        <v>3.82</v>
      </c>
      <c r="AV147" s="2">
        <f t="shared" si="138"/>
        <v>5.7299999999999995</v>
      </c>
      <c r="AW147" s="2">
        <f t="shared" si="138"/>
        <v>4.7749999999999995</v>
      </c>
      <c r="AX147" s="2">
        <f t="shared" si="138"/>
        <v>5.026</v>
      </c>
      <c r="AY147" s="2">
        <f t="shared" si="138"/>
        <v>7.18</v>
      </c>
      <c r="AZ147" s="2">
        <f t="shared" si="138"/>
        <v>10.052</v>
      </c>
      <c r="BA147" s="2" t="s">
        <v>160</v>
      </c>
      <c r="BB147" s="2">
        <f aca="true" t="shared" si="139" ref="BB147:CH147">BB146*BB3</f>
        <v>4.2299999999999995</v>
      </c>
      <c r="BC147" s="2">
        <f t="shared" si="139"/>
        <v>6.768</v>
      </c>
      <c r="BD147" s="2">
        <f t="shared" si="139"/>
        <v>8.459999999999999</v>
      </c>
      <c r="BE147" s="2">
        <f t="shared" si="139"/>
        <v>0</v>
      </c>
      <c r="BF147" s="2">
        <f t="shared" si="139"/>
        <v>0</v>
      </c>
      <c r="BG147" s="2">
        <f t="shared" si="139"/>
        <v>0</v>
      </c>
      <c r="BH147" s="2">
        <f t="shared" si="139"/>
        <v>0</v>
      </c>
      <c r="BI147" s="2">
        <f t="shared" si="139"/>
        <v>0</v>
      </c>
      <c r="BJ147" s="2">
        <f t="shared" si="139"/>
        <v>0</v>
      </c>
      <c r="BK147" s="2">
        <f t="shared" si="139"/>
        <v>15.3925</v>
      </c>
      <c r="BL147" s="2">
        <f t="shared" si="139"/>
        <v>18.471</v>
      </c>
      <c r="BM147" s="2">
        <f t="shared" si="139"/>
        <v>17.2396</v>
      </c>
      <c r="BN147" s="2">
        <f t="shared" si="139"/>
        <v>0</v>
      </c>
      <c r="BO147" s="2">
        <f t="shared" si="139"/>
        <v>0</v>
      </c>
      <c r="BP147" s="2">
        <f t="shared" si="139"/>
        <v>0</v>
      </c>
      <c r="BQ147" s="2">
        <f t="shared" si="139"/>
        <v>0</v>
      </c>
      <c r="BR147" s="2">
        <f t="shared" si="139"/>
        <v>0</v>
      </c>
      <c r="BS147" s="2">
        <f t="shared" si="139"/>
        <v>0</v>
      </c>
      <c r="BT147" s="2">
        <f t="shared" si="139"/>
        <v>0</v>
      </c>
      <c r="BU147" s="2">
        <f t="shared" si="139"/>
        <v>0</v>
      </c>
      <c r="BV147" s="2">
        <f t="shared" si="139"/>
        <v>0</v>
      </c>
      <c r="BW147" s="2">
        <f t="shared" si="139"/>
        <v>0</v>
      </c>
      <c r="BX147" s="2">
        <f t="shared" si="139"/>
        <v>0</v>
      </c>
      <c r="BY147" s="2">
        <f t="shared" si="139"/>
        <v>0</v>
      </c>
      <c r="BZ147" s="2">
        <f t="shared" si="139"/>
        <v>0</v>
      </c>
      <c r="CA147" s="2">
        <f t="shared" si="139"/>
        <v>0</v>
      </c>
      <c r="CB147" s="2">
        <f t="shared" si="139"/>
        <v>0</v>
      </c>
      <c r="CC147" s="2">
        <f t="shared" si="139"/>
        <v>0</v>
      </c>
      <c r="CD147" s="2">
        <f t="shared" si="139"/>
        <v>0</v>
      </c>
      <c r="CE147" s="2">
        <f t="shared" si="139"/>
        <v>0</v>
      </c>
      <c r="CF147" s="2">
        <f t="shared" si="139"/>
        <v>0</v>
      </c>
      <c r="CG147" s="2">
        <f t="shared" si="139"/>
        <v>0</v>
      </c>
      <c r="CH147" s="2">
        <f t="shared" si="139"/>
        <v>0</v>
      </c>
      <c r="CK147" s="2">
        <v>15</v>
      </c>
      <c r="CL147" s="2" t="s">
        <v>160</v>
      </c>
    </row>
    <row r="148" spans="1:90" ht="15">
      <c r="A148" s="10"/>
      <c r="F148" s="2" t="s">
        <v>277</v>
      </c>
      <c r="P148" s="14">
        <f>0.18*P147</f>
        <v>0.43416</v>
      </c>
      <c r="Q148" s="14">
        <f aca="true" t="shared" si="140" ref="Q148:AN148">0.18*Q147</f>
        <v>0.5209919999999999</v>
      </c>
      <c r="R148" s="14">
        <f t="shared" si="140"/>
        <v>0.477576</v>
      </c>
      <c r="S148" s="14">
        <f t="shared" si="140"/>
        <v>0.43416</v>
      </c>
      <c r="T148" s="14">
        <f t="shared" si="140"/>
        <v>0.5209919999999999</v>
      </c>
      <c r="U148" s="14">
        <f t="shared" si="140"/>
        <v>0.5209919999999999</v>
      </c>
      <c r="V148" s="14">
        <f t="shared" si="140"/>
        <v>0.29538</v>
      </c>
      <c r="W148" s="14">
        <f t="shared" si="140"/>
        <v>0.35445599999999994</v>
      </c>
      <c r="X148" s="14">
        <f t="shared" si="140"/>
        <v>0.32491800000000004</v>
      </c>
      <c r="Y148" s="14">
        <f t="shared" si="140"/>
        <v>0.30887999999999993</v>
      </c>
      <c r="Z148" s="14">
        <f t="shared" si="140"/>
        <v>0.41183999999999993</v>
      </c>
      <c r="AA148" s="14">
        <f t="shared" si="140"/>
        <v>0.37065599999999993</v>
      </c>
      <c r="AB148" s="14">
        <f t="shared" si="140"/>
        <v>0.41183999999999993</v>
      </c>
      <c r="AC148" s="14">
        <f t="shared" si="140"/>
        <v>0.5147999999999999</v>
      </c>
      <c r="AD148" s="14">
        <f t="shared" si="140"/>
        <v>0.4736159999999999</v>
      </c>
      <c r="AE148" s="2" t="s">
        <v>277</v>
      </c>
      <c r="AF148" s="14">
        <f t="shared" si="140"/>
        <v>0.41472</v>
      </c>
      <c r="AG148" s="14">
        <f t="shared" si="140"/>
        <v>0.6220799999999999</v>
      </c>
      <c r="AH148" s="14">
        <f t="shared" si="140"/>
        <v>0.5184</v>
      </c>
      <c r="AI148" s="14">
        <f t="shared" si="140"/>
        <v>0</v>
      </c>
      <c r="AJ148" s="14">
        <f t="shared" si="140"/>
        <v>0</v>
      </c>
      <c r="AK148" s="14">
        <f t="shared" si="140"/>
        <v>0</v>
      </c>
      <c r="AL148" s="14">
        <f t="shared" si="140"/>
        <v>0</v>
      </c>
      <c r="AM148" s="14">
        <f t="shared" si="140"/>
        <v>0</v>
      </c>
      <c r="AN148" s="14">
        <f t="shared" si="140"/>
        <v>0.6220799999999999</v>
      </c>
      <c r="AO148" s="14">
        <f aca="true" t="shared" si="141" ref="AO148:AZ148">0.18*AO147</f>
        <v>0</v>
      </c>
      <c r="AP148" s="14">
        <f t="shared" si="141"/>
        <v>0</v>
      </c>
      <c r="AQ148" s="14">
        <f t="shared" si="141"/>
        <v>0</v>
      </c>
      <c r="AR148" s="14">
        <f t="shared" si="141"/>
        <v>0</v>
      </c>
      <c r="AS148" s="14">
        <f t="shared" si="141"/>
        <v>0</v>
      </c>
      <c r="AT148" s="14">
        <f t="shared" si="141"/>
        <v>0</v>
      </c>
      <c r="AU148" s="14">
        <f t="shared" si="141"/>
        <v>0.6876</v>
      </c>
      <c r="AV148" s="14">
        <f t="shared" si="141"/>
        <v>1.0313999999999999</v>
      </c>
      <c r="AW148" s="14">
        <f t="shared" si="141"/>
        <v>0.8594999999999998</v>
      </c>
      <c r="AX148" s="14">
        <f t="shared" si="141"/>
        <v>0.9046799999999999</v>
      </c>
      <c r="AY148" s="14">
        <f t="shared" si="141"/>
        <v>1.2924</v>
      </c>
      <c r="AZ148" s="14">
        <f t="shared" si="141"/>
        <v>1.8093599999999999</v>
      </c>
      <c r="BA148" s="2" t="s">
        <v>277</v>
      </c>
      <c r="BB148" s="14">
        <f>0.18*BB147</f>
        <v>0.7613999999999999</v>
      </c>
      <c r="BC148" s="14">
        <f>0.18*BC147</f>
        <v>1.21824</v>
      </c>
      <c r="BD148" s="14">
        <f>0.18*BD147</f>
        <v>1.5227999999999997</v>
      </c>
      <c r="BK148" s="14">
        <f>0.18*BK147</f>
        <v>2.77065</v>
      </c>
      <c r="BL148" s="14">
        <f>0.18*BL147</f>
        <v>3.32478</v>
      </c>
      <c r="BM148" s="14">
        <f>0.18*BM147</f>
        <v>3.103128</v>
      </c>
      <c r="CK148" s="14">
        <f>0.18*CK147</f>
        <v>2.6999999999999997</v>
      </c>
      <c r="CL148" s="2" t="s">
        <v>277</v>
      </c>
    </row>
    <row r="149" spans="1:89" ht="15">
      <c r="A149" s="10"/>
      <c r="CK149" s="2"/>
    </row>
    <row r="150" spans="1:90" ht="15">
      <c r="A150" s="10" t="s">
        <v>399</v>
      </c>
      <c r="C150" s="2" t="s">
        <v>241</v>
      </c>
      <c r="D150" s="2" t="s">
        <v>67</v>
      </c>
      <c r="E150" s="2" t="s">
        <v>68</v>
      </c>
      <c r="F150" s="2" t="s">
        <v>69</v>
      </c>
      <c r="R150" s="2">
        <v>720</v>
      </c>
      <c r="S150" s="2">
        <v>400</v>
      </c>
      <c r="T150" s="2">
        <v>600</v>
      </c>
      <c r="U150" s="2">
        <v>500</v>
      </c>
      <c r="V150" s="2">
        <v>400</v>
      </c>
      <c r="W150" s="2">
        <v>600</v>
      </c>
      <c r="X150" s="2">
        <v>500</v>
      </c>
      <c r="Y150" s="2">
        <v>550</v>
      </c>
      <c r="Z150" s="2">
        <v>600</v>
      </c>
      <c r="AA150" s="2">
        <v>575</v>
      </c>
      <c r="AB150" s="2">
        <v>600</v>
      </c>
      <c r="AC150" s="2">
        <v>640</v>
      </c>
      <c r="AD150" s="2">
        <v>620</v>
      </c>
      <c r="AE150" s="10" t="s">
        <v>399</v>
      </c>
      <c r="AF150" s="10"/>
      <c r="AG150" s="10"/>
      <c r="AN150" s="2">
        <v>750</v>
      </c>
      <c r="AU150" s="2">
        <v>1300</v>
      </c>
      <c r="AV150" s="2">
        <v>1500</v>
      </c>
      <c r="AW150" s="2">
        <v>1400</v>
      </c>
      <c r="BA150" s="10" t="s">
        <v>399</v>
      </c>
      <c r="BE150" s="10"/>
      <c r="BF150" s="10"/>
      <c r="BG150" s="10"/>
      <c r="BH150" s="10"/>
      <c r="BI150" s="10"/>
      <c r="BJ150" s="10"/>
      <c r="BK150" s="2">
        <v>3000</v>
      </c>
      <c r="BL150" s="2">
        <v>3600</v>
      </c>
      <c r="BM150" s="2">
        <v>3300</v>
      </c>
      <c r="CK150" s="2"/>
      <c r="CL150" s="10" t="s">
        <v>399</v>
      </c>
    </row>
    <row r="151" spans="1:90" ht="15">
      <c r="A151" s="10"/>
      <c r="F151" s="2" t="s">
        <v>160</v>
      </c>
      <c r="G151" s="2">
        <f aca="true" t="shared" si="142" ref="G151:AD151">G150*G3</f>
        <v>0</v>
      </c>
      <c r="H151" s="2">
        <f t="shared" si="142"/>
        <v>0</v>
      </c>
      <c r="I151" s="2">
        <f t="shared" si="142"/>
        <v>0</v>
      </c>
      <c r="J151" s="2">
        <f t="shared" si="142"/>
        <v>0</v>
      </c>
      <c r="K151" s="2">
        <f t="shared" si="142"/>
        <v>0</v>
      </c>
      <c r="L151" s="2">
        <f t="shared" si="142"/>
        <v>0</v>
      </c>
      <c r="M151" s="2">
        <f t="shared" si="142"/>
        <v>0</v>
      </c>
      <c r="N151" s="2">
        <f t="shared" si="142"/>
        <v>0</v>
      </c>
      <c r="O151" s="2">
        <f t="shared" si="142"/>
        <v>0</v>
      </c>
      <c r="P151" s="2">
        <f t="shared" si="142"/>
        <v>0</v>
      </c>
      <c r="Q151" s="2">
        <f t="shared" si="142"/>
        <v>0</v>
      </c>
      <c r="R151" s="2">
        <f t="shared" si="142"/>
        <v>1736.6399999999999</v>
      </c>
      <c r="S151" s="2">
        <f t="shared" si="142"/>
        <v>964.8</v>
      </c>
      <c r="T151" s="2">
        <f t="shared" si="142"/>
        <v>1447.2</v>
      </c>
      <c r="U151" s="2">
        <f t="shared" si="142"/>
        <v>1206</v>
      </c>
      <c r="V151" s="2">
        <f t="shared" si="142"/>
        <v>656.4</v>
      </c>
      <c r="W151" s="2">
        <f t="shared" si="142"/>
        <v>984.6</v>
      </c>
      <c r="X151" s="2">
        <f t="shared" si="142"/>
        <v>820.5</v>
      </c>
      <c r="Y151" s="2">
        <f t="shared" si="142"/>
        <v>629.1999999999999</v>
      </c>
      <c r="Z151" s="2">
        <f t="shared" si="142"/>
        <v>686.4</v>
      </c>
      <c r="AA151" s="2">
        <f t="shared" si="142"/>
        <v>657.8</v>
      </c>
      <c r="AB151" s="2">
        <f t="shared" si="142"/>
        <v>686.4</v>
      </c>
      <c r="AC151" s="2">
        <f t="shared" si="142"/>
        <v>732.16</v>
      </c>
      <c r="AD151" s="2">
        <f t="shared" si="142"/>
        <v>709.28</v>
      </c>
      <c r="AE151" s="2" t="s">
        <v>160</v>
      </c>
      <c r="AF151" s="2">
        <f aca="true" t="shared" si="143" ref="AF151:AN151">AF150*AF3</f>
        <v>0</v>
      </c>
      <c r="AG151" s="2">
        <f t="shared" si="143"/>
        <v>0</v>
      </c>
      <c r="AH151" s="2">
        <f t="shared" si="143"/>
        <v>0</v>
      </c>
      <c r="AI151" s="2">
        <f t="shared" si="143"/>
        <v>0</v>
      </c>
      <c r="AJ151" s="2">
        <f t="shared" si="143"/>
        <v>0</v>
      </c>
      <c r="AK151" s="2">
        <f t="shared" si="143"/>
        <v>0</v>
      </c>
      <c r="AL151" s="2">
        <f t="shared" si="143"/>
        <v>0</v>
      </c>
      <c r="AM151" s="2">
        <f t="shared" si="143"/>
        <v>0</v>
      </c>
      <c r="AN151" s="2">
        <f t="shared" si="143"/>
        <v>863.9999999999999</v>
      </c>
      <c r="AU151" s="2">
        <f aca="true" t="shared" si="144" ref="AU151:AZ151">AU150*AU3</f>
        <v>1241.5</v>
      </c>
      <c r="AV151" s="2">
        <f t="shared" si="144"/>
        <v>1432.5</v>
      </c>
      <c r="AW151" s="2">
        <f t="shared" si="144"/>
        <v>1337</v>
      </c>
      <c r="AX151" s="2">
        <f t="shared" si="144"/>
        <v>0</v>
      </c>
      <c r="AY151" s="2">
        <f t="shared" si="144"/>
        <v>0</v>
      </c>
      <c r="AZ151" s="2">
        <f t="shared" si="144"/>
        <v>0</v>
      </c>
      <c r="BA151" s="2" t="s">
        <v>160</v>
      </c>
      <c r="BB151" s="2">
        <f aca="true" t="shared" si="145" ref="BB151:CH151">BB150*BB3</f>
        <v>0</v>
      </c>
      <c r="BC151" s="2">
        <f t="shared" si="145"/>
        <v>0</v>
      </c>
      <c r="BD151" s="2">
        <f t="shared" si="145"/>
        <v>0</v>
      </c>
      <c r="BE151" s="2">
        <f t="shared" si="145"/>
        <v>0</v>
      </c>
      <c r="BF151" s="2">
        <f t="shared" si="145"/>
        <v>0</v>
      </c>
      <c r="BG151" s="2">
        <f t="shared" si="145"/>
        <v>0</v>
      </c>
      <c r="BH151" s="2">
        <f t="shared" si="145"/>
        <v>0</v>
      </c>
      <c r="BI151" s="2">
        <f t="shared" si="145"/>
        <v>0</v>
      </c>
      <c r="BJ151" s="2">
        <f t="shared" si="145"/>
        <v>0</v>
      </c>
      <c r="BK151" s="2">
        <f t="shared" si="145"/>
        <v>1847.1000000000001</v>
      </c>
      <c r="BL151" s="2">
        <f t="shared" si="145"/>
        <v>2216.52</v>
      </c>
      <c r="BM151" s="2">
        <f t="shared" si="145"/>
        <v>2031.8100000000002</v>
      </c>
      <c r="BN151" s="2">
        <f t="shared" si="145"/>
        <v>0</v>
      </c>
      <c r="BO151" s="2">
        <f t="shared" si="145"/>
        <v>0</v>
      </c>
      <c r="BP151" s="2">
        <f t="shared" si="145"/>
        <v>0</v>
      </c>
      <c r="BQ151" s="2">
        <f t="shared" si="145"/>
        <v>0</v>
      </c>
      <c r="BR151" s="2">
        <f t="shared" si="145"/>
        <v>0</v>
      </c>
      <c r="BS151" s="2">
        <f t="shared" si="145"/>
        <v>0</v>
      </c>
      <c r="BT151" s="2">
        <f t="shared" si="145"/>
        <v>0</v>
      </c>
      <c r="BU151" s="2">
        <f t="shared" si="145"/>
        <v>0</v>
      </c>
      <c r="BV151" s="2">
        <f t="shared" si="145"/>
        <v>0</v>
      </c>
      <c r="BW151" s="2">
        <f t="shared" si="145"/>
        <v>0</v>
      </c>
      <c r="BX151" s="2">
        <f t="shared" si="145"/>
        <v>0</v>
      </c>
      <c r="BY151" s="2">
        <f t="shared" si="145"/>
        <v>0</v>
      </c>
      <c r="BZ151" s="2">
        <f t="shared" si="145"/>
        <v>0</v>
      </c>
      <c r="CA151" s="2">
        <f t="shared" si="145"/>
        <v>0</v>
      </c>
      <c r="CB151" s="2">
        <f t="shared" si="145"/>
        <v>0</v>
      </c>
      <c r="CC151" s="2">
        <f t="shared" si="145"/>
        <v>0</v>
      </c>
      <c r="CD151" s="2">
        <f t="shared" si="145"/>
        <v>0</v>
      </c>
      <c r="CE151" s="2">
        <f t="shared" si="145"/>
        <v>0</v>
      </c>
      <c r="CF151" s="2">
        <f t="shared" si="145"/>
        <v>0</v>
      </c>
      <c r="CG151" s="2">
        <f t="shared" si="145"/>
        <v>0</v>
      </c>
      <c r="CH151" s="2">
        <f t="shared" si="145"/>
        <v>0</v>
      </c>
      <c r="CK151" s="2">
        <v>579.36</v>
      </c>
      <c r="CL151" s="2" t="s">
        <v>160</v>
      </c>
    </row>
    <row r="152" spans="1:89" ht="15">
      <c r="A152" s="10"/>
      <c r="F152" s="2" t="s">
        <v>140</v>
      </c>
      <c r="R152" s="8">
        <f aca="true" t="shared" si="146" ref="R152:AD152">0.18*R151/16.38</f>
        <v>19.083956043956043</v>
      </c>
      <c r="S152" s="7">
        <f t="shared" si="146"/>
        <v>10.602197802197802</v>
      </c>
      <c r="T152" s="7">
        <f t="shared" si="146"/>
        <v>15.903296703296704</v>
      </c>
      <c r="U152" s="7">
        <f t="shared" si="146"/>
        <v>13.252747252747252</v>
      </c>
      <c r="V152" s="7">
        <f t="shared" si="146"/>
        <v>7.213186813186812</v>
      </c>
      <c r="W152" s="7">
        <f t="shared" si="146"/>
        <v>10.81978021978022</v>
      </c>
      <c r="X152" s="8">
        <f t="shared" si="146"/>
        <v>9.016483516483516</v>
      </c>
      <c r="Y152" s="7">
        <f t="shared" si="146"/>
        <v>6.914285714285714</v>
      </c>
      <c r="Z152" s="7">
        <f t="shared" si="146"/>
        <v>7.542857142857143</v>
      </c>
      <c r="AA152" s="7">
        <f t="shared" si="146"/>
        <v>7.228571428571428</v>
      </c>
      <c r="AB152" s="7">
        <f t="shared" si="146"/>
        <v>7.542857142857143</v>
      </c>
      <c r="AC152" s="7">
        <f t="shared" si="146"/>
        <v>8.045714285714284</v>
      </c>
      <c r="AD152" s="7">
        <f t="shared" si="146"/>
        <v>7.794285714285714</v>
      </c>
      <c r="AN152" s="8">
        <f>0.18*AN151/16.38</f>
        <v>9.494505494505495</v>
      </c>
      <c r="AU152" s="7">
        <f>0.18*AU151/16.38</f>
        <v>13.642857142857144</v>
      </c>
      <c r="AV152" s="7">
        <f>0.18*AV151/16.38</f>
        <v>15.741758241758241</v>
      </c>
      <c r="AW152" s="8">
        <f>0.18*AW151/16.38</f>
        <v>14.692307692307693</v>
      </c>
      <c r="CK152" s="2"/>
    </row>
    <row r="153" spans="1:89" ht="15">
      <c r="A153" s="10"/>
      <c r="CK153" s="2"/>
    </row>
    <row r="154" spans="1:90" ht="15">
      <c r="A154" s="10" t="s">
        <v>242</v>
      </c>
      <c r="B154" s="2" t="s">
        <v>412</v>
      </c>
      <c r="C154" s="2" t="s">
        <v>243</v>
      </c>
      <c r="D154" s="2" t="s">
        <v>67</v>
      </c>
      <c r="E154" s="2" t="s">
        <v>68</v>
      </c>
      <c r="F154" s="2" t="s">
        <v>69</v>
      </c>
      <c r="M154" s="2" t="s">
        <v>134</v>
      </c>
      <c r="N154" s="2">
        <v>50</v>
      </c>
      <c r="O154" s="2">
        <v>49.7</v>
      </c>
      <c r="P154" s="2">
        <v>70</v>
      </c>
      <c r="Q154" s="2">
        <v>80</v>
      </c>
      <c r="R154" s="2">
        <v>75</v>
      </c>
      <c r="S154" s="2">
        <v>80</v>
      </c>
      <c r="T154" s="2">
        <v>110</v>
      </c>
      <c r="U154" s="2">
        <v>95</v>
      </c>
      <c r="V154" s="2">
        <v>80</v>
      </c>
      <c r="W154" s="2">
        <v>90</v>
      </c>
      <c r="X154" s="2">
        <v>85</v>
      </c>
      <c r="Y154" s="2">
        <v>70</v>
      </c>
      <c r="Z154" s="2">
        <v>100</v>
      </c>
      <c r="AA154" s="2">
        <v>85</v>
      </c>
      <c r="AB154" s="2">
        <v>90</v>
      </c>
      <c r="AC154" s="2">
        <v>110</v>
      </c>
      <c r="AD154" s="2">
        <v>100</v>
      </c>
      <c r="AE154" s="10" t="s">
        <v>242</v>
      </c>
      <c r="AF154" s="10"/>
      <c r="AG154" s="10"/>
      <c r="AU154" s="2">
        <v>800</v>
      </c>
      <c r="AV154" s="2">
        <v>1200</v>
      </c>
      <c r="AW154" s="2">
        <v>660</v>
      </c>
      <c r="AX154" s="2">
        <v>1000</v>
      </c>
      <c r="AY154" s="2">
        <v>1400</v>
      </c>
      <c r="AZ154" s="2">
        <v>1173</v>
      </c>
      <c r="BA154" s="10" t="s">
        <v>242</v>
      </c>
      <c r="BB154" s="2">
        <v>800</v>
      </c>
      <c r="BC154" s="2">
        <v>1400</v>
      </c>
      <c r="BD154" s="2">
        <v>1100</v>
      </c>
      <c r="BK154" s="2">
        <v>1000</v>
      </c>
      <c r="BL154" s="2">
        <v>1200</v>
      </c>
      <c r="BM154" s="2">
        <v>1100</v>
      </c>
      <c r="BN154" s="10"/>
      <c r="BO154" s="10"/>
      <c r="BP154" s="10"/>
      <c r="BQ154" s="10"/>
      <c r="CK154" s="2"/>
      <c r="CL154" s="10" t="s">
        <v>242</v>
      </c>
    </row>
    <row r="155" spans="1:90" ht="15">
      <c r="A155" s="10"/>
      <c r="F155" s="2" t="s">
        <v>160</v>
      </c>
      <c r="G155" s="2">
        <f aca="true" t="shared" si="147" ref="G155:AD155">G154*G3</f>
        <v>0</v>
      </c>
      <c r="H155" s="2">
        <f t="shared" si="147"/>
        <v>0</v>
      </c>
      <c r="I155" s="2">
        <f t="shared" si="147"/>
        <v>0</v>
      </c>
      <c r="J155" s="2">
        <f t="shared" si="147"/>
        <v>0</v>
      </c>
      <c r="K155" s="2">
        <f t="shared" si="147"/>
        <v>0</v>
      </c>
      <c r="L155" s="2">
        <f t="shared" si="147"/>
        <v>0</v>
      </c>
      <c r="M155" s="2" t="e">
        <f t="shared" si="147"/>
        <v>#VALUE!</v>
      </c>
      <c r="N155" s="2">
        <f t="shared" si="147"/>
        <v>187.6</v>
      </c>
      <c r="O155" s="2">
        <f t="shared" si="147"/>
        <v>186.4744</v>
      </c>
      <c r="P155" s="2">
        <f t="shared" si="147"/>
        <v>168.84</v>
      </c>
      <c r="Q155" s="2">
        <f t="shared" si="147"/>
        <v>192.95999999999998</v>
      </c>
      <c r="R155" s="2">
        <f t="shared" si="147"/>
        <v>180.9</v>
      </c>
      <c r="S155" s="2">
        <f t="shared" si="147"/>
        <v>192.95999999999998</v>
      </c>
      <c r="T155" s="2">
        <f t="shared" si="147"/>
        <v>265.32</v>
      </c>
      <c r="U155" s="2">
        <f t="shared" si="147"/>
        <v>229.14</v>
      </c>
      <c r="V155" s="2">
        <f t="shared" si="147"/>
        <v>131.28</v>
      </c>
      <c r="W155" s="2">
        <f t="shared" si="147"/>
        <v>147.69</v>
      </c>
      <c r="X155" s="2">
        <f t="shared" si="147"/>
        <v>139.485</v>
      </c>
      <c r="Y155" s="2">
        <f t="shared" si="147"/>
        <v>80.08</v>
      </c>
      <c r="Z155" s="2">
        <f t="shared" si="147"/>
        <v>114.39999999999999</v>
      </c>
      <c r="AA155" s="2">
        <f t="shared" si="147"/>
        <v>97.24</v>
      </c>
      <c r="AB155" s="2">
        <f t="shared" si="147"/>
        <v>102.96</v>
      </c>
      <c r="AC155" s="2">
        <f t="shared" si="147"/>
        <v>125.83999999999999</v>
      </c>
      <c r="AD155" s="2">
        <f t="shared" si="147"/>
        <v>114.39999999999999</v>
      </c>
      <c r="AE155" s="2" t="s">
        <v>160</v>
      </c>
      <c r="AF155" s="2">
        <f aca="true" t="shared" si="148" ref="AF155:AN155">AF154*AF3</f>
        <v>0</v>
      </c>
      <c r="AG155" s="2">
        <f t="shared" si="148"/>
        <v>0</v>
      </c>
      <c r="AH155" s="2">
        <f t="shared" si="148"/>
        <v>0</v>
      </c>
      <c r="AI155" s="2">
        <f t="shared" si="148"/>
        <v>0</v>
      </c>
      <c r="AJ155" s="2">
        <f t="shared" si="148"/>
        <v>0</v>
      </c>
      <c r="AK155" s="2">
        <f t="shared" si="148"/>
        <v>0</v>
      </c>
      <c r="AL155" s="2">
        <f t="shared" si="148"/>
        <v>0</v>
      </c>
      <c r="AM155" s="2">
        <f t="shared" si="148"/>
        <v>0</v>
      </c>
      <c r="AN155" s="2">
        <f t="shared" si="148"/>
        <v>0</v>
      </c>
      <c r="AU155" s="2">
        <f aca="true" t="shared" si="149" ref="AU155:AZ155">AU154*AU3</f>
        <v>764</v>
      </c>
      <c r="AV155" s="2">
        <f t="shared" si="149"/>
        <v>1146</v>
      </c>
      <c r="AW155" s="2">
        <f t="shared" si="149"/>
        <v>630.3</v>
      </c>
      <c r="AX155" s="2">
        <f t="shared" si="149"/>
        <v>718</v>
      </c>
      <c r="AY155" s="2">
        <f t="shared" si="149"/>
        <v>1005.1999999999999</v>
      </c>
      <c r="AZ155" s="2">
        <f t="shared" si="149"/>
        <v>842.2139999999999</v>
      </c>
      <c r="BA155" s="2" t="s">
        <v>160</v>
      </c>
      <c r="BB155" s="2">
        <f aca="true" t="shared" si="150" ref="BB155:CH155">BB154*BB3</f>
        <v>676.8</v>
      </c>
      <c r="BC155" s="2">
        <f t="shared" si="150"/>
        <v>1184.3999999999999</v>
      </c>
      <c r="BD155" s="2">
        <f t="shared" si="150"/>
        <v>930.6</v>
      </c>
      <c r="BE155" s="2">
        <f t="shared" si="150"/>
        <v>0</v>
      </c>
      <c r="BF155" s="2">
        <f t="shared" si="150"/>
        <v>0</v>
      </c>
      <c r="BG155" s="2">
        <f t="shared" si="150"/>
        <v>0</v>
      </c>
      <c r="BH155" s="2">
        <f t="shared" si="150"/>
        <v>0</v>
      </c>
      <c r="BI155" s="2">
        <f t="shared" si="150"/>
        <v>0</v>
      </c>
      <c r="BJ155" s="2">
        <f t="shared" si="150"/>
        <v>0</v>
      </c>
      <c r="BK155" s="2">
        <f t="shared" si="150"/>
        <v>615.7</v>
      </c>
      <c r="BL155" s="2">
        <f t="shared" si="150"/>
        <v>738.84</v>
      </c>
      <c r="BM155" s="2">
        <f t="shared" si="150"/>
        <v>677.27</v>
      </c>
      <c r="BN155" s="2">
        <f t="shared" si="150"/>
        <v>0</v>
      </c>
      <c r="BO155" s="2">
        <f t="shared" si="150"/>
        <v>0</v>
      </c>
      <c r="BP155" s="2">
        <f t="shared" si="150"/>
        <v>0</v>
      </c>
      <c r="BQ155" s="2">
        <f t="shared" si="150"/>
        <v>0</v>
      </c>
      <c r="BR155" s="2">
        <f t="shared" si="150"/>
        <v>0</v>
      </c>
      <c r="BS155" s="2">
        <f t="shared" si="150"/>
        <v>0</v>
      </c>
      <c r="BT155" s="2">
        <f t="shared" si="150"/>
        <v>0</v>
      </c>
      <c r="BU155" s="2">
        <f t="shared" si="150"/>
        <v>0</v>
      </c>
      <c r="BV155" s="2">
        <f t="shared" si="150"/>
        <v>0</v>
      </c>
      <c r="BW155" s="2">
        <f t="shared" si="150"/>
        <v>0</v>
      </c>
      <c r="BX155" s="2">
        <f t="shared" si="150"/>
        <v>0</v>
      </c>
      <c r="BY155" s="2">
        <f t="shared" si="150"/>
        <v>0</v>
      </c>
      <c r="BZ155" s="2">
        <f t="shared" si="150"/>
        <v>0</v>
      </c>
      <c r="CA155" s="2">
        <f t="shared" si="150"/>
        <v>0</v>
      </c>
      <c r="CB155" s="2">
        <f t="shared" si="150"/>
        <v>0</v>
      </c>
      <c r="CC155" s="2">
        <f t="shared" si="150"/>
        <v>0</v>
      </c>
      <c r="CD155" s="2">
        <f t="shared" si="150"/>
        <v>0</v>
      </c>
      <c r="CE155" s="2">
        <f t="shared" si="150"/>
        <v>0</v>
      </c>
      <c r="CF155" s="2">
        <f t="shared" si="150"/>
        <v>0</v>
      </c>
      <c r="CG155" s="2">
        <f t="shared" si="150"/>
        <v>0</v>
      </c>
      <c r="CH155" s="2">
        <f t="shared" si="150"/>
        <v>0</v>
      </c>
      <c r="CK155" s="2">
        <v>1221</v>
      </c>
      <c r="CL155" s="2" t="s">
        <v>160</v>
      </c>
    </row>
    <row r="156" spans="1:89" ht="15">
      <c r="A156" s="10"/>
      <c r="F156" s="2" t="s">
        <v>140</v>
      </c>
      <c r="M156" s="7" t="e">
        <f aca="true" t="shared" si="151" ref="M156:AD156">0.18*M155/16.38</f>
        <v>#VALUE!</v>
      </c>
      <c r="N156" s="7">
        <f t="shared" si="151"/>
        <v>2.0615384615384618</v>
      </c>
      <c r="O156" s="8">
        <f t="shared" si="151"/>
        <v>2.049169230769231</v>
      </c>
      <c r="P156" s="7">
        <f t="shared" si="151"/>
        <v>1.8553846153846154</v>
      </c>
      <c r="Q156" s="7">
        <f t="shared" si="151"/>
        <v>2.1204395604395603</v>
      </c>
      <c r="R156" s="8">
        <f t="shared" si="151"/>
        <v>1.987912087912088</v>
      </c>
      <c r="S156" s="7">
        <f t="shared" si="151"/>
        <v>2.1204395604395603</v>
      </c>
      <c r="T156" s="7">
        <f t="shared" si="151"/>
        <v>2.9156043956043955</v>
      </c>
      <c r="U156" s="7">
        <f t="shared" si="151"/>
        <v>2.518021978021978</v>
      </c>
      <c r="V156" s="7">
        <f t="shared" si="151"/>
        <v>1.4426373626373625</v>
      </c>
      <c r="W156" s="7">
        <f t="shared" si="151"/>
        <v>1.622967032967033</v>
      </c>
      <c r="X156" s="8">
        <f t="shared" si="151"/>
        <v>1.532802197802198</v>
      </c>
      <c r="Y156" s="7">
        <f t="shared" si="151"/>
        <v>0.88</v>
      </c>
      <c r="Z156" s="7">
        <f t="shared" si="151"/>
        <v>1.2571428571428571</v>
      </c>
      <c r="AA156" s="7">
        <f t="shared" si="151"/>
        <v>1.0685714285714285</v>
      </c>
      <c r="AB156" s="7">
        <f t="shared" si="151"/>
        <v>1.1314285714285715</v>
      </c>
      <c r="AC156" s="7">
        <f t="shared" si="151"/>
        <v>1.3828571428571428</v>
      </c>
      <c r="AD156" s="7">
        <f t="shared" si="151"/>
        <v>1.2571428571428571</v>
      </c>
      <c r="AU156" s="7">
        <f aca="true" t="shared" si="152" ref="AU156:AZ156">0.18*AU155/16.38</f>
        <v>8.395604395604394</v>
      </c>
      <c r="AV156" s="7">
        <f t="shared" si="152"/>
        <v>12.593406593406595</v>
      </c>
      <c r="AW156" s="7">
        <f t="shared" si="152"/>
        <v>6.926373626373627</v>
      </c>
      <c r="AX156" s="7">
        <f t="shared" si="152"/>
        <v>7.890109890109891</v>
      </c>
      <c r="AY156" s="7">
        <f t="shared" si="152"/>
        <v>11.046153846153846</v>
      </c>
      <c r="AZ156" s="7">
        <f t="shared" si="152"/>
        <v>9.2550989010989</v>
      </c>
      <c r="BA156" s="7"/>
      <c r="BB156" s="7">
        <f>0.18*BB155/16.38</f>
        <v>7.437362637362637</v>
      </c>
      <c r="BC156" s="7">
        <f>0.18*BC155/16.38</f>
        <v>13.015384615384615</v>
      </c>
      <c r="BD156" s="8">
        <f>0.18*BD155/16.38</f>
        <v>10.226373626373627</v>
      </c>
      <c r="CK156" s="2"/>
    </row>
    <row r="157" spans="1:89" ht="15">
      <c r="A157" s="10"/>
      <c r="AU157" s="10"/>
      <c r="AV157" s="10"/>
      <c r="AW157" s="10"/>
      <c r="AX157" s="10"/>
      <c r="AY157" s="10"/>
      <c r="AZ157" s="10"/>
      <c r="BB157" s="10"/>
      <c r="BC157" s="10"/>
      <c r="BD157" s="10"/>
      <c r="CK157" s="2"/>
    </row>
    <row r="158" spans="1:90" ht="15">
      <c r="A158" s="10" t="s">
        <v>244</v>
      </c>
      <c r="C158" s="2" t="s">
        <v>245</v>
      </c>
      <c r="D158" s="2" t="s">
        <v>67</v>
      </c>
      <c r="E158" s="2" t="s">
        <v>68</v>
      </c>
      <c r="F158" s="2" t="s">
        <v>69</v>
      </c>
      <c r="M158" s="2">
        <v>32.5</v>
      </c>
      <c r="N158" s="2">
        <v>34.5</v>
      </c>
      <c r="O158" s="2">
        <v>33.5</v>
      </c>
      <c r="R158" s="2">
        <v>80</v>
      </c>
      <c r="AE158" s="10" t="s">
        <v>244</v>
      </c>
      <c r="AF158" s="10"/>
      <c r="AG158" s="10"/>
      <c r="BA158" s="10" t="s">
        <v>244</v>
      </c>
      <c r="BB158" s="10"/>
      <c r="BC158" s="10"/>
      <c r="BD158" s="10"/>
      <c r="BE158" s="10"/>
      <c r="BF158" s="10"/>
      <c r="BG158" s="10"/>
      <c r="BH158" s="10"/>
      <c r="BI158" s="10"/>
      <c r="BJ158" s="10"/>
      <c r="BN158" s="10"/>
      <c r="BO158" s="10"/>
      <c r="BP158" s="10"/>
      <c r="BQ158" s="10"/>
      <c r="CK158" s="2"/>
      <c r="CL158" s="10" t="s">
        <v>244</v>
      </c>
    </row>
    <row r="159" spans="1:90" ht="15">
      <c r="A159" s="10"/>
      <c r="F159" s="2" t="s">
        <v>160</v>
      </c>
      <c r="G159" s="2">
        <f aca="true" t="shared" si="153" ref="G159:AD159">G158*G3</f>
        <v>0</v>
      </c>
      <c r="H159" s="2">
        <f t="shared" si="153"/>
        <v>0</v>
      </c>
      <c r="I159" s="2">
        <f t="shared" si="153"/>
        <v>0</v>
      </c>
      <c r="J159" s="2">
        <f t="shared" si="153"/>
        <v>0</v>
      </c>
      <c r="K159" s="2">
        <f t="shared" si="153"/>
        <v>0</v>
      </c>
      <c r="L159" s="2">
        <f t="shared" si="153"/>
        <v>0</v>
      </c>
      <c r="M159" s="2">
        <f t="shared" si="153"/>
        <v>121.94</v>
      </c>
      <c r="N159" s="2">
        <f t="shared" si="153"/>
        <v>129.444</v>
      </c>
      <c r="O159" s="2">
        <f t="shared" si="153"/>
        <v>125.692</v>
      </c>
      <c r="P159" s="2">
        <f t="shared" si="153"/>
        <v>0</v>
      </c>
      <c r="Q159" s="2">
        <f t="shared" si="153"/>
        <v>0</v>
      </c>
      <c r="R159" s="2">
        <f t="shared" si="153"/>
        <v>192.95999999999998</v>
      </c>
      <c r="S159" s="2">
        <f t="shared" si="153"/>
        <v>0</v>
      </c>
      <c r="T159" s="2">
        <f t="shared" si="153"/>
        <v>0</v>
      </c>
      <c r="U159" s="2">
        <f t="shared" si="153"/>
        <v>0</v>
      </c>
      <c r="V159" s="2">
        <f t="shared" si="153"/>
        <v>0</v>
      </c>
      <c r="W159" s="2">
        <f t="shared" si="153"/>
        <v>0</v>
      </c>
      <c r="X159" s="2">
        <f t="shared" si="153"/>
        <v>0</v>
      </c>
      <c r="Y159" s="2">
        <f t="shared" si="153"/>
        <v>0</v>
      </c>
      <c r="Z159" s="2">
        <f t="shared" si="153"/>
        <v>0</v>
      </c>
      <c r="AA159" s="2">
        <f t="shared" si="153"/>
        <v>0</v>
      </c>
      <c r="AB159" s="2">
        <f t="shared" si="153"/>
        <v>0</v>
      </c>
      <c r="AC159" s="2">
        <f t="shared" si="153"/>
        <v>0</v>
      </c>
      <c r="AD159" s="2">
        <f t="shared" si="153"/>
        <v>0</v>
      </c>
      <c r="AE159" s="2" t="s">
        <v>160</v>
      </c>
      <c r="AF159" s="2">
        <f aca="true" t="shared" si="154" ref="AF159:AN159">AF158*AF3</f>
        <v>0</v>
      </c>
      <c r="AG159" s="2">
        <f t="shared" si="154"/>
        <v>0</v>
      </c>
      <c r="AH159" s="2">
        <f t="shared" si="154"/>
        <v>0</v>
      </c>
      <c r="AI159" s="2">
        <f t="shared" si="154"/>
        <v>0</v>
      </c>
      <c r="AJ159" s="2">
        <f t="shared" si="154"/>
        <v>0</v>
      </c>
      <c r="AK159" s="2">
        <f t="shared" si="154"/>
        <v>0</v>
      </c>
      <c r="AL159" s="2">
        <f t="shared" si="154"/>
        <v>0</v>
      </c>
      <c r="AM159" s="2">
        <f t="shared" si="154"/>
        <v>0</v>
      </c>
      <c r="AN159" s="2">
        <f t="shared" si="154"/>
        <v>0</v>
      </c>
      <c r="AU159" s="2">
        <f aca="true" t="shared" si="155" ref="AU159:AZ159">AU158*AU3</f>
        <v>0</v>
      </c>
      <c r="AV159" s="2">
        <f t="shared" si="155"/>
        <v>0</v>
      </c>
      <c r="AW159" s="2">
        <f t="shared" si="155"/>
        <v>0</v>
      </c>
      <c r="AX159" s="2">
        <f t="shared" si="155"/>
        <v>0</v>
      </c>
      <c r="AY159" s="2">
        <f t="shared" si="155"/>
        <v>0</v>
      </c>
      <c r="AZ159" s="2">
        <f t="shared" si="155"/>
        <v>0</v>
      </c>
      <c r="BA159" s="2" t="s">
        <v>160</v>
      </c>
      <c r="BB159" s="2">
        <f aca="true" t="shared" si="156" ref="BB159:CH159">BB158*BB3</f>
        <v>0</v>
      </c>
      <c r="BC159" s="2">
        <f t="shared" si="156"/>
        <v>0</v>
      </c>
      <c r="BD159" s="2">
        <f t="shared" si="156"/>
        <v>0</v>
      </c>
      <c r="BE159" s="2">
        <f t="shared" si="156"/>
        <v>0</v>
      </c>
      <c r="BF159" s="2">
        <f t="shared" si="156"/>
        <v>0</v>
      </c>
      <c r="BG159" s="2">
        <f t="shared" si="156"/>
        <v>0</v>
      </c>
      <c r="BH159" s="2">
        <f t="shared" si="156"/>
        <v>0</v>
      </c>
      <c r="BI159" s="2">
        <f t="shared" si="156"/>
        <v>0</v>
      </c>
      <c r="BJ159" s="2">
        <f t="shared" si="156"/>
        <v>0</v>
      </c>
      <c r="BK159" s="2">
        <f t="shared" si="156"/>
        <v>0</v>
      </c>
      <c r="BL159" s="2">
        <f t="shared" si="156"/>
        <v>0</v>
      </c>
      <c r="BM159" s="2">
        <f t="shared" si="156"/>
        <v>0</v>
      </c>
      <c r="BN159" s="2">
        <f t="shared" si="156"/>
        <v>0</v>
      </c>
      <c r="BO159" s="2">
        <f t="shared" si="156"/>
        <v>0</v>
      </c>
      <c r="BP159" s="2">
        <f t="shared" si="156"/>
        <v>0</v>
      </c>
      <c r="BQ159" s="2">
        <f t="shared" si="156"/>
        <v>0</v>
      </c>
      <c r="BR159" s="2">
        <f t="shared" si="156"/>
        <v>0</v>
      </c>
      <c r="BS159" s="2">
        <f t="shared" si="156"/>
        <v>0</v>
      </c>
      <c r="BT159" s="2">
        <f t="shared" si="156"/>
        <v>0</v>
      </c>
      <c r="BU159" s="2">
        <f t="shared" si="156"/>
        <v>0</v>
      </c>
      <c r="BV159" s="2">
        <f t="shared" si="156"/>
        <v>0</v>
      </c>
      <c r="BW159" s="2">
        <f t="shared" si="156"/>
        <v>0</v>
      </c>
      <c r="BX159" s="2">
        <f t="shared" si="156"/>
        <v>0</v>
      </c>
      <c r="BY159" s="2">
        <f t="shared" si="156"/>
        <v>0</v>
      </c>
      <c r="BZ159" s="2">
        <f t="shared" si="156"/>
        <v>0</v>
      </c>
      <c r="CA159" s="2">
        <f t="shared" si="156"/>
        <v>0</v>
      </c>
      <c r="CB159" s="2">
        <f t="shared" si="156"/>
        <v>0</v>
      </c>
      <c r="CC159" s="2">
        <f t="shared" si="156"/>
        <v>0</v>
      </c>
      <c r="CD159" s="2">
        <f t="shared" si="156"/>
        <v>0</v>
      </c>
      <c r="CE159" s="2">
        <f t="shared" si="156"/>
        <v>0</v>
      </c>
      <c r="CF159" s="2">
        <f t="shared" si="156"/>
        <v>0</v>
      </c>
      <c r="CG159" s="2">
        <f t="shared" si="156"/>
        <v>0</v>
      </c>
      <c r="CH159" s="2">
        <f t="shared" si="156"/>
        <v>0</v>
      </c>
      <c r="CK159" s="2"/>
      <c r="CL159" s="2" t="s">
        <v>160</v>
      </c>
    </row>
    <row r="160" spans="1:90" ht="15">
      <c r="A160" s="10" t="s">
        <v>246</v>
      </c>
      <c r="B160" s="2" t="s">
        <v>369</v>
      </c>
      <c r="C160" s="2" t="s">
        <v>247</v>
      </c>
      <c r="D160" s="2" t="s">
        <v>67</v>
      </c>
      <c r="E160" s="2" t="s">
        <v>68</v>
      </c>
      <c r="F160" s="2" t="s">
        <v>69</v>
      </c>
      <c r="M160" s="2">
        <v>50</v>
      </c>
      <c r="N160" s="2">
        <v>59</v>
      </c>
      <c r="O160" s="2">
        <v>54.5</v>
      </c>
      <c r="P160" s="2">
        <v>160</v>
      </c>
      <c r="Q160" s="2">
        <v>180</v>
      </c>
      <c r="R160" s="2">
        <v>170</v>
      </c>
      <c r="S160" s="2">
        <v>120</v>
      </c>
      <c r="T160" s="2">
        <v>160</v>
      </c>
      <c r="U160" s="2">
        <v>140</v>
      </c>
      <c r="V160" s="2">
        <v>100</v>
      </c>
      <c r="W160" s="2">
        <v>140</v>
      </c>
      <c r="X160" s="2">
        <v>120</v>
      </c>
      <c r="Y160" s="2">
        <v>100</v>
      </c>
      <c r="Z160" s="2">
        <v>140</v>
      </c>
      <c r="AA160" s="2">
        <v>70</v>
      </c>
      <c r="AE160" s="10" t="s">
        <v>246</v>
      </c>
      <c r="AF160" s="10"/>
      <c r="AG160" s="10"/>
      <c r="AU160" s="10">
        <v>240</v>
      </c>
      <c r="AV160" s="10">
        <v>550</v>
      </c>
      <c r="AW160" s="10">
        <v>395</v>
      </c>
      <c r="BA160" s="10" t="s">
        <v>246</v>
      </c>
      <c r="BB160" s="10"/>
      <c r="BC160" s="10"/>
      <c r="BD160" s="10"/>
      <c r="BE160" s="10"/>
      <c r="BF160" s="10"/>
      <c r="BG160" s="10"/>
      <c r="BH160" s="10"/>
      <c r="BI160" s="10"/>
      <c r="BJ160" s="10"/>
      <c r="BN160" s="10"/>
      <c r="BO160" s="10"/>
      <c r="BP160" s="10"/>
      <c r="BQ160" s="10"/>
      <c r="CK160" s="2"/>
      <c r="CL160" s="10" t="s">
        <v>246</v>
      </c>
    </row>
    <row r="161" spans="1:90" ht="15">
      <c r="A161" s="10"/>
      <c r="F161" s="2" t="s">
        <v>160</v>
      </c>
      <c r="G161" s="2">
        <f aca="true" t="shared" si="157" ref="G161:AD161">G160*G3</f>
        <v>0</v>
      </c>
      <c r="H161" s="2">
        <f t="shared" si="157"/>
        <v>0</v>
      </c>
      <c r="I161" s="2">
        <f t="shared" si="157"/>
        <v>0</v>
      </c>
      <c r="J161" s="2">
        <f t="shared" si="157"/>
        <v>0</v>
      </c>
      <c r="K161" s="2">
        <f t="shared" si="157"/>
        <v>0</v>
      </c>
      <c r="L161" s="2">
        <f t="shared" si="157"/>
        <v>0</v>
      </c>
      <c r="M161" s="2">
        <f t="shared" si="157"/>
        <v>187.6</v>
      </c>
      <c r="N161" s="2">
        <f t="shared" si="157"/>
        <v>221.368</v>
      </c>
      <c r="O161" s="2">
        <f t="shared" si="157"/>
        <v>204.48399999999998</v>
      </c>
      <c r="P161" s="2">
        <f t="shared" si="157"/>
        <v>385.91999999999996</v>
      </c>
      <c r="Q161" s="2">
        <f t="shared" si="157"/>
        <v>434.15999999999997</v>
      </c>
      <c r="R161" s="2">
        <f t="shared" si="157"/>
        <v>410.03999999999996</v>
      </c>
      <c r="S161" s="2">
        <f t="shared" si="157"/>
        <v>289.44</v>
      </c>
      <c r="T161" s="2">
        <f t="shared" si="157"/>
        <v>385.91999999999996</v>
      </c>
      <c r="U161" s="2">
        <f t="shared" si="157"/>
        <v>337.68</v>
      </c>
      <c r="V161" s="2">
        <f t="shared" si="157"/>
        <v>164.1</v>
      </c>
      <c r="W161" s="2">
        <f t="shared" si="157"/>
        <v>229.74</v>
      </c>
      <c r="X161" s="2">
        <f t="shared" si="157"/>
        <v>196.92000000000002</v>
      </c>
      <c r="Y161" s="2">
        <f t="shared" si="157"/>
        <v>114.39999999999999</v>
      </c>
      <c r="Z161" s="2">
        <f t="shared" si="157"/>
        <v>160.16</v>
      </c>
      <c r="AA161" s="2">
        <f t="shared" si="157"/>
        <v>80.08</v>
      </c>
      <c r="AB161" s="2">
        <f t="shared" si="157"/>
        <v>0</v>
      </c>
      <c r="AC161" s="2">
        <f t="shared" si="157"/>
        <v>0</v>
      </c>
      <c r="AD161" s="2">
        <f t="shared" si="157"/>
        <v>0</v>
      </c>
      <c r="AE161" s="2" t="s">
        <v>160</v>
      </c>
      <c r="AF161" s="2">
        <f aca="true" t="shared" si="158" ref="AF161:AN161">AF160*AF3</f>
        <v>0</v>
      </c>
      <c r="AG161" s="2">
        <f t="shared" si="158"/>
        <v>0</v>
      </c>
      <c r="AH161" s="2">
        <f t="shared" si="158"/>
        <v>0</v>
      </c>
      <c r="AI161" s="2">
        <f t="shared" si="158"/>
        <v>0</v>
      </c>
      <c r="AJ161" s="2">
        <f t="shared" si="158"/>
        <v>0</v>
      </c>
      <c r="AK161" s="2">
        <f t="shared" si="158"/>
        <v>0</v>
      </c>
      <c r="AL161" s="2">
        <f t="shared" si="158"/>
        <v>0</v>
      </c>
      <c r="AM161" s="2">
        <f t="shared" si="158"/>
        <v>0</v>
      </c>
      <c r="AN161" s="2">
        <f t="shared" si="158"/>
        <v>0</v>
      </c>
      <c r="AU161" s="10">
        <f aca="true" t="shared" si="159" ref="AU161:AZ161">AU160*AU3</f>
        <v>229.2</v>
      </c>
      <c r="AV161" s="10">
        <f t="shared" si="159"/>
        <v>525.25</v>
      </c>
      <c r="AW161" s="10">
        <f t="shared" si="159"/>
        <v>377.22499999999997</v>
      </c>
      <c r="AX161" s="2">
        <f t="shared" si="159"/>
        <v>0</v>
      </c>
      <c r="AY161" s="2">
        <f t="shared" si="159"/>
        <v>0</v>
      </c>
      <c r="AZ161" s="2">
        <f t="shared" si="159"/>
        <v>0</v>
      </c>
      <c r="BA161" s="2" t="s">
        <v>160</v>
      </c>
      <c r="BB161" s="2">
        <f aca="true" t="shared" si="160" ref="BB161:CH161">BB160*BB3</f>
        <v>0</v>
      </c>
      <c r="BC161" s="2">
        <f t="shared" si="160"/>
        <v>0</v>
      </c>
      <c r="BD161" s="2">
        <f t="shared" si="160"/>
        <v>0</v>
      </c>
      <c r="BE161" s="2">
        <f t="shared" si="160"/>
        <v>0</v>
      </c>
      <c r="BF161" s="2">
        <f t="shared" si="160"/>
        <v>0</v>
      </c>
      <c r="BG161" s="2">
        <f t="shared" si="160"/>
        <v>0</v>
      </c>
      <c r="BH161" s="2">
        <f t="shared" si="160"/>
        <v>0</v>
      </c>
      <c r="BI161" s="2">
        <f t="shared" si="160"/>
        <v>0</v>
      </c>
      <c r="BJ161" s="2">
        <f t="shared" si="160"/>
        <v>0</v>
      </c>
      <c r="BK161" s="2">
        <f t="shared" si="160"/>
        <v>0</v>
      </c>
      <c r="BL161" s="2">
        <f t="shared" si="160"/>
        <v>0</v>
      </c>
      <c r="BM161" s="2">
        <f t="shared" si="160"/>
        <v>0</v>
      </c>
      <c r="BN161" s="2">
        <f t="shared" si="160"/>
        <v>0</v>
      </c>
      <c r="BO161" s="2">
        <f t="shared" si="160"/>
        <v>0</v>
      </c>
      <c r="BP161" s="2">
        <f t="shared" si="160"/>
        <v>0</v>
      </c>
      <c r="BQ161" s="2">
        <f t="shared" si="160"/>
        <v>0</v>
      </c>
      <c r="BR161" s="2">
        <f t="shared" si="160"/>
        <v>0</v>
      </c>
      <c r="BS161" s="2">
        <f t="shared" si="160"/>
        <v>0</v>
      </c>
      <c r="BT161" s="2">
        <f t="shared" si="160"/>
        <v>0</v>
      </c>
      <c r="BU161" s="2">
        <f t="shared" si="160"/>
        <v>0</v>
      </c>
      <c r="BV161" s="2">
        <f t="shared" si="160"/>
        <v>0</v>
      </c>
      <c r="BW161" s="2">
        <f t="shared" si="160"/>
        <v>0</v>
      </c>
      <c r="BX161" s="2">
        <f t="shared" si="160"/>
        <v>0</v>
      </c>
      <c r="BY161" s="2">
        <f t="shared" si="160"/>
        <v>0</v>
      </c>
      <c r="BZ161" s="2">
        <f t="shared" si="160"/>
        <v>0</v>
      </c>
      <c r="CA161" s="2">
        <f t="shared" si="160"/>
        <v>0</v>
      </c>
      <c r="CB161" s="2">
        <f t="shared" si="160"/>
        <v>0</v>
      </c>
      <c r="CC161" s="2">
        <f t="shared" si="160"/>
        <v>0</v>
      </c>
      <c r="CD161" s="2">
        <f t="shared" si="160"/>
        <v>0</v>
      </c>
      <c r="CE161" s="2">
        <f t="shared" si="160"/>
        <v>0</v>
      </c>
      <c r="CF161" s="2">
        <f t="shared" si="160"/>
        <v>0</v>
      </c>
      <c r="CG161" s="2">
        <f t="shared" si="160"/>
        <v>0</v>
      </c>
      <c r="CH161" s="2">
        <f t="shared" si="160"/>
        <v>0</v>
      </c>
      <c r="CK161" s="2">
        <v>85.2</v>
      </c>
      <c r="CL161" s="2" t="s">
        <v>160</v>
      </c>
    </row>
    <row r="162" spans="1:90" ht="15">
      <c r="A162" s="10" t="s">
        <v>248</v>
      </c>
      <c r="C162" s="2" t="s">
        <v>258</v>
      </c>
      <c r="D162" s="2" t="s">
        <v>309</v>
      </c>
      <c r="F162" s="2" t="s">
        <v>69</v>
      </c>
      <c r="O162" s="2">
        <v>241.5</v>
      </c>
      <c r="P162" s="2">
        <v>350</v>
      </c>
      <c r="Q162" s="2">
        <v>450</v>
      </c>
      <c r="R162" s="2">
        <v>400</v>
      </c>
      <c r="Y162" s="2">
        <v>300</v>
      </c>
      <c r="Z162" s="2">
        <v>500</v>
      </c>
      <c r="AA162" s="2">
        <v>400</v>
      </c>
      <c r="AE162" s="10" t="s">
        <v>248</v>
      </c>
      <c r="AF162" s="10"/>
      <c r="AG162" s="10"/>
      <c r="BA162" s="10" t="s">
        <v>248</v>
      </c>
      <c r="BB162" s="10"/>
      <c r="BC162" s="10"/>
      <c r="BD162" s="10"/>
      <c r="BE162" s="10"/>
      <c r="BF162" s="10"/>
      <c r="BG162" s="10"/>
      <c r="BH162" s="10"/>
      <c r="BI162" s="10"/>
      <c r="BJ162" s="10"/>
      <c r="BK162" s="10"/>
      <c r="BL162" s="10"/>
      <c r="BM162" s="10"/>
      <c r="BN162" s="10"/>
      <c r="BO162" s="10"/>
      <c r="BP162" s="10"/>
      <c r="BQ162" s="10"/>
      <c r="CK162" s="2"/>
      <c r="CL162" s="10" t="s">
        <v>248</v>
      </c>
    </row>
    <row r="163" spans="6:90" ht="15">
      <c r="F163" s="2" t="s">
        <v>160</v>
      </c>
      <c r="G163" s="2">
        <f aca="true" t="shared" si="161" ref="G163:AD163">G162*G3</f>
        <v>0</v>
      </c>
      <c r="H163" s="2">
        <f t="shared" si="161"/>
        <v>0</v>
      </c>
      <c r="I163" s="2">
        <f t="shared" si="161"/>
        <v>0</v>
      </c>
      <c r="J163" s="2">
        <f t="shared" si="161"/>
        <v>0</v>
      </c>
      <c r="K163" s="2">
        <f t="shared" si="161"/>
        <v>0</v>
      </c>
      <c r="L163" s="2">
        <f t="shared" si="161"/>
        <v>0</v>
      </c>
      <c r="M163" s="2">
        <f t="shared" si="161"/>
        <v>0</v>
      </c>
      <c r="N163" s="2">
        <f t="shared" si="161"/>
        <v>0</v>
      </c>
      <c r="O163" s="2">
        <f t="shared" si="161"/>
        <v>906.108</v>
      </c>
      <c r="P163" s="2">
        <f t="shared" si="161"/>
        <v>844.1999999999999</v>
      </c>
      <c r="Q163" s="2">
        <f t="shared" si="161"/>
        <v>1085.3999999999999</v>
      </c>
      <c r="R163" s="2">
        <f t="shared" si="161"/>
        <v>964.8</v>
      </c>
      <c r="S163" s="2">
        <f t="shared" si="161"/>
        <v>0</v>
      </c>
      <c r="T163" s="2">
        <f t="shared" si="161"/>
        <v>0</v>
      </c>
      <c r="U163" s="2">
        <f t="shared" si="161"/>
        <v>0</v>
      </c>
      <c r="V163" s="2">
        <f t="shared" si="161"/>
        <v>0</v>
      </c>
      <c r="W163" s="2">
        <f t="shared" si="161"/>
        <v>0</v>
      </c>
      <c r="X163" s="2">
        <f t="shared" si="161"/>
        <v>0</v>
      </c>
      <c r="Y163" s="2">
        <f t="shared" si="161"/>
        <v>343.2</v>
      </c>
      <c r="Z163" s="2">
        <f t="shared" si="161"/>
        <v>572</v>
      </c>
      <c r="AA163" s="2">
        <f t="shared" si="161"/>
        <v>457.59999999999997</v>
      </c>
      <c r="AB163" s="2">
        <f t="shared" si="161"/>
        <v>0</v>
      </c>
      <c r="AC163" s="2">
        <f t="shared" si="161"/>
        <v>0</v>
      </c>
      <c r="AD163" s="2">
        <f t="shared" si="161"/>
        <v>0</v>
      </c>
      <c r="AE163" s="2" t="s">
        <v>160</v>
      </c>
      <c r="AF163" s="2">
        <f aca="true" t="shared" si="162" ref="AF163:AN163">AF162*AF3</f>
        <v>0</v>
      </c>
      <c r="AG163" s="2">
        <f t="shared" si="162"/>
        <v>0</v>
      </c>
      <c r="AH163" s="2">
        <f t="shared" si="162"/>
        <v>0</v>
      </c>
      <c r="AI163" s="2">
        <f t="shared" si="162"/>
        <v>0</v>
      </c>
      <c r="AJ163" s="2">
        <f t="shared" si="162"/>
        <v>0</v>
      </c>
      <c r="AK163" s="2">
        <f t="shared" si="162"/>
        <v>0</v>
      </c>
      <c r="AL163" s="2">
        <f t="shared" si="162"/>
        <v>0</v>
      </c>
      <c r="AM163" s="2">
        <f t="shared" si="162"/>
        <v>0</v>
      </c>
      <c r="AN163" s="2">
        <f t="shared" si="162"/>
        <v>0</v>
      </c>
      <c r="AU163" s="2">
        <f aca="true" t="shared" si="163" ref="AU163:AZ163">AU162*AU3</f>
        <v>0</v>
      </c>
      <c r="AV163" s="2">
        <f t="shared" si="163"/>
        <v>0</v>
      </c>
      <c r="AW163" s="2">
        <f t="shared" si="163"/>
        <v>0</v>
      </c>
      <c r="AX163" s="2">
        <f t="shared" si="163"/>
        <v>0</v>
      </c>
      <c r="AY163" s="2">
        <f t="shared" si="163"/>
        <v>0</v>
      </c>
      <c r="AZ163" s="2">
        <f t="shared" si="163"/>
        <v>0</v>
      </c>
      <c r="BA163" s="2" t="s">
        <v>160</v>
      </c>
      <c r="BB163" s="2">
        <f aca="true" t="shared" si="164" ref="BB163:CH163">BB162*BB3</f>
        <v>0</v>
      </c>
      <c r="BC163" s="2">
        <f t="shared" si="164"/>
        <v>0</v>
      </c>
      <c r="BD163" s="2">
        <f t="shared" si="164"/>
        <v>0</v>
      </c>
      <c r="BE163" s="2">
        <f t="shared" si="164"/>
        <v>0</v>
      </c>
      <c r="BF163" s="2">
        <f t="shared" si="164"/>
        <v>0</v>
      </c>
      <c r="BG163" s="2">
        <f t="shared" si="164"/>
        <v>0</v>
      </c>
      <c r="BH163" s="2">
        <f t="shared" si="164"/>
        <v>0</v>
      </c>
      <c r="BI163" s="2">
        <f t="shared" si="164"/>
        <v>0</v>
      </c>
      <c r="BJ163" s="2">
        <f t="shared" si="164"/>
        <v>0</v>
      </c>
      <c r="BK163" s="2">
        <f t="shared" si="164"/>
        <v>0</v>
      </c>
      <c r="BL163" s="2">
        <f t="shared" si="164"/>
        <v>0</v>
      </c>
      <c r="BM163" s="2">
        <f t="shared" si="164"/>
        <v>0</v>
      </c>
      <c r="BN163" s="2">
        <f t="shared" si="164"/>
        <v>0</v>
      </c>
      <c r="BO163" s="2">
        <f t="shared" si="164"/>
        <v>0</v>
      </c>
      <c r="BP163" s="2">
        <f t="shared" si="164"/>
        <v>0</v>
      </c>
      <c r="BQ163" s="2">
        <f t="shared" si="164"/>
        <v>0</v>
      </c>
      <c r="BR163" s="2">
        <f t="shared" si="164"/>
        <v>0</v>
      </c>
      <c r="BS163" s="2">
        <f t="shared" si="164"/>
        <v>0</v>
      </c>
      <c r="BT163" s="2">
        <f t="shared" si="164"/>
        <v>0</v>
      </c>
      <c r="BU163" s="2">
        <f t="shared" si="164"/>
        <v>0</v>
      </c>
      <c r="BV163" s="2">
        <f t="shared" si="164"/>
        <v>0</v>
      </c>
      <c r="BW163" s="2">
        <f t="shared" si="164"/>
        <v>0</v>
      </c>
      <c r="BX163" s="2">
        <f t="shared" si="164"/>
        <v>0</v>
      </c>
      <c r="BY163" s="2">
        <f t="shared" si="164"/>
        <v>0</v>
      </c>
      <c r="BZ163" s="2">
        <f t="shared" si="164"/>
        <v>0</v>
      </c>
      <c r="CA163" s="2">
        <f t="shared" si="164"/>
        <v>0</v>
      </c>
      <c r="CB163" s="2">
        <f t="shared" si="164"/>
        <v>0</v>
      </c>
      <c r="CC163" s="2">
        <f t="shared" si="164"/>
        <v>0</v>
      </c>
      <c r="CD163" s="2">
        <f t="shared" si="164"/>
        <v>0</v>
      </c>
      <c r="CE163" s="2">
        <f t="shared" si="164"/>
        <v>0</v>
      </c>
      <c r="CF163" s="2">
        <f t="shared" si="164"/>
        <v>0</v>
      </c>
      <c r="CG163" s="2">
        <f t="shared" si="164"/>
        <v>0</v>
      </c>
      <c r="CH163" s="2">
        <f t="shared" si="164"/>
        <v>0</v>
      </c>
      <c r="CK163" s="2"/>
      <c r="CL163" s="2" t="s">
        <v>160</v>
      </c>
    </row>
    <row r="164" spans="7:89" s="5" customFormat="1" ht="15">
      <c r="G164" s="11" t="s">
        <v>317</v>
      </c>
      <c r="H164" s="11" t="s">
        <v>317</v>
      </c>
      <c r="I164" s="11" t="s">
        <v>317</v>
      </c>
      <c r="J164" s="11" t="s">
        <v>181</v>
      </c>
      <c r="K164" s="11" t="s">
        <v>181</v>
      </c>
      <c r="L164" s="11" t="s">
        <v>181</v>
      </c>
      <c r="M164" s="11" t="s">
        <v>259</v>
      </c>
      <c r="N164" s="11" t="s">
        <v>259</v>
      </c>
      <c r="O164" s="11" t="s">
        <v>259</v>
      </c>
      <c r="P164" s="11" t="s">
        <v>182</v>
      </c>
      <c r="Q164" s="11" t="s">
        <v>182</v>
      </c>
      <c r="R164" s="11" t="s">
        <v>182</v>
      </c>
      <c r="S164" s="11" t="s">
        <v>183</v>
      </c>
      <c r="T164" s="11" t="s">
        <v>183</v>
      </c>
      <c r="U164" s="11" t="s">
        <v>183</v>
      </c>
      <c r="V164" s="11" t="s">
        <v>260</v>
      </c>
      <c r="W164" s="11" t="s">
        <v>260</v>
      </c>
      <c r="X164" s="11" t="s">
        <v>260</v>
      </c>
      <c r="Y164" s="11" t="s">
        <v>185</v>
      </c>
      <c r="Z164" s="11" t="s">
        <v>185</v>
      </c>
      <c r="AA164" s="11" t="s">
        <v>185</v>
      </c>
      <c r="AB164" s="11" t="s">
        <v>186</v>
      </c>
      <c r="AC164" s="11" t="s">
        <v>186</v>
      </c>
      <c r="AD164" s="11" t="s">
        <v>186</v>
      </c>
      <c r="AF164" s="11" t="s">
        <v>196</v>
      </c>
      <c r="AG164" s="11" t="s">
        <v>196</v>
      </c>
      <c r="AH164" s="11" t="s">
        <v>196</v>
      </c>
      <c r="AI164" s="11" t="s">
        <v>197</v>
      </c>
      <c r="AJ164" s="11" t="s">
        <v>197</v>
      </c>
      <c r="AK164" s="11" t="s">
        <v>197</v>
      </c>
      <c r="AL164" s="11" t="s">
        <v>198</v>
      </c>
      <c r="AM164" s="11" t="s">
        <v>198</v>
      </c>
      <c r="AN164" s="11" t="s">
        <v>198</v>
      </c>
      <c r="AO164" s="11" t="s">
        <v>199</v>
      </c>
      <c r="AP164" s="11" t="s">
        <v>199</v>
      </c>
      <c r="AQ164" s="11" t="s">
        <v>199</v>
      </c>
      <c r="AR164" s="11" t="s">
        <v>200</v>
      </c>
      <c r="AS164" s="11" t="s">
        <v>200</v>
      </c>
      <c r="AT164" s="11" t="s">
        <v>200</v>
      </c>
      <c r="AU164" s="11" t="s">
        <v>201</v>
      </c>
      <c r="AV164" s="11" t="s">
        <v>201</v>
      </c>
      <c r="AW164" s="11" t="s">
        <v>201</v>
      </c>
      <c r="AX164" s="11" t="s">
        <v>266</v>
      </c>
      <c r="AY164" s="11" t="s">
        <v>266</v>
      </c>
      <c r="AZ164" s="11" t="s">
        <v>266</v>
      </c>
      <c r="BB164" s="11" t="s">
        <v>261</v>
      </c>
      <c r="BC164" s="11" t="s">
        <v>261</v>
      </c>
      <c r="BD164" s="11" t="s">
        <v>261</v>
      </c>
      <c r="BE164" s="11" t="s">
        <v>390</v>
      </c>
      <c r="BF164" s="11" t="s">
        <v>390</v>
      </c>
      <c r="BG164" s="11" t="s">
        <v>390</v>
      </c>
      <c r="BH164" s="11" t="s">
        <v>391</v>
      </c>
      <c r="BI164" s="11" t="s">
        <v>391</v>
      </c>
      <c r="BJ164" s="11" t="s">
        <v>391</v>
      </c>
      <c r="BK164" s="11" t="s">
        <v>267</v>
      </c>
      <c r="BL164" s="11" t="s">
        <v>267</v>
      </c>
      <c r="BM164" s="11" t="s">
        <v>267</v>
      </c>
      <c r="BN164" s="11" t="s">
        <v>268</v>
      </c>
      <c r="BO164" s="11" t="s">
        <v>268</v>
      </c>
      <c r="BP164" s="11" t="s">
        <v>268</v>
      </c>
      <c r="BQ164" s="11" t="s">
        <v>269</v>
      </c>
      <c r="BR164" s="11" t="s">
        <v>269</v>
      </c>
      <c r="BS164" s="11" t="s">
        <v>269</v>
      </c>
      <c r="BT164" s="11" t="s">
        <v>270</v>
      </c>
      <c r="BU164" s="11" t="s">
        <v>270</v>
      </c>
      <c r="BV164" s="11" t="s">
        <v>270</v>
      </c>
      <c r="BW164" s="11" t="s">
        <v>271</v>
      </c>
      <c r="BX164" s="11" t="s">
        <v>271</v>
      </c>
      <c r="BY164" s="11" t="s">
        <v>271</v>
      </c>
      <c r="BZ164" s="11" t="s">
        <v>272</v>
      </c>
      <c r="CA164" s="11" t="s">
        <v>272</v>
      </c>
      <c r="CB164" s="11" t="s">
        <v>272</v>
      </c>
      <c r="CC164" s="11" t="s">
        <v>273</v>
      </c>
      <c r="CD164" s="11" t="s">
        <v>273</v>
      </c>
      <c r="CE164" s="11" t="s">
        <v>273</v>
      </c>
      <c r="CF164" s="11" t="s">
        <v>274</v>
      </c>
      <c r="CG164" s="11" t="s">
        <v>274</v>
      </c>
      <c r="CH164" s="11" t="s">
        <v>274</v>
      </c>
      <c r="CI164" s="11">
        <v>1871</v>
      </c>
      <c r="CJ164" s="11">
        <v>1871</v>
      </c>
      <c r="CK164" s="11">
        <v>1871</v>
      </c>
    </row>
    <row r="165" ht="15">
      <c r="CK165" s="2"/>
    </row>
    <row r="166" ht="15">
      <c r="CK166" s="2"/>
    </row>
  </sheetData>
  <printOptions/>
  <pageMargins left="0.75" right="0.75" top="1" bottom="1" header="0.5" footer="0.5"/>
  <pageSetup horizontalDpi="180" verticalDpi="180" orientation="portrait" paperSize="9"/>
  <legacyDrawing r:id="rId2"/>
</worksheet>
</file>

<file path=xl/worksheets/sheet3.xml><?xml version="1.0" encoding="utf-8"?>
<worksheet xmlns="http://schemas.openxmlformats.org/spreadsheetml/2006/main" xmlns:r="http://schemas.openxmlformats.org/officeDocument/2006/relationships">
  <dimension ref="A1:P56"/>
  <sheetViews>
    <sheetView workbookViewId="0" topLeftCell="A40">
      <selection activeCell="A10" sqref="A10"/>
    </sheetView>
  </sheetViews>
  <sheetFormatPr defaultColWidth="11.00390625" defaultRowHeight="12.75"/>
  <cols>
    <col min="1" max="1" width="21.625" style="2" customWidth="1"/>
    <col min="2" max="2" width="9.125" style="2" customWidth="1"/>
    <col min="3" max="3" width="8.125" style="2" customWidth="1"/>
    <col min="4" max="4" width="6.125" style="2" customWidth="1"/>
    <col min="5" max="5" width="7.875" style="2" customWidth="1"/>
    <col min="6" max="6" width="5.875" style="2" customWidth="1"/>
    <col min="7" max="7" width="6.00390625" style="2" customWidth="1"/>
    <col min="8" max="9" width="7.75390625" style="2" customWidth="1"/>
    <col min="10" max="10" width="5.75390625" style="2" customWidth="1"/>
    <col min="11" max="11" width="8.125" style="2" customWidth="1"/>
    <col min="12" max="12" width="9.875" style="2" customWidth="1"/>
    <col min="13" max="13" width="7.00390625" style="2" customWidth="1"/>
    <col min="14" max="14" width="5.875" style="2" customWidth="1"/>
    <col min="15" max="15" width="8.875" style="2" customWidth="1"/>
    <col min="16" max="16384" width="8.75390625" style="2" customWidth="1"/>
  </cols>
  <sheetData>
    <row r="1" spans="1:2" ht="18.75">
      <c r="A1" s="3" t="s">
        <v>66</v>
      </c>
      <c r="B1" s="10"/>
    </row>
    <row r="2" ht="15.75"/>
    <row r="3" spans="1:16" ht="15.75">
      <c r="A3" s="10" t="s">
        <v>147</v>
      </c>
      <c r="B3" s="10" t="s">
        <v>116</v>
      </c>
      <c r="C3" s="10" t="s">
        <v>204</v>
      </c>
      <c r="D3" s="10"/>
      <c r="E3" s="10"/>
      <c r="F3" s="10"/>
      <c r="G3" s="10"/>
      <c r="H3" s="10" t="s">
        <v>19</v>
      </c>
      <c r="I3" s="10"/>
      <c r="J3" s="10" t="s">
        <v>24</v>
      </c>
      <c r="K3" s="10"/>
      <c r="L3" s="10"/>
      <c r="M3" s="10" t="s">
        <v>222</v>
      </c>
      <c r="N3" s="10"/>
      <c r="P3" s="10" t="s">
        <v>63</v>
      </c>
    </row>
    <row r="4" spans="1:16" ht="15.75">
      <c r="A4" s="10"/>
      <c r="B4" s="10" t="s">
        <v>202</v>
      </c>
      <c r="C4" s="10" t="s">
        <v>108</v>
      </c>
      <c r="D4" s="10"/>
      <c r="E4" s="10"/>
      <c r="F4" s="10" t="s">
        <v>109</v>
      </c>
      <c r="G4" s="10"/>
      <c r="H4" s="10" t="s">
        <v>20</v>
      </c>
      <c r="I4" s="10"/>
      <c r="J4" s="10" t="s">
        <v>29</v>
      </c>
      <c r="K4" s="10"/>
      <c r="L4" s="10" t="s">
        <v>406</v>
      </c>
      <c r="M4" s="10" t="s">
        <v>29</v>
      </c>
      <c r="N4" s="10"/>
      <c r="O4" s="10" t="s">
        <v>406</v>
      </c>
      <c r="P4" s="10" t="s">
        <v>62</v>
      </c>
    </row>
    <row r="5" spans="1:15" ht="15.75">
      <c r="A5" s="10"/>
      <c r="B5" s="10" t="s">
        <v>203</v>
      </c>
      <c r="C5" s="2" t="s">
        <v>249</v>
      </c>
      <c r="D5" s="2" t="s">
        <v>250</v>
      </c>
      <c r="E5" s="10" t="s">
        <v>251</v>
      </c>
      <c r="F5" s="2" t="s">
        <v>249</v>
      </c>
      <c r="G5" s="2" t="s">
        <v>250</v>
      </c>
      <c r="H5" s="10" t="s">
        <v>251</v>
      </c>
      <c r="I5" s="10"/>
      <c r="J5" s="2" t="s">
        <v>249</v>
      </c>
      <c r="K5" s="2" t="s">
        <v>250</v>
      </c>
      <c r="L5" s="10" t="s">
        <v>407</v>
      </c>
      <c r="M5" s="2" t="s">
        <v>249</v>
      </c>
      <c r="N5" s="2" t="s">
        <v>250</v>
      </c>
      <c r="O5" s="10" t="s">
        <v>407</v>
      </c>
    </row>
    <row r="6" spans="1:12" ht="15.75">
      <c r="A6" s="10" t="s">
        <v>132</v>
      </c>
      <c r="B6" s="10"/>
      <c r="C6" s="2">
        <v>3</v>
      </c>
      <c r="D6" s="2">
        <v>5</v>
      </c>
      <c r="E6" s="10">
        <v>4</v>
      </c>
      <c r="H6" s="10"/>
      <c r="I6" s="10"/>
      <c r="J6" s="2">
        <v>3</v>
      </c>
      <c r="K6" s="2">
        <v>4</v>
      </c>
      <c r="L6" s="2">
        <v>3.5</v>
      </c>
    </row>
    <row r="7" spans="1:12" ht="15.75">
      <c r="A7" s="10" t="s">
        <v>160</v>
      </c>
      <c r="B7" s="10">
        <v>2.814</v>
      </c>
      <c r="C7" s="2">
        <f aca="true" t="shared" si="0" ref="C7:J7">C6*2.814</f>
        <v>8.442</v>
      </c>
      <c r="D7" s="2">
        <f t="shared" si="0"/>
        <v>14.07</v>
      </c>
      <c r="E7" s="10">
        <f t="shared" si="0"/>
        <v>11.256</v>
      </c>
      <c r="H7" s="10"/>
      <c r="I7" s="10"/>
      <c r="J7" s="2">
        <f t="shared" si="0"/>
        <v>8.442</v>
      </c>
      <c r="K7" s="2">
        <f>K6*2.814</f>
        <v>11.256</v>
      </c>
      <c r="L7" s="2">
        <f>L6*2.814</f>
        <v>9.849</v>
      </c>
    </row>
    <row r="8" spans="1:12" ht="15.75">
      <c r="A8" s="10" t="s">
        <v>336</v>
      </c>
      <c r="B8" s="10"/>
      <c r="C8" s="7">
        <f>C7*0.18</f>
        <v>1.51956</v>
      </c>
      <c r="D8" s="7">
        <f>D7*0.18</f>
        <v>2.5326</v>
      </c>
      <c r="E8" s="8">
        <f>E7*0.18</f>
        <v>2.02608</v>
      </c>
      <c r="H8" s="10"/>
      <c r="I8" s="10"/>
      <c r="J8" s="7">
        <f>J7*0.18</f>
        <v>1.51956</v>
      </c>
      <c r="K8" s="7">
        <f>K7*0.18</f>
        <v>2.02608</v>
      </c>
      <c r="L8" s="8">
        <f>L7*0.18</f>
        <v>1.77282</v>
      </c>
    </row>
    <row r="9" spans="1:9" ht="15.75">
      <c r="A9" s="10"/>
      <c r="B9" s="10"/>
      <c r="E9" s="10"/>
      <c r="H9" s="10"/>
      <c r="I9" s="10"/>
    </row>
    <row r="10" spans="1:15" ht="15.75">
      <c r="A10" s="38">
        <v>1627</v>
      </c>
      <c r="B10" s="10"/>
      <c r="C10" s="2">
        <v>5</v>
      </c>
      <c r="D10" s="2">
        <v>6</v>
      </c>
      <c r="E10" s="10">
        <v>5.5</v>
      </c>
      <c r="H10" s="10"/>
      <c r="I10" s="10"/>
      <c r="M10" s="2">
        <v>3.8</v>
      </c>
      <c r="N10" s="2">
        <v>4.6</v>
      </c>
      <c r="O10" s="2">
        <v>4.2</v>
      </c>
    </row>
    <row r="11" spans="1:15" ht="15.75">
      <c r="A11" s="10" t="s">
        <v>160</v>
      </c>
      <c r="B11" s="10">
        <v>2.71</v>
      </c>
      <c r="C11" s="2">
        <f>C10*2.71</f>
        <v>13.55</v>
      </c>
      <c r="D11" s="2">
        <f>D10*2.71</f>
        <v>16.259999999999998</v>
      </c>
      <c r="E11" s="10">
        <f>E10*2.71</f>
        <v>14.905</v>
      </c>
      <c r="H11" s="10"/>
      <c r="I11" s="10"/>
      <c r="M11" s="2">
        <f>M10*2.71</f>
        <v>10.298</v>
      </c>
      <c r="N11" s="2">
        <f>N10*2.71</f>
        <v>12.466</v>
      </c>
      <c r="O11" s="2">
        <f>O10*2.71</f>
        <v>11.382</v>
      </c>
    </row>
    <row r="12" spans="1:15" ht="15.75">
      <c r="A12" s="10" t="s">
        <v>336</v>
      </c>
      <c r="B12" s="10"/>
      <c r="C12" s="7">
        <f>C11*0.18</f>
        <v>2.439</v>
      </c>
      <c r="D12" s="7">
        <f>D11*0.18</f>
        <v>2.9267999999999996</v>
      </c>
      <c r="E12" s="8">
        <f>E11*0.18</f>
        <v>2.6828999999999996</v>
      </c>
      <c r="H12" s="10"/>
      <c r="I12" s="10"/>
      <c r="M12" s="7">
        <f>M11*0.18</f>
        <v>1.85364</v>
      </c>
      <c r="N12" s="7">
        <f>N11*0.18</f>
        <v>2.24388</v>
      </c>
      <c r="O12" s="8">
        <f>O11*0.18</f>
        <v>2.0487599999999997</v>
      </c>
    </row>
    <row r="13" spans="1:9" ht="15.75">
      <c r="A13" s="10"/>
      <c r="B13" s="10"/>
      <c r="E13" s="10"/>
      <c r="H13" s="10"/>
      <c r="I13" s="10"/>
    </row>
    <row r="14" spans="1:12" ht="15.75">
      <c r="A14" s="10" t="s">
        <v>133</v>
      </c>
      <c r="B14" s="10"/>
      <c r="E14" s="10"/>
      <c r="H14" s="10"/>
      <c r="I14" s="10"/>
      <c r="J14" s="2">
        <v>2.3</v>
      </c>
      <c r="K14" s="2">
        <v>5.7</v>
      </c>
      <c r="L14" s="10">
        <v>4</v>
      </c>
    </row>
    <row r="15" spans="1:12" ht="15.75">
      <c r="A15" s="10" t="s">
        <v>160</v>
      </c>
      <c r="B15" s="10">
        <v>2.412</v>
      </c>
      <c r="E15" s="10"/>
      <c r="H15" s="10"/>
      <c r="I15" s="10"/>
      <c r="J15" s="2">
        <f>J14*2.412</f>
        <v>5.547599999999999</v>
      </c>
      <c r="K15" s="2">
        <f>K14*2.412</f>
        <v>13.7484</v>
      </c>
      <c r="L15" s="2">
        <f>L14*2.412</f>
        <v>9.648</v>
      </c>
    </row>
    <row r="16" spans="1:12" ht="15.75">
      <c r="A16" s="10" t="s">
        <v>336</v>
      </c>
      <c r="B16" s="10"/>
      <c r="E16" s="10"/>
      <c r="H16" s="10"/>
      <c r="I16" s="10"/>
      <c r="J16" s="7">
        <f>J15*0.18</f>
        <v>0.9985679999999998</v>
      </c>
      <c r="K16" s="7">
        <f>K15*0.18</f>
        <v>2.474712</v>
      </c>
      <c r="L16" s="8">
        <f>L15*0.18</f>
        <v>1.73664</v>
      </c>
    </row>
    <row r="17" spans="1:9" ht="15.75">
      <c r="A17" s="10"/>
      <c r="B17" s="10"/>
      <c r="H17" s="10"/>
      <c r="I17" s="10"/>
    </row>
    <row r="18" spans="1:12" ht="15.75">
      <c r="A18" s="10" t="s">
        <v>146</v>
      </c>
      <c r="B18" s="10"/>
      <c r="C18" s="2">
        <v>6</v>
      </c>
      <c r="D18" s="2">
        <v>8</v>
      </c>
      <c r="E18" s="10">
        <v>7</v>
      </c>
      <c r="H18" s="10"/>
      <c r="I18" s="10"/>
      <c r="J18" s="2">
        <v>3.5</v>
      </c>
      <c r="K18" s="2">
        <v>6.5</v>
      </c>
      <c r="L18" s="2">
        <v>5</v>
      </c>
    </row>
    <row r="19" spans="1:12" ht="15.75">
      <c r="A19" s="10" t="s">
        <v>160</v>
      </c>
      <c r="B19" s="10">
        <v>2.412</v>
      </c>
      <c r="C19" s="2">
        <f>C18*2.412</f>
        <v>14.472</v>
      </c>
      <c r="D19" s="2">
        <f>D18*2.412</f>
        <v>19.296</v>
      </c>
      <c r="E19" s="10">
        <f>E18*2.412</f>
        <v>16.884</v>
      </c>
      <c r="H19" s="10"/>
      <c r="I19" s="10"/>
      <c r="J19" s="2">
        <f>J18*2.412</f>
        <v>8.442</v>
      </c>
      <c r="K19" s="2">
        <f>K18*2.412</f>
        <v>15.677999999999999</v>
      </c>
      <c r="L19" s="2">
        <f>L18*2.412</f>
        <v>12.059999999999999</v>
      </c>
    </row>
    <row r="20" spans="1:12" ht="15.75">
      <c r="A20" s="10" t="s">
        <v>336</v>
      </c>
      <c r="B20" s="10"/>
      <c r="C20" s="7">
        <f>C19*0.18</f>
        <v>2.6049599999999997</v>
      </c>
      <c r="D20" s="7">
        <f>D19*0.18</f>
        <v>3.47328</v>
      </c>
      <c r="E20" s="8">
        <f>E19*0.18</f>
        <v>3.03912</v>
      </c>
      <c r="H20" s="10"/>
      <c r="I20" s="10"/>
      <c r="J20" s="7">
        <f>J19*0.18</f>
        <v>1.51956</v>
      </c>
      <c r="K20" s="7">
        <f>K19*0.18</f>
        <v>2.82204</v>
      </c>
      <c r="L20" s="8">
        <f>L19*0.18</f>
        <v>2.1708</v>
      </c>
    </row>
    <row r="21" spans="1:9" ht="15">
      <c r="A21" s="10"/>
      <c r="B21" s="10"/>
      <c r="E21" s="10"/>
      <c r="H21" s="10"/>
      <c r="I21" s="10"/>
    </row>
    <row r="22" spans="1:16" ht="15">
      <c r="A22" s="10" t="s">
        <v>64</v>
      </c>
      <c r="B22" s="10"/>
      <c r="E22" s="10"/>
      <c r="F22" s="2">
        <v>4</v>
      </c>
      <c r="G22" s="2">
        <v>5</v>
      </c>
      <c r="H22" s="10">
        <v>4.5</v>
      </c>
      <c r="I22" s="10"/>
      <c r="J22" s="2">
        <v>5.3</v>
      </c>
      <c r="K22" s="2">
        <v>11</v>
      </c>
      <c r="L22" s="10">
        <v>8.15</v>
      </c>
      <c r="P22" s="2">
        <v>125</v>
      </c>
    </row>
    <row r="23" spans="1:16" ht="15">
      <c r="A23" s="10" t="s">
        <v>160</v>
      </c>
      <c r="B23" s="10">
        <v>1.236</v>
      </c>
      <c r="F23" s="2">
        <f aca="true" t="shared" si="1" ref="F23:P23">F22*1.236</f>
        <v>4.944</v>
      </c>
      <c r="G23" s="2">
        <f t="shared" si="1"/>
        <v>6.18</v>
      </c>
      <c r="H23" s="2">
        <f t="shared" si="1"/>
        <v>5.562</v>
      </c>
      <c r="J23" s="2">
        <f t="shared" si="1"/>
        <v>6.5508</v>
      </c>
      <c r="K23" s="2">
        <f t="shared" si="1"/>
        <v>13.596</v>
      </c>
      <c r="L23" s="2">
        <f t="shared" si="1"/>
        <v>10.0734</v>
      </c>
      <c r="P23" s="2">
        <f t="shared" si="1"/>
        <v>154.5</v>
      </c>
    </row>
    <row r="24" spans="1:16" ht="15">
      <c r="A24" s="10" t="s">
        <v>336</v>
      </c>
      <c r="B24" s="10"/>
      <c r="F24" s="7">
        <f aca="true" t="shared" si="2" ref="F24:L24">F23*0.18</f>
        <v>0.8899199999999999</v>
      </c>
      <c r="G24" s="7">
        <f t="shared" si="2"/>
        <v>1.1123999999999998</v>
      </c>
      <c r="H24" s="8">
        <f t="shared" si="2"/>
        <v>1.00116</v>
      </c>
      <c r="I24" s="8"/>
      <c r="J24" s="7">
        <f t="shared" si="2"/>
        <v>1.179144</v>
      </c>
      <c r="K24" s="7">
        <f t="shared" si="2"/>
        <v>2.44728</v>
      </c>
      <c r="L24" s="8">
        <f t="shared" si="2"/>
        <v>1.8132119999999998</v>
      </c>
      <c r="P24" s="8">
        <f>P23*0.18</f>
        <v>27.81</v>
      </c>
    </row>
    <row r="25" spans="1:2" ht="15">
      <c r="A25" s="10"/>
      <c r="B25" s="10"/>
    </row>
    <row r="26" spans="1:9" ht="15">
      <c r="A26" s="10" t="s">
        <v>166</v>
      </c>
      <c r="B26" s="10"/>
      <c r="E26" s="10">
        <v>25</v>
      </c>
      <c r="F26" s="2">
        <v>13</v>
      </c>
      <c r="G26" s="2">
        <v>15</v>
      </c>
      <c r="H26" s="10">
        <v>14</v>
      </c>
      <c r="I26" s="10"/>
    </row>
    <row r="27" spans="1:9" ht="15">
      <c r="A27" s="10" t="s">
        <v>160</v>
      </c>
      <c r="B27" s="10">
        <v>1</v>
      </c>
      <c r="E27" s="10">
        <f>E26/1</f>
        <v>25</v>
      </c>
      <c r="F27" s="2">
        <f>F26/1</f>
        <v>13</v>
      </c>
      <c r="G27" s="2">
        <f>G26/1</f>
        <v>15</v>
      </c>
      <c r="H27" s="10">
        <f>H26/1</f>
        <v>14</v>
      </c>
      <c r="I27" s="10"/>
    </row>
    <row r="28" spans="1:9" ht="15">
      <c r="A28" s="10" t="s">
        <v>336</v>
      </c>
      <c r="B28" s="10"/>
      <c r="E28" s="8">
        <f>E27*0.18</f>
        <v>4.5</v>
      </c>
      <c r="F28" s="7">
        <f>F27*0.18</f>
        <v>2.34</v>
      </c>
      <c r="G28" s="7">
        <f>G27*0.18</f>
        <v>2.6999999999999997</v>
      </c>
      <c r="H28" s="8">
        <f>H27*0.18</f>
        <v>2.52</v>
      </c>
      <c r="I28" s="8">
        <f>100*((E28/H28)-1)</f>
        <v>78.57142857142858</v>
      </c>
    </row>
    <row r="29" spans="1:9" ht="15">
      <c r="A29" s="10"/>
      <c r="B29" s="10"/>
      <c r="E29" s="10"/>
      <c r="H29" s="10"/>
      <c r="I29" s="10"/>
    </row>
    <row r="30" spans="1:2" ht="15">
      <c r="A30" s="10" t="s">
        <v>270</v>
      </c>
      <c r="B30" s="10"/>
    </row>
    <row r="31" spans="1:11" ht="15">
      <c r="A31" s="10" t="s">
        <v>160</v>
      </c>
      <c r="B31" s="10">
        <v>0.2844</v>
      </c>
      <c r="J31" s="2">
        <v>23</v>
      </c>
      <c r="K31" s="2">
        <v>105</v>
      </c>
    </row>
    <row r="32" spans="1:2" ht="15">
      <c r="A32" s="10" t="s">
        <v>336</v>
      </c>
      <c r="B32" s="10"/>
    </row>
    <row r="33" spans="1:2" ht="15">
      <c r="A33" s="10"/>
      <c r="B33" s="10"/>
    </row>
    <row r="34" spans="1:2" ht="15">
      <c r="A34" s="10" t="s">
        <v>271</v>
      </c>
      <c r="B34" s="10"/>
    </row>
    <row r="35" spans="1:9" ht="15">
      <c r="A35" s="10" t="s">
        <v>160</v>
      </c>
      <c r="B35" s="10">
        <v>0.9808</v>
      </c>
      <c r="F35" s="2">
        <v>10</v>
      </c>
      <c r="G35" s="2">
        <v>19.5</v>
      </c>
      <c r="H35" s="10">
        <v>17.5</v>
      </c>
      <c r="I35" s="10"/>
    </row>
    <row r="36" spans="1:9" ht="15">
      <c r="A36" s="10" t="s">
        <v>336</v>
      </c>
      <c r="B36" s="10"/>
      <c r="F36" s="7">
        <f>F35*0.18</f>
        <v>1.7999999999999998</v>
      </c>
      <c r="G36" s="7">
        <f>G35*0.18</f>
        <v>3.51</v>
      </c>
      <c r="H36" s="8">
        <f>H35*0.18</f>
        <v>3.15</v>
      </c>
      <c r="I36" s="8"/>
    </row>
    <row r="37" spans="1:9" ht="15">
      <c r="A37" s="10"/>
      <c r="B37" s="10"/>
      <c r="H37" s="10"/>
      <c r="I37" s="10"/>
    </row>
    <row r="38" spans="1:2" ht="15">
      <c r="A38" s="10" t="s">
        <v>65</v>
      </c>
      <c r="B38" s="10"/>
    </row>
    <row r="39" spans="1:12" ht="15">
      <c r="A39" s="10" t="s">
        <v>160</v>
      </c>
      <c r="B39" s="10">
        <v>0.9905</v>
      </c>
      <c r="J39" s="2">
        <v>57</v>
      </c>
      <c r="K39" s="2">
        <v>86</v>
      </c>
      <c r="L39" s="2">
        <v>71.5</v>
      </c>
    </row>
    <row r="40" spans="1:12" ht="15">
      <c r="A40" s="10" t="s">
        <v>336</v>
      </c>
      <c r="B40" s="10"/>
      <c r="J40" s="7">
        <f>J39*0.18</f>
        <v>10.26</v>
      </c>
      <c r="K40" s="7">
        <f>K39*0.18</f>
        <v>15.479999999999999</v>
      </c>
      <c r="L40" s="8">
        <f>L39*0.18</f>
        <v>12.87</v>
      </c>
    </row>
    <row r="41" spans="1:2" ht="15">
      <c r="A41" s="10"/>
      <c r="B41" s="10"/>
    </row>
    <row r="42" spans="1:2" ht="15">
      <c r="A42" s="10" t="s">
        <v>272</v>
      </c>
      <c r="B42" s="10"/>
    </row>
    <row r="43" spans="1:5" ht="15">
      <c r="A43" s="10" t="s">
        <v>160</v>
      </c>
      <c r="B43" s="10">
        <v>0.9506</v>
      </c>
      <c r="C43" s="2">
        <v>15</v>
      </c>
      <c r="D43" s="2">
        <v>19</v>
      </c>
      <c r="E43" s="2">
        <v>17</v>
      </c>
    </row>
    <row r="44" spans="1:2" ht="15">
      <c r="A44" s="10" t="s">
        <v>336</v>
      </c>
      <c r="B44" s="10"/>
    </row>
    <row r="45" spans="1:2" ht="15">
      <c r="A45" s="10"/>
      <c r="B45" s="10"/>
    </row>
    <row r="46" spans="1:9" ht="15">
      <c r="A46" s="10" t="s">
        <v>273</v>
      </c>
      <c r="B46" s="10"/>
      <c r="C46" s="2">
        <v>85</v>
      </c>
      <c r="D46" s="2">
        <v>125</v>
      </c>
      <c r="E46" s="10">
        <v>105</v>
      </c>
      <c r="F46" s="2">
        <v>60</v>
      </c>
      <c r="G46" s="2">
        <v>75</v>
      </c>
      <c r="H46" s="10">
        <v>68</v>
      </c>
      <c r="I46" s="10"/>
    </row>
    <row r="47" spans="1:9" ht="15">
      <c r="A47" s="10" t="s">
        <v>160</v>
      </c>
      <c r="B47" s="10">
        <v>0.8298</v>
      </c>
      <c r="C47" s="2">
        <f aca="true" t="shared" si="3" ref="C47:H47">C46*0.8298</f>
        <v>70.533</v>
      </c>
      <c r="D47" s="2">
        <f t="shared" si="3"/>
        <v>103.725</v>
      </c>
      <c r="E47" s="10">
        <f t="shared" si="3"/>
        <v>87.129</v>
      </c>
      <c r="F47" s="2">
        <f t="shared" si="3"/>
        <v>49.788</v>
      </c>
      <c r="G47" s="2">
        <f t="shared" si="3"/>
        <v>62.235</v>
      </c>
      <c r="H47" s="10">
        <f t="shared" si="3"/>
        <v>56.4264</v>
      </c>
      <c r="I47" s="10"/>
    </row>
    <row r="48" spans="1:9" ht="15">
      <c r="A48" s="10" t="s">
        <v>336</v>
      </c>
      <c r="B48" s="10"/>
      <c r="C48" s="7">
        <f aca="true" t="shared" si="4" ref="C48:H48">C47*0.18</f>
        <v>12.69594</v>
      </c>
      <c r="D48" s="7">
        <f t="shared" si="4"/>
        <v>18.670499999999997</v>
      </c>
      <c r="E48" s="8">
        <f t="shared" si="4"/>
        <v>15.68322</v>
      </c>
      <c r="F48" s="7">
        <f t="shared" si="4"/>
        <v>8.961839999999999</v>
      </c>
      <c r="G48" s="7">
        <f t="shared" si="4"/>
        <v>11.2023</v>
      </c>
      <c r="H48" s="8">
        <f t="shared" si="4"/>
        <v>10.156752</v>
      </c>
      <c r="I48" s="8">
        <f>100*((E48/H48)-1)</f>
        <v>54.41176470588236</v>
      </c>
    </row>
    <row r="49" spans="1:9" ht="15">
      <c r="A49" s="10"/>
      <c r="B49" s="10"/>
      <c r="E49" s="10"/>
      <c r="H49" s="10"/>
      <c r="I49" s="10"/>
    </row>
    <row r="50" spans="1:12" ht="15">
      <c r="A50" s="10" t="s">
        <v>168</v>
      </c>
      <c r="E50" s="10"/>
      <c r="H50" s="10"/>
      <c r="I50" s="10"/>
      <c r="J50" s="2">
        <v>49</v>
      </c>
      <c r="K50" s="2">
        <v>110</v>
      </c>
      <c r="L50" s="2">
        <v>63</v>
      </c>
    </row>
    <row r="51" spans="1:12" ht="15">
      <c r="A51" s="10" t="s">
        <v>160</v>
      </c>
      <c r="B51" s="10">
        <v>0.7674</v>
      </c>
      <c r="E51" s="10"/>
      <c r="H51" s="10"/>
      <c r="I51" s="10"/>
      <c r="J51" s="2">
        <f>J50*0.7674</f>
        <v>37.602599999999995</v>
      </c>
      <c r="K51" s="2">
        <f>K50*0.7674</f>
        <v>84.414</v>
      </c>
      <c r="L51" s="2">
        <f>L50*0.7674</f>
        <v>48.346199999999996</v>
      </c>
    </row>
    <row r="52" spans="1:12" ht="15">
      <c r="A52" s="10" t="s">
        <v>336</v>
      </c>
      <c r="B52" s="10"/>
      <c r="E52" s="10"/>
      <c r="H52" s="10"/>
      <c r="I52" s="10"/>
      <c r="J52" s="7">
        <f>J51*0.18</f>
        <v>6.768467999999999</v>
      </c>
      <c r="K52" s="7">
        <f>K51*0.18</f>
        <v>15.194519999999999</v>
      </c>
      <c r="L52" s="8">
        <f>L51*0.18</f>
        <v>8.702316</v>
      </c>
    </row>
    <row r="53" spans="1:2" ht="15">
      <c r="A53" s="10"/>
      <c r="B53" s="10"/>
    </row>
    <row r="54" spans="1:9" ht="15">
      <c r="A54" s="10">
        <v>1871</v>
      </c>
      <c r="C54" s="2">
        <v>100</v>
      </c>
      <c r="D54" s="2">
        <v>150</v>
      </c>
      <c r="E54" s="10">
        <v>114</v>
      </c>
      <c r="F54" s="2">
        <v>75</v>
      </c>
      <c r="G54" s="2">
        <v>100</v>
      </c>
      <c r="H54" s="10">
        <v>87</v>
      </c>
      <c r="I54" s="10"/>
    </row>
    <row r="55" spans="1:9" ht="15">
      <c r="A55" s="10" t="s">
        <v>160</v>
      </c>
      <c r="B55" s="2">
        <v>0.852</v>
      </c>
      <c r="C55" s="2">
        <v>85</v>
      </c>
      <c r="D55" s="2">
        <v>128</v>
      </c>
      <c r="E55" s="10">
        <v>97</v>
      </c>
      <c r="F55" s="2">
        <v>64</v>
      </c>
      <c r="G55" s="2">
        <v>85</v>
      </c>
      <c r="H55" s="10">
        <v>74</v>
      </c>
      <c r="I55" s="10"/>
    </row>
    <row r="56" spans="1:9" ht="15">
      <c r="A56" s="10" t="s">
        <v>336</v>
      </c>
      <c r="C56" s="7">
        <f aca="true" t="shared" si="5" ref="C56:H56">C55*0.18</f>
        <v>15.299999999999999</v>
      </c>
      <c r="D56" s="7">
        <f t="shared" si="5"/>
        <v>23.04</v>
      </c>
      <c r="E56" s="8">
        <f t="shared" si="5"/>
        <v>17.46</v>
      </c>
      <c r="F56" s="7">
        <f t="shared" si="5"/>
        <v>11.52</v>
      </c>
      <c r="G56" s="7">
        <f t="shared" si="5"/>
        <v>15.299999999999999</v>
      </c>
      <c r="H56" s="8">
        <f t="shared" si="5"/>
        <v>13.32</v>
      </c>
      <c r="I56" s="8">
        <f>100*((E56/H56)-1)</f>
        <v>31.081081081081074</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CM163"/>
  <sheetViews>
    <sheetView workbookViewId="0" topLeftCell="A1">
      <pane xSplit="6800" ySplit="2560" topLeftCell="AM145" activePane="bottomRight" state="split"/>
      <selection pane="topLeft" activeCell="BP7" sqref="BP7"/>
      <selection pane="topRight" activeCell="AM1" sqref="AM1"/>
      <selection pane="bottomLeft" activeCell="AK157" sqref="AK157"/>
      <selection pane="bottomRight" activeCell="BC154" sqref="BC154"/>
    </sheetView>
  </sheetViews>
  <sheetFormatPr defaultColWidth="11.00390625" defaultRowHeight="12.75"/>
  <cols>
    <col min="1" max="1" width="8.125" style="2" customWidth="1"/>
    <col min="2" max="2" width="7.375" style="2" customWidth="1"/>
    <col min="3" max="3" width="9.375" style="2" customWidth="1"/>
    <col min="4" max="4" width="5.875" style="2" customWidth="1"/>
    <col min="5" max="5" width="8.25390625" style="2" customWidth="1"/>
    <col min="6" max="6" width="9.00390625" style="2" customWidth="1"/>
    <col min="7" max="7" width="6.25390625" style="2" customWidth="1"/>
    <col min="8" max="8" width="5.00390625" style="2" customWidth="1"/>
    <col min="9" max="9" width="5.125" style="2" customWidth="1"/>
    <col min="10" max="10" width="4.75390625" style="2" customWidth="1"/>
    <col min="11" max="11" width="4.875" style="2" customWidth="1"/>
    <col min="12" max="12" width="4.375" style="2" customWidth="1"/>
    <col min="13" max="13" width="4.75390625" style="2" customWidth="1"/>
    <col min="14" max="14" width="4.875" style="2" customWidth="1"/>
    <col min="15" max="15" width="5.875" style="2" customWidth="1"/>
    <col min="16" max="16" width="4.75390625" style="2" customWidth="1"/>
    <col min="17" max="17" width="5.25390625" style="2" customWidth="1"/>
    <col min="18" max="18" width="4.75390625" style="2" customWidth="1"/>
    <col min="19" max="19" width="5.875" style="2" customWidth="1"/>
    <col min="20" max="20" width="5.00390625" style="2" customWidth="1"/>
    <col min="21" max="21" width="4.875" style="2" customWidth="1"/>
    <col min="22" max="22" width="4.25390625" style="2" customWidth="1"/>
    <col min="23" max="24" width="4.875" style="2" customWidth="1"/>
    <col min="25" max="30" width="6.375" style="2" customWidth="1"/>
    <col min="31" max="31" width="19.00390625" style="2" customWidth="1"/>
    <col min="32" max="32" width="7.125" style="2" customWidth="1"/>
    <col min="33" max="33" width="5.875" style="2" customWidth="1"/>
    <col min="34" max="34" width="5.75390625" style="2" customWidth="1"/>
    <col min="35" max="35" width="6.125" style="2" customWidth="1"/>
    <col min="36" max="36" width="6.875" style="2" customWidth="1"/>
    <col min="37" max="45" width="6.375" style="2" customWidth="1"/>
    <col min="46" max="46" width="5.75390625" style="2" customWidth="1"/>
    <col min="47" max="47" width="6.00390625" style="2" customWidth="1"/>
    <col min="48" max="49" width="5.875" style="2" customWidth="1"/>
    <col min="50" max="50" width="5.375" style="2" customWidth="1"/>
    <col min="51" max="51" width="4.875" style="2" customWidth="1"/>
    <col min="52" max="52" width="5.25390625" style="2" customWidth="1"/>
    <col min="53" max="53" width="19.25390625" style="2" customWidth="1"/>
    <col min="54" max="54" width="8.75390625" style="2" customWidth="1"/>
    <col min="55" max="55" width="8.875" style="2" customWidth="1"/>
    <col min="56" max="56" width="7.875" style="2" customWidth="1"/>
    <col min="57" max="57" width="9.375" style="2" customWidth="1"/>
    <col min="58" max="58" width="8.625" style="2" customWidth="1"/>
    <col min="59" max="59" width="9.00390625" style="2" customWidth="1"/>
    <col min="60" max="60" width="9.25390625" style="2" customWidth="1"/>
    <col min="61" max="61" width="8.875" style="2" customWidth="1"/>
    <col min="62" max="62" width="9.00390625" style="2" customWidth="1"/>
    <col min="63" max="63" width="5.25390625" style="2" customWidth="1"/>
    <col min="64" max="64" width="5.375" style="2" customWidth="1"/>
    <col min="65" max="65" width="5.00390625" style="2" customWidth="1"/>
    <col min="66" max="66" width="5.875" style="2" customWidth="1"/>
    <col min="67" max="67" width="6.625" style="2" customWidth="1"/>
    <col min="68" max="68" width="5.375" style="2" customWidth="1"/>
    <col min="69" max="69" width="6.25390625" style="2" customWidth="1"/>
    <col min="70" max="70" width="5.75390625" style="2" customWidth="1"/>
    <col min="71" max="72" width="5.375" style="2" customWidth="1"/>
    <col min="73" max="73" width="6.125" style="2" customWidth="1"/>
    <col min="74" max="74" width="6.375" style="2" customWidth="1"/>
    <col min="75" max="75" width="5.375" style="2" customWidth="1"/>
    <col min="76" max="76" width="4.875" style="2" customWidth="1"/>
    <col min="77" max="77" width="6.00390625" style="2" customWidth="1"/>
    <col min="78" max="78" width="5.75390625" style="2" customWidth="1"/>
    <col min="79" max="79" width="5.125" style="2" customWidth="1"/>
    <col min="80" max="80" width="6.00390625" style="2" customWidth="1"/>
    <col min="81" max="81" width="4.75390625" style="2" customWidth="1"/>
    <col min="82" max="83" width="5.00390625" style="2" customWidth="1"/>
    <col min="84" max="84" width="6.00390625" style="2" customWidth="1"/>
    <col min="85" max="85" width="6.375" style="2" customWidth="1"/>
    <col min="86" max="87" width="6.25390625" style="2" customWidth="1"/>
    <col min="88" max="88" width="5.00390625" style="2" customWidth="1"/>
    <col min="89" max="89" width="6.25390625" style="17" customWidth="1"/>
    <col min="90" max="16384" width="8.75390625" style="2" customWidth="1"/>
  </cols>
  <sheetData>
    <row r="1" ht="18.75">
      <c r="A1" s="3" t="s">
        <v>141</v>
      </c>
    </row>
    <row r="2" ht="15.75">
      <c r="A2" s="10"/>
    </row>
    <row r="3" spans="1:91" ht="15.75">
      <c r="A3" s="10" t="s">
        <v>392</v>
      </c>
      <c r="G3" s="2">
        <v>4.319</v>
      </c>
      <c r="H3" s="2">
        <v>4.319</v>
      </c>
      <c r="I3" s="2">
        <v>4.319</v>
      </c>
      <c r="J3" s="2">
        <v>3.752</v>
      </c>
      <c r="K3" s="2">
        <v>3.752</v>
      </c>
      <c r="L3" s="2">
        <v>3.752</v>
      </c>
      <c r="M3" s="2">
        <v>3.752</v>
      </c>
      <c r="N3" s="2">
        <v>3.752</v>
      </c>
      <c r="O3" s="2">
        <v>3.752</v>
      </c>
      <c r="P3" s="2">
        <v>2.412</v>
      </c>
      <c r="Q3" s="2">
        <v>2.412</v>
      </c>
      <c r="R3" s="2">
        <v>2.412</v>
      </c>
      <c r="S3" s="2">
        <v>2.412</v>
      </c>
      <c r="T3" s="2">
        <v>2.412</v>
      </c>
      <c r="U3" s="2">
        <v>2.412</v>
      </c>
      <c r="V3" s="2">
        <v>1.641</v>
      </c>
      <c r="W3" s="2">
        <v>1.641</v>
      </c>
      <c r="X3" s="2">
        <v>1.641</v>
      </c>
      <c r="Y3" s="2">
        <v>1.144</v>
      </c>
      <c r="Z3" s="2">
        <v>1.144</v>
      </c>
      <c r="AA3" s="2">
        <v>1.144</v>
      </c>
      <c r="AB3" s="2">
        <v>1.144</v>
      </c>
      <c r="AC3" s="2">
        <v>1.144</v>
      </c>
      <c r="AD3" s="2">
        <v>1.144</v>
      </c>
      <c r="AF3" s="2">
        <v>1.152</v>
      </c>
      <c r="AG3" s="2">
        <v>1.152</v>
      </c>
      <c r="AH3" s="2">
        <v>1.152</v>
      </c>
      <c r="AI3" s="2">
        <v>1.152</v>
      </c>
      <c r="AJ3" s="2">
        <v>1.152</v>
      </c>
      <c r="AK3" s="2">
        <v>1.152</v>
      </c>
      <c r="AL3" s="2">
        <v>1.152</v>
      </c>
      <c r="AM3" s="2">
        <v>1.152</v>
      </c>
      <c r="AN3" s="2">
        <v>1.152</v>
      </c>
      <c r="AO3" s="2">
        <v>1.0436</v>
      </c>
      <c r="AP3" s="2">
        <v>1.0436</v>
      </c>
      <c r="AQ3" s="2">
        <v>1.0436</v>
      </c>
      <c r="AR3" s="2">
        <v>0.985</v>
      </c>
      <c r="AS3" s="2">
        <v>0.985</v>
      </c>
      <c r="AT3" s="2">
        <v>0.985</v>
      </c>
      <c r="AU3" s="2">
        <v>0.955</v>
      </c>
      <c r="AV3" s="2">
        <v>0.955</v>
      </c>
      <c r="AW3" s="2">
        <v>0.955</v>
      </c>
      <c r="AX3" s="2">
        <v>0.718</v>
      </c>
      <c r="AY3" s="2">
        <v>0.718</v>
      </c>
      <c r="AZ3" s="2">
        <v>0.718</v>
      </c>
      <c r="BB3" s="2">
        <v>0.846</v>
      </c>
      <c r="BC3" s="2">
        <v>0.846</v>
      </c>
      <c r="BD3" s="2">
        <v>0.846</v>
      </c>
      <c r="BE3" s="2">
        <v>0.259</v>
      </c>
      <c r="BF3" s="2">
        <v>0.259</v>
      </c>
      <c r="BG3" s="2">
        <v>0.259</v>
      </c>
      <c r="BH3" s="2">
        <v>0.822</v>
      </c>
      <c r="BI3" s="2">
        <v>0.822</v>
      </c>
      <c r="BJ3" s="2">
        <v>0.822</v>
      </c>
      <c r="BK3" s="2">
        <v>0.6157</v>
      </c>
      <c r="BL3" s="2">
        <v>0.6157</v>
      </c>
      <c r="BM3" s="2">
        <v>0.6157</v>
      </c>
      <c r="BN3" s="2">
        <v>0.2451</v>
      </c>
      <c r="BO3" s="2">
        <v>0.2451</v>
      </c>
      <c r="BP3" s="2">
        <v>0.2451</v>
      </c>
      <c r="BQ3" s="2">
        <v>0.265</v>
      </c>
      <c r="BR3" s="2">
        <v>0.265</v>
      </c>
      <c r="BS3" s="2">
        <v>0.265</v>
      </c>
      <c r="BT3" s="2">
        <v>0.2753</v>
      </c>
      <c r="BU3" s="2">
        <v>0.2753</v>
      </c>
      <c r="BV3" s="2">
        <v>0.2753</v>
      </c>
      <c r="BW3" s="2">
        <v>0.9808</v>
      </c>
      <c r="BX3" s="2">
        <v>0.9808</v>
      </c>
      <c r="BY3" s="2">
        <v>0.9808</v>
      </c>
      <c r="BZ3" s="2">
        <v>0.9506</v>
      </c>
      <c r="CA3" s="2">
        <v>0.9506</v>
      </c>
      <c r="CB3" s="2">
        <v>0.9506</v>
      </c>
      <c r="CC3" s="2">
        <v>0.8298</v>
      </c>
      <c r="CD3" s="2">
        <v>0.8298</v>
      </c>
      <c r="CE3" s="2">
        <v>0.8298</v>
      </c>
      <c r="CF3" s="2">
        <v>0.7674</v>
      </c>
      <c r="CG3" s="2">
        <v>0.7674</v>
      </c>
      <c r="CH3" s="2">
        <v>0.7674</v>
      </c>
      <c r="CM3" s="10"/>
    </row>
    <row r="4" spans="7:91" s="5" customFormat="1" ht="15.75">
      <c r="G4" s="11" t="s">
        <v>317</v>
      </c>
      <c r="H4" s="11" t="s">
        <v>317</v>
      </c>
      <c r="I4" s="11" t="s">
        <v>317</v>
      </c>
      <c r="J4" s="11" t="s">
        <v>181</v>
      </c>
      <c r="K4" s="11" t="s">
        <v>181</v>
      </c>
      <c r="L4" s="11" t="s">
        <v>181</v>
      </c>
      <c r="M4" s="11" t="s">
        <v>259</v>
      </c>
      <c r="N4" s="11" t="s">
        <v>259</v>
      </c>
      <c r="O4" s="11" t="s">
        <v>259</v>
      </c>
      <c r="P4" s="11" t="s">
        <v>182</v>
      </c>
      <c r="Q4" s="11" t="s">
        <v>182</v>
      </c>
      <c r="R4" s="11" t="s">
        <v>182</v>
      </c>
      <c r="S4" s="11" t="s">
        <v>183</v>
      </c>
      <c r="T4" s="11" t="s">
        <v>183</v>
      </c>
      <c r="U4" s="11" t="s">
        <v>183</v>
      </c>
      <c r="V4" s="11" t="s">
        <v>184</v>
      </c>
      <c r="W4" s="11" t="s">
        <v>184</v>
      </c>
      <c r="X4" s="11" t="s">
        <v>184</v>
      </c>
      <c r="Y4" s="11" t="s">
        <v>185</v>
      </c>
      <c r="Z4" s="11" t="s">
        <v>185</v>
      </c>
      <c r="AA4" s="11" t="s">
        <v>185</v>
      </c>
      <c r="AB4" s="11" t="s">
        <v>186</v>
      </c>
      <c r="AC4" s="11" t="s">
        <v>186</v>
      </c>
      <c r="AD4" s="11" t="s">
        <v>186</v>
      </c>
      <c r="AE4" s="11"/>
      <c r="AF4" s="11" t="s">
        <v>196</v>
      </c>
      <c r="AG4" s="11" t="s">
        <v>196</v>
      </c>
      <c r="AH4" s="11" t="s">
        <v>196</v>
      </c>
      <c r="AI4" s="11" t="s">
        <v>197</v>
      </c>
      <c r="AJ4" s="11" t="s">
        <v>197</v>
      </c>
      <c r="AK4" s="11" t="s">
        <v>197</v>
      </c>
      <c r="AL4" s="11" t="s">
        <v>198</v>
      </c>
      <c r="AM4" s="11" t="s">
        <v>198</v>
      </c>
      <c r="AN4" s="11" t="s">
        <v>198</v>
      </c>
      <c r="AO4" s="11" t="s">
        <v>199</v>
      </c>
      <c r="AP4" s="11" t="s">
        <v>199</v>
      </c>
      <c r="AQ4" s="11" t="s">
        <v>199</v>
      </c>
      <c r="AR4" s="11" t="s">
        <v>200</v>
      </c>
      <c r="AS4" s="11" t="s">
        <v>200</v>
      </c>
      <c r="AT4" s="11" t="s">
        <v>200</v>
      </c>
      <c r="AU4" s="11" t="s">
        <v>201</v>
      </c>
      <c r="AV4" s="11" t="s">
        <v>201</v>
      </c>
      <c r="AW4" s="11" t="s">
        <v>201</v>
      </c>
      <c r="AX4" s="11" t="s">
        <v>266</v>
      </c>
      <c r="AY4" s="11" t="s">
        <v>266</v>
      </c>
      <c r="AZ4" s="11" t="s">
        <v>266</v>
      </c>
      <c r="BA4" s="11"/>
      <c r="BB4" s="11" t="s">
        <v>261</v>
      </c>
      <c r="BC4" s="11" t="s">
        <v>261</v>
      </c>
      <c r="BD4" s="11" t="s">
        <v>261</v>
      </c>
      <c r="BE4" s="11" t="s">
        <v>390</v>
      </c>
      <c r="BF4" s="11" t="s">
        <v>390</v>
      </c>
      <c r="BG4" s="11" t="s">
        <v>390</v>
      </c>
      <c r="BH4" s="11" t="s">
        <v>391</v>
      </c>
      <c r="BI4" s="11" t="s">
        <v>391</v>
      </c>
      <c r="BJ4" s="11" t="s">
        <v>391</v>
      </c>
      <c r="BK4" s="11" t="s">
        <v>267</v>
      </c>
      <c r="BL4" s="11" t="s">
        <v>267</v>
      </c>
      <c r="BM4" s="11" t="s">
        <v>267</v>
      </c>
      <c r="BN4" s="11" t="s">
        <v>268</v>
      </c>
      <c r="BO4" s="11" t="s">
        <v>268</v>
      </c>
      <c r="BP4" s="11" t="s">
        <v>268</v>
      </c>
      <c r="BQ4" s="11" t="s">
        <v>269</v>
      </c>
      <c r="BR4" s="11" t="s">
        <v>269</v>
      </c>
      <c r="BS4" s="11" t="s">
        <v>269</v>
      </c>
      <c r="BT4" s="11" t="s">
        <v>270</v>
      </c>
      <c r="BU4" s="11" t="s">
        <v>270</v>
      </c>
      <c r="BV4" s="11" t="s">
        <v>270</v>
      </c>
      <c r="BW4" s="11" t="s">
        <v>271</v>
      </c>
      <c r="BX4" s="11" t="s">
        <v>271</v>
      </c>
      <c r="BY4" s="11" t="s">
        <v>271</v>
      </c>
      <c r="BZ4" s="11" t="s">
        <v>272</v>
      </c>
      <c r="CA4" s="11" t="s">
        <v>272</v>
      </c>
      <c r="CB4" s="11" t="s">
        <v>272</v>
      </c>
      <c r="CC4" s="11" t="s">
        <v>273</v>
      </c>
      <c r="CD4" s="11" t="s">
        <v>273</v>
      </c>
      <c r="CE4" s="11" t="s">
        <v>273</v>
      </c>
      <c r="CF4" s="11" t="s">
        <v>274</v>
      </c>
      <c r="CG4" s="11" t="s">
        <v>274</v>
      </c>
      <c r="CH4" s="11" t="s">
        <v>274</v>
      </c>
      <c r="CI4" s="11">
        <v>1870</v>
      </c>
      <c r="CJ4" s="11">
        <v>1870</v>
      </c>
      <c r="CK4" s="11">
        <v>1870</v>
      </c>
      <c r="CM4" s="11"/>
    </row>
    <row r="5" spans="7:91" s="5" customFormat="1" ht="15.75">
      <c r="G5" s="11" t="s">
        <v>249</v>
      </c>
      <c r="H5" s="11" t="s">
        <v>250</v>
      </c>
      <c r="I5" s="11" t="s">
        <v>251</v>
      </c>
      <c r="J5" s="11" t="s">
        <v>249</v>
      </c>
      <c r="K5" s="11" t="s">
        <v>250</v>
      </c>
      <c r="L5" s="11" t="s">
        <v>251</v>
      </c>
      <c r="M5" s="11" t="s">
        <v>249</v>
      </c>
      <c r="N5" s="11" t="s">
        <v>250</v>
      </c>
      <c r="O5" s="11" t="s">
        <v>251</v>
      </c>
      <c r="P5" s="11" t="s">
        <v>249</v>
      </c>
      <c r="Q5" s="11" t="s">
        <v>250</v>
      </c>
      <c r="R5" s="11" t="s">
        <v>251</v>
      </c>
      <c r="S5" s="11" t="s">
        <v>249</v>
      </c>
      <c r="T5" s="11" t="s">
        <v>250</v>
      </c>
      <c r="U5" s="11" t="s">
        <v>251</v>
      </c>
      <c r="V5" s="11" t="s">
        <v>249</v>
      </c>
      <c r="W5" s="11" t="s">
        <v>250</v>
      </c>
      <c r="X5" s="11" t="s">
        <v>251</v>
      </c>
      <c r="Y5" s="11" t="s">
        <v>249</v>
      </c>
      <c r="Z5" s="11" t="s">
        <v>250</v>
      </c>
      <c r="AA5" s="11" t="s">
        <v>251</v>
      </c>
      <c r="AB5" s="11" t="s">
        <v>249</v>
      </c>
      <c r="AC5" s="11" t="s">
        <v>250</v>
      </c>
      <c r="AD5" s="11" t="s">
        <v>251</v>
      </c>
      <c r="AE5" s="11"/>
      <c r="AF5" s="11" t="s">
        <v>249</v>
      </c>
      <c r="AG5" s="11" t="s">
        <v>250</v>
      </c>
      <c r="AH5" s="11" t="s">
        <v>251</v>
      </c>
      <c r="AI5" s="11" t="s">
        <v>249</v>
      </c>
      <c r="AJ5" s="11" t="s">
        <v>250</v>
      </c>
      <c r="AK5" s="11" t="s">
        <v>251</v>
      </c>
      <c r="AL5" s="11" t="s">
        <v>249</v>
      </c>
      <c r="AM5" s="11" t="s">
        <v>250</v>
      </c>
      <c r="AN5" s="11" t="s">
        <v>251</v>
      </c>
      <c r="AO5" s="11" t="s">
        <v>249</v>
      </c>
      <c r="AP5" s="11" t="s">
        <v>250</v>
      </c>
      <c r="AQ5" s="11" t="s">
        <v>251</v>
      </c>
      <c r="AR5" s="11" t="s">
        <v>249</v>
      </c>
      <c r="AS5" s="11" t="s">
        <v>250</v>
      </c>
      <c r="AT5" s="11" t="s">
        <v>251</v>
      </c>
      <c r="AU5" s="11" t="s">
        <v>249</v>
      </c>
      <c r="AV5" s="11" t="s">
        <v>250</v>
      </c>
      <c r="AW5" s="11" t="s">
        <v>251</v>
      </c>
      <c r="AX5" s="11" t="s">
        <v>249</v>
      </c>
      <c r="AY5" s="11" t="s">
        <v>250</v>
      </c>
      <c r="AZ5" s="11" t="s">
        <v>251</v>
      </c>
      <c r="BA5" s="11"/>
      <c r="BB5" s="11" t="s">
        <v>249</v>
      </c>
      <c r="BC5" s="11" t="s">
        <v>250</v>
      </c>
      <c r="BD5" s="11" t="s">
        <v>251</v>
      </c>
      <c r="BE5" s="11" t="s">
        <v>249</v>
      </c>
      <c r="BF5" s="11" t="s">
        <v>250</v>
      </c>
      <c r="BG5" s="11" t="s">
        <v>251</v>
      </c>
      <c r="BH5" s="11" t="s">
        <v>249</v>
      </c>
      <c r="BI5" s="11" t="s">
        <v>250</v>
      </c>
      <c r="BJ5" s="11" t="s">
        <v>251</v>
      </c>
      <c r="BK5" s="11" t="s">
        <v>249</v>
      </c>
      <c r="BL5" s="11" t="s">
        <v>250</v>
      </c>
      <c r="BM5" s="11" t="s">
        <v>251</v>
      </c>
      <c r="BN5" s="11" t="s">
        <v>249</v>
      </c>
      <c r="BO5" s="11" t="s">
        <v>250</v>
      </c>
      <c r="BP5" s="11" t="s">
        <v>251</v>
      </c>
      <c r="BQ5" s="11" t="s">
        <v>249</v>
      </c>
      <c r="BR5" s="11" t="s">
        <v>250</v>
      </c>
      <c r="BS5" s="11" t="s">
        <v>251</v>
      </c>
      <c r="BT5" s="11" t="s">
        <v>249</v>
      </c>
      <c r="BU5" s="11" t="s">
        <v>250</v>
      </c>
      <c r="BV5" s="11" t="s">
        <v>251</v>
      </c>
      <c r="BW5" s="11" t="s">
        <v>249</v>
      </c>
      <c r="BX5" s="11" t="s">
        <v>250</v>
      </c>
      <c r="BY5" s="11" t="s">
        <v>251</v>
      </c>
      <c r="BZ5" s="11" t="s">
        <v>249</v>
      </c>
      <c r="CA5" s="11" t="s">
        <v>250</v>
      </c>
      <c r="CB5" s="11" t="s">
        <v>251</v>
      </c>
      <c r="CC5" s="11" t="s">
        <v>249</v>
      </c>
      <c r="CD5" s="11" t="s">
        <v>250</v>
      </c>
      <c r="CE5" s="11" t="s">
        <v>251</v>
      </c>
      <c r="CF5" s="11" t="s">
        <v>249</v>
      </c>
      <c r="CG5" s="11" t="s">
        <v>250</v>
      </c>
      <c r="CH5" s="11" t="s">
        <v>251</v>
      </c>
      <c r="CI5" s="11" t="s">
        <v>249</v>
      </c>
      <c r="CJ5" s="11" t="s">
        <v>250</v>
      </c>
      <c r="CK5" s="24" t="s">
        <v>251</v>
      </c>
      <c r="CM5" s="11"/>
    </row>
    <row r="6" spans="1:91" ht="15.75">
      <c r="A6" s="10" t="s">
        <v>275</v>
      </c>
      <c r="C6" s="2" t="s">
        <v>276</v>
      </c>
      <c r="D6" s="2" t="s">
        <v>67</v>
      </c>
      <c r="E6" s="2" t="s">
        <v>68</v>
      </c>
      <c r="F6" s="2" t="s">
        <v>69</v>
      </c>
      <c r="V6" s="2">
        <v>35</v>
      </c>
      <c r="W6" s="2">
        <v>45</v>
      </c>
      <c r="X6" s="2">
        <f>(W6+V6)/2</f>
        <v>40</v>
      </c>
      <c r="Y6" s="2">
        <v>40</v>
      </c>
      <c r="Z6" s="2">
        <v>45</v>
      </c>
      <c r="AA6" s="2">
        <f>(Z6+Y6)/2</f>
        <v>42.5</v>
      </c>
      <c r="AB6" s="2">
        <v>45</v>
      </c>
      <c r="AC6" s="2">
        <v>65</v>
      </c>
      <c r="AD6" s="2">
        <f>(AC6+AB6)/2</f>
        <v>55</v>
      </c>
      <c r="AE6" s="10" t="s">
        <v>275</v>
      </c>
      <c r="AF6" s="2">
        <v>50</v>
      </c>
      <c r="AG6" s="2">
        <v>60</v>
      </c>
      <c r="AH6" s="2">
        <f>(AG6+AF6)/2</f>
        <v>55</v>
      </c>
      <c r="AI6" s="2">
        <v>55</v>
      </c>
      <c r="AJ6" s="2">
        <v>65</v>
      </c>
      <c r="AK6" s="2">
        <f>(AJ6+AI6)/2</f>
        <v>60</v>
      </c>
      <c r="AL6" s="2">
        <v>54</v>
      </c>
      <c r="AM6" s="2">
        <v>80</v>
      </c>
      <c r="AN6" s="2">
        <f>(AM6+AL6)/2</f>
        <v>67</v>
      </c>
      <c r="AO6" s="2">
        <v>68</v>
      </c>
      <c r="AP6" s="2">
        <v>72</v>
      </c>
      <c r="AQ6" s="2">
        <f>(AP6+AO6)/2</f>
        <v>70</v>
      </c>
      <c r="AR6" s="2">
        <v>66</v>
      </c>
      <c r="AS6" s="2">
        <v>85</v>
      </c>
      <c r="AT6" s="2">
        <f>(AS6+AR6)/2</f>
        <v>75.5</v>
      </c>
      <c r="AU6" s="2">
        <v>75</v>
      </c>
      <c r="AV6" s="2">
        <v>115</v>
      </c>
      <c r="AW6" s="2">
        <f>(AV6+AU6)/2</f>
        <v>95</v>
      </c>
      <c r="AX6" s="2">
        <v>115</v>
      </c>
      <c r="AY6" s="2">
        <v>175</v>
      </c>
      <c r="AZ6" s="2">
        <f>(AY6+AX6)/2</f>
        <v>145</v>
      </c>
      <c r="BA6" s="10" t="s">
        <v>275</v>
      </c>
      <c r="BB6" s="2">
        <v>95</v>
      </c>
      <c r="BC6" s="2">
        <v>145</v>
      </c>
      <c r="BD6" s="2">
        <v>120</v>
      </c>
      <c r="BE6" s="10"/>
      <c r="BF6" s="10"/>
      <c r="BG6" s="10"/>
      <c r="BH6" s="10"/>
      <c r="BI6" s="10"/>
      <c r="BJ6" s="10"/>
      <c r="BK6" s="2">
        <v>210</v>
      </c>
      <c r="BL6" s="2">
        <v>250</v>
      </c>
      <c r="BM6" s="2">
        <f>(BL6+BK6)/2</f>
        <v>230</v>
      </c>
      <c r="CF6" s="10"/>
      <c r="CG6" s="10"/>
      <c r="CH6" s="10"/>
      <c r="CL6" s="10" t="s">
        <v>275</v>
      </c>
      <c r="CM6" s="10"/>
    </row>
    <row r="7" spans="1:91" ht="15.75">
      <c r="A7" s="10"/>
      <c r="F7" s="2" t="s">
        <v>160</v>
      </c>
      <c r="V7" s="2">
        <f aca="true" t="shared" si="0" ref="V7:AZ7">V6*V3</f>
        <v>57.435</v>
      </c>
      <c r="W7" s="2">
        <f t="shared" si="0"/>
        <v>73.845</v>
      </c>
      <c r="X7" s="2">
        <f t="shared" si="0"/>
        <v>65.64</v>
      </c>
      <c r="Y7" s="2">
        <f t="shared" si="0"/>
        <v>45.76</v>
      </c>
      <c r="Z7" s="2">
        <f t="shared" si="0"/>
        <v>51.48</v>
      </c>
      <c r="AA7" s="2">
        <f t="shared" si="0"/>
        <v>48.62</v>
      </c>
      <c r="AB7" s="2">
        <f t="shared" si="0"/>
        <v>51.48</v>
      </c>
      <c r="AC7" s="2">
        <f t="shared" si="0"/>
        <v>74.36</v>
      </c>
      <c r="AD7" s="2">
        <f t="shared" si="0"/>
        <v>62.919999999999995</v>
      </c>
      <c r="AE7" s="2" t="s">
        <v>160</v>
      </c>
      <c r="AF7" s="2">
        <f t="shared" si="0"/>
        <v>57.599999999999994</v>
      </c>
      <c r="AG7" s="2">
        <f t="shared" si="0"/>
        <v>69.11999999999999</v>
      </c>
      <c r="AH7" s="2">
        <f t="shared" si="0"/>
        <v>63.35999999999999</v>
      </c>
      <c r="AI7" s="2">
        <f t="shared" si="0"/>
        <v>63.35999999999999</v>
      </c>
      <c r="AJ7" s="2">
        <f t="shared" si="0"/>
        <v>74.88</v>
      </c>
      <c r="AK7" s="2">
        <f t="shared" si="0"/>
        <v>69.11999999999999</v>
      </c>
      <c r="AL7" s="2">
        <f t="shared" si="0"/>
        <v>62.208</v>
      </c>
      <c r="AM7" s="2">
        <f t="shared" si="0"/>
        <v>92.16</v>
      </c>
      <c r="AN7" s="2">
        <f t="shared" si="0"/>
        <v>77.184</v>
      </c>
      <c r="AO7" s="2">
        <f t="shared" si="0"/>
        <v>70.96480000000001</v>
      </c>
      <c r="AP7" s="2">
        <f t="shared" si="0"/>
        <v>75.1392</v>
      </c>
      <c r="AQ7" s="2">
        <f t="shared" si="0"/>
        <v>73.052</v>
      </c>
      <c r="AR7" s="2">
        <f t="shared" si="0"/>
        <v>65.01</v>
      </c>
      <c r="AS7" s="2">
        <f t="shared" si="0"/>
        <v>83.725</v>
      </c>
      <c r="AT7" s="2">
        <f t="shared" si="0"/>
        <v>74.36749999999999</v>
      </c>
      <c r="AU7" s="2">
        <f t="shared" si="0"/>
        <v>71.625</v>
      </c>
      <c r="AV7" s="2">
        <f t="shared" si="0"/>
        <v>109.82499999999999</v>
      </c>
      <c r="AW7" s="2">
        <f t="shared" si="0"/>
        <v>90.725</v>
      </c>
      <c r="AX7" s="2">
        <f t="shared" si="0"/>
        <v>82.57</v>
      </c>
      <c r="AY7" s="2">
        <f t="shared" si="0"/>
        <v>125.64999999999999</v>
      </c>
      <c r="AZ7" s="2">
        <f t="shared" si="0"/>
        <v>104.11</v>
      </c>
      <c r="BA7" s="2" t="s">
        <v>160</v>
      </c>
      <c r="BB7" s="2">
        <f>BB6*BB3</f>
        <v>80.37</v>
      </c>
      <c r="BC7" s="2">
        <f>BC6*BC3</f>
        <v>122.67</v>
      </c>
      <c r="BD7" s="2">
        <f>BD6*BD3</f>
        <v>101.52</v>
      </c>
      <c r="BE7" s="10"/>
      <c r="BF7" s="10"/>
      <c r="BG7" s="10"/>
      <c r="BH7" s="10"/>
      <c r="BI7" s="10"/>
      <c r="BJ7" s="10"/>
      <c r="BK7" s="2">
        <f>BK6*BK3</f>
        <v>129.297</v>
      </c>
      <c r="BL7" s="2">
        <f>BL6*BL3</f>
        <v>153.925</v>
      </c>
      <c r="BM7" s="2">
        <f>BM6*BM3</f>
        <v>141.61100000000002</v>
      </c>
      <c r="CF7" s="10"/>
      <c r="CG7" s="10"/>
      <c r="CH7" s="10"/>
      <c r="CK7" s="17">
        <v>198.09</v>
      </c>
      <c r="CL7" s="2" t="s">
        <v>160</v>
      </c>
      <c r="CM7" s="10"/>
    </row>
    <row r="8" spans="1:91" ht="15.75">
      <c r="A8" s="10" t="s">
        <v>70</v>
      </c>
      <c r="B8" s="2" t="s">
        <v>71</v>
      </c>
      <c r="C8" s="2" t="s">
        <v>72</v>
      </c>
      <c r="D8" s="2" t="s">
        <v>67</v>
      </c>
      <c r="E8" s="2" t="s">
        <v>68</v>
      </c>
      <c r="F8" s="2" t="s">
        <v>69</v>
      </c>
      <c r="AE8" s="10" t="s">
        <v>70</v>
      </c>
      <c r="AR8" s="2">
        <v>200</v>
      </c>
      <c r="AX8" s="2">
        <v>800</v>
      </c>
      <c r="BA8" s="10" t="s">
        <v>70</v>
      </c>
      <c r="BB8" s="10"/>
      <c r="BC8" s="10"/>
      <c r="BD8" s="10"/>
      <c r="BE8" s="10"/>
      <c r="BF8" s="10"/>
      <c r="BG8" s="10"/>
      <c r="BH8" s="10"/>
      <c r="BI8" s="10"/>
      <c r="BJ8" s="10"/>
      <c r="BK8" s="10"/>
      <c r="BL8" s="10"/>
      <c r="BM8" s="10"/>
      <c r="CF8" s="10"/>
      <c r="CG8" s="10"/>
      <c r="CH8" s="10"/>
      <c r="CL8" s="10" t="s">
        <v>70</v>
      </c>
      <c r="CM8" s="10"/>
    </row>
    <row r="9" spans="1:91" ht="15.75">
      <c r="A9" s="10"/>
      <c r="F9" s="2" t="s">
        <v>160</v>
      </c>
      <c r="AE9" s="2" t="s">
        <v>160</v>
      </c>
      <c r="AR9" s="2">
        <f>AR8*AR3</f>
        <v>197</v>
      </c>
      <c r="AX9" s="2">
        <f>AX8*AX3</f>
        <v>574.4</v>
      </c>
      <c r="BA9" s="2" t="s">
        <v>160</v>
      </c>
      <c r="BB9" s="10"/>
      <c r="BC9" s="10"/>
      <c r="BD9" s="10"/>
      <c r="BE9" s="10"/>
      <c r="BF9" s="10"/>
      <c r="BG9" s="10"/>
      <c r="BH9" s="10"/>
      <c r="BI9" s="10"/>
      <c r="BJ9" s="10"/>
      <c r="BK9" s="10"/>
      <c r="BL9" s="10"/>
      <c r="BM9" s="10"/>
      <c r="CF9" s="10"/>
      <c r="CG9" s="10"/>
      <c r="CH9" s="10"/>
      <c r="CK9" s="17">
        <v>426</v>
      </c>
      <c r="CL9" s="2" t="s">
        <v>160</v>
      </c>
      <c r="CM9" s="10"/>
    </row>
    <row r="10" spans="1:91" ht="15.75">
      <c r="A10" s="10" t="s">
        <v>73</v>
      </c>
      <c r="B10" s="2" t="s">
        <v>74</v>
      </c>
      <c r="C10" s="2" t="s">
        <v>75</v>
      </c>
      <c r="D10" s="2" t="s">
        <v>67</v>
      </c>
      <c r="E10" s="2" t="s">
        <v>68</v>
      </c>
      <c r="F10" s="2" t="s">
        <v>69</v>
      </c>
      <c r="M10" s="2">
        <v>260</v>
      </c>
      <c r="N10" s="2">
        <v>580</v>
      </c>
      <c r="O10" s="2">
        <v>420</v>
      </c>
      <c r="S10" s="2">
        <v>400</v>
      </c>
      <c r="T10" s="2">
        <v>450</v>
      </c>
      <c r="U10" s="2">
        <f>(T10+S10)/2</f>
        <v>425</v>
      </c>
      <c r="AE10" s="10" t="s">
        <v>73</v>
      </c>
      <c r="AH10" s="2">
        <v>750</v>
      </c>
      <c r="BA10" s="10" t="s">
        <v>73</v>
      </c>
      <c r="BB10" s="10"/>
      <c r="BC10" s="10"/>
      <c r="BD10" s="10"/>
      <c r="BE10" s="10"/>
      <c r="BF10" s="10"/>
      <c r="BG10" s="10"/>
      <c r="BH10" s="10"/>
      <c r="BI10" s="10"/>
      <c r="BJ10" s="10"/>
      <c r="BK10" s="10"/>
      <c r="BL10" s="10"/>
      <c r="BM10" s="10"/>
      <c r="CF10" s="10"/>
      <c r="CG10" s="10"/>
      <c r="CH10" s="10"/>
      <c r="CJ10" s="10"/>
      <c r="CL10" s="10" t="s">
        <v>73</v>
      </c>
      <c r="CM10" s="10"/>
    </row>
    <row r="11" spans="1:91" ht="15.75">
      <c r="A11" s="10"/>
      <c r="F11" s="2" t="s">
        <v>160</v>
      </c>
      <c r="M11" s="2">
        <f>M10*M3</f>
        <v>975.52</v>
      </c>
      <c r="N11" s="2">
        <f>N10*N3</f>
        <v>2176.16</v>
      </c>
      <c r="O11" s="2">
        <f>O10*O3</f>
        <v>1575.84</v>
      </c>
      <c r="S11" s="2">
        <f>S10*S3</f>
        <v>964.8</v>
      </c>
      <c r="T11" s="2">
        <f>T10*T3</f>
        <v>1085.3999999999999</v>
      </c>
      <c r="U11" s="2">
        <f>U10*U3</f>
        <v>1025.1</v>
      </c>
      <c r="AE11" s="2" t="s">
        <v>160</v>
      </c>
      <c r="AF11" s="2">
        <f>AF10*AF3</f>
        <v>0</v>
      </c>
      <c r="AG11" s="2">
        <f>AG10*AG3</f>
        <v>0</v>
      </c>
      <c r="AH11" s="2">
        <f>AH10*AH3</f>
        <v>863.9999999999999</v>
      </c>
      <c r="BA11" s="2" t="s">
        <v>160</v>
      </c>
      <c r="BB11" s="10"/>
      <c r="BC11" s="10"/>
      <c r="BD11" s="10"/>
      <c r="BE11" s="10"/>
      <c r="BF11" s="10"/>
      <c r="BG11" s="10"/>
      <c r="BH11" s="10"/>
      <c r="BI11" s="10"/>
      <c r="BJ11" s="10"/>
      <c r="BK11" s="10"/>
      <c r="BL11" s="10"/>
      <c r="BM11" s="10"/>
      <c r="CF11" s="10"/>
      <c r="CG11" s="10"/>
      <c r="CH11" s="10"/>
      <c r="CK11" s="17">
        <v>1235.4</v>
      </c>
      <c r="CL11" s="2" t="s">
        <v>160</v>
      </c>
      <c r="CM11" s="10"/>
    </row>
    <row r="12" spans="1:91" ht="15.75">
      <c r="A12" s="10" t="s">
        <v>76</v>
      </c>
      <c r="C12" s="2" t="s">
        <v>77</v>
      </c>
      <c r="D12" s="2" t="s">
        <v>67</v>
      </c>
      <c r="E12" s="2" t="s">
        <v>68</v>
      </c>
      <c r="F12" s="2" t="s">
        <v>69</v>
      </c>
      <c r="AE12" s="10" t="s">
        <v>76</v>
      </c>
      <c r="AF12" s="2">
        <v>140</v>
      </c>
      <c r="AG12" s="2">
        <v>160</v>
      </c>
      <c r="AH12" s="2">
        <f>(AG12+AF12)/2</f>
        <v>150</v>
      </c>
      <c r="AR12" s="2">
        <v>280</v>
      </c>
      <c r="AX12" s="2">
        <v>500</v>
      </c>
      <c r="AY12" s="2">
        <v>570</v>
      </c>
      <c r="AZ12" s="2">
        <f>(AY12+AX12)/2</f>
        <v>535</v>
      </c>
      <c r="BA12" s="10" t="s">
        <v>76</v>
      </c>
      <c r="BB12" s="10"/>
      <c r="BC12" s="10"/>
      <c r="BD12" s="10"/>
      <c r="BE12" s="10"/>
      <c r="BF12" s="10"/>
      <c r="BG12" s="10"/>
      <c r="BH12" s="10"/>
      <c r="BI12" s="10"/>
      <c r="BJ12" s="10"/>
      <c r="BK12" s="2">
        <v>580</v>
      </c>
      <c r="BL12" s="2">
        <v>650</v>
      </c>
      <c r="BM12" s="2">
        <f>(BL12+BK12)/2</f>
        <v>615</v>
      </c>
      <c r="CF12" s="10"/>
      <c r="CG12" s="10"/>
      <c r="CH12" s="10"/>
      <c r="CJ12" s="10"/>
      <c r="CL12" s="10" t="s">
        <v>76</v>
      </c>
      <c r="CM12" s="10"/>
    </row>
    <row r="13" spans="1:91" ht="15.75">
      <c r="A13" s="10"/>
      <c r="F13" s="2" t="s">
        <v>160</v>
      </c>
      <c r="AE13" s="2" t="s">
        <v>160</v>
      </c>
      <c r="AF13" s="2">
        <f>AF12*AF3</f>
        <v>161.28</v>
      </c>
      <c r="AG13" s="2">
        <f>AG12*AG3</f>
        <v>184.32</v>
      </c>
      <c r="AH13" s="2">
        <f>AH12*AH3</f>
        <v>172.79999999999998</v>
      </c>
      <c r="AR13" s="2">
        <f>AR12*AR3</f>
        <v>275.8</v>
      </c>
      <c r="AX13" s="2">
        <f>AX12*AX3</f>
        <v>359</v>
      </c>
      <c r="AY13" s="2">
        <f>AY12*AY3</f>
        <v>409.26</v>
      </c>
      <c r="AZ13" s="2">
        <f>AZ12*AZ3</f>
        <v>384.13</v>
      </c>
      <c r="BA13" s="2" t="s">
        <v>160</v>
      </c>
      <c r="BB13" s="10"/>
      <c r="BC13" s="10"/>
      <c r="BD13" s="10"/>
      <c r="BE13" s="10"/>
      <c r="BF13" s="10"/>
      <c r="BG13" s="10"/>
      <c r="BH13" s="10"/>
      <c r="BI13" s="10"/>
      <c r="BJ13" s="10"/>
      <c r="BK13" s="2">
        <f>BK12*BK3</f>
        <v>357.106</v>
      </c>
      <c r="BL13" s="2">
        <f>BL12*BL3</f>
        <v>400.20500000000004</v>
      </c>
      <c r="BM13" s="2">
        <f>BM12*BM3</f>
        <v>378.6555</v>
      </c>
      <c r="CF13" s="10"/>
      <c r="CG13" s="10"/>
      <c r="CH13" s="10"/>
      <c r="CK13" s="17">
        <v>809.4</v>
      </c>
      <c r="CL13" s="2" t="s">
        <v>160</v>
      </c>
      <c r="CM13" s="10"/>
    </row>
    <row r="14" spans="1:91" ht="15.75">
      <c r="A14" s="10" t="s">
        <v>192</v>
      </c>
      <c r="C14" s="2" t="s">
        <v>193</v>
      </c>
      <c r="D14" s="2" t="s">
        <v>67</v>
      </c>
      <c r="E14" s="2" t="s">
        <v>68</v>
      </c>
      <c r="F14" s="2" t="s">
        <v>69</v>
      </c>
      <c r="S14" s="2">
        <v>60</v>
      </c>
      <c r="T14" s="2">
        <v>90</v>
      </c>
      <c r="U14" s="2">
        <f>(T14+S14)/2</f>
        <v>75</v>
      </c>
      <c r="Y14" s="2">
        <v>60</v>
      </c>
      <c r="Z14" s="2">
        <v>100</v>
      </c>
      <c r="AA14" s="2">
        <f>(Z14+Y14)/2</f>
        <v>80</v>
      </c>
      <c r="AB14" s="2">
        <v>100</v>
      </c>
      <c r="AC14" s="2">
        <v>140</v>
      </c>
      <c r="AD14" s="2">
        <f>(AC14+AB14)/2</f>
        <v>120</v>
      </c>
      <c r="AE14" s="10" t="s">
        <v>192</v>
      </c>
      <c r="AO14" s="2">
        <v>130</v>
      </c>
      <c r="AP14" s="2">
        <v>175</v>
      </c>
      <c r="AQ14" s="2">
        <f>(AP14+AO14)/2</f>
        <v>152.5</v>
      </c>
      <c r="AU14" s="2">
        <v>280</v>
      </c>
      <c r="AV14" s="2">
        <v>300</v>
      </c>
      <c r="AW14" s="2">
        <f>(AV14+AU14)/2</f>
        <v>290</v>
      </c>
      <c r="AX14" s="2">
        <v>400</v>
      </c>
      <c r="AY14" s="2">
        <v>480</v>
      </c>
      <c r="AZ14" s="2">
        <f>(AY14+AX14)/2</f>
        <v>440</v>
      </c>
      <c r="BA14" s="10" t="s">
        <v>192</v>
      </c>
      <c r="BB14" s="10"/>
      <c r="BC14" s="10"/>
      <c r="BD14" s="10"/>
      <c r="BE14" s="10"/>
      <c r="BF14" s="10"/>
      <c r="BG14" s="10"/>
      <c r="BH14" s="10"/>
      <c r="BI14" s="10"/>
      <c r="BJ14" s="10"/>
      <c r="BK14" s="10"/>
      <c r="BL14" s="10"/>
      <c r="BM14" s="10"/>
      <c r="CF14" s="10"/>
      <c r="CG14" s="10"/>
      <c r="CH14" s="10"/>
      <c r="CJ14" s="10"/>
      <c r="CL14" s="10" t="s">
        <v>192</v>
      </c>
      <c r="CM14" s="10"/>
    </row>
    <row r="15" spans="1:91" ht="15.75">
      <c r="A15" s="10"/>
      <c r="F15" s="2" t="s">
        <v>160</v>
      </c>
      <c r="S15" s="2">
        <f>S14*S3</f>
        <v>144.72</v>
      </c>
      <c r="T15" s="2">
        <f>T14*T3</f>
        <v>217.07999999999998</v>
      </c>
      <c r="U15" s="2">
        <f>U14*U3</f>
        <v>180.9</v>
      </c>
      <c r="Y15" s="2">
        <f aca="true" t="shared" si="1" ref="Y15:AD15">Y14*Y3</f>
        <v>68.64</v>
      </c>
      <c r="Z15" s="2">
        <f t="shared" si="1"/>
        <v>114.39999999999999</v>
      </c>
      <c r="AA15" s="2">
        <f t="shared" si="1"/>
        <v>91.52</v>
      </c>
      <c r="AB15" s="2">
        <f t="shared" si="1"/>
        <v>114.39999999999999</v>
      </c>
      <c r="AC15" s="2">
        <f t="shared" si="1"/>
        <v>160.16</v>
      </c>
      <c r="AD15" s="2">
        <f t="shared" si="1"/>
        <v>137.28</v>
      </c>
      <c r="AE15" s="2" t="s">
        <v>160</v>
      </c>
      <c r="AO15" s="2">
        <f>AO14*AO3</f>
        <v>135.668</v>
      </c>
      <c r="AP15" s="2">
        <f>AP14*AP3</f>
        <v>182.63000000000002</v>
      </c>
      <c r="AQ15" s="2">
        <f>AQ14*AQ3</f>
        <v>159.149</v>
      </c>
      <c r="AU15" s="2">
        <f aca="true" t="shared" si="2" ref="AU15:AZ15">AU14*AU3</f>
        <v>267.4</v>
      </c>
      <c r="AV15" s="2">
        <f t="shared" si="2"/>
        <v>286.5</v>
      </c>
      <c r="AW15" s="2">
        <f t="shared" si="2"/>
        <v>276.95</v>
      </c>
      <c r="AX15" s="2">
        <f t="shared" si="2"/>
        <v>287.2</v>
      </c>
      <c r="AY15" s="2">
        <f t="shared" si="2"/>
        <v>344.64</v>
      </c>
      <c r="AZ15" s="2">
        <f t="shared" si="2"/>
        <v>315.91999999999996</v>
      </c>
      <c r="BA15" s="2" t="s">
        <v>160</v>
      </c>
      <c r="BB15" s="10"/>
      <c r="BC15" s="10"/>
      <c r="BD15" s="10"/>
      <c r="BE15" s="10"/>
      <c r="BF15" s="10"/>
      <c r="BG15" s="10"/>
      <c r="BH15" s="10"/>
      <c r="BI15" s="10"/>
      <c r="BJ15" s="10"/>
      <c r="BK15" s="10"/>
      <c r="BL15" s="10"/>
      <c r="BM15" s="10"/>
      <c r="CF15" s="10"/>
      <c r="CG15" s="10"/>
      <c r="CH15" s="10"/>
      <c r="CK15" s="17">
        <v>306.72</v>
      </c>
      <c r="CL15" s="2" t="s">
        <v>160</v>
      </c>
      <c r="CM15" s="10"/>
    </row>
    <row r="16" spans="1:91" ht="15.75">
      <c r="A16" s="10" t="s">
        <v>194</v>
      </c>
      <c r="C16" s="2" t="s">
        <v>389</v>
      </c>
      <c r="D16" s="2" t="s">
        <v>67</v>
      </c>
      <c r="E16" s="2" t="s">
        <v>68</v>
      </c>
      <c r="F16" s="2" t="s">
        <v>69</v>
      </c>
      <c r="AA16" s="2">
        <v>680</v>
      </c>
      <c r="AE16" s="10" t="s">
        <v>194</v>
      </c>
      <c r="AQ16" s="2">
        <v>1000</v>
      </c>
      <c r="BA16" s="10" t="s">
        <v>194</v>
      </c>
      <c r="BB16" s="10"/>
      <c r="BC16" s="10"/>
      <c r="BD16" s="10"/>
      <c r="BE16" s="10"/>
      <c r="BF16" s="10"/>
      <c r="BG16" s="10"/>
      <c r="BH16" s="10"/>
      <c r="BI16" s="10"/>
      <c r="BJ16" s="10"/>
      <c r="BK16" s="10"/>
      <c r="BL16" s="10"/>
      <c r="BM16" s="10"/>
      <c r="CF16" s="10"/>
      <c r="CG16" s="10"/>
      <c r="CH16" s="10"/>
      <c r="CJ16" s="10"/>
      <c r="CL16" s="10" t="s">
        <v>194</v>
      </c>
      <c r="CM16" s="10"/>
    </row>
    <row r="17" spans="1:91" ht="15.75">
      <c r="A17" s="10"/>
      <c r="F17" s="2" t="s">
        <v>160</v>
      </c>
      <c r="AA17" s="2">
        <f>AA16*AA3</f>
        <v>777.92</v>
      </c>
      <c r="AE17" s="2" t="s">
        <v>160</v>
      </c>
      <c r="AQ17" s="2">
        <f>AQ16*AQ3</f>
        <v>1043.6000000000001</v>
      </c>
      <c r="BA17" s="2" t="s">
        <v>160</v>
      </c>
      <c r="BB17" s="10"/>
      <c r="BC17" s="10"/>
      <c r="BD17" s="10"/>
      <c r="BE17" s="10"/>
      <c r="BF17" s="10"/>
      <c r="BG17" s="10"/>
      <c r="BH17" s="10"/>
      <c r="BI17" s="10"/>
      <c r="BJ17" s="10"/>
      <c r="BK17" s="10"/>
      <c r="BL17" s="10"/>
      <c r="BM17" s="10"/>
      <c r="CF17" s="10"/>
      <c r="CG17" s="10"/>
      <c r="CH17" s="10"/>
      <c r="CK17" s="17">
        <v>1746.6</v>
      </c>
      <c r="CL17" s="2" t="s">
        <v>160</v>
      </c>
      <c r="CM17" s="10"/>
    </row>
    <row r="18" spans="1:91" ht="15.75">
      <c r="A18" s="10" t="s">
        <v>414</v>
      </c>
      <c r="B18" s="2" t="s">
        <v>415</v>
      </c>
      <c r="C18" s="2" t="s">
        <v>416</v>
      </c>
      <c r="D18" s="2">
        <v>100</v>
      </c>
      <c r="E18" s="2" t="s">
        <v>417</v>
      </c>
      <c r="F18" s="2" t="s">
        <v>69</v>
      </c>
      <c r="AB18" s="2">
        <v>6</v>
      </c>
      <c r="AC18" s="2">
        <v>7</v>
      </c>
      <c r="AD18" s="2">
        <f>(AC18+AB18)/2</f>
        <v>6.5</v>
      </c>
      <c r="AE18" s="10" t="s">
        <v>414</v>
      </c>
      <c r="AF18" s="2">
        <v>6</v>
      </c>
      <c r="AG18" s="2">
        <v>7</v>
      </c>
      <c r="AH18" s="2">
        <f>(AG18+AF18)/2</f>
        <v>6.5</v>
      </c>
      <c r="AU18" s="2">
        <v>17</v>
      </c>
      <c r="AV18" s="2">
        <v>20</v>
      </c>
      <c r="AW18" s="2">
        <f>(AV18+AU18)/2</f>
        <v>18.5</v>
      </c>
      <c r="BA18" s="10" t="s">
        <v>414</v>
      </c>
      <c r="BB18" s="10"/>
      <c r="BC18" s="10"/>
      <c r="BD18" s="10"/>
      <c r="BE18" s="10"/>
      <c r="BF18" s="10"/>
      <c r="BG18" s="10"/>
      <c r="BH18" s="10"/>
      <c r="BI18" s="10"/>
      <c r="BJ18" s="10"/>
      <c r="BK18" s="10"/>
      <c r="BL18" s="10"/>
      <c r="BM18" s="10"/>
      <c r="CF18" s="10"/>
      <c r="CG18" s="10"/>
      <c r="CH18" s="10"/>
      <c r="CJ18" s="10"/>
      <c r="CL18" s="10" t="s">
        <v>414</v>
      </c>
      <c r="CM18" s="10"/>
    </row>
    <row r="19" spans="1:91" ht="15.75">
      <c r="A19" s="10"/>
      <c r="F19" s="2" t="s">
        <v>160</v>
      </c>
      <c r="AB19" s="2">
        <f>AB18*AB3</f>
        <v>6.863999999999999</v>
      </c>
      <c r="AC19" s="2">
        <f>AC18*AC3</f>
        <v>8.008</v>
      </c>
      <c r="AD19" s="2">
        <f>AD18*AD3</f>
        <v>7.435999999999999</v>
      </c>
      <c r="AE19" s="2" t="s">
        <v>160</v>
      </c>
      <c r="AF19" s="2">
        <f>AF18*AF3</f>
        <v>6.911999999999999</v>
      </c>
      <c r="AG19" s="2">
        <f>AG18*AG3</f>
        <v>8.064</v>
      </c>
      <c r="AH19" s="2">
        <f>AH18*AH3</f>
        <v>7.4879999999999995</v>
      </c>
      <c r="AU19" s="2">
        <f>AU18*AU3</f>
        <v>16.235</v>
      </c>
      <c r="AV19" s="2">
        <f>AV18*AV3</f>
        <v>19.099999999999998</v>
      </c>
      <c r="AW19" s="2">
        <f>AW18*AW3</f>
        <v>17.6675</v>
      </c>
      <c r="BA19" s="2" t="s">
        <v>160</v>
      </c>
      <c r="BB19" s="10"/>
      <c r="BC19" s="10"/>
      <c r="BD19" s="10"/>
      <c r="BE19" s="10"/>
      <c r="BF19" s="10"/>
      <c r="BG19" s="10"/>
      <c r="BH19" s="10"/>
      <c r="BI19" s="10"/>
      <c r="BJ19" s="10"/>
      <c r="BK19" s="10"/>
      <c r="BL19" s="10"/>
      <c r="BM19" s="10"/>
      <c r="CF19" s="10"/>
      <c r="CG19" s="10"/>
      <c r="CH19" s="10"/>
      <c r="CK19" s="17">
        <v>23</v>
      </c>
      <c r="CL19" s="2" t="s">
        <v>160</v>
      </c>
      <c r="CM19" s="10"/>
    </row>
    <row r="20" spans="1:91" ht="15.75">
      <c r="A20" s="10" t="s">
        <v>418</v>
      </c>
      <c r="B20" s="2" t="s">
        <v>419</v>
      </c>
      <c r="C20" s="2" t="s">
        <v>51</v>
      </c>
      <c r="D20" s="2">
        <v>1000</v>
      </c>
      <c r="F20" s="2" t="s">
        <v>69</v>
      </c>
      <c r="AE20" s="10" t="s">
        <v>418</v>
      </c>
      <c r="BA20" s="10" t="s">
        <v>418</v>
      </c>
      <c r="BB20" s="10"/>
      <c r="BC20" s="10"/>
      <c r="BD20" s="10"/>
      <c r="BE20" s="10"/>
      <c r="BF20" s="10"/>
      <c r="BG20" s="10"/>
      <c r="BH20" s="10"/>
      <c r="BI20" s="10"/>
      <c r="BJ20" s="10"/>
      <c r="BK20" s="10"/>
      <c r="BL20" s="10"/>
      <c r="BM20" s="10"/>
      <c r="CF20" s="10"/>
      <c r="CG20" s="10"/>
      <c r="CH20" s="10"/>
      <c r="CJ20" s="10"/>
      <c r="CL20" s="10" t="s">
        <v>418</v>
      </c>
      <c r="CM20" s="10"/>
    </row>
    <row r="21" spans="1:91" ht="15.75">
      <c r="A21" s="10"/>
      <c r="F21" s="2" t="s">
        <v>160</v>
      </c>
      <c r="AE21" s="2" t="s">
        <v>160</v>
      </c>
      <c r="BA21" s="2" t="s">
        <v>160</v>
      </c>
      <c r="BB21" s="10"/>
      <c r="BC21" s="10"/>
      <c r="BD21" s="10"/>
      <c r="BE21" s="10"/>
      <c r="BF21" s="10"/>
      <c r="BG21" s="10"/>
      <c r="BH21" s="10"/>
      <c r="BI21" s="10"/>
      <c r="BJ21" s="10"/>
      <c r="BK21" s="10"/>
      <c r="BL21" s="10"/>
      <c r="BM21" s="10"/>
      <c r="CF21" s="10"/>
      <c r="CG21" s="10"/>
      <c r="CH21" s="10"/>
      <c r="CL21" s="2" t="s">
        <v>160</v>
      </c>
      <c r="CM21" s="10"/>
    </row>
    <row r="22" spans="1:91" ht="15.75">
      <c r="A22" s="10" t="s">
        <v>420</v>
      </c>
      <c r="B22" s="2" t="s">
        <v>421</v>
      </c>
      <c r="C22" s="2" t="s">
        <v>422</v>
      </c>
      <c r="D22" s="2" t="s">
        <v>423</v>
      </c>
      <c r="E22" s="2" t="s">
        <v>424</v>
      </c>
      <c r="F22" s="2" t="s">
        <v>69</v>
      </c>
      <c r="Y22" s="2">
        <v>30</v>
      </c>
      <c r="Z22" s="2">
        <v>40</v>
      </c>
      <c r="AA22" s="2">
        <f>(Z22+Y22)/2</f>
        <v>35</v>
      </c>
      <c r="AB22" s="2">
        <v>33</v>
      </c>
      <c r="AC22" s="2">
        <v>43</v>
      </c>
      <c r="AD22" s="2">
        <f>(AC22+AB22)/2</f>
        <v>38</v>
      </c>
      <c r="AE22" s="10" t="s">
        <v>420</v>
      </c>
      <c r="AF22" s="2">
        <v>30</v>
      </c>
      <c r="AG22" s="2">
        <v>40</v>
      </c>
      <c r="AH22" s="2">
        <f>(AG22+AF22)/2</f>
        <v>35</v>
      </c>
      <c r="BA22" s="10" t="s">
        <v>420</v>
      </c>
      <c r="BB22" s="10"/>
      <c r="BC22" s="10"/>
      <c r="BD22" s="10"/>
      <c r="BE22" s="10"/>
      <c r="BF22" s="10"/>
      <c r="BG22" s="10"/>
      <c r="BH22" s="10"/>
      <c r="BI22" s="10"/>
      <c r="BJ22" s="10"/>
      <c r="BK22" s="10"/>
      <c r="BL22" s="10"/>
      <c r="BM22" s="10"/>
      <c r="CF22" s="10"/>
      <c r="CG22" s="10"/>
      <c r="CH22" s="10"/>
      <c r="CL22" s="10" t="s">
        <v>420</v>
      </c>
      <c r="CM22" s="10"/>
    </row>
    <row r="23" spans="1:91" ht="15.75">
      <c r="A23" s="10"/>
      <c r="F23" s="2" t="s">
        <v>160</v>
      </c>
      <c r="Y23" s="17">
        <f aca="true" t="shared" si="3" ref="Y23:AD23">Y22*Y3</f>
        <v>34.32</v>
      </c>
      <c r="Z23" s="17">
        <f t="shared" si="3"/>
        <v>45.76</v>
      </c>
      <c r="AA23" s="17">
        <f t="shared" si="3"/>
        <v>40.04</v>
      </c>
      <c r="AB23" s="17">
        <f t="shared" si="3"/>
        <v>37.751999999999995</v>
      </c>
      <c r="AC23" s="17">
        <f t="shared" si="3"/>
        <v>49.19199999999999</v>
      </c>
      <c r="AD23" s="17">
        <f t="shared" si="3"/>
        <v>43.471999999999994</v>
      </c>
      <c r="AE23" s="2" t="s">
        <v>160</v>
      </c>
      <c r="AF23" s="2">
        <f>AF22*AF3</f>
        <v>34.559999999999995</v>
      </c>
      <c r="AG23" s="2">
        <f>AG22*AG3</f>
        <v>46.08</v>
      </c>
      <c r="AH23" s="2">
        <f>AH22*AH3</f>
        <v>40.32</v>
      </c>
      <c r="BA23" s="2" t="s">
        <v>160</v>
      </c>
      <c r="BB23" s="10"/>
      <c r="BC23" s="10"/>
      <c r="BD23" s="10"/>
      <c r="BE23" s="10"/>
      <c r="BF23" s="10"/>
      <c r="BG23" s="10"/>
      <c r="BH23" s="10"/>
      <c r="BI23" s="10"/>
      <c r="BJ23" s="10"/>
      <c r="BK23" s="10"/>
      <c r="BL23" s="10"/>
      <c r="BM23" s="10"/>
      <c r="CF23" s="10"/>
      <c r="CG23" s="10"/>
      <c r="CH23" s="10"/>
      <c r="CL23" s="2" t="s">
        <v>160</v>
      </c>
      <c r="CM23" s="10"/>
    </row>
    <row r="24" spans="1:91" ht="15.75">
      <c r="A24" s="10" t="s">
        <v>420</v>
      </c>
      <c r="B24" s="2" t="s">
        <v>282</v>
      </c>
      <c r="C24" s="2" t="s">
        <v>422</v>
      </c>
      <c r="D24" s="2" t="s">
        <v>423</v>
      </c>
      <c r="E24" s="2" t="s">
        <v>424</v>
      </c>
      <c r="F24" s="2" t="s">
        <v>69</v>
      </c>
      <c r="M24" s="2">
        <v>9.6</v>
      </c>
      <c r="N24" s="2">
        <v>19.2</v>
      </c>
      <c r="O24" s="2">
        <v>14.4</v>
      </c>
      <c r="Y24" s="2">
        <v>15</v>
      </c>
      <c r="Z24" s="2">
        <v>20</v>
      </c>
      <c r="AA24" s="2">
        <f>(Z24+Y24)/2</f>
        <v>17.5</v>
      </c>
      <c r="AB24" s="2">
        <v>18</v>
      </c>
      <c r="AC24" s="2">
        <v>22</v>
      </c>
      <c r="AD24" s="2">
        <f>(AC24+AB24)/2</f>
        <v>20</v>
      </c>
      <c r="AE24" s="10" t="s">
        <v>49</v>
      </c>
      <c r="AF24" s="2">
        <v>16</v>
      </c>
      <c r="AG24" s="2">
        <v>20</v>
      </c>
      <c r="AH24" s="2">
        <f>(AG24+AF24)/2</f>
        <v>18</v>
      </c>
      <c r="AK24" s="2">
        <v>20</v>
      </c>
      <c r="AU24" s="2">
        <v>30</v>
      </c>
      <c r="AV24" s="2">
        <v>60</v>
      </c>
      <c r="AW24" s="2">
        <f>(AV24+AU24)/2</f>
        <v>45</v>
      </c>
      <c r="AX24" s="2">
        <v>80</v>
      </c>
      <c r="AY24" s="2">
        <v>100</v>
      </c>
      <c r="AZ24" s="2">
        <f>(AY24+AX24)/2</f>
        <v>90</v>
      </c>
      <c r="BA24" s="10" t="s">
        <v>49</v>
      </c>
      <c r="BB24" s="10"/>
      <c r="BC24" s="10"/>
      <c r="BD24" s="10"/>
      <c r="BE24" s="10"/>
      <c r="BF24" s="10"/>
      <c r="BG24" s="10"/>
      <c r="BH24" s="10"/>
      <c r="BI24" s="10"/>
      <c r="BJ24" s="10"/>
      <c r="BK24" s="10"/>
      <c r="BL24" s="10"/>
      <c r="BM24" s="10"/>
      <c r="CF24" s="10"/>
      <c r="CG24" s="10"/>
      <c r="CH24" s="10"/>
      <c r="CJ24" s="10"/>
      <c r="CL24" s="10" t="s">
        <v>420</v>
      </c>
      <c r="CM24" s="10"/>
    </row>
    <row r="25" spans="1:91" ht="15.75">
      <c r="A25" s="10"/>
      <c r="F25" s="2" t="s">
        <v>160</v>
      </c>
      <c r="M25" s="2">
        <f>M24*M3</f>
        <v>36.0192</v>
      </c>
      <c r="N25" s="2">
        <f>N24*N3</f>
        <v>72.0384</v>
      </c>
      <c r="O25" s="2">
        <f>O24*O3</f>
        <v>54.0288</v>
      </c>
      <c r="Y25" s="2">
        <f aca="true" t="shared" si="4" ref="Y25:AD25">Y24*Y3</f>
        <v>17.16</v>
      </c>
      <c r="Z25" s="2">
        <f t="shared" si="4"/>
        <v>22.88</v>
      </c>
      <c r="AA25" s="2">
        <f t="shared" si="4"/>
        <v>20.02</v>
      </c>
      <c r="AB25" s="2">
        <f t="shared" si="4"/>
        <v>20.592</v>
      </c>
      <c r="AC25" s="2">
        <f t="shared" si="4"/>
        <v>25.168</v>
      </c>
      <c r="AD25" s="2">
        <f t="shared" si="4"/>
        <v>22.88</v>
      </c>
      <c r="AE25" s="2" t="s">
        <v>160</v>
      </c>
      <c r="AF25" s="2">
        <f>AF24*AF3</f>
        <v>18.432</v>
      </c>
      <c r="AG25" s="2">
        <f>AG24*AG3</f>
        <v>23.04</v>
      </c>
      <c r="AH25" s="2">
        <f>AH24*AH3</f>
        <v>20.735999999999997</v>
      </c>
      <c r="AK25" s="2">
        <f>AK24*AK3</f>
        <v>23.04</v>
      </c>
      <c r="AU25" s="2">
        <f aca="true" t="shared" si="5" ref="AU25:AZ25">AU24*AU3</f>
        <v>28.65</v>
      </c>
      <c r="AV25" s="2">
        <f t="shared" si="5"/>
        <v>57.3</v>
      </c>
      <c r="AW25" s="2">
        <f t="shared" si="5"/>
        <v>42.975</v>
      </c>
      <c r="AX25" s="2">
        <f t="shared" si="5"/>
        <v>57.44</v>
      </c>
      <c r="AY25" s="2">
        <f t="shared" si="5"/>
        <v>71.8</v>
      </c>
      <c r="AZ25" s="2">
        <f t="shared" si="5"/>
        <v>64.62</v>
      </c>
      <c r="BA25" s="2" t="s">
        <v>160</v>
      </c>
      <c r="BB25" s="10"/>
      <c r="BC25" s="10"/>
      <c r="BD25" s="10"/>
      <c r="BE25" s="10"/>
      <c r="BF25" s="10"/>
      <c r="BG25" s="10"/>
      <c r="BH25" s="10"/>
      <c r="BI25" s="10"/>
      <c r="BJ25" s="10"/>
      <c r="BK25" s="10"/>
      <c r="BL25" s="10"/>
      <c r="BM25" s="10"/>
      <c r="CF25" s="10"/>
      <c r="CG25" s="10"/>
      <c r="CH25" s="10"/>
      <c r="CL25" s="2" t="s">
        <v>160</v>
      </c>
      <c r="CM25" s="10"/>
    </row>
    <row r="26" spans="1:91" ht="15.75">
      <c r="A26" s="10" t="s">
        <v>420</v>
      </c>
      <c r="B26" s="2" t="s">
        <v>283</v>
      </c>
      <c r="C26" s="2" t="s">
        <v>284</v>
      </c>
      <c r="D26" s="2" t="s">
        <v>423</v>
      </c>
      <c r="E26" s="2" t="s">
        <v>424</v>
      </c>
      <c r="F26" s="2" t="s">
        <v>69</v>
      </c>
      <c r="O26" s="2">
        <v>25</v>
      </c>
      <c r="AE26" s="10" t="s">
        <v>283</v>
      </c>
      <c r="BA26" s="10" t="s">
        <v>283</v>
      </c>
      <c r="BB26" s="10"/>
      <c r="BC26" s="10"/>
      <c r="BD26" s="10"/>
      <c r="BE26" s="10"/>
      <c r="BF26" s="10"/>
      <c r="BG26" s="10"/>
      <c r="BH26" s="10"/>
      <c r="BI26" s="10"/>
      <c r="BJ26" s="10"/>
      <c r="BK26" s="10"/>
      <c r="BL26" s="10"/>
      <c r="BM26" s="10"/>
      <c r="CF26" s="10"/>
      <c r="CG26" s="10"/>
      <c r="CH26" s="10"/>
      <c r="CJ26" s="10"/>
      <c r="CL26" s="10" t="s">
        <v>420</v>
      </c>
      <c r="CM26" s="10"/>
    </row>
    <row r="27" spans="1:91" ht="15.75">
      <c r="A27" s="10"/>
      <c r="F27" s="2" t="s">
        <v>160</v>
      </c>
      <c r="O27" s="2">
        <f>O26*O3</f>
        <v>93.8</v>
      </c>
      <c r="AE27" s="2" t="s">
        <v>160</v>
      </c>
      <c r="BA27" s="2" t="s">
        <v>160</v>
      </c>
      <c r="BB27" s="10"/>
      <c r="BC27" s="10"/>
      <c r="BD27" s="10"/>
      <c r="BE27" s="10"/>
      <c r="BF27" s="10"/>
      <c r="BG27" s="10"/>
      <c r="BH27" s="10"/>
      <c r="BI27" s="10"/>
      <c r="BJ27" s="10"/>
      <c r="BK27" s="10"/>
      <c r="BL27" s="10"/>
      <c r="BM27" s="10"/>
      <c r="CF27" s="10"/>
      <c r="CG27" s="10"/>
      <c r="CH27" s="10"/>
      <c r="CL27" s="2" t="s">
        <v>160</v>
      </c>
      <c r="CM27" s="10"/>
    </row>
    <row r="28" spans="1:91" ht="15.75">
      <c r="A28" s="10" t="s">
        <v>285</v>
      </c>
      <c r="B28" s="2" t="s">
        <v>286</v>
      </c>
      <c r="C28" s="2" t="s">
        <v>287</v>
      </c>
      <c r="D28" s="2" t="s">
        <v>423</v>
      </c>
      <c r="E28" s="2" t="s">
        <v>424</v>
      </c>
      <c r="F28" s="2" t="s">
        <v>69</v>
      </c>
      <c r="O28" s="2">
        <v>41.5</v>
      </c>
      <c r="V28" s="2">
        <v>30</v>
      </c>
      <c r="Y28" s="2">
        <v>30</v>
      </c>
      <c r="Z28" s="2">
        <v>50</v>
      </c>
      <c r="AA28" s="2">
        <f>(Z28+Y28)/2</f>
        <v>40</v>
      </c>
      <c r="AB28" s="2">
        <v>50</v>
      </c>
      <c r="AC28" s="2">
        <v>60</v>
      </c>
      <c r="AD28" s="2">
        <f>(AC28+AB28)/2</f>
        <v>55</v>
      </c>
      <c r="AE28" s="10" t="s">
        <v>285</v>
      </c>
      <c r="AF28" s="2">
        <v>55</v>
      </c>
      <c r="AG28" s="2">
        <v>60</v>
      </c>
      <c r="AH28" s="2">
        <f>(AG28+AF28)/2</f>
        <v>57.5</v>
      </c>
      <c r="BA28" s="10" t="s">
        <v>285</v>
      </c>
      <c r="BB28" s="10"/>
      <c r="BC28" s="10"/>
      <c r="BD28" s="10"/>
      <c r="BE28" s="10"/>
      <c r="BF28" s="10"/>
      <c r="BG28" s="10"/>
      <c r="BH28" s="10"/>
      <c r="BI28" s="10"/>
      <c r="BJ28" s="10"/>
      <c r="BK28" s="10"/>
      <c r="BL28" s="10"/>
      <c r="BM28" s="10"/>
      <c r="CF28" s="10"/>
      <c r="CG28" s="10"/>
      <c r="CH28" s="10"/>
      <c r="CJ28" s="10"/>
      <c r="CL28" s="10" t="s">
        <v>285</v>
      </c>
      <c r="CM28" s="10"/>
    </row>
    <row r="29" spans="1:91" ht="15.75">
      <c r="A29" s="10"/>
      <c r="F29" s="2" t="s">
        <v>160</v>
      </c>
      <c r="O29" s="2">
        <f>O28*O3</f>
        <v>155.708</v>
      </c>
      <c r="V29" s="2">
        <f>V28*V3</f>
        <v>49.230000000000004</v>
      </c>
      <c r="Y29" s="2">
        <f aca="true" t="shared" si="6" ref="Y29:AD29">Y28*Y3</f>
        <v>34.32</v>
      </c>
      <c r="Z29" s="2">
        <f t="shared" si="6"/>
        <v>57.199999999999996</v>
      </c>
      <c r="AA29" s="2">
        <f t="shared" si="6"/>
        <v>45.76</v>
      </c>
      <c r="AB29" s="2">
        <f t="shared" si="6"/>
        <v>57.199999999999996</v>
      </c>
      <c r="AC29" s="2">
        <f t="shared" si="6"/>
        <v>68.64</v>
      </c>
      <c r="AD29" s="2">
        <f t="shared" si="6"/>
        <v>62.919999999999995</v>
      </c>
      <c r="AE29" s="2" t="s">
        <v>160</v>
      </c>
      <c r="AF29" s="2">
        <f>AF28*AF3</f>
        <v>63.35999999999999</v>
      </c>
      <c r="AG29" s="2">
        <f>AG28*AG3</f>
        <v>69.11999999999999</v>
      </c>
      <c r="AH29" s="2">
        <f>AH28*AH3</f>
        <v>66.24</v>
      </c>
      <c r="BA29" s="2" t="s">
        <v>160</v>
      </c>
      <c r="BB29" s="10"/>
      <c r="BC29" s="10"/>
      <c r="BD29" s="10"/>
      <c r="BE29" s="10"/>
      <c r="BF29" s="10"/>
      <c r="BG29" s="10"/>
      <c r="BH29" s="10"/>
      <c r="BI29" s="10"/>
      <c r="BJ29" s="10"/>
      <c r="BK29" s="10"/>
      <c r="BL29" s="10"/>
      <c r="BM29" s="10"/>
      <c r="CF29" s="10"/>
      <c r="CG29" s="10"/>
      <c r="CH29" s="10"/>
      <c r="CL29" s="2" t="s">
        <v>160</v>
      </c>
      <c r="CM29" s="10"/>
    </row>
    <row r="30" spans="1:91" ht="15.75">
      <c r="A30" s="10" t="s">
        <v>285</v>
      </c>
      <c r="B30" s="2" t="s">
        <v>288</v>
      </c>
      <c r="C30" s="2" t="s">
        <v>287</v>
      </c>
      <c r="D30" s="2" t="s">
        <v>289</v>
      </c>
      <c r="E30" s="2" t="s">
        <v>290</v>
      </c>
      <c r="F30" s="2" t="s">
        <v>69</v>
      </c>
      <c r="Y30" s="2">
        <v>70</v>
      </c>
      <c r="Z30" s="2">
        <v>80</v>
      </c>
      <c r="AA30" s="2">
        <f>(Z30+Y30)/2</f>
        <v>75</v>
      </c>
      <c r="AE30" s="2" t="s">
        <v>288</v>
      </c>
      <c r="BA30" s="2" t="s">
        <v>288</v>
      </c>
      <c r="BB30" s="10"/>
      <c r="BC30" s="10"/>
      <c r="BD30" s="10"/>
      <c r="BE30" s="10"/>
      <c r="BF30" s="10"/>
      <c r="BG30" s="10"/>
      <c r="BH30" s="10"/>
      <c r="BI30" s="10"/>
      <c r="BJ30" s="10"/>
      <c r="BK30" s="10"/>
      <c r="BL30" s="10"/>
      <c r="BM30" s="10"/>
      <c r="CF30" s="10"/>
      <c r="CG30" s="10"/>
      <c r="CH30" s="10"/>
      <c r="CJ30" s="10"/>
      <c r="CL30" s="10" t="s">
        <v>288</v>
      </c>
      <c r="CM30" s="10"/>
    </row>
    <row r="31" spans="1:91" ht="15.75">
      <c r="A31" s="10"/>
      <c r="F31" s="2" t="s">
        <v>160</v>
      </c>
      <c r="Y31" s="2">
        <f>Y30*Y3</f>
        <v>80.08</v>
      </c>
      <c r="Z31" s="2">
        <f>Z30*Z3</f>
        <v>91.52</v>
      </c>
      <c r="AA31" s="2">
        <f>AA30*AA3</f>
        <v>85.8</v>
      </c>
      <c r="AE31" s="2" t="s">
        <v>160</v>
      </c>
      <c r="BA31" s="2" t="s">
        <v>160</v>
      </c>
      <c r="BB31" s="10"/>
      <c r="BC31" s="10"/>
      <c r="BD31" s="10"/>
      <c r="BE31" s="10"/>
      <c r="BF31" s="10"/>
      <c r="BG31" s="10"/>
      <c r="BH31" s="10"/>
      <c r="BI31" s="10"/>
      <c r="BJ31" s="10"/>
      <c r="BK31" s="10"/>
      <c r="BL31" s="10"/>
      <c r="BM31" s="10"/>
      <c r="CF31" s="10"/>
      <c r="CG31" s="10"/>
      <c r="CH31" s="10"/>
      <c r="CL31" s="2" t="s">
        <v>160</v>
      </c>
      <c r="CM31" s="10"/>
    </row>
    <row r="32" spans="1:91" ht="15.75">
      <c r="A32" s="10" t="s">
        <v>291</v>
      </c>
      <c r="C32" s="2" t="s">
        <v>292</v>
      </c>
      <c r="D32" s="2" t="s">
        <v>67</v>
      </c>
      <c r="E32" s="2" t="s">
        <v>68</v>
      </c>
      <c r="F32" s="2" t="s">
        <v>69</v>
      </c>
      <c r="S32" s="2">
        <v>3600</v>
      </c>
      <c r="T32" s="2">
        <v>4500</v>
      </c>
      <c r="U32" s="2">
        <f>(T32+S32)/2</f>
        <v>4050</v>
      </c>
      <c r="AB32" s="2">
        <v>4500</v>
      </c>
      <c r="AC32" s="2">
        <v>5000</v>
      </c>
      <c r="AD32" s="2">
        <f>(AC32+AB32)/2</f>
        <v>4750</v>
      </c>
      <c r="AE32" s="10" t="s">
        <v>291</v>
      </c>
      <c r="AF32" s="2">
        <v>5000</v>
      </c>
      <c r="AG32" s="2">
        <v>5600</v>
      </c>
      <c r="AH32" s="2">
        <f>(AG32+AF32)/2</f>
        <v>5300</v>
      </c>
      <c r="AI32" s="2">
        <v>5400</v>
      </c>
      <c r="AJ32" s="2">
        <v>5800</v>
      </c>
      <c r="AK32" s="2">
        <f>(AJ32+AI32)/2</f>
        <v>5600</v>
      </c>
      <c r="AR32" s="2">
        <v>1500</v>
      </c>
      <c r="AS32" s="2">
        <v>2200</v>
      </c>
      <c r="AT32" s="2">
        <f>(AS32+AR32)/2</f>
        <v>1850</v>
      </c>
      <c r="BA32" s="10" t="s">
        <v>291</v>
      </c>
      <c r="BB32" s="10"/>
      <c r="BC32" s="10"/>
      <c r="BD32" s="10"/>
      <c r="BE32" s="10"/>
      <c r="BF32" s="10"/>
      <c r="BG32" s="10"/>
      <c r="BH32" s="10"/>
      <c r="BI32" s="10"/>
      <c r="BJ32" s="10"/>
      <c r="BK32" s="10"/>
      <c r="BL32" s="10"/>
      <c r="BM32" s="10"/>
      <c r="CF32" s="10"/>
      <c r="CG32" s="10"/>
      <c r="CH32" s="10"/>
      <c r="CJ32" s="10"/>
      <c r="CL32" s="10" t="s">
        <v>291</v>
      </c>
      <c r="CM32" s="10"/>
    </row>
    <row r="33" spans="1:90" ht="15.75">
      <c r="A33" s="10"/>
      <c r="F33" s="2" t="s">
        <v>160</v>
      </c>
      <c r="S33" s="2">
        <f>S32*S3</f>
        <v>8683.199999999999</v>
      </c>
      <c r="T33" s="2">
        <f>T32*T3</f>
        <v>10854</v>
      </c>
      <c r="U33" s="2">
        <f>U32*U3</f>
        <v>9768.6</v>
      </c>
      <c r="AB33" s="2">
        <f>AB32*AB3</f>
        <v>5148</v>
      </c>
      <c r="AC33" s="2">
        <f>AC32*AC3</f>
        <v>5719.999999999999</v>
      </c>
      <c r="AD33" s="2">
        <f>AD32*AD3</f>
        <v>5434</v>
      </c>
      <c r="AE33" s="2" t="s">
        <v>160</v>
      </c>
      <c r="AF33" s="2">
        <f aca="true" t="shared" si="7" ref="AF33:AK33">AF32*AF3</f>
        <v>5760</v>
      </c>
      <c r="AG33" s="2">
        <f t="shared" si="7"/>
        <v>6451.2</v>
      </c>
      <c r="AH33" s="2">
        <f t="shared" si="7"/>
        <v>6105.599999999999</v>
      </c>
      <c r="AI33" s="2">
        <f t="shared" si="7"/>
        <v>6220.799999999999</v>
      </c>
      <c r="AJ33" s="2">
        <f t="shared" si="7"/>
        <v>6681.599999999999</v>
      </c>
      <c r="AK33" s="2">
        <f t="shared" si="7"/>
        <v>6451.2</v>
      </c>
      <c r="AR33" s="2">
        <f>AR32*AR3</f>
        <v>1477.5</v>
      </c>
      <c r="AS33" s="2">
        <f>AS32*AS3</f>
        <v>2167</v>
      </c>
      <c r="AT33" s="2">
        <f>AT32*AT3</f>
        <v>1822.25</v>
      </c>
      <c r="BA33" s="2" t="s">
        <v>160</v>
      </c>
      <c r="BB33" s="10"/>
      <c r="BC33" s="10"/>
      <c r="BD33" s="10"/>
      <c r="BE33" s="10"/>
      <c r="BF33" s="10"/>
      <c r="BG33" s="10"/>
      <c r="BH33" s="10"/>
      <c r="BI33" s="10"/>
      <c r="BJ33" s="10"/>
      <c r="BK33" s="10"/>
      <c r="BL33" s="10"/>
      <c r="BM33" s="10"/>
      <c r="CF33" s="10"/>
      <c r="CG33" s="10"/>
      <c r="CH33" s="10"/>
      <c r="CL33" s="2" t="s">
        <v>160</v>
      </c>
    </row>
    <row r="34" spans="1:90" ht="15.75">
      <c r="A34" s="10" t="s">
        <v>295</v>
      </c>
      <c r="C34" s="2" t="s">
        <v>296</v>
      </c>
      <c r="D34" s="2" t="s">
        <v>67</v>
      </c>
      <c r="E34" s="2" t="s">
        <v>68</v>
      </c>
      <c r="F34" s="2" t="s">
        <v>69</v>
      </c>
      <c r="U34" s="2">
        <v>300</v>
      </c>
      <c r="AB34" s="2">
        <v>400</v>
      </c>
      <c r="AC34" s="2">
        <v>500</v>
      </c>
      <c r="AD34" s="2">
        <f>(AC34+AB34)/2</f>
        <v>450</v>
      </c>
      <c r="AE34" s="10" t="s">
        <v>295</v>
      </c>
      <c r="AF34" s="2">
        <v>500</v>
      </c>
      <c r="AG34" s="2">
        <v>600</v>
      </c>
      <c r="AH34" s="2">
        <f>(AG34+AF34)/2</f>
        <v>550</v>
      </c>
      <c r="AI34" s="2">
        <v>600</v>
      </c>
      <c r="AJ34" s="2">
        <v>700</v>
      </c>
      <c r="AK34" s="2">
        <f>(AJ34+AI34)/2</f>
        <v>650</v>
      </c>
      <c r="AL34" s="2">
        <v>700</v>
      </c>
      <c r="AM34" s="2">
        <v>800</v>
      </c>
      <c r="AN34" s="2">
        <f>(AM34+AL34)/2</f>
        <v>750</v>
      </c>
      <c r="AX34" s="2">
        <v>3000</v>
      </c>
      <c r="AY34" s="2">
        <v>3500</v>
      </c>
      <c r="AZ34" s="2">
        <f>(AY34+AX34)/2</f>
        <v>3250</v>
      </c>
      <c r="BA34" s="10" t="s">
        <v>295</v>
      </c>
      <c r="BB34" s="10"/>
      <c r="BC34" s="10"/>
      <c r="BD34" s="10"/>
      <c r="BE34" s="10"/>
      <c r="BF34" s="10"/>
      <c r="BG34" s="10"/>
      <c r="BH34" s="10"/>
      <c r="BI34" s="10"/>
      <c r="BJ34" s="10"/>
      <c r="BK34" s="2">
        <v>3600</v>
      </c>
      <c r="BL34" s="2">
        <v>4000</v>
      </c>
      <c r="BM34" s="2">
        <f>(BL34+BK34)/2</f>
        <v>3800</v>
      </c>
      <c r="CF34" s="10"/>
      <c r="CG34" s="10"/>
      <c r="CH34" s="10"/>
      <c r="CJ34" s="10"/>
      <c r="CL34" s="10" t="s">
        <v>295</v>
      </c>
    </row>
    <row r="35" spans="1:90" ht="15.75">
      <c r="A35" s="10"/>
      <c r="F35" s="2" t="s">
        <v>160</v>
      </c>
      <c r="U35" s="2">
        <f>U34*U3</f>
        <v>723.6</v>
      </c>
      <c r="AB35" s="2">
        <f>AB34*AB3</f>
        <v>457.59999999999997</v>
      </c>
      <c r="AC35" s="2">
        <f>AC34*AC3</f>
        <v>572</v>
      </c>
      <c r="AD35" s="2">
        <f>AD34*AD3</f>
        <v>514.8</v>
      </c>
      <c r="AE35" s="2" t="s">
        <v>160</v>
      </c>
      <c r="AF35" s="2">
        <f aca="true" t="shared" si="8" ref="AF35:AZ35">AF34*AF3</f>
        <v>576</v>
      </c>
      <c r="AG35" s="2">
        <f t="shared" si="8"/>
        <v>691.1999999999999</v>
      </c>
      <c r="AH35" s="2">
        <f t="shared" si="8"/>
        <v>633.5999999999999</v>
      </c>
      <c r="AI35" s="2">
        <f t="shared" si="8"/>
        <v>691.1999999999999</v>
      </c>
      <c r="AJ35" s="2">
        <f t="shared" si="8"/>
        <v>806.4</v>
      </c>
      <c r="AK35" s="2">
        <f t="shared" si="8"/>
        <v>748.8</v>
      </c>
      <c r="AL35" s="2">
        <f t="shared" si="8"/>
        <v>806.4</v>
      </c>
      <c r="AM35" s="2">
        <f t="shared" si="8"/>
        <v>921.5999999999999</v>
      </c>
      <c r="AN35" s="2">
        <f t="shared" si="8"/>
        <v>863.9999999999999</v>
      </c>
      <c r="AX35" s="2">
        <f t="shared" si="8"/>
        <v>2154</v>
      </c>
      <c r="AY35" s="2">
        <f t="shared" si="8"/>
        <v>2513</v>
      </c>
      <c r="AZ35" s="2">
        <f t="shared" si="8"/>
        <v>2333.5</v>
      </c>
      <c r="BA35" s="2" t="s">
        <v>160</v>
      </c>
      <c r="BB35" s="10"/>
      <c r="BC35" s="10"/>
      <c r="BD35" s="10"/>
      <c r="BE35" s="10"/>
      <c r="BF35" s="10"/>
      <c r="BG35" s="10"/>
      <c r="BH35" s="10"/>
      <c r="BI35" s="10"/>
      <c r="BJ35" s="10"/>
      <c r="BK35" s="2">
        <f>BK34*BK3</f>
        <v>2216.52</v>
      </c>
      <c r="BL35" s="2">
        <f>BL34*BL3</f>
        <v>2462.8</v>
      </c>
      <c r="BM35" s="2">
        <f>BM34*BM3</f>
        <v>2339.6600000000003</v>
      </c>
      <c r="CF35" s="10"/>
      <c r="CG35" s="10"/>
      <c r="CH35" s="10"/>
      <c r="CL35" s="2" t="s">
        <v>160</v>
      </c>
    </row>
    <row r="36" spans="1:90" ht="15.75">
      <c r="A36" s="10" t="s">
        <v>297</v>
      </c>
      <c r="B36" s="2" t="s">
        <v>298</v>
      </c>
      <c r="C36" s="2" t="s">
        <v>299</v>
      </c>
      <c r="D36" s="2" t="s">
        <v>67</v>
      </c>
      <c r="E36" s="2" t="s">
        <v>68</v>
      </c>
      <c r="F36" s="2" t="s">
        <v>69</v>
      </c>
      <c r="AE36" s="10" t="s">
        <v>297</v>
      </c>
      <c r="AF36" s="2">
        <v>80</v>
      </c>
      <c r="AG36" s="2">
        <v>135</v>
      </c>
      <c r="AH36" s="2">
        <f>(AG36+AF36)/2</f>
        <v>107.5</v>
      </c>
      <c r="AI36" s="2">
        <v>80</v>
      </c>
      <c r="AJ36" s="2">
        <v>135</v>
      </c>
      <c r="AK36" s="2">
        <f>(AJ36+AI36)/2</f>
        <v>107.5</v>
      </c>
      <c r="BA36" s="10" t="s">
        <v>297</v>
      </c>
      <c r="BB36" s="10"/>
      <c r="BC36" s="10"/>
      <c r="BD36" s="10"/>
      <c r="BE36" s="10"/>
      <c r="BF36" s="10"/>
      <c r="BG36" s="10"/>
      <c r="BH36" s="10"/>
      <c r="BI36" s="10"/>
      <c r="BJ36" s="10"/>
      <c r="BK36" s="10"/>
      <c r="BL36" s="10"/>
      <c r="BM36" s="10"/>
      <c r="BN36" s="10"/>
      <c r="CF36" s="10"/>
      <c r="CG36" s="10"/>
      <c r="CH36" s="10"/>
      <c r="CJ36" s="10"/>
      <c r="CL36" s="10" t="s">
        <v>297</v>
      </c>
    </row>
    <row r="37" spans="1:90" ht="15.75">
      <c r="A37" s="10"/>
      <c r="F37" s="2" t="s">
        <v>160</v>
      </c>
      <c r="AE37" s="2" t="s">
        <v>160</v>
      </c>
      <c r="AF37" s="2">
        <f aca="true" t="shared" si="9" ref="AF37:AK37">AF36*AF3</f>
        <v>92.16</v>
      </c>
      <c r="AG37" s="2">
        <f t="shared" si="9"/>
        <v>155.51999999999998</v>
      </c>
      <c r="AH37" s="2">
        <f t="shared" si="9"/>
        <v>123.83999999999999</v>
      </c>
      <c r="AI37" s="2">
        <f t="shared" si="9"/>
        <v>92.16</v>
      </c>
      <c r="AJ37" s="2">
        <f t="shared" si="9"/>
        <v>155.51999999999998</v>
      </c>
      <c r="AK37" s="2">
        <f t="shared" si="9"/>
        <v>123.83999999999999</v>
      </c>
      <c r="BA37" s="2" t="s">
        <v>160</v>
      </c>
      <c r="BB37" s="10"/>
      <c r="BC37" s="10"/>
      <c r="BD37" s="10"/>
      <c r="BE37" s="10"/>
      <c r="BF37" s="10"/>
      <c r="BG37" s="10"/>
      <c r="BH37" s="10"/>
      <c r="BI37" s="10"/>
      <c r="BJ37" s="10"/>
      <c r="BK37" s="10"/>
      <c r="BL37" s="10"/>
      <c r="BM37" s="10"/>
      <c r="BN37" s="10"/>
      <c r="CF37" s="10"/>
      <c r="CG37" s="10"/>
      <c r="CH37" s="10"/>
      <c r="CL37" s="2" t="s">
        <v>160</v>
      </c>
    </row>
    <row r="38" spans="1:90" ht="15.75">
      <c r="A38" s="10" t="s">
        <v>300</v>
      </c>
      <c r="C38" s="2" t="s">
        <v>301</v>
      </c>
      <c r="D38" s="2">
        <v>10</v>
      </c>
      <c r="F38" s="2" t="s">
        <v>69</v>
      </c>
      <c r="I38" s="2">
        <v>10</v>
      </c>
      <c r="AE38" s="10" t="s">
        <v>300</v>
      </c>
      <c r="BA38" s="10" t="s">
        <v>300</v>
      </c>
      <c r="BB38" s="10"/>
      <c r="BC38" s="10"/>
      <c r="BD38" s="10"/>
      <c r="BE38" s="10"/>
      <c r="BF38" s="10"/>
      <c r="BG38" s="10"/>
      <c r="BH38" s="10"/>
      <c r="BI38" s="10"/>
      <c r="BJ38" s="10"/>
      <c r="BK38" s="10"/>
      <c r="BL38" s="10"/>
      <c r="BM38" s="10"/>
      <c r="BN38" s="10"/>
      <c r="CF38" s="10"/>
      <c r="CG38" s="10"/>
      <c r="CH38" s="10"/>
      <c r="CJ38" s="10"/>
      <c r="CL38" s="10" t="s">
        <v>300</v>
      </c>
    </row>
    <row r="39" spans="1:90" ht="15.75">
      <c r="A39" s="10"/>
      <c r="F39" s="2" t="s">
        <v>160</v>
      </c>
      <c r="I39" s="2">
        <f>I38*I3</f>
        <v>43.19</v>
      </c>
      <c r="AE39" s="2" t="s">
        <v>160</v>
      </c>
      <c r="BA39" s="2" t="s">
        <v>160</v>
      </c>
      <c r="BB39" s="10"/>
      <c r="BC39" s="10"/>
      <c r="BD39" s="10"/>
      <c r="BE39" s="10"/>
      <c r="BF39" s="10"/>
      <c r="BG39" s="10"/>
      <c r="BH39" s="10"/>
      <c r="BI39" s="10"/>
      <c r="BJ39" s="10"/>
      <c r="BK39" s="10"/>
      <c r="BL39" s="10"/>
      <c r="BM39" s="10"/>
      <c r="BN39" s="10"/>
      <c r="CF39" s="10"/>
      <c r="CG39" s="10"/>
      <c r="CH39" s="10"/>
      <c r="CL39" s="2" t="s">
        <v>160</v>
      </c>
    </row>
    <row r="40" spans="1:90" ht="15.75">
      <c r="A40" s="10" t="s">
        <v>302</v>
      </c>
      <c r="C40" s="2" t="s">
        <v>303</v>
      </c>
      <c r="D40" s="2" t="s">
        <v>67</v>
      </c>
      <c r="E40" s="2" t="s">
        <v>68</v>
      </c>
      <c r="F40" s="2" t="s">
        <v>69</v>
      </c>
      <c r="S40" s="2">
        <v>500</v>
      </c>
      <c r="T40" s="2">
        <v>600</v>
      </c>
      <c r="U40" s="2">
        <f>(T40+S40)/2</f>
        <v>550</v>
      </c>
      <c r="Y40" s="2">
        <v>500</v>
      </c>
      <c r="Z40" s="2">
        <v>600</v>
      </c>
      <c r="AA40" s="2">
        <f>(Z40+Y40)/2</f>
        <v>550</v>
      </c>
      <c r="AB40" s="2">
        <v>650</v>
      </c>
      <c r="AC40" s="2">
        <v>800</v>
      </c>
      <c r="AD40" s="2">
        <f>(AC40+AB40)/2</f>
        <v>725</v>
      </c>
      <c r="AE40" s="10" t="s">
        <v>302</v>
      </c>
      <c r="AF40" s="2">
        <v>700</v>
      </c>
      <c r="AG40" s="2">
        <v>800</v>
      </c>
      <c r="AH40" s="2">
        <f>(AG40+AF40)/2</f>
        <v>750</v>
      </c>
      <c r="AI40" s="2">
        <v>680</v>
      </c>
      <c r="AJ40" s="2">
        <v>750</v>
      </c>
      <c r="AK40" s="2">
        <f>(AJ40+AI40)/2</f>
        <v>715</v>
      </c>
      <c r="AL40" s="2">
        <v>760</v>
      </c>
      <c r="AM40" s="2">
        <v>850</v>
      </c>
      <c r="AN40" s="2">
        <f>(AM40+AL40)/2</f>
        <v>805</v>
      </c>
      <c r="AO40" s="2">
        <v>850</v>
      </c>
      <c r="AP40" s="2">
        <v>1000</v>
      </c>
      <c r="AQ40" s="2">
        <f>(AP40+AO40)/2</f>
        <v>925</v>
      </c>
      <c r="AR40" s="2">
        <v>1000</v>
      </c>
      <c r="AS40" s="2">
        <v>1500</v>
      </c>
      <c r="AT40" s="2">
        <f>(AS40+AR40)/2</f>
        <v>1250</v>
      </c>
      <c r="AU40" s="2">
        <v>1600</v>
      </c>
      <c r="AV40" s="2">
        <v>2000</v>
      </c>
      <c r="AW40" s="2">
        <f>(AV40+AU40)/2</f>
        <v>1800</v>
      </c>
      <c r="AX40" s="2">
        <v>2000</v>
      </c>
      <c r="AY40" s="2">
        <v>2200</v>
      </c>
      <c r="AZ40" s="2">
        <f>(AY40+AX40)/2</f>
        <v>2100</v>
      </c>
      <c r="BA40" s="10" t="s">
        <v>302</v>
      </c>
      <c r="BB40" s="10"/>
      <c r="BC40" s="10"/>
      <c r="BD40" s="10"/>
      <c r="BE40" s="10"/>
      <c r="BF40" s="10"/>
      <c r="BG40" s="10"/>
      <c r="BH40" s="10"/>
      <c r="BI40" s="10"/>
      <c r="BJ40" s="10"/>
      <c r="BK40" s="2">
        <v>2200</v>
      </c>
      <c r="BL40" s="10"/>
      <c r="BM40" s="10"/>
      <c r="CF40" s="10"/>
      <c r="CG40" s="10"/>
      <c r="CH40" s="10"/>
      <c r="CL40" s="10" t="s">
        <v>302</v>
      </c>
    </row>
    <row r="41" spans="1:90" ht="15.75">
      <c r="A41" s="10"/>
      <c r="F41" s="2" t="s">
        <v>160</v>
      </c>
      <c r="S41" s="2">
        <f>S40*S3</f>
        <v>1206</v>
      </c>
      <c r="T41" s="2">
        <f>T40*T3</f>
        <v>1447.2</v>
      </c>
      <c r="U41" s="2">
        <f>U40*U3</f>
        <v>1326.6</v>
      </c>
      <c r="Y41" s="2">
        <f aca="true" t="shared" si="10" ref="Y41:AD41">Y40*Y3</f>
        <v>572</v>
      </c>
      <c r="Z41" s="2">
        <f t="shared" si="10"/>
        <v>686.4</v>
      </c>
      <c r="AA41" s="2">
        <f t="shared" si="10"/>
        <v>629.1999999999999</v>
      </c>
      <c r="AB41" s="2">
        <f t="shared" si="10"/>
        <v>743.5999999999999</v>
      </c>
      <c r="AC41" s="2">
        <f t="shared" si="10"/>
        <v>915.1999999999999</v>
      </c>
      <c r="AD41" s="2">
        <f t="shared" si="10"/>
        <v>829.4</v>
      </c>
      <c r="AE41" s="2" t="s">
        <v>160</v>
      </c>
      <c r="AF41" s="2">
        <f aca="true" t="shared" si="11" ref="AF41:AZ41">AF40*AF3</f>
        <v>806.4</v>
      </c>
      <c r="AG41" s="2">
        <f t="shared" si="11"/>
        <v>921.5999999999999</v>
      </c>
      <c r="AH41" s="2">
        <f t="shared" si="11"/>
        <v>863.9999999999999</v>
      </c>
      <c r="AI41" s="2">
        <f t="shared" si="11"/>
        <v>783.3599999999999</v>
      </c>
      <c r="AJ41" s="2">
        <f t="shared" si="11"/>
        <v>863.9999999999999</v>
      </c>
      <c r="AK41" s="2">
        <f t="shared" si="11"/>
        <v>823.68</v>
      </c>
      <c r="AL41" s="2">
        <f t="shared" si="11"/>
        <v>875.52</v>
      </c>
      <c r="AM41" s="2">
        <f t="shared" si="11"/>
        <v>979.1999999999999</v>
      </c>
      <c r="AN41" s="2">
        <f t="shared" si="11"/>
        <v>927.3599999999999</v>
      </c>
      <c r="AO41" s="2">
        <f t="shared" si="11"/>
        <v>887.0600000000001</v>
      </c>
      <c r="AP41" s="2">
        <f t="shared" si="11"/>
        <v>1043.6000000000001</v>
      </c>
      <c r="AQ41" s="2">
        <f t="shared" si="11"/>
        <v>965.33</v>
      </c>
      <c r="AR41" s="2">
        <f t="shared" si="11"/>
        <v>985</v>
      </c>
      <c r="AS41" s="2">
        <f t="shared" si="11"/>
        <v>1477.5</v>
      </c>
      <c r="AT41" s="2">
        <f t="shared" si="11"/>
        <v>1231.25</v>
      </c>
      <c r="AU41" s="2">
        <f t="shared" si="11"/>
        <v>1528</v>
      </c>
      <c r="AV41" s="2">
        <f t="shared" si="11"/>
        <v>1910</v>
      </c>
      <c r="AW41" s="2">
        <f t="shared" si="11"/>
        <v>1719</v>
      </c>
      <c r="AX41" s="2">
        <f t="shared" si="11"/>
        <v>1436</v>
      </c>
      <c r="AY41" s="2">
        <f t="shared" si="11"/>
        <v>1579.6</v>
      </c>
      <c r="AZ41" s="2">
        <f t="shared" si="11"/>
        <v>1507.8</v>
      </c>
      <c r="BA41" s="2" t="s">
        <v>160</v>
      </c>
      <c r="BB41" s="10"/>
      <c r="BC41" s="10"/>
      <c r="BD41" s="10"/>
      <c r="BE41" s="10"/>
      <c r="BF41" s="10"/>
      <c r="BG41" s="10"/>
      <c r="BH41" s="10"/>
      <c r="BI41" s="10"/>
      <c r="BJ41" s="10"/>
      <c r="BK41" s="2">
        <f>BK40*BK3</f>
        <v>1354.54</v>
      </c>
      <c r="BL41" s="10"/>
      <c r="BM41" s="10"/>
      <c r="CF41" s="10"/>
      <c r="CG41" s="10"/>
      <c r="CH41" s="10"/>
      <c r="CK41" s="17">
        <v>2982</v>
      </c>
      <c r="CL41" s="2" t="s">
        <v>160</v>
      </c>
    </row>
    <row r="42" spans="1:90" ht="15.75">
      <c r="A42" s="10" t="s">
        <v>304</v>
      </c>
      <c r="B42" s="2" t="s">
        <v>305</v>
      </c>
      <c r="C42" s="2" t="s">
        <v>306</v>
      </c>
      <c r="D42" s="2" t="s">
        <v>67</v>
      </c>
      <c r="E42" s="2" t="s">
        <v>68</v>
      </c>
      <c r="F42" s="2" t="s">
        <v>69</v>
      </c>
      <c r="AE42" s="10" t="s">
        <v>304</v>
      </c>
      <c r="AQ42" s="2">
        <v>200</v>
      </c>
      <c r="AT42" s="2">
        <v>310</v>
      </c>
      <c r="AX42" s="2">
        <v>700</v>
      </c>
      <c r="AY42" s="2">
        <v>740</v>
      </c>
      <c r="AZ42" s="2">
        <f>(AY42+AX42)/2</f>
        <v>720</v>
      </c>
      <c r="BA42" s="10" t="s">
        <v>304</v>
      </c>
      <c r="BB42" s="10"/>
      <c r="BC42" s="10"/>
      <c r="BD42" s="10"/>
      <c r="BE42" s="10"/>
      <c r="BF42" s="10"/>
      <c r="BG42" s="10"/>
      <c r="BH42" s="10"/>
      <c r="BI42" s="10"/>
      <c r="BJ42" s="10"/>
      <c r="BL42" s="10"/>
      <c r="BM42" s="10"/>
      <c r="CF42" s="10"/>
      <c r="CG42" s="10"/>
      <c r="CH42" s="10"/>
      <c r="CJ42" s="10"/>
      <c r="CL42" s="10" t="s">
        <v>304</v>
      </c>
    </row>
    <row r="43" spans="1:90" ht="15.75">
      <c r="A43" s="10" t="s">
        <v>304</v>
      </c>
      <c r="B43" s="2" t="s">
        <v>305</v>
      </c>
      <c r="F43" s="2" t="s">
        <v>160</v>
      </c>
      <c r="AE43" s="2" t="s">
        <v>160</v>
      </c>
      <c r="AQ43" s="2">
        <f>AQ42*AQ3</f>
        <v>208.72000000000003</v>
      </c>
      <c r="AT43" s="2">
        <f>AT42*AT3</f>
        <v>305.35</v>
      </c>
      <c r="AX43" s="2">
        <f>AX42*AX3</f>
        <v>502.59999999999997</v>
      </c>
      <c r="AY43" s="2">
        <f>AY42*AY3</f>
        <v>531.3199999999999</v>
      </c>
      <c r="AZ43" s="2">
        <f>AZ42*AZ3</f>
        <v>516.96</v>
      </c>
      <c r="BA43" s="2" t="s">
        <v>160</v>
      </c>
      <c r="BB43" s="10"/>
      <c r="BC43" s="10"/>
      <c r="BD43" s="10"/>
      <c r="BE43" s="10"/>
      <c r="BF43" s="10"/>
      <c r="BG43" s="10"/>
      <c r="BH43" s="10"/>
      <c r="BI43" s="10"/>
      <c r="BJ43" s="10"/>
      <c r="BL43" s="10"/>
      <c r="BM43" s="10"/>
      <c r="CF43" s="10"/>
      <c r="CG43" s="10"/>
      <c r="CH43" s="10"/>
      <c r="CK43" s="17">
        <v>606.624</v>
      </c>
      <c r="CL43" s="2" t="s">
        <v>160</v>
      </c>
    </row>
    <row r="44" spans="1:89" ht="15.75">
      <c r="A44" s="10" t="s">
        <v>304</v>
      </c>
      <c r="B44" s="2" t="s">
        <v>305</v>
      </c>
      <c r="F44" s="2" t="s">
        <v>140</v>
      </c>
      <c r="AQ44" s="7">
        <f>0.18*AQ43/16.38</f>
        <v>2.293626373626374</v>
      </c>
      <c r="AT44" s="7">
        <f>0.18*AT43/16.38</f>
        <v>3.3554945054945056</v>
      </c>
      <c r="AX44" s="7">
        <f>0.18*AX43/16.38</f>
        <v>5.523076923076923</v>
      </c>
      <c r="AY44" s="7">
        <f>0.18*AY43/16.38</f>
        <v>5.838681318681319</v>
      </c>
      <c r="AZ44" s="8">
        <f>0.18*AZ43/16.38</f>
        <v>5.680879120879122</v>
      </c>
      <c r="BB44" s="10"/>
      <c r="BC44" s="10"/>
      <c r="BD44" s="10"/>
      <c r="BE44" s="10"/>
      <c r="BF44" s="10"/>
      <c r="BG44" s="10"/>
      <c r="BH44" s="10"/>
      <c r="BI44" s="10"/>
      <c r="BJ44" s="10"/>
      <c r="CF44" s="10"/>
      <c r="CG44" s="10"/>
      <c r="CH44" s="10"/>
      <c r="CK44" s="8">
        <f>0.18*CK43/16.38</f>
        <v>6.666197802197802</v>
      </c>
    </row>
    <row r="45" ht="15.75">
      <c r="A45" s="10"/>
    </row>
    <row r="46" spans="1:89" ht="15.75">
      <c r="A46" s="10"/>
      <c r="G46" s="10" t="s">
        <v>317</v>
      </c>
      <c r="H46" s="10" t="s">
        <v>317</v>
      </c>
      <c r="I46" s="10" t="s">
        <v>317</v>
      </c>
      <c r="J46" s="10" t="s">
        <v>181</v>
      </c>
      <c r="K46" s="10" t="s">
        <v>181</v>
      </c>
      <c r="L46" s="10" t="s">
        <v>181</v>
      </c>
      <c r="M46" s="10" t="s">
        <v>259</v>
      </c>
      <c r="N46" s="10" t="s">
        <v>259</v>
      </c>
      <c r="O46" s="10" t="s">
        <v>259</v>
      </c>
      <c r="P46" s="10" t="s">
        <v>182</v>
      </c>
      <c r="Q46" s="10" t="s">
        <v>182</v>
      </c>
      <c r="R46" s="10" t="s">
        <v>182</v>
      </c>
      <c r="S46" s="10" t="s">
        <v>183</v>
      </c>
      <c r="T46" s="10" t="s">
        <v>183</v>
      </c>
      <c r="U46" s="10" t="s">
        <v>183</v>
      </c>
      <c r="V46" s="10" t="s">
        <v>184</v>
      </c>
      <c r="W46" s="10" t="s">
        <v>184</v>
      </c>
      <c r="X46" s="10" t="s">
        <v>184</v>
      </c>
      <c r="Y46" s="10" t="s">
        <v>185</v>
      </c>
      <c r="Z46" s="10" t="s">
        <v>185</v>
      </c>
      <c r="AA46" s="10" t="s">
        <v>185</v>
      </c>
      <c r="AB46" s="10" t="s">
        <v>186</v>
      </c>
      <c r="AC46" s="10" t="s">
        <v>186</v>
      </c>
      <c r="AD46" s="10" t="s">
        <v>186</v>
      </c>
      <c r="AE46" s="10"/>
      <c r="AF46" s="10" t="s">
        <v>196</v>
      </c>
      <c r="AG46" s="10" t="s">
        <v>196</v>
      </c>
      <c r="AH46" s="10" t="s">
        <v>196</v>
      </c>
      <c r="AI46" s="10" t="s">
        <v>197</v>
      </c>
      <c r="AJ46" s="10" t="s">
        <v>197</v>
      </c>
      <c r="AK46" s="10" t="s">
        <v>197</v>
      </c>
      <c r="AL46" s="10" t="s">
        <v>198</v>
      </c>
      <c r="AM46" s="10" t="s">
        <v>198</v>
      </c>
      <c r="AN46" s="10" t="s">
        <v>198</v>
      </c>
      <c r="AO46" s="10" t="s">
        <v>199</v>
      </c>
      <c r="AP46" s="10" t="s">
        <v>199</v>
      </c>
      <c r="AQ46" s="10" t="s">
        <v>199</v>
      </c>
      <c r="AR46" s="10" t="s">
        <v>200</v>
      </c>
      <c r="AS46" s="10" t="s">
        <v>200</v>
      </c>
      <c r="AT46" s="10" t="s">
        <v>200</v>
      </c>
      <c r="AU46" s="10" t="s">
        <v>201</v>
      </c>
      <c r="AV46" s="10" t="s">
        <v>201</v>
      </c>
      <c r="AW46" s="10" t="s">
        <v>201</v>
      </c>
      <c r="AX46" s="10" t="s">
        <v>266</v>
      </c>
      <c r="AY46" s="10" t="s">
        <v>266</v>
      </c>
      <c r="AZ46" s="10" t="s">
        <v>266</v>
      </c>
      <c r="BA46" s="10"/>
      <c r="BB46" s="10" t="s">
        <v>261</v>
      </c>
      <c r="BC46" s="10" t="s">
        <v>261</v>
      </c>
      <c r="BD46" s="10" t="s">
        <v>261</v>
      </c>
      <c r="BE46" s="10" t="s">
        <v>390</v>
      </c>
      <c r="BF46" s="10" t="s">
        <v>390</v>
      </c>
      <c r="BG46" s="10" t="s">
        <v>390</v>
      </c>
      <c r="BH46" s="10" t="s">
        <v>391</v>
      </c>
      <c r="BI46" s="10" t="s">
        <v>391</v>
      </c>
      <c r="BJ46" s="10" t="s">
        <v>391</v>
      </c>
      <c r="BK46" s="10" t="s">
        <v>267</v>
      </c>
      <c r="BL46" s="10" t="s">
        <v>267</v>
      </c>
      <c r="BM46" s="10" t="s">
        <v>267</v>
      </c>
      <c r="BN46" s="10" t="s">
        <v>268</v>
      </c>
      <c r="BO46" s="10" t="s">
        <v>268</v>
      </c>
      <c r="BP46" s="10" t="s">
        <v>268</v>
      </c>
      <c r="BQ46" s="10" t="s">
        <v>269</v>
      </c>
      <c r="BR46" s="10" t="s">
        <v>269</v>
      </c>
      <c r="BS46" s="10" t="s">
        <v>269</v>
      </c>
      <c r="BT46" s="10" t="s">
        <v>270</v>
      </c>
      <c r="BU46" s="10" t="s">
        <v>270</v>
      </c>
      <c r="BV46" s="10" t="s">
        <v>270</v>
      </c>
      <c r="BW46" s="10" t="s">
        <v>271</v>
      </c>
      <c r="BX46" s="10" t="s">
        <v>271</v>
      </c>
      <c r="BY46" s="10" t="s">
        <v>271</v>
      </c>
      <c r="BZ46" s="10" t="s">
        <v>272</v>
      </c>
      <c r="CA46" s="10" t="s">
        <v>272</v>
      </c>
      <c r="CB46" s="10" t="s">
        <v>272</v>
      </c>
      <c r="CC46" s="10" t="s">
        <v>273</v>
      </c>
      <c r="CD46" s="10" t="s">
        <v>273</v>
      </c>
      <c r="CE46" s="10" t="s">
        <v>273</v>
      </c>
      <c r="CF46" s="10" t="s">
        <v>274</v>
      </c>
      <c r="CG46" s="10" t="s">
        <v>274</v>
      </c>
      <c r="CH46" s="10" t="s">
        <v>274</v>
      </c>
      <c r="CI46" s="10">
        <v>1870</v>
      </c>
      <c r="CJ46" s="10">
        <v>1870</v>
      </c>
      <c r="CK46" s="10">
        <v>1870</v>
      </c>
    </row>
    <row r="47" spans="1:90" ht="15.75">
      <c r="A47" s="10" t="s">
        <v>307</v>
      </c>
      <c r="C47" s="2" t="s">
        <v>308</v>
      </c>
      <c r="D47" s="2" t="s">
        <v>67</v>
      </c>
      <c r="E47" s="2" t="s">
        <v>68</v>
      </c>
      <c r="F47" s="2" t="s">
        <v>69</v>
      </c>
      <c r="AA47" s="2">
        <v>26</v>
      </c>
      <c r="AE47" s="10" t="s">
        <v>307</v>
      </c>
      <c r="AH47" s="2">
        <v>31</v>
      </c>
      <c r="AU47" s="2">
        <v>120</v>
      </c>
      <c r="AV47" s="2">
        <v>170</v>
      </c>
      <c r="AW47" s="2">
        <f>(AV47+AU47)/2</f>
        <v>145</v>
      </c>
      <c r="BA47" s="10" t="s">
        <v>307</v>
      </c>
      <c r="BB47" s="10"/>
      <c r="BC47" s="10"/>
      <c r="BD47" s="10"/>
      <c r="BE47" s="10"/>
      <c r="BF47" s="10"/>
      <c r="BG47" s="10"/>
      <c r="BH47" s="10"/>
      <c r="BI47" s="10"/>
      <c r="BJ47" s="10"/>
      <c r="CF47" s="10"/>
      <c r="CG47" s="10"/>
      <c r="CH47" s="10"/>
      <c r="CI47" s="10"/>
      <c r="CJ47" s="10"/>
      <c r="CL47" s="10" t="s">
        <v>307</v>
      </c>
    </row>
    <row r="48" spans="1:90" ht="15.75">
      <c r="A48" s="10"/>
      <c r="F48" s="2" t="s">
        <v>160</v>
      </c>
      <c r="AA48" s="2">
        <f>AA47*AA3</f>
        <v>29.743999999999996</v>
      </c>
      <c r="AE48" s="2" t="s">
        <v>160</v>
      </c>
      <c r="AH48" s="2">
        <f>AH47*AH3</f>
        <v>35.711999999999996</v>
      </c>
      <c r="AU48" s="2">
        <f>AU47*AU3</f>
        <v>114.6</v>
      </c>
      <c r="AV48" s="2">
        <f>AV47*AV3</f>
        <v>162.35</v>
      </c>
      <c r="AW48" s="2">
        <f>AW47*AW3</f>
        <v>138.475</v>
      </c>
      <c r="BA48" s="2" t="s">
        <v>160</v>
      </c>
      <c r="BB48" s="10"/>
      <c r="BC48" s="10"/>
      <c r="BD48" s="10"/>
      <c r="BE48" s="10"/>
      <c r="BF48" s="10"/>
      <c r="BG48" s="10"/>
      <c r="BH48" s="10"/>
      <c r="BI48" s="10"/>
      <c r="BJ48" s="10"/>
      <c r="CF48" s="10"/>
      <c r="CG48" s="10"/>
      <c r="CH48" s="10"/>
      <c r="CI48" s="10"/>
      <c r="CK48" s="17">
        <v>109.26899999999999</v>
      </c>
      <c r="CL48" s="2" t="s">
        <v>160</v>
      </c>
    </row>
    <row r="49" spans="1:90" ht="15.75">
      <c r="A49" s="10" t="s">
        <v>307</v>
      </c>
      <c r="C49" s="2" t="s">
        <v>308</v>
      </c>
      <c r="D49" s="2" t="s">
        <v>309</v>
      </c>
      <c r="F49" s="2" t="s">
        <v>69</v>
      </c>
      <c r="AB49" s="2">
        <v>180</v>
      </c>
      <c r="AE49" s="10"/>
      <c r="BA49" s="10" t="s">
        <v>307</v>
      </c>
      <c r="BB49" s="10"/>
      <c r="BC49" s="10"/>
      <c r="BD49" s="10"/>
      <c r="BE49" s="10"/>
      <c r="BF49" s="10"/>
      <c r="BG49" s="10"/>
      <c r="BH49" s="10"/>
      <c r="BI49" s="10"/>
      <c r="BJ49" s="10"/>
      <c r="CF49" s="10"/>
      <c r="CG49" s="10"/>
      <c r="CH49" s="10"/>
      <c r="CI49" s="10"/>
      <c r="CJ49" s="10"/>
      <c r="CL49" s="10" t="s">
        <v>309</v>
      </c>
    </row>
    <row r="50" spans="1:90" ht="15.75">
      <c r="A50" s="10"/>
      <c r="F50" s="2" t="s">
        <v>160</v>
      </c>
      <c r="AB50" s="2">
        <f>AB49*AB3</f>
        <v>205.92</v>
      </c>
      <c r="AE50" s="2" t="s">
        <v>160</v>
      </c>
      <c r="BA50" s="2" t="s">
        <v>160</v>
      </c>
      <c r="BB50" s="10"/>
      <c r="BC50" s="10"/>
      <c r="BD50" s="10"/>
      <c r="BE50" s="10"/>
      <c r="BF50" s="10"/>
      <c r="BG50" s="10"/>
      <c r="BH50" s="10"/>
      <c r="BI50" s="10"/>
      <c r="BJ50" s="10"/>
      <c r="CF50" s="10"/>
      <c r="CG50" s="10"/>
      <c r="CH50" s="10"/>
      <c r="CI50" s="10"/>
      <c r="CJ50" s="10"/>
      <c r="CL50" s="2" t="s">
        <v>160</v>
      </c>
    </row>
    <row r="51" spans="1:90" ht="15.75">
      <c r="A51" s="10" t="s">
        <v>310</v>
      </c>
      <c r="B51" s="2" t="s">
        <v>311</v>
      </c>
      <c r="C51" s="2" t="s">
        <v>281</v>
      </c>
      <c r="D51" s="2" t="s">
        <v>67</v>
      </c>
      <c r="E51" s="2" t="s">
        <v>68</v>
      </c>
      <c r="F51" s="2" t="s">
        <v>69</v>
      </c>
      <c r="Y51" s="2">
        <v>100</v>
      </c>
      <c r="Z51" s="2">
        <v>145</v>
      </c>
      <c r="AA51" s="2">
        <f>(Z51+Y51)/2</f>
        <v>122.5</v>
      </c>
      <c r="AE51" s="10" t="s">
        <v>310</v>
      </c>
      <c r="AI51" s="2">
        <v>200</v>
      </c>
      <c r="AJ51" s="2">
        <v>160</v>
      </c>
      <c r="AK51" s="2">
        <v>180</v>
      </c>
      <c r="AL51" s="2">
        <v>180</v>
      </c>
      <c r="AM51" s="2">
        <v>200</v>
      </c>
      <c r="AN51" s="2">
        <f>(AM51+AL51)/2</f>
        <v>190</v>
      </c>
      <c r="AO51" s="2">
        <v>200</v>
      </c>
      <c r="AP51" s="2">
        <v>240</v>
      </c>
      <c r="AQ51" s="2">
        <f>(AP51+AO51)/2</f>
        <v>220</v>
      </c>
      <c r="AR51" s="2">
        <v>240</v>
      </c>
      <c r="AS51" s="2">
        <v>300</v>
      </c>
      <c r="AT51" s="2">
        <f>(AS51+AR51)/2</f>
        <v>270</v>
      </c>
      <c r="AU51" s="2">
        <v>350</v>
      </c>
      <c r="AV51" s="2">
        <v>450</v>
      </c>
      <c r="AW51" s="2">
        <f>(AV51+AU51)/2</f>
        <v>400</v>
      </c>
      <c r="AX51" s="2">
        <v>460</v>
      </c>
      <c r="AY51" s="2">
        <v>600</v>
      </c>
      <c r="AZ51" s="2">
        <f>(AY51+AX51)/2</f>
        <v>530</v>
      </c>
      <c r="BA51" s="10" t="s">
        <v>310</v>
      </c>
      <c r="BB51" s="10"/>
      <c r="BC51" s="10"/>
      <c r="BD51" s="10"/>
      <c r="BE51" s="10"/>
      <c r="BF51" s="10"/>
      <c r="BG51" s="10"/>
      <c r="BH51" s="10"/>
      <c r="BI51" s="10"/>
      <c r="BJ51" s="10"/>
      <c r="BK51" s="2">
        <v>600</v>
      </c>
      <c r="BL51" s="2">
        <v>640</v>
      </c>
      <c r="BM51" s="2">
        <f>(BL51+BK51)/2</f>
        <v>620</v>
      </c>
      <c r="CF51" s="10"/>
      <c r="CG51" s="10"/>
      <c r="CH51" s="10"/>
      <c r="CI51" s="10"/>
      <c r="CJ51" s="10"/>
      <c r="CL51" s="10" t="s">
        <v>310</v>
      </c>
    </row>
    <row r="52" spans="1:90" ht="15.75">
      <c r="A52" s="10"/>
      <c r="F52" s="2" t="s">
        <v>160</v>
      </c>
      <c r="Y52" s="2">
        <f>Y51*Y3</f>
        <v>114.39999999999999</v>
      </c>
      <c r="Z52" s="2">
        <f>Z51*Z3</f>
        <v>165.88</v>
      </c>
      <c r="AA52" s="2">
        <f>AA51*AA3</f>
        <v>140.14</v>
      </c>
      <c r="AE52" s="2" t="s">
        <v>160</v>
      </c>
      <c r="AI52" s="2">
        <f aca="true" t="shared" si="12" ref="AI52:AZ52">AI51*AI3</f>
        <v>230.39999999999998</v>
      </c>
      <c r="AJ52" s="2">
        <f t="shared" si="12"/>
        <v>184.32</v>
      </c>
      <c r="AK52" s="2">
        <f t="shared" si="12"/>
        <v>207.35999999999999</v>
      </c>
      <c r="AL52" s="2">
        <f t="shared" si="12"/>
        <v>207.35999999999999</v>
      </c>
      <c r="AM52" s="2">
        <f t="shared" si="12"/>
        <v>230.39999999999998</v>
      </c>
      <c r="AN52" s="2">
        <f t="shared" si="12"/>
        <v>218.88</v>
      </c>
      <c r="AO52" s="2">
        <f t="shared" si="12"/>
        <v>208.72000000000003</v>
      </c>
      <c r="AP52" s="2">
        <f t="shared" si="12"/>
        <v>250.46400000000003</v>
      </c>
      <c r="AQ52" s="2">
        <f t="shared" si="12"/>
        <v>229.592</v>
      </c>
      <c r="AR52" s="2">
        <f t="shared" si="12"/>
        <v>236.4</v>
      </c>
      <c r="AS52" s="2">
        <f t="shared" si="12"/>
        <v>295.5</v>
      </c>
      <c r="AT52" s="2">
        <f t="shared" si="12"/>
        <v>265.95</v>
      </c>
      <c r="AU52" s="2">
        <f t="shared" si="12"/>
        <v>334.25</v>
      </c>
      <c r="AV52" s="2">
        <f t="shared" si="12"/>
        <v>429.75</v>
      </c>
      <c r="AW52" s="2">
        <f t="shared" si="12"/>
        <v>382</v>
      </c>
      <c r="AX52" s="2">
        <f t="shared" si="12"/>
        <v>330.28</v>
      </c>
      <c r="AY52" s="2">
        <f t="shared" si="12"/>
        <v>430.79999999999995</v>
      </c>
      <c r="AZ52" s="2">
        <f t="shared" si="12"/>
        <v>380.53999999999996</v>
      </c>
      <c r="BA52" s="2" t="s">
        <v>160</v>
      </c>
      <c r="BB52" s="10"/>
      <c r="BC52" s="10"/>
      <c r="BD52" s="10"/>
      <c r="BE52" s="10"/>
      <c r="BF52" s="10"/>
      <c r="BG52" s="10"/>
      <c r="BH52" s="10"/>
      <c r="BI52" s="10"/>
      <c r="BJ52" s="10"/>
      <c r="BK52" s="2">
        <f>BK51*BK3</f>
        <v>369.42</v>
      </c>
      <c r="BL52" s="2">
        <f>BL51*BL3</f>
        <v>394.048</v>
      </c>
      <c r="BM52" s="2">
        <f>BM51*BM3</f>
        <v>381.73400000000004</v>
      </c>
      <c r="CF52" s="10"/>
      <c r="CG52" s="10"/>
      <c r="CH52" s="10"/>
      <c r="CI52" s="10"/>
      <c r="CJ52" s="10"/>
      <c r="CK52" s="17">
        <v>379.14</v>
      </c>
      <c r="CL52" s="2" t="s">
        <v>160</v>
      </c>
    </row>
    <row r="53" spans="1:90" ht="15.75">
      <c r="A53" s="10"/>
      <c r="F53" s="2" t="s">
        <v>140</v>
      </c>
      <c r="Y53" s="7">
        <f>0.18*Y52/16.38</f>
        <v>1.2571428571428571</v>
      </c>
      <c r="Z53" s="7">
        <f>0.18*Z52/16.38</f>
        <v>1.822857142857143</v>
      </c>
      <c r="AA53" s="8">
        <f>0.18*AA52/16.38</f>
        <v>1.54</v>
      </c>
      <c r="AE53" s="2" t="s">
        <v>140</v>
      </c>
      <c r="AI53" s="7">
        <f>0.18*AI52/16.38</f>
        <v>2.5318681318681318</v>
      </c>
      <c r="AJ53" s="7">
        <f aca="true" t="shared" si="13" ref="AJ53:AZ53">0.18*AJ52/16.38</f>
        <v>2.0254945054945055</v>
      </c>
      <c r="AK53" s="8">
        <f t="shared" si="13"/>
        <v>2.2786813186813184</v>
      </c>
      <c r="AL53" s="7">
        <f t="shared" si="13"/>
        <v>2.2786813186813184</v>
      </c>
      <c r="AM53" s="7">
        <f t="shared" si="13"/>
        <v>2.5318681318681318</v>
      </c>
      <c r="AN53" s="7">
        <f t="shared" si="13"/>
        <v>2.405274725274725</v>
      </c>
      <c r="AO53" s="7">
        <f t="shared" si="13"/>
        <v>2.293626373626374</v>
      </c>
      <c r="AP53" s="7">
        <f t="shared" si="13"/>
        <v>2.7523516483516484</v>
      </c>
      <c r="AQ53" s="7">
        <f t="shared" si="13"/>
        <v>2.522989010989011</v>
      </c>
      <c r="AR53" s="7">
        <f t="shared" si="13"/>
        <v>2.597802197802198</v>
      </c>
      <c r="AS53" s="7">
        <f t="shared" si="13"/>
        <v>3.2472527472527473</v>
      </c>
      <c r="AT53" s="7">
        <f t="shared" si="13"/>
        <v>2.9225274725274724</v>
      </c>
      <c r="AU53" s="7">
        <f t="shared" si="13"/>
        <v>3.6730769230769234</v>
      </c>
      <c r="AV53" s="7">
        <f t="shared" si="13"/>
        <v>4.722527472527473</v>
      </c>
      <c r="AW53" s="7">
        <f t="shared" si="13"/>
        <v>4.197802197802197</v>
      </c>
      <c r="AX53" s="7">
        <f t="shared" si="13"/>
        <v>3.6294505494505493</v>
      </c>
      <c r="AY53" s="7">
        <f t="shared" si="13"/>
        <v>4.734065934065933</v>
      </c>
      <c r="AZ53" s="8">
        <f t="shared" si="13"/>
        <v>4.181758241758241</v>
      </c>
      <c r="BB53" s="10"/>
      <c r="BC53" s="10"/>
      <c r="BD53" s="10"/>
      <c r="BE53" s="10"/>
      <c r="BF53" s="10"/>
      <c r="BG53" s="10"/>
      <c r="BH53" s="10"/>
      <c r="BI53" s="10"/>
      <c r="BK53" s="7">
        <f>0.18*BK52/16.38</f>
        <v>4.05956043956044</v>
      </c>
      <c r="BL53" s="7">
        <f>0.18*BL52/16.38</f>
        <v>4.3301978021978025</v>
      </c>
      <c r="BM53" s="7">
        <f>0.18*BM52/16.38</f>
        <v>4.194879120879121</v>
      </c>
      <c r="CF53" s="10"/>
      <c r="CG53" s="10"/>
      <c r="CH53" s="10"/>
      <c r="CI53" s="10"/>
      <c r="CJ53" s="10"/>
      <c r="CK53" s="12">
        <f>0.18*CK52/16.38</f>
        <v>4.166373626373627</v>
      </c>
      <c r="CL53" s="2" t="s">
        <v>140</v>
      </c>
    </row>
    <row r="54" spans="1:88" ht="15.75">
      <c r="A54" s="10"/>
      <c r="BB54" s="10"/>
      <c r="BC54" s="10"/>
      <c r="BD54" s="10"/>
      <c r="BE54" s="10"/>
      <c r="BF54" s="10"/>
      <c r="BG54" s="10"/>
      <c r="BH54" s="10"/>
      <c r="BI54" s="10"/>
      <c r="CF54" s="10"/>
      <c r="CG54" s="10"/>
      <c r="CH54" s="10"/>
      <c r="CI54" s="10"/>
      <c r="CJ54" s="10"/>
    </row>
    <row r="55" spans="1:90" ht="15.75">
      <c r="A55" s="10" t="s">
        <v>310</v>
      </c>
      <c r="B55" s="2" t="s">
        <v>311</v>
      </c>
      <c r="C55" s="2" t="s">
        <v>281</v>
      </c>
      <c r="D55" s="2" t="s">
        <v>195</v>
      </c>
      <c r="AE55" s="10"/>
      <c r="BA55" s="10" t="s">
        <v>310</v>
      </c>
      <c r="CF55" s="10"/>
      <c r="CG55" s="10"/>
      <c r="CH55" s="10"/>
      <c r="CI55" s="10"/>
      <c r="CJ55" s="10"/>
      <c r="CL55" s="10" t="s">
        <v>252</v>
      </c>
    </row>
    <row r="56" spans="1:90" ht="15.75">
      <c r="A56" s="10"/>
      <c r="F56" s="2" t="s">
        <v>160</v>
      </c>
      <c r="AE56" s="2" t="s">
        <v>160</v>
      </c>
      <c r="BA56" s="2" t="s">
        <v>160</v>
      </c>
      <c r="CF56" s="10"/>
      <c r="CG56" s="10"/>
      <c r="CH56" s="10"/>
      <c r="CI56" s="10"/>
      <c r="CJ56" s="10"/>
      <c r="CL56" s="2" t="s">
        <v>160</v>
      </c>
    </row>
    <row r="57" spans="1:90" ht="15.75">
      <c r="A57" s="10" t="s">
        <v>310</v>
      </c>
      <c r="B57" s="2" t="s">
        <v>217</v>
      </c>
      <c r="C57" s="2" t="s">
        <v>218</v>
      </c>
      <c r="D57" s="2" t="s">
        <v>195</v>
      </c>
      <c r="AE57" s="10"/>
      <c r="BA57" s="10" t="s">
        <v>310</v>
      </c>
      <c r="CF57" s="10"/>
      <c r="CG57" s="10"/>
      <c r="CH57" s="10"/>
      <c r="CI57" s="10"/>
      <c r="CJ57" s="10"/>
      <c r="CL57" s="10" t="s">
        <v>253</v>
      </c>
    </row>
    <row r="58" spans="1:90" ht="15.75">
      <c r="A58" s="10"/>
      <c r="F58" s="2" t="s">
        <v>160</v>
      </c>
      <c r="AE58" s="2" t="s">
        <v>160</v>
      </c>
      <c r="BA58" s="2" t="s">
        <v>160</v>
      </c>
      <c r="CF58" s="10"/>
      <c r="CG58" s="10"/>
      <c r="CH58" s="10"/>
      <c r="CI58" s="10"/>
      <c r="CJ58" s="10"/>
      <c r="CL58" s="2" t="s">
        <v>160</v>
      </c>
    </row>
    <row r="59" spans="1:90" ht="15.75">
      <c r="A59" s="10" t="s">
        <v>219</v>
      </c>
      <c r="B59" s="2" t="s">
        <v>220</v>
      </c>
      <c r="C59" s="2" t="s">
        <v>221</v>
      </c>
      <c r="D59" s="2" t="s">
        <v>67</v>
      </c>
      <c r="E59" s="2" t="s">
        <v>68</v>
      </c>
      <c r="F59" s="2" t="s">
        <v>69</v>
      </c>
      <c r="AE59" s="10" t="s">
        <v>219</v>
      </c>
      <c r="AO59" s="2">
        <v>240</v>
      </c>
      <c r="AP59" s="2">
        <v>280</v>
      </c>
      <c r="AQ59" s="2">
        <f>(AP59+AO59)/2</f>
        <v>260</v>
      </c>
      <c r="AR59" s="2">
        <v>300</v>
      </c>
      <c r="AS59" s="2">
        <v>370</v>
      </c>
      <c r="AT59" s="2">
        <v>335</v>
      </c>
      <c r="AU59" s="2">
        <v>400</v>
      </c>
      <c r="AV59" s="2">
        <v>600</v>
      </c>
      <c r="AW59" s="2">
        <f>(AV59+AU59)/2</f>
        <v>500</v>
      </c>
      <c r="AX59" s="2">
        <v>700</v>
      </c>
      <c r="AY59" s="2">
        <v>800</v>
      </c>
      <c r="AZ59" s="2">
        <f>(AY59+AX59)/2</f>
        <v>750</v>
      </c>
      <c r="BA59" s="10" t="s">
        <v>219</v>
      </c>
      <c r="BB59" s="10"/>
      <c r="BC59" s="10"/>
      <c r="BD59" s="10"/>
      <c r="BE59" s="10"/>
      <c r="BF59" s="10"/>
      <c r="BG59" s="10"/>
      <c r="BH59" s="10"/>
      <c r="BI59" s="10"/>
      <c r="BJ59" s="10"/>
      <c r="BK59" s="2">
        <v>900</v>
      </c>
      <c r="BL59" s="2">
        <v>1000</v>
      </c>
      <c r="BM59" s="2">
        <f>(BL59+BK59)/2</f>
        <v>950</v>
      </c>
      <c r="CF59" s="10"/>
      <c r="CG59" s="10"/>
      <c r="CH59" s="10"/>
      <c r="CI59" s="10"/>
      <c r="CJ59" s="10"/>
      <c r="CL59" s="10" t="s">
        <v>219</v>
      </c>
    </row>
    <row r="60" spans="1:90" ht="15.75">
      <c r="A60" s="10"/>
      <c r="F60" s="2" t="s">
        <v>160</v>
      </c>
      <c r="AE60" s="2" t="s">
        <v>160</v>
      </c>
      <c r="AO60" s="2">
        <f aca="true" t="shared" si="14" ref="AO60:AZ60">AO59*AO3</f>
        <v>250.46400000000003</v>
      </c>
      <c r="AP60" s="2">
        <f t="shared" si="14"/>
        <v>292.208</v>
      </c>
      <c r="AQ60" s="2">
        <f t="shared" si="14"/>
        <v>271.336</v>
      </c>
      <c r="AR60" s="2">
        <f t="shared" si="14"/>
        <v>295.5</v>
      </c>
      <c r="AS60" s="2">
        <f t="shared" si="14"/>
        <v>364.45</v>
      </c>
      <c r="AT60" s="2">
        <f t="shared" si="14"/>
        <v>329.975</v>
      </c>
      <c r="AU60" s="2">
        <f t="shared" si="14"/>
        <v>382</v>
      </c>
      <c r="AV60" s="2">
        <f t="shared" si="14"/>
        <v>573</v>
      </c>
      <c r="AW60" s="2">
        <f t="shared" si="14"/>
        <v>477.5</v>
      </c>
      <c r="AX60" s="2">
        <f t="shared" si="14"/>
        <v>502.59999999999997</v>
      </c>
      <c r="AY60" s="2">
        <f t="shared" si="14"/>
        <v>574.4</v>
      </c>
      <c r="AZ60" s="2">
        <f t="shared" si="14"/>
        <v>538.5</v>
      </c>
      <c r="BA60" s="2" t="s">
        <v>160</v>
      </c>
      <c r="BB60" s="10"/>
      <c r="BC60" s="10"/>
      <c r="BD60" s="10"/>
      <c r="BE60" s="10"/>
      <c r="BF60" s="10"/>
      <c r="BG60" s="10"/>
      <c r="BH60" s="10"/>
      <c r="BI60" s="10"/>
      <c r="BJ60" s="10"/>
      <c r="BK60" s="2">
        <f>BK59*BK3</f>
        <v>554.13</v>
      </c>
      <c r="BL60" s="2">
        <f>BL59*BL3</f>
        <v>615.7</v>
      </c>
      <c r="BM60" s="2">
        <f>BM59*BM3</f>
        <v>584.9150000000001</v>
      </c>
      <c r="CF60" s="10"/>
      <c r="CG60" s="10"/>
      <c r="CH60" s="10"/>
      <c r="CI60" s="10"/>
      <c r="CJ60" s="10"/>
      <c r="CL60" s="10" t="s">
        <v>160</v>
      </c>
    </row>
    <row r="61" spans="1:90" ht="15.75">
      <c r="A61" s="10" t="s">
        <v>227</v>
      </c>
      <c r="B61" s="2" t="s">
        <v>228</v>
      </c>
      <c r="C61" s="2" t="s">
        <v>229</v>
      </c>
      <c r="D61" s="2" t="s">
        <v>230</v>
      </c>
      <c r="E61" s="2">
        <v>2</v>
      </c>
      <c r="F61" s="2" t="s">
        <v>69</v>
      </c>
      <c r="AE61" s="10" t="s">
        <v>227</v>
      </c>
      <c r="BA61" s="10" t="s">
        <v>227</v>
      </c>
      <c r="BB61" s="10"/>
      <c r="BC61" s="10"/>
      <c r="BD61" s="10"/>
      <c r="BE61" s="10"/>
      <c r="BF61" s="10"/>
      <c r="BG61" s="10"/>
      <c r="BH61" s="10"/>
      <c r="BI61" s="10"/>
      <c r="BJ61" s="10"/>
      <c r="CF61" s="10"/>
      <c r="CG61" s="10"/>
      <c r="CH61" s="10"/>
      <c r="CI61" s="10"/>
      <c r="CJ61" s="10"/>
      <c r="CL61" s="10" t="s">
        <v>227</v>
      </c>
    </row>
    <row r="62" spans="1:90" ht="15.75">
      <c r="A62" s="10"/>
      <c r="F62" s="2" t="s">
        <v>160</v>
      </c>
      <c r="AE62" s="2" t="s">
        <v>160</v>
      </c>
      <c r="BA62" s="2" t="s">
        <v>160</v>
      </c>
      <c r="BB62" s="10"/>
      <c r="BC62" s="10"/>
      <c r="BD62" s="10"/>
      <c r="BE62" s="10"/>
      <c r="BF62" s="10"/>
      <c r="BG62" s="10"/>
      <c r="BH62" s="10"/>
      <c r="BI62" s="10"/>
      <c r="BJ62" s="10"/>
      <c r="CF62" s="10"/>
      <c r="CG62" s="10"/>
      <c r="CH62" s="10"/>
      <c r="CI62" s="10"/>
      <c r="CJ62" s="10"/>
      <c r="CL62" s="10" t="s">
        <v>160</v>
      </c>
    </row>
    <row r="63" spans="1:90" ht="15.75">
      <c r="A63" s="10" t="s">
        <v>227</v>
      </c>
      <c r="B63" s="2" t="s">
        <v>231</v>
      </c>
      <c r="C63" s="2" t="s">
        <v>232</v>
      </c>
      <c r="D63" s="2" t="s">
        <v>230</v>
      </c>
      <c r="E63" s="2">
        <v>2</v>
      </c>
      <c r="F63" s="2" t="s">
        <v>69</v>
      </c>
      <c r="O63" s="2">
        <v>12</v>
      </c>
      <c r="AA63" s="2">
        <v>35</v>
      </c>
      <c r="AE63" s="10" t="s">
        <v>227</v>
      </c>
      <c r="BA63" s="10" t="s">
        <v>227</v>
      </c>
      <c r="BB63" s="10"/>
      <c r="BC63" s="10"/>
      <c r="BD63" s="10"/>
      <c r="BE63" s="10"/>
      <c r="BF63" s="10"/>
      <c r="BG63" s="10"/>
      <c r="BH63" s="10"/>
      <c r="BI63" s="10"/>
      <c r="BJ63" s="10"/>
      <c r="CF63" s="10"/>
      <c r="CG63" s="10"/>
      <c r="CH63" s="10"/>
      <c r="CI63" s="10"/>
      <c r="CJ63" s="10"/>
      <c r="CL63" s="10" t="s">
        <v>227</v>
      </c>
    </row>
    <row r="64" spans="1:90" ht="15.75">
      <c r="A64" s="10"/>
      <c r="F64" s="2" t="s">
        <v>160</v>
      </c>
      <c r="O64" s="2">
        <f>O63*O3</f>
        <v>45.024</v>
      </c>
      <c r="AA64" s="2">
        <f>AA63*AA3</f>
        <v>40.04</v>
      </c>
      <c r="AE64" s="2" t="s">
        <v>160</v>
      </c>
      <c r="BA64" s="2" t="s">
        <v>160</v>
      </c>
      <c r="BB64" s="10"/>
      <c r="BC64" s="10"/>
      <c r="BD64" s="10"/>
      <c r="BE64" s="10"/>
      <c r="BF64" s="10"/>
      <c r="BG64" s="10"/>
      <c r="BH64" s="10"/>
      <c r="BI64" s="10"/>
      <c r="BJ64" s="10"/>
      <c r="CF64" s="10"/>
      <c r="CG64" s="10"/>
      <c r="CH64" s="10"/>
      <c r="CI64" s="10"/>
      <c r="CJ64" s="10"/>
      <c r="CK64" s="17">
        <v>431.325</v>
      </c>
      <c r="CL64" s="10" t="s">
        <v>160</v>
      </c>
    </row>
    <row r="65" spans="1:90" ht="15.75">
      <c r="A65" s="10" t="s">
        <v>233</v>
      </c>
      <c r="C65" s="2" t="s">
        <v>234</v>
      </c>
      <c r="D65" s="2" t="s">
        <v>230</v>
      </c>
      <c r="E65" s="2">
        <v>2</v>
      </c>
      <c r="F65" s="2" t="s">
        <v>69</v>
      </c>
      <c r="AE65" s="10" t="s">
        <v>233</v>
      </c>
      <c r="BA65" s="10" t="s">
        <v>233</v>
      </c>
      <c r="BB65" s="10"/>
      <c r="BC65" s="10"/>
      <c r="BD65" s="10"/>
      <c r="BE65" s="10"/>
      <c r="BF65" s="10"/>
      <c r="BG65" s="10"/>
      <c r="BH65" s="10"/>
      <c r="BI65" s="10"/>
      <c r="BJ65" s="10"/>
      <c r="CF65" s="10"/>
      <c r="CG65" s="10"/>
      <c r="CH65" s="10"/>
      <c r="CI65" s="10"/>
      <c r="CJ65" s="10"/>
      <c r="CL65" s="10" t="s">
        <v>233</v>
      </c>
    </row>
    <row r="66" spans="1:90" ht="15.75">
      <c r="A66" s="10"/>
      <c r="F66" s="2" t="s">
        <v>160</v>
      </c>
      <c r="AE66" s="2" t="s">
        <v>160</v>
      </c>
      <c r="BA66" s="2" t="s">
        <v>160</v>
      </c>
      <c r="BB66" s="10"/>
      <c r="BC66" s="10"/>
      <c r="BD66" s="10"/>
      <c r="BE66" s="10"/>
      <c r="BF66" s="10"/>
      <c r="BG66" s="10"/>
      <c r="BH66" s="10"/>
      <c r="BI66" s="10"/>
      <c r="BJ66" s="10"/>
      <c r="CF66" s="10"/>
      <c r="CG66" s="10"/>
      <c r="CH66" s="10"/>
      <c r="CI66" s="10"/>
      <c r="CJ66" s="10"/>
      <c r="CL66" s="10" t="s">
        <v>160</v>
      </c>
    </row>
    <row r="67" spans="1:90" ht="15.75">
      <c r="A67" s="10" t="s">
        <v>235</v>
      </c>
      <c r="C67" s="2" t="s">
        <v>236</v>
      </c>
      <c r="D67" s="2" t="s">
        <v>67</v>
      </c>
      <c r="E67" s="2" t="s">
        <v>68</v>
      </c>
      <c r="F67" s="2" t="s">
        <v>69</v>
      </c>
      <c r="AA67" s="2">
        <v>400</v>
      </c>
      <c r="AD67" s="2">
        <v>400</v>
      </c>
      <c r="AE67" s="10" t="s">
        <v>235</v>
      </c>
      <c r="AH67" s="2">
        <v>400</v>
      </c>
      <c r="AK67" s="2">
        <v>400</v>
      </c>
      <c r="AN67" s="2">
        <v>400</v>
      </c>
      <c r="AO67" s="2">
        <v>500</v>
      </c>
      <c r="AP67" s="2">
        <v>600</v>
      </c>
      <c r="AQ67" s="2">
        <v>550</v>
      </c>
      <c r="AR67" s="2">
        <v>500</v>
      </c>
      <c r="AS67" s="2">
        <v>690</v>
      </c>
      <c r="AT67" s="2">
        <v>600</v>
      </c>
      <c r="AU67" s="2">
        <v>700</v>
      </c>
      <c r="AV67" s="2">
        <v>1300</v>
      </c>
      <c r="AW67" s="2">
        <v>1000</v>
      </c>
      <c r="AX67" s="2">
        <v>1300</v>
      </c>
      <c r="AY67" s="2">
        <v>1600</v>
      </c>
      <c r="AZ67" s="2">
        <v>1450</v>
      </c>
      <c r="BA67" s="10" t="s">
        <v>235</v>
      </c>
      <c r="BB67" s="10"/>
      <c r="BC67" s="10"/>
      <c r="BD67" s="10"/>
      <c r="BE67" s="10"/>
      <c r="BF67" s="10"/>
      <c r="BG67" s="10"/>
      <c r="BH67" s="10"/>
      <c r="BI67" s="10"/>
      <c r="BJ67" s="10"/>
      <c r="BK67" s="2">
        <v>1400</v>
      </c>
      <c r="BL67" s="2">
        <v>1600</v>
      </c>
      <c r="BM67" s="2">
        <v>1500</v>
      </c>
      <c r="CF67" s="10"/>
      <c r="CG67" s="10"/>
      <c r="CH67" s="10"/>
      <c r="CI67" s="10"/>
      <c r="CJ67" s="10"/>
      <c r="CL67" s="10" t="s">
        <v>235</v>
      </c>
    </row>
    <row r="68" spans="1:90" ht="15.75">
      <c r="A68" s="10"/>
      <c r="F68" s="2" t="s">
        <v>160</v>
      </c>
      <c r="AA68" s="2">
        <f>AA67*AA3</f>
        <v>457.59999999999997</v>
      </c>
      <c r="AD68" s="2">
        <f>AD67*AD3</f>
        <v>457.59999999999997</v>
      </c>
      <c r="AE68" s="2" t="s">
        <v>160</v>
      </c>
      <c r="AH68" s="2">
        <f>AH67*AH3</f>
        <v>460.79999999999995</v>
      </c>
      <c r="AK68" s="2">
        <f>AK67*AK3</f>
        <v>460.79999999999995</v>
      </c>
      <c r="AN68" s="2">
        <f aca="true" t="shared" si="15" ref="AN68:AZ68">AN67*AN3</f>
        <v>460.79999999999995</v>
      </c>
      <c r="AO68" s="2">
        <f t="shared" si="15"/>
        <v>521.8000000000001</v>
      </c>
      <c r="AP68" s="2">
        <f t="shared" si="15"/>
        <v>626.1600000000001</v>
      </c>
      <c r="AQ68" s="2">
        <f t="shared" si="15"/>
        <v>573.98</v>
      </c>
      <c r="AR68" s="2">
        <f t="shared" si="15"/>
        <v>492.5</v>
      </c>
      <c r="AS68" s="2">
        <f t="shared" si="15"/>
        <v>679.65</v>
      </c>
      <c r="AT68" s="2">
        <f t="shared" si="15"/>
        <v>591</v>
      </c>
      <c r="AU68" s="2">
        <f t="shared" si="15"/>
        <v>668.5</v>
      </c>
      <c r="AV68" s="2">
        <f t="shared" si="15"/>
        <v>1241.5</v>
      </c>
      <c r="AW68" s="2">
        <f t="shared" si="15"/>
        <v>955</v>
      </c>
      <c r="AX68" s="2">
        <f t="shared" si="15"/>
        <v>933.4</v>
      </c>
      <c r="AY68" s="2">
        <f t="shared" si="15"/>
        <v>1148.8</v>
      </c>
      <c r="AZ68" s="2">
        <f t="shared" si="15"/>
        <v>1041.1</v>
      </c>
      <c r="BA68" s="2" t="s">
        <v>160</v>
      </c>
      <c r="BB68" s="10"/>
      <c r="BC68" s="10"/>
      <c r="BD68" s="10"/>
      <c r="BE68" s="10"/>
      <c r="BF68" s="10"/>
      <c r="BG68" s="10"/>
      <c r="BH68" s="10"/>
      <c r="BI68" s="10"/>
      <c r="BJ68" s="10"/>
      <c r="BK68" s="2">
        <f>BK67*BK3</f>
        <v>861.98</v>
      </c>
      <c r="BL68" s="2">
        <f>BL67*BL3</f>
        <v>985.12</v>
      </c>
      <c r="BM68" s="2">
        <f>BM67*BM3</f>
        <v>923.5500000000001</v>
      </c>
      <c r="CF68" s="10"/>
      <c r="CG68" s="10"/>
      <c r="CH68" s="10"/>
      <c r="CI68" s="10"/>
      <c r="CJ68" s="10"/>
      <c r="CL68" s="10" t="s">
        <v>160</v>
      </c>
    </row>
    <row r="69" spans="1:90" ht="15.75">
      <c r="A69" s="10" t="s">
        <v>237</v>
      </c>
      <c r="B69" s="2" t="s">
        <v>238</v>
      </c>
      <c r="C69" s="2" t="s">
        <v>223</v>
      </c>
      <c r="D69" s="2" t="s">
        <v>67</v>
      </c>
      <c r="E69" s="2" t="s">
        <v>68</v>
      </c>
      <c r="F69" s="2" t="s">
        <v>69</v>
      </c>
      <c r="S69" s="2">
        <v>23</v>
      </c>
      <c r="T69" s="2">
        <v>30</v>
      </c>
      <c r="U69" s="2">
        <f>(T69+S69)/2</f>
        <v>26.5</v>
      </c>
      <c r="Y69" s="2">
        <v>30</v>
      </c>
      <c r="Z69" s="2">
        <v>70</v>
      </c>
      <c r="AA69" s="2">
        <f>(Z69+Y69)/2</f>
        <v>50</v>
      </c>
      <c r="AB69" s="2">
        <v>80</v>
      </c>
      <c r="AC69" s="2">
        <v>100</v>
      </c>
      <c r="AD69" s="2">
        <f>(AC69+AB69)/2</f>
        <v>90</v>
      </c>
      <c r="AE69" s="10" t="s">
        <v>237</v>
      </c>
      <c r="AF69" s="2">
        <v>110</v>
      </c>
      <c r="AG69" s="2">
        <v>115</v>
      </c>
      <c r="AH69" s="2">
        <f>(AG69+AF69)/2</f>
        <v>112.5</v>
      </c>
      <c r="AI69" s="2">
        <v>90</v>
      </c>
      <c r="AJ69" s="2">
        <v>120</v>
      </c>
      <c r="AK69" s="2">
        <f>(AJ69+AI69)/2</f>
        <v>105</v>
      </c>
      <c r="AO69" s="2">
        <v>100</v>
      </c>
      <c r="AP69" s="2">
        <v>120</v>
      </c>
      <c r="AQ69" s="2">
        <f>(AP69+AO69)/2</f>
        <v>110</v>
      </c>
      <c r="AR69" s="2">
        <v>130</v>
      </c>
      <c r="AS69" s="2">
        <v>150</v>
      </c>
      <c r="AT69" s="2">
        <f>(AS69+AR69)/2</f>
        <v>140</v>
      </c>
      <c r="AU69" s="2">
        <v>150</v>
      </c>
      <c r="AV69" s="2">
        <v>250</v>
      </c>
      <c r="AW69" s="2">
        <v>180</v>
      </c>
      <c r="AX69" s="2">
        <v>210</v>
      </c>
      <c r="AY69" s="2">
        <v>490</v>
      </c>
      <c r="AZ69" s="2">
        <v>300</v>
      </c>
      <c r="BA69" s="10" t="s">
        <v>237</v>
      </c>
      <c r="BB69" s="10"/>
      <c r="BC69" s="10"/>
      <c r="BD69" s="10"/>
      <c r="BE69" s="10"/>
      <c r="BF69" s="10"/>
      <c r="BG69" s="10"/>
      <c r="BH69" s="10"/>
      <c r="BI69" s="10"/>
      <c r="BJ69" s="10"/>
      <c r="BK69" s="2">
        <v>450</v>
      </c>
      <c r="BL69" s="2">
        <v>470</v>
      </c>
      <c r="BM69" s="2">
        <v>454</v>
      </c>
      <c r="CF69" s="10"/>
      <c r="CG69" s="10"/>
      <c r="CH69" s="10"/>
      <c r="CI69" s="10"/>
      <c r="CJ69" s="10"/>
      <c r="CL69" s="10" t="s">
        <v>237</v>
      </c>
    </row>
    <row r="70" spans="1:90" ht="15.75">
      <c r="A70" s="10"/>
      <c r="F70" s="2" t="s">
        <v>160</v>
      </c>
      <c r="S70" s="2">
        <f aca="true" t="shared" si="16" ref="S70:BM70">S69*S3</f>
        <v>55.476</v>
      </c>
      <c r="T70" s="2">
        <f t="shared" si="16"/>
        <v>72.36</v>
      </c>
      <c r="U70" s="2">
        <f t="shared" si="16"/>
        <v>63.918</v>
      </c>
      <c r="Y70" s="2">
        <f t="shared" si="16"/>
        <v>34.32</v>
      </c>
      <c r="Z70" s="2">
        <f t="shared" si="16"/>
        <v>80.08</v>
      </c>
      <c r="AA70" s="2">
        <f t="shared" si="16"/>
        <v>57.199999999999996</v>
      </c>
      <c r="AB70" s="2">
        <f t="shared" si="16"/>
        <v>91.52</v>
      </c>
      <c r="AC70" s="2">
        <f t="shared" si="16"/>
        <v>114.39999999999999</v>
      </c>
      <c r="AD70" s="2">
        <f t="shared" si="16"/>
        <v>102.96</v>
      </c>
      <c r="AE70" s="2" t="s">
        <v>160</v>
      </c>
      <c r="AF70" s="2">
        <f t="shared" si="16"/>
        <v>126.71999999999998</v>
      </c>
      <c r="AG70" s="2">
        <f t="shared" si="16"/>
        <v>132.48</v>
      </c>
      <c r="AH70" s="2">
        <f t="shared" si="16"/>
        <v>129.6</v>
      </c>
      <c r="AI70" s="2">
        <f t="shared" si="16"/>
        <v>103.67999999999999</v>
      </c>
      <c r="AJ70" s="2">
        <f t="shared" si="16"/>
        <v>138.23999999999998</v>
      </c>
      <c r="AK70" s="2">
        <f t="shared" si="16"/>
        <v>120.96</v>
      </c>
      <c r="AO70" s="2">
        <f t="shared" si="16"/>
        <v>104.36000000000001</v>
      </c>
      <c r="AP70" s="2">
        <f t="shared" si="16"/>
        <v>125.23200000000001</v>
      </c>
      <c r="AQ70" s="2">
        <f t="shared" si="16"/>
        <v>114.796</v>
      </c>
      <c r="AR70" s="2">
        <f t="shared" si="16"/>
        <v>128.05</v>
      </c>
      <c r="AS70" s="2">
        <f t="shared" si="16"/>
        <v>147.75</v>
      </c>
      <c r="AT70" s="2">
        <f t="shared" si="16"/>
        <v>137.9</v>
      </c>
      <c r="AU70" s="2">
        <f t="shared" si="16"/>
        <v>143.25</v>
      </c>
      <c r="AV70" s="2">
        <f t="shared" si="16"/>
        <v>238.75</v>
      </c>
      <c r="AW70" s="2">
        <f t="shared" si="16"/>
        <v>171.9</v>
      </c>
      <c r="AX70" s="2">
        <f t="shared" si="16"/>
        <v>150.78</v>
      </c>
      <c r="AY70" s="2">
        <f t="shared" si="16"/>
        <v>351.82</v>
      </c>
      <c r="AZ70" s="2">
        <f t="shared" si="16"/>
        <v>215.39999999999998</v>
      </c>
      <c r="BA70" s="2" t="s">
        <v>160</v>
      </c>
      <c r="BB70" s="10"/>
      <c r="BC70" s="10"/>
      <c r="BD70" s="10"/>
      <c r="BE70" s="10"/>
      <c r="BF70" s="10"/>
      <c r="BG70" s="10"/>
      <c r="BH70" s="10"/>
      <c r="BI70" s="10"/>
      <c r="BJ70" s="10"/>
      <c r="BK70" s="2">
        <f t="shared" si="16"/>
        <v>277.065</v>
      </c>
      <c r="BL70" s="2">
        <f t="shared" si="16"/>
        <v>289.379</v>
      </c>
      <c r="BM70" s="2">
        <f t="shared" si="16"/>
        <v>279.5278</v>
      </c>
      <c r="CF70" s="10"/>
      <c r="CG70" s="10"/>
      <c r="CH70" s="10"/>
      <c r="CI70" s="10"/>
      <c r="CJ70" s="10"/>
      <c r="CK70" s="17">
        <v>408.96</v>
      </c>
      <c r="CL70" s="10" t="s">
        <v>160</v>
      </c>
    </row>
    <row r="71" spans="1:90" ht="15.75">
      <c r="A71" s="10" t="s">
        <v>237</v>
      </c>
      <c r="B71" s="2" t="s">
        <v>224</v>
      </c>
      <c r="C71" s="2" t="s">
        <v>223</v>
      </c>
      <c r="D71" s="2" t="s">
        <v>67</v>
      </c>
      <c r="E71" s="2" t="s">
        <v>68</v>
      </c>
      <c r="F71" s="2" t="s">
        <v>69</v>
      </c>
      <c r="AE71" s="10" t="s">
        <v>237</v>
      </c>
      <c r="AF71" s="2">
        <v>95</v>
      </c>
      <c r="AG71" s="2">
        <v>100</v>
      </c>
      <c r="AH71" s="2">
        <f>(AG71+AF71)/2</f>
        <v>97.5</v>
      </c>
      <c r="BA71" s="10" t="s">
        <v>237</v>
      </c>
      <c r="BB71" s="10"/>
      <c r="BC71" s="10"/>
      <c r="BD71" s="10"/>
      <c r="BE71" s="10"/>
      <c r="BF71" s="10"/>
      <c r="BG71" s="10"/>
      <c r="BH71" s="10"/>
      <c r="BI71" s="10"/>
      <c r="BJ71" s="10"/>
      <c r="CF71" s="10"/>
      <c r="CG71" s="10"/>
      <c r="CH71" s="10"/>
      <c r="CI71" s="10"/>
      <c r="CJ71" s="10"/>
      <c r="CL71" s="10" t="s">
        <v>237</v>
      </c>
    </row>
    <row r="72" spans="1:90" ht="15.75">
      <c r="A72" s="10"/>
      <c r="F72" s="2" t="s">
        <v>160</v>
      </c>
      <c r="AE72" s="2" t="s">
        <v>160</v>
      </c>
      <c r="AF72" s="2">
        <f>AF71*AF3</f>
        <v>109.44</v>
      </c>
      <c r="AG72" s="2">
        <f>AG71*AG3</f>
        <v>115.19999999999999</v>
      </c>
      <c r="AH72" s="2">
        <f>AH71*AH3</f>
        <v>112.32</v>
      </c>
      <c r="BA72" s="2" t="s">
        <v>160</v>
      </c>
      <c r="BB72" s="10"/>
      <c r="BC72" s="10"/>
      <c r="BD72" s="10"/>
      <c r="BE72" s="10"/>
      <c r="BF72" s="10"/>
      <c r="BG72" s="10"/>
      <c r="BH72" s="10"/>
      <c r="BI72" s="10"/>
      <c r="BJ72" s="10"/>
      <c r="BK72" s="10"/>
      <c r="BL72" s="10"/>
      <c r="BM72" s="10"/>
      <c r="CF72" s="10"/>
      <c r="CG72" s="10"/>
      <c r="CH72" s="10"/>
      <c r="CI72" s="10"/>
      <c r="CJ72" s="10"/>
      <c r="CL72" s="10" t="s">
        <v>160</v>
      </c>
    </row>
    <row r="73" spans="1:90" ht="15.75">
      <c r="A73" s="10" t="s">
        <v>225</v>
      </c>
      <c r="B73" s="2" t="s">
        <v>412</v>
      </c>
      <c r="C73" s="2" t="s">
        <v>338</v>
      </c>
      <c r="D73" s="2" t="s">
        <v>67</v>
      </c>
      <c r="E73" s="2" t="s">
        <v>68</v>
      </c>
      <c r="F73" s="2" t="s">
        <v>69</v>
      </c>
      <c r="S73" s="2">
        <v>65</v>
      </c>
      <c r="T73" s="2">
        <v>70</v>
      </c>
      <c r="U73" s="2">
        <f>(T73+S73)/2</f>
        <v>67.5</v>
      </c>
      <c r="Y73" s="2">
        <v>80</v>
      </c>
      <c r="Z73" s="2">
        <v>112</v>
      </c>
      <c r="AA73" s="2">
        <f>(Z73+Y73)/2</f>
        <v>96</v>
      </c>
      <c r="AB73" s="2">
        <v>110</v>
      </c>
      <c r="AC73" s="2">
        <v>150</v>
      </c>
      <c r="AD73" s="2">
        <f>(AC73+AB73)/2</f>
        <v>130</v>
      </c>
      <c r="AE73" s="10" t="s">
        <v>225</v>
      </c>
      <c r="AF73" s="2">
        <v>170</v>
      </c>
      <c r="AG73" s="2">
        <v>180</v>
      </c>
      <c r="AH73" s="2">
        <f>(AG73+AF73)/2</f>
        <v>175</v>
      </c>
      <c r="AI73" s="2">
        <v>150</v>
      </c>
      <c r="AJ73" s="2">
        <v>180</v>
      </c>
      <c r="AK73" s="2">
        <f>(AJ73+AI73)/2</f>
        <v>165</v>
      </c>
      <c r="AL73" s="2">
        <v>160</v>
      </c>
      <c r="AM73" s="2">
        <v>180</v>
      </c>
      <c r="AN73" s="2">
        <f>(AM73+AL73)/2</f>
        <v>170</v>
      </c>
      <c r="AO73" s="2">
        <v>180</v>
      </c>
      <c r="AP73" s="2">
        <v>210</v>
      </c>
      <c r="AQ73" s="2">
        <f>(AP73+AO73)/2</f>
        <v>195</v>
      </c>
      <c r="AR73" s="2">
        <v>210</v>
      </c>
      <c r="AS73" s="2">
        <v>280</v>
      </c>
      <c r="AT73" s="2">
        <v>208</v>
      </c>
      <c r="AU73" s="2">
        <v>260</v>
      </c>
      <c r="AV73" s="2">
        <v>400</v>
      </c>
      <c r="AW73" s="2">
        <v>293</v>
      </c>
      <c r="AX73" s="2">
        <v>350</v>
      </c>
      <c r="AY73" s="2">
        <v>610</v>
      </c>
      <c r="AZ73" s="2">
        <v>412</v>
      </c>
      <c r="BA73" s="10" t="s">
        <v>225</v>
      </c>
      <c r="BB73" s="10"/>
      <c r="BC73" s="10"/>
      <c r="BD73" s="10"/>
      <c r="BE73" s="10"/>
      <c r="BF73" s="10"/>
      <c r="BG73" s="10"/>
      <c r="BH73" s="10"/>
      <c r="BI73" s="10"/>
      <c r="BJ73" s="10"/>
      <c r="BK73" s="2">
        <v>580</v>
      </c>
      <c r="BL73" s="2">
        <v>690</v>
      </c>
      <c r="BM73" s="2">
        <v>621</v>
      </c>
      <c r="CF73" s="10"/>
      <c r="CG73" s="10"/>
      <c r="CH73" s="10"/>
      <c r="CI73" s="10"/>
      <c r="CJ73" s="10"/>
      <c r="CL73" s="10" t="s">
        <v>225</v>
      </c>
    </row>
    <row r="74" spans="1:90" ht="15.75">
      <c r="A74" s="10"/>
      <c r="F74" s="2" t="s">
        <v>160</v>
      </c>
      <c r="S74" s="2">
        <f aca="true" t="shared" si="17" ref="S74:BM74">S73*S3</f>
        <v>156.78</v>
      </c>
      <c r="T74" s="2">
        <f t="shared" si="17"/>
        <v>168.84</v>
      </c>
      <c r="U74" s="2">
        <f t="shared" si="17"/>
        <v>162.81</v>
      </c>
      <c r="Y74" s="2">
        <f t="shared" si="17"/>
        <v>91.52</v>
      </c>
      <c r="Z74" s="2">
        <f t="shared" si="17"/>
        <v>128.128</v>
      </c>
      <c r="AA74" s="2">
        <f t="shared" si="17"/>
        <v>109.82399999999998</v>
      </c>
      <c r="AB74" s="2">
        <f t="shared" si="17"/>
        <v>125.83999999999999</v>
      </c>
      <c r="AC74" s="2">
        <f t="shared" si="17"/>
        <v>171.6</v>
      </c>
      <c r="AD74" s="2">
        <f t="shared" si="17"/>
        <v>148.72</v>
      </c>
      <c r="AE74" s="2" t="s">
        <v>160</v>
      </c>
      <c r="AF74" s="2">
        <f t="shared" si="17"/>
        <v>195.83999999999997</v>
      </c>
      <c r="AG74" s="2">
        <f t="shared" si="17"/>
        <v>207.35999999999999</v>
      </c>
      <c r="AH74" s="2">
        <f t="shared" si="17"/>
        <v>201.6</v>
      </c>
      <c r="AI74" s="2">
        <f t="shared" si="17"/>
        <v>172.79999999999998</v>
      </c>
      <c r="AJ74" s="2">
        <f t="shared" si="17"/>
        <v>207.35999999999999</v>
      </c>
      <c r="AK74" s="2">
        <f t="shared" si="17"/>
        <v>190.07999999999998</v>
      </c>
      <c r="AL74" s="2">
        <f t="shared" si="17"/>
        <v>184.32</v>
      </c>
      <c r="AM74" s="2">
        <f t="shared" si="17"/>
        <v>207.35999999999999</v>
      </c>
      <c r="AN74" s="2">
        <f t="shared" si="17"/>
        <v>195.83999999999997</v>
      </c>
      <c r="AO74" s="2">
        <f t="shared" si="17"/>
        <v>187.848</v>
      </c>
      <c r="AP74" s="2">
        <f t="shared" si="17"/>
        <v>219.156</v>
      </c>
      <c r="AQ74" s="2">
        <f t="shared" si="17"/>
        <v>203.502</v>
      </c>
      <c r="AR74" s="2">
        <f t="shared" si="17"/>
        <v>206.85</v>
      </c>
      <c r="AS74" s="2">
        <f t="shared" si="17"/>
        <v>275.8</v>
      </c>
      <c r="AT74" s="2">
        <f t="shared" si="17"/>
        <v>204.88</v>
      </c>
      <c r="AU74" s="2">
        <f t="shared" si="17"/>
        <v>248.29999999999998</v>
      </c>
      <c r="AV74" s="2">
        <f t="shared" si="17"/>
        <v>382</v>
      </c>
      <c r="AW74" s="2">
        <f t="shared" si="17"/>
        <v>279.815</v>
      </c>
      <c r="AX74" s="2">
        <f t="shared" si="17"/>
        <v>251.29999999999998</v>
      </c>
      <c r="AY74" s="2">
        <f t="shared" si="17"/>
        <v>437.97999999999996</v>
      </c>
      <c r="AZ74" s="2">
        <f t="shared" si="17"/>
        <v>295.816</v>
      </c>
      <c r="BA74" s="2" t="s">
        <v>160</v>
      </c>
      <c r="BB74" s="10"/>
      <c r="BC74" s="10"/>
      <c r="BD74" s="10"/>
      <c r="BE74" s="10"/>
      <c r="BF74" s="10"/>
      <c r="BG74" s="10"/>
      <c r="BH74" s="10"/>
      <c r="BI74" s="10"/>
      <c r="BJ74" s="10"/>
      <c r="BK74" s="2">
        <f t="shared" si="17"/>
        <v>357.106</v>
      </c>
      <c r="BL74" s="2">
        <f t="shared" si="17"/>
        <v>424.833</v>
      </c>
      <c r="BM74" s="2">
        <f t="shared" si="17"/>
        <v>382.34970000000004</v>
      </c>
      <c r="CF74" s="10"/>
      <c r="CG74" s="10"/>
      <c r="CH74" s="10"/>
      <c r="CI74" s="10"/>
      <c r="CJ74" s="10"/>
      <c r="CK74" s="17">
        <v>613.44</v>
      </c>
      <c r="CL74" s="10" t="s">
        <v>160</v>
      </c>
    </row>
    <row r="75" spans="1:91" ht="15.75">
      <c r="A75" s="10" t="s">
        <v>339</v>
      </c>
      <c r="B75" s="2" t="s">
        <v>340</v>
      </c>
      <c r="C75" s="2" t="s">
        <v>341</v>
      </c>
      <c r="D75" s="2" t="s">
        <v>342</v>
      </c>
      <c r="E75" s="2" t="s">
        <v>343</v>
      </c>
      <c r="F75" s="2" t="s">
        <v>69</v>
      </c>
      <c r="M75" s="2">
        <v>60</v>
      </c>
      <c r="N75" s="2">
        <v>80</v>
      </c>
      <c r="O75" s="2">
        <v>70</v>
      </c>
      <c r="AE75" s="10" t="s">
        <v>339</v>
      </c>
      <c r="AF75" s="2">
        <v>90</v>
      </c>
      <c r="AG75" s="2">
        <v>100</v>
      </c>
      <c r="AH75" s="2">
        <f>(AG75+AF75)/2</f>
        <v>95</v>
      </c>
      <c r="AO75" s="2">
        <v>110</v>
      </c>
      <c r="AP75" s="2">
        <v>130</v>
      </c>
      <c r="AQ75" s="2">
        <f>(AP75+AO75)/2</f>
        <v>120</v>
      </c>
      <c r="AR75" s="2">
        <v>110</v>
      </c>
      <c r="AS75" s="2">
        <v>130</v>
      </c>
      <c r="AT75" s="2">
        <f>(AS75+AR75)/2</f>
        <v>120</v>
      </c>
      <c r="AU75" s="2">
        <v>130</v>
      </c>
      <c r="AV75" s="2">
        <v>140</v>
      </c>
      <c r="AW75" s="2">
        <f>(AV75+AU75)/2</f>
        <v>135</v>
      </c>
      <c r="AX75" s="2">
        <v>140</v>
      </c>
      <c r="AY75" s="2">
        <v>160</v>
      </c>
      <c r="AZ75" s="2">
        <f>(AY75+AX75)/2</f>
        <v>150</v>
      </c>
      <c r="BA75" s="10" t="s">
        <v>339</v>
      </c>
      <c r="BB75" s="10"/>
      <c r="BC75" s="10"/>
      <c r="BD75" s="10"/>
      <c r="BE75" s="10"/>
      <c r="BF75" s="10"/>
      <c r="BG75" s="10"/>
      <c r="BH75" s="10"/>
      <c r="BI75" s="10"/>
      <c r="BJ75" s="10"/>
      <c r="CF75" s="10"/>
      <c r="CG75" s="10"/>
      <c r="CH75" s="10"/>
      <c r="CI75" s="10"/>
      <c r="CJ75" s="10"/>
      <c r="CL75" s="10" t="s">
        <v>339</v>
      </c>
      <c r="CM75" s="10"/>
    </row>
    <row r="76" spans="1:91" ht="15.75">
      <c r="A76" s="10"/>
      <c r="F76" s="2" t="s">
        <v>160</v>
      </c>
      <c r="M76" s="2">
        <f>M75*M3</f>
        <v>225.11999999999998</v>
      </c>
      <c r="N76" s="2">
        <f>N75*N3</f>
        <v>300.15999999999997</v>
      </c>
      <c r="O76" s="2">
        <f>O75*O3</f>
        <v>262.64</v>
      </c>
      <c r="AE76" s="2" t="s">
        <v>160</v>
      </c>
      <c r="AF76" s="2">
        <f>AF75*AF3</f>
        <v>103.67999999999999</v>
      </c>
      <c r="AG76" s="2">
        <f>AG75*AG3</f>
        <v>115.19999999999999</v>
      </c>
      <c r="AH76" s="2">
        <f>AH75*AH3</f>
        <v>109.44</v>
      </c>
      <c r="AO76" s="2">
        <f aca="true" t="shared" si="18" ref="AO76:AZ76">AO75*AO3</f>
        <v>114.796</v>
      </c>
      <c r="AP76" s="2">
        <f t="shared" si="18"/>
        <v>135.668</v>
      </c>
      <c r="AQ76" s="2">
        <f t="shared" si="18"/>
        <v>125.23200000000001</v>
      </c>
      <c r="AR76" s="2">
        <f t="shared" si="18"/>
        <v>108.35</v>
      </c>
      <c r="AS76" s="2">
        <f t="shared" si="18"/>
        <v>128.05</v>
      </c>
      <c r="AT76" s="2">
        <f t="shared" si="18"/>
        <v>118.2</v>
      </c>
      <c r="AU76" s="2">
        <f t="shared" si="18"/>
        <v>124.14999999999999</v>
      </c>
      <c r="AV76" s="2">
        <f t="shared" si="18"/>
        <v>133.7</v>
      </c>
      <c r="AW76" s="2">
        <f t="shared" si="18"/>
        <v>128.92499999999998</v>
      </c>
      <c r="AX76" s="2">
        <f t="shared" si="18"/>
        <v>100.52</v>
      </c>
      <c r="AY76" s="2">
        <f t="shared" si="18"/>
        <v>114.88</v>
      </c>
      <c r="AZ76" s="2">
        <f t="shared" si="18"/>
        <v>107.69999999999999</v>
      </c>
      <c r="BA76" s="2" t="s">
        <v>160</v>
      </c>
      <c r="BB76" s="10"/>
      <c r="BC76" s="10"/>
      <c r="BD76" s="10"/>
      <c r="BE76" s="10"/>
      <c r="BF76" s="10"/>
      <c r="BG76" s="10"/>
      <c r="BH76" s="10"/>
      <c r="BI76" s="10"/>
      <c r="BJ76" s="10"/>
      <c r="CF76" s="10"/>
      <c r="CG76" s="10"/>
      <c r="CH76" s="10"/>
      <c r="CI76" s="10"/>
      <c r="CJ76" s="10"/>
      <c r="CK76" s="17">
        <v>852</v>
      </c>
      <c r="CL76" s="10" t="s">
        <v>160</v>
      </c>
      <c r="CM76" s="10"/>
    </row>
    <row r="77" spans="1:91" ht="15.75">
      <c r="A77" s="10"/>
      <c r="F77" s="2" t="s">
        <v>128</v>
      </c>
      <c r="M77" s="7">
        <f>0.18*M76</f>
        <v>40.52159999999999</v>
      </c>
      <c r="N77" s="7">
        <f>0.18*N76</f>
        <v>54.02879999999999</v>
      </c>
      <c r="O77" s="8">
        <f>0.18*O76</f>
        <v>47.2752</v>
      </c>
      <c r="AF77" s="25">
        <f>0.18*AF76</f>
        <v>18.662399999999998</v>
      </c>
      <c r="AG77" s="25">
        <f>0.18*AG76</f>
        <v>20.735999999999997</v>
      </c>
      <c r="AH77" s="25">
        <f>0.18*AH76</f>
        <v>19.699199999999998</v>
      </c>
      <c r="AO77" s="7">
        <f aca="true" t="shared" si="19" ref="AO77:AZ77">0.18*AO76</f>
        <v>20.66328</v>
      </c>
      <c r="AP77" s="7">
        <f t="shared" si="19"/>
        <v>24.42024</v>
      </c>
      <c r="AQ77" s="7">
        <f t="shared" si="19"/>
        <v>22.54176</v>
      </c>
      <c r="AR77" s="7">
        <f t="shared" si="19"/>
        <v>19.502999999999997</v>
      </c>
      <c r="AS77" s="7">
        <f t="shared" si="19"/>
        <v>23.049</v>
      </c>
      <c r="AT77" s="7">
        <f t="shared" si="19"/>
        <v>21.276</v>
      </c>
      <c r="AU77" s="7">
        <f t="shared" si="19"/>
        <v>22.346999999999998</v>
      </c>
      <c r="AV77" s="7">
        <f t="shared" si="19"/>
        <v>24.065999999999995</v>
      </c>
      <c r="AW77" s="7">
        <f t="shared" si="19"/>
        <v>23.206499999999995</v>
      </c>
      <c r="AX77" s="7">
        <f t="shared" si="19"/>
        <v>18.0936</v>
      </c>
      <c r="AY77" s="7">
        <f t="shared" si="19"/>
        <v>20.6784</v>
      </c>
      <c r="AZ77" s="8">
        <f t="shared" si="19"/>
        <v>19.385999999999996</v>
      </c>
      <c r="BA77" s="2" t="s">
        <v>128</v>
      </c>
      <c r="CF77" s="10"/>
      <c r="CG77" s="10"/>
      <c r="CH77" s="10"/>
      <c r="CI77" s="10"/>
      <c r="CJ77" s="10"/>
      <c r="CK77" s="7">
        <f>0.18*CK76</f>
        <v>153.35999999999999</v>
      </c>
      <c r="CL77" s="2" t="s">
        <v>128</v>
      </c>
      <c r="CM77" s="10"/>
    </row>
    <row r="78" spans="1:91" ht="15.75">
      <c r="A78" s="10"/>
      <c r="CF78" s="10"/>
      <c r="CG78" s="10"/>
      <c r="CH78" s="10"/>
      <c r="CI78" s="10"/>
      <c r="CJ78" s="10"/>
      <c r="CL78" s="10"/>
      <c r="CM78" s="10"/>
    </row>
    <row r="79" spans="1:91" ht="15.75">
      <c r="A79" s="10" t="s">
        <v>344</v>
      </c>
      <c r="C79" s="2" t="s">
        <v>345</v>
      </c>
      <c r="D79" s="2" t="s">
        <v>293</v>
      </c>
      <c r="E79" s="2" t="s">
        <v>294</v>
      </c>
      <c r="F79" s="2" t="s">
        <v>69</v>
      </c>
      <c r="AE79" s="10" t="s">
        <v>344</v>
      </c>
      <c r="AX79" s="2">
        <v>300</v>
      </c>
      <c r="BA79" s="10" t="s">
        <v>344</v>
      </c>
      <c r="BB79" s="10"/>
      <c r="BC79" s="10"/>
      <c r="BD79" s="10"/>
      <c r="BE79" s="10"/>
      <c r="BF79" s="10"/>
      <c r="BG79" s="10"/>
      <c r="BH79" s="10"/>
      <c r="BI79" s="10"/>
      <c r="BJ79" s="10"/>
      <c r="CF79" s="10"/>
      <c r="CG79" s="10"/>
      <c r="CH79" s="10"/>
      <c r="CI79" s="10"/>
      <c r="CJ79" s="10"/>
      <c r="CL79" s="10" t="s">
        <v>344</v>
      </c>
      <c r="CM79" s="10"/>
    </row>
    <row r="80" spans="1:91" ht="15.75">
      <c r="A80" s="10"/>
      <c r="F80" s="2" t="s">
        <v>160</v>
      </c>
      <c r="AE80" s="2" t="s">
        <v>160</v>
      </c>
      <c r="AX80" s="2">
        <f>AX79*AX3</f>
        <v>215.39999999999998</v>
      </c>
      <c r="BA80" s="2" t="s">
        <v>160</v>
      </c>
      <c r="BB80" s="10"/>
      <c r="BC80" s="10"/>
      <c r="BD80" s="10"/>
      <c r="BE80" s="10"/>
      <c r="BF80" s="10"/>
      <c r="BG80" s="10"/>
      <c r="BH80" s="10"/>
      <c r="BI80" s="10"/>
      <c r="BJ80" s="10"/>
      <c r="CF80" s="10"/>
      <c r="CG80" s="10"/>
      <c r="CH80" s="10"/>
      <c r="CI80" s="10"/>
      <c r="CJ80" s="10"/>
      <c r="CL80" s="10" t="s">
        <v>160</v>
      </c>
      <c r="CM80" s="10"/>
    </row>
    <row r="81" spans="1:91" ht="15.75">
      <c r="A81" s="10" t="s">
        <v>346</v>
      </c>
      <c r="C81" s="2" t="s">
        <v>347</v>
      </c>
      <c r="E81" s="2">
        <v>1000</v>
      </c>
      <c r="F81" s="2" t="s">
        <v>69</v>
      </c>
      <c r="AB81" s="2">
        <v>180</v>
      </c>
      <c r="AC81" s="2">
        <v>190</v>
      </c>
      <c r="AD81" s="2">
        <f>(AC81+AB81)/2</f>
        <v>185</v>
      </c>
      <c r="AE81" s="10" t="s">
        <v>346</v>
      </c>
      <c r="AF81" s="2">
        <v>190</v>
      </c>
      <c r="AG81" s="2">
        <v>200</v>
      </c>
      <c r="AH81" s="2">
        <f>(AG81+AF81)/2</f>
        <v>195</v>
      </c>
      <c r="AI81" s="2">
        <v>200</v>
      </c>
      <c r="AJ81" s="2">
        <v>250</v>
      </c>
      <c r="AK81" s="2">
        <f>(AJ81+AI81)/2</f>
        <v>225</v>
      </c>
      <c r="AL81" s="2">
        <v>230</v>
      </c>
      <c r="AM81" s="2">
        <v>270</v>
      </c>
      <c r="AN81" s="2">
        <f>(AM81+AL81)/2</f>
        <v>250</v>
      </c>
      <c r="AO81" s="2">
        <v>300</v>
      </c>
      <c r="AP81" s="2">
        <v>380</v>
      </c>
      <c r="AQ81" s="2">
        <f>(AP81+AO81)/2</f>
        <v>340</v>
      </c>
      <c r="AR81" s="2">
        <v>350</v>
      </c>
      <c r="AS81" s="2">
        <v>500</v>
      </c>
      <c r="AT81" s="2">
        <f>(AS81+AR81)/2</f>
        <v>425</v>
      </c>
      <c r="AU81" s="2">
        <v>500</v>
      </c>
      <c r="AV81" s="2">
        <v>650</v>
      </c>
      <c r="AW81" s="2">
        <f>(AV81+AU81)/2</f>
        <v>575</v>
      </c>
      <c r="AX81" s="2">
        <v>700</v>
      </c>
      <c r="AY81" s="2">
        <v>800</v>
      </c>
      <c r="AZ81" s="2">
        <f>(AY81+AX81)/2</f>
        <v>750</v>
      </c>
      <c r="BA81" s="10" t="s">
        <v>346</v>
      </c>
      <c r="BB81" s="10"/>
      <c r="BC81" s="10"/>
      <c r="BD81" s="10"/>
      <c r="BE81" s="10"/>
      <c r="BF81" s="10"/>
      <c r="BG81" s="10"/>
      <c r="BH81" s="10"/>
      <c r="BI81" s="10"/>
      <c r="BJ81" s="10"/>
      <c r="CF81" s="10"/>
      <c r="CG81" s="10"/>
      <c r="CH81" s="10"/>
      <c r="CI81" s="10"/>
      <c r="CJ81" s="10"/>
      <c r="CL81" s="10" t="s">
        <v>346</v>
      </c>
      <c r="CM81" s="10"/>
    </row>
    <row r="82" spans="1:91" ht="15.75">
      <c r="A82" s="10"/>
      <c r="F82" s="2" t="s">
        <v>160</v>
      </c>
      <c r="AB82" s="2">
        <f aca="true" t="shared" si="20" ref="AB82:AZ82">AB81*AB3</f>
        <v>205.92</v>
      </c>
      <c r="AC82" s="2">
        <f t="shared" si="20"/>
        <v>217.35999999999999</v>
      </c>
      <c r="AD82" s="2">
        <f t="shared" si="20"/>
        <v>211.64</v>
      </c>
      <c r="AE82" s="2" t="s">
        <v>160</v>
      </c>
      <c r="AF82" s="2">
        <f t="shared" si="20"/>
        <v>218.88</v>
      </c>
      <c r="AG82" s="2">
        <f t="shared" si="20"/>
        <v>230.39999999999998</v>
      </c>
      <c r="AH82" s="2">
        <f t="shared" si="20"/>
        <v>224.64</v>
      </c>
      <c r="AI82" s="2">
        <f t="shared" si="20"/>
        <v>230.39999999999998</v>
      </c>
      <c r="AJ82" s="2">
        <f t="shared" si="20"/>
        <v>288</v>
      </c>
      <c r="AK82" s="2">
        <f t="shared" si="20"/>
        <v>259.2</v>
      </c>
      <c r="AL82" s="2">
        <f t="shared" si="20"/>
        <v>264.96</v>
      </c>
      <c r="AM82" s="2">
        <f t="shared" si="20"/>
        <v>311.03999999999996</v>
      </c>
      <c r="AN82" s="2">
        <f t="shared" si="20"/>
        <v>288</v>
      </c>
      <c r="AO82" s="2">
        <f t="shared" si="20"/>
        <v>313.08000000000004</v>
      </c>
      <c r="AP82" s="2">
        <f t="shared" si="20"/>
        <v>396.56800000000004</v>
      </c>
      <c r="AQ82" s="2">
        <f t="shared" si="20"/>
        <v>354.824</v>
      </c>
      <c r="AR82" s="2">
        <f t="shared" si="20"/>
        <v>344.75</v>
      </c>
      <c r="AS82" s="2">
        <f t="shared" si="20"/>
        <v>492.5</v>
      </c>
      <c r="AT82" s="2">
        <f t="shared" si="20"/>
        <v>418.625</v>
      </c>
      <c r="AU82" s="2">
        <f t="shared" si="20"/>
        <v>477.5</v>
      </c>
      <c r="AV82" s="2">
        <f t="shared" si="20"/>
        <v>620.75</v>
      </c>
      <c r="AW82" s="2">
        <f t="shared" si="20"/>
        <v>549.125</v>
      </c>
      <c r="AX82" s="2">
        <f t="shared" si="20"/>
        <v>502.59999999999997</v>
      </c>
      <c r="AY82" s="2">
        <f t="shared" si="20"/>
        <v>574.4</v>
      </c>
      <c r="AZ82" s="2">
        <f t="shared" si="20"/>
        <v>538.5</v>
      </c>
      <c r="BA82" s="2" t="s">
        <v>160</v>
      </c>
      <c r="BB82" s="10"/>
      <c r="BC82" s="10"/>
      <c r="BD82" s="10"/>
      <c r="BE82" s="10"/>
      <c r="BF82" s="10"/>
      <c r="BG82" s="10"/>
      <c r="BH82" s="10"/>
      <c r="BI82" s="10"/>
      <c r="BJ82" s="10"/>
      <c r="CF82" s="10"/>
      <c r="CG82" s="10"/>
      <c r="CH82" s="10"/>
      <c r="CI82" s="10"/>
      <c r="CJ82" s="10"/>
      <c r="CK82" s="17">
        <v>1661.4</v>
      </c>
      <c r="CL82" s="10" t="s">
        <v>160</v>
      </c>
      <c r="CM82" s="10"/>
    </row>
    <row r="83" spans="1:91" ht="15.75">
      <c r="A83" s="10" t="s">
        <v>348</v>
      </c>
      <c r="B83" s="2" t="s">
        <v>349</v>
      </c>
      <c r="C83" s="2" t="s">
        <v>350</v>
      </c>
      <c r="D83" s="2" t="s">
        <v>351</v>
      </c>
      <c r="E83" s="2" t="s">
        <v>125</v>
      </c>
      <c r="F83" s="2" t="s">
        <v>69</v>
      </c>
      <c r="AE83" s="10" t="s">
        <v>348</v>
      </c>
      <c r="AH83" s="2">
        <v>70</v>
      </c>
      <c r="AI83" s="2">
        <v>80</v>
      </c>
      <c r="AJ83" s="2">
        <v>120</v>
      </c>
      <c r="AK83" s="2">
        <f>(AJ83+AI83)/2</f>
        <v>100</v>
      </c>
      <c r="AO83" s="2">
        <v>120</v>
      </c>
      <c r="AP83" s="2">
        <v>150</v>
      </c>
      <c r="AQ83" s="2">
        <f>(AP83+AO83)/2</f>
        <v>135</v>
      </c>
      <c r="AR83" s="2">
        <v>150</v>
      </c>
      <c r="AS83" s="2">
        <v>170</v>
      </c>
      <c r="AT83" s="2">
        <f>(AS83+AR83)/2</f>
        <v>160</v>
      </c>
      <c r="AU83" s="2">
        <v>160</v>
      </c>
      <c r="AV83" s="2">
        <v>200</v>
      </c>
      <c r="AW83" s="2">
        <f>(AV83+AU83)/2</f>
        <v>180</v>
      </c>
      <c r="AX83" s="2">
        <v>200</v>
      </c>
      <c r="AY83" s="2">
        <v>240</v>
      </c>
      <c r="AZ83" s="2">
        <f>(AY83+AX83)/2</f>
        <v>220</v>
      </c>
      <c r="BA83" s="10" t="s">
        <v>348</v>
      </c>
      <c r="BB83" s="10"/>
      <c r="BC83" s="10"/>
      <c r="BD83" s="10"/>
      <c r="BE83" s="10"/>
      <c r="BF83" s="10"/>
      <c r="BG83" s="10"/>
      <c r="BH83" s="10"/>
      <c r="BI83" s="10"/>
      <c r="BJ83" s="10"/>
      <c r="CF83" s="10"/>
      <c r="CG83" s="10"/>
      <c r="CH83" s="10"/>
      <c r="CI83" s="10"/>
      <c r="CJ83" s="10"/>
      <c r="CL83" s="10" t="s">
        <v>348</v>
      </c>
      <c r="CM83" s="10"/>
    </row>
    <row r="84" spans="1:91" ht="15.75">
      <c r="A84" s="10"/>
      <c r="F84" s="2" t="s">
        <v>160</v>
      </c>
      <c r="AE84" s="2" t="s">
        <v>160</v>
      </c>
      <c r="AH84" s="2">
        <f>AH83*AH3</f>
        <v>80.64</v>
      </c>
      <c r="AI84" s="2">
        <f>AI83*AI3</f>
        <v>92.16</v>
      </c>
      <c r="AJ84" s="2">
        <f>AJ83*AJ3</f>
        <v>138.23999999999998</v>
      </c>
      <c r="AK84" s="2">
        <f>AK83*AK3</f>
        <v>115.19999999999999</v>
      </c>
      <c r="AO84" s="2">
        <f aca="true" t="shared" si="21" ref="AO84:AZ84">AO83*AO3</f>
        <v>125.23200000000001</v>
      </c>
      <c r="AP84" s="2">
        <f t="shared" si="21"/>
        <v>156.54000000000002</v>
      </c>
      <c r="AQ84" s="2">
        <f t="shared" si="21"/>
        <v>140.88600000000002</v>
      </c>
      <c r="AR84" s="2">
        <f t="shared" si="21"/>
        <v>147.75</v>
      </c>
      <c r="AS84" s="2">
        <f t="shared" si="21"/>
        <v>167.45</v>
      </c>
      <c r="AT84" s="2">
        <f t="shared" si="21"/>
        <v>157.6</v>
      </c>
      <c r="AU84" s="2">
        <f t="shared" si="21"/>
        <v>152.79999999999998</v>
      </c>
      <c r="AV84" s="2">
        <f t="shared" si="21"/>
        <v>191</v>
      </c>
      <c r="AW84" s="2">
        <f t="shared" si="21"/>
        <v>171.9</v>
      </c>
      <c r="AX84" s="2">
        <f t="shared" si="21"/>
        <v>143.6</v>
      </c>
      <c r="AY84" s="2">
        <f t="shared" si="21"/>
        <v>172.32</v>
      </c>
      <c r="AZ84" s="2">
        <f t="shared" si="21"/>
        <v>157.95999999999998</v>
      </c>
      <c r="BA84" s="2" t="s">
        <v>160</v>
      </c>
      <c r="BB84" s="10"/>
      <c r="BC84" s="10"/>
      <c r="BD84" s="10"/>
      <c r="BE84" s="10"/>
      <c r="BF84" s="10"/>
      <c r="BG84" s="10"/>
      <c r="BH84" s="10"/>
      <c r="BI84" s="10"/>
      <c r="BJ84" s="10"/>
      <c r="CF84" s="10"/>
      <c r="CG84" s="10"/>
      <c r="CH84" s="10"/>
      <c r="CI84" s="10"/>
      <c r="CK84" s="17">
        <v>376.7733333333333</v>
      </c>
      <c r="CL84" s="10" t="s">
        <v>160</v>
      </c>
      <c r="CM84" s="10"/>
    </row>
    <row r="85" spans="1:91" ht="15.75">
      <c r="A85" s="10"/>
      <c r="F85" s="2" t="s">
        <v>110</v>
      </c>
      <c r="BB85" s="10"/>
      <c r="BC85" s="10"/>
      <c r="BD85" s="10"/>
      <c r="BE85" s="10"/>
      <c r="BF85" s="10"/>
      <c r="BG85" s="10"/>
      <c r="BH85" s="10"/>
      <c r="BI85" s="10"/>
      <c r="BJ85" s="10"/>
      <c r="CE85" s="2" t="s">
        <v>279</v>
      </c>
      <c r="CF85" s="10"/>
      <c r="CG85" s="10"/>
      <c r="CH85" s="10"/>
      <c r="CI85" s="10"/>
      <c r="CK85" s="8">
        <f>0.18*100*CK84/386.55</f>
        <v>17.54474194800155</v>
      </c>
      <c r="CL85" s="2" t="s">
        <v>110</v>
      </c>
      <c r="CM85" s="10"/>
    </row>
    <row r="86" spans="1:91" ht="15.75">
      <c r="A86" s="10" t="s">
        <v>348</v>
      </c>
      <c r="B86" s="2" t="s">
        <v>349</v>
      </c>
      <c r="C86" s="2" t="s">
        <v>350</v>
      </c>
      <c r="D86" s="2" t="s">
        <v>353</v>
      </c>
      <c r="AE86" s="10" t="s">
        <v>348</v>
      </c>
      <c r="BA86" s="10" t="s">
        <v>348</v>
      </c>
      <c r="BB86" s="10"/>
      <c r="BC86" s="10"/>
      <c r="BD86" s="10"/>
      <c r="BE86" s="10"/>
      <c r="BF86" s="10"/>
      <c r="BG86" s="10"/>
      <c r="BH86" s="10"/>
      <c r="BI86" s="10"/>
      <c r="BJ86" s="10"/>
      <c r="BQ86" s="2">
        <v>1267</v>
      </c>
      <c r="BR86" s="2">
        <v>1665</v>
      </c>
      <c r="BS86" s="2">
        <v>1414</v>
      </c>
      <c r="BT86" s="2">
        <v>1270</v>
      </c>
      <c r="BZ86" s="2">
        <v>325</v>
      </c>
      <c r="CA86" s="2">
        <v>500</v>
      </c>
      <c r="CF86" s="10"/>
      <c r="CG86" s="10"/>
      <c r="CH86" s="10"/>
      <c r="CI86" s="10"/>
      <c r="CJ86" s="10"/>
      <c r="CL86" s="10" t="s">
        <v>348</v>
      </c>
      <c r="CM86" s="10"/>
    </row>
    <row r="87" spans="1:91" ht="15.75">
      <c r="A87" s="10"/>
      <c r="B87" s="10" t="s">
        <v>111</v>
      </c>
      <c r="F87" s="2" t="s">
        <v>160</v>
      </c>
      <c r="AE87" s="2" t="s">
        <v>160</v>
      </c>
      <c r="BA87" s="2" t="s">
        <v>160</v>
      </c>
      <c r="BB87" s="10"/>
      <c r="BC87" s="10"/>
      <c r="BD87" s="10"/>
      <c r="BE87" s="10"/>
      <c r="BF87" s="10"/>
      <c r="BG87" s="10"/>
      <c r="BH87" s="10"/>
      <c r="BI87" s="10"/>
      <c r="BJ87" s="10"/>
      <c r="BQ87" s="2">
        <f>BQ86*BQ3</f>
        <v>335.755</v>
      </c>
      <c r="BR87" s="2">
        <f>BR86*BR3</f>
        <v>441.225</v>
      </c>
      <c r="BS87" s="2">
        <f>BS86*BS3</f>
        <v>374.71000000000004</v>
      </c>
      <c r="BT87" s="2">
        <f>BT86*BT3</f>
        <v>349.631</v>
      </c>
      <c r="BZ87" s="2">
        <f>BZ86*BZ3</f>
        <v>308.945</v>
      </c>
      <c r="CA87" s="2">
        <f>CA86*CA3</f>
        <v>475.3</v>
      </c>
      <c r="CF87" s="10"/>
      <c r="CG87" s="10"/>
      <c r="CH87" s="10"/>
      <c r="CI87" s="10"/>
      <c r="CL87" s="10" t="s">
        <v>160</v>
      </c>
      <c r="CM87" s="10"/>
    </row>
    <row r="88" spans="1:91" ht="15.75">
      <c r="A88" s="10"/>
      <c r="F88" s="2" t="s">
        <v>110</v>
      </c>
      <c r="BA88" s="2" t="s">
        <v>110</v>
      </c>
      <c r="BB88" s="10"/>
      <c r="BC88" s="10"/>
      <c r="BD88" s="10"/>
      <c r="BE88" s="10"/>
      <c r="BF88" s="10"/>
      <c r="BG88" s="10"/>
      <c r="BH88" s="10"/>
      <c r="BI88" s="10"/>
      <c r="BJ88" s="10"/>
      <c r="BQ88" s="7">
        <f>0.18*100*BQ87/286.65</f>
        <v>21.083516483516487</v>
      </c>
      <c r="BR88" s="7">
        <f>0.18*100*BR87/286.65</f>
        <v>27.706436420722138</v>
      </c>
      <c r="BS88" s="8">
        <f>0.18*100*BS87/286.65</f>
        <v>23.529670329670335</v>
      </c>
      <c r="BT88" s="7">
        <f>0.18*100*BT87/286.65</f>
        <v>21.95485086342229</v>
      </c>
      <c r="BZ88" s="7">
        <f>0.18*100*BZ87/286.65</f>
        <v>19.400000000000002</v>
      </c>
      <c r="CA88" s="7">
        <f>0.18*100*CA87/286.65</f>
        <v>29.846153846153847</v>
      </c>
      <c r="CF88" s="10"/>
      <c r="CG88" s="10"/>
      <c r="CH88" s="10"/>
      <c r="CI88" s="10"/>
      <c r="CL88" s="2" t="s">
        <v>110</v>
      </c>
      <c r="CM88" s="10"/>
    </row>
    <row r="89" spans="1:91" ht="15.75">
      <c r="A89" s="10"/>
      <c r="BB89" s="10"/>
      <c r="BC89" s="10"/>
      <c r="BD89" s="10"/>
      <c r="BE89" s="10"/>
      <c r="BF89" s="10"/>
      <c r="BG89" s="10"/>
      <c r="BH89" s="10"/>
      <c r="BI89" s="10"/>
      <c r="BJ89" s="10"/>
      <c r="CF89" s="10"/>
      <c r="CG89" s="10"/>
      <c r="CH89" s="10"/>
      <c r="CI89" s="10"/>
      <c r="CL89" s="10"/>
      <c r="CM89" s="10"/>
    </row>
    <row r="90" spans="1:91" ht="15.75">
      <c r="A90" s="10" t="s">
        <v>354</v>
      </c>
      <c r="C90" s="2" t="s">
        <v>355</v>
      </c>
      <c r="D90" s="2" t="s">
        <v>67</v>
      </c>
      <c r="E90" s="2" t="s">
        <v>68</v>
      </c>
      <c r="F90" s="2" t="s">
        <v>69</v>
      </c>
      <c r="AE90" s="10" t="s">
        <v>354</v>
      </c>
      <c r="AH90" s="2">
        <v>23</v>
      </c>
      <c r="AU90" s="2">
        <v>25</v>
      </c>
      <c r="AV90" s="2">
        <v>30</v>
      </c>
      <c r="AW90" s="2">
        <f>(AV90+AU90)/2</f>
        <v>27.5</v>
      </c>
      <c r="AX90" s="2">
        <v>35</v>
      </c>
      <c r="AY90" s="2">
        <v>40</v>
      </c>
      <c r="AZ90" s="2">
        <f>(AY90+AX90)/2</f>
        <v>37.5</v>
      </c>
      <c r="BA90" s="10" t="s">
        <v>354</v>
      </c>
      <c r="BB90" s="10"/>
      <c r="BC90" s="10"/>
      <c r="BD90" s="10"/>
      <c r="BE90" s="10"/>
      <c r="BF90" s="10"/>
      <c r="BG90" s="10"/>
      <c r="BH90" s="10"/>
      <c r="BI90" s="10"/>
      <c r="BJ90" s="10"/>
      <c r="CF90" s="10"/>
      <c r="CG90" s="10"/>
      <c r="CH90" s="10"/>
      <c r="CI90" s="10"/>
      <c r="CJ90" s="10"/>
      <c r="CL90" s="10" t="s">
        <v>354</v>
      </c>
      <c r="CM90" s="10"/>
    </row>
    <row r="91" spans="1:91" ht="15.75">
      <c r="A91" s="10"/>
      <c r="F91" s="2" t="s">
        <v>160</v>
      </c>
      <c r="AE91" s="2" t="s">
        <v>160</v>
      </c>
      <c r="AH91" s="2">
        <f>AH90*AH3</f>
        <v>26.496</v>
      </c>
      <c r="AU91" s="2">
        <f aca="true" t="shared" si="22" ref="AU91:AZ91">AU90*AU3</f>
        <v>23.875</v>
      </c>
      <c r="AV91" s="2">
        <f t="shared" si="22"/>
        <v>28.65</v>
      </c>
      <c r="AW91" s="2">
        <f t="shared" si="22"/>
        <v>26.2625</v>
      </c>
      <c r="AX91" s="2">
        <f t="shared" si="22"/>
        <v>25.13</v>
      </c>
      <c r="AY91" s="2">
        <f t="shared" si="22"/>
        <v>28.72</v>
      </c>
      <c r="AZ91" s="2">
        <f t="shared" si="22"/>
        <v>26.924999999999997</v>
      </c>
      <c r="BA91" s="2" t="s">
        <v>160</v>
      </c>
      <c r="BB91" s="10"/>
      <c r="BC91" s="10"/>
      <c r="BD91" s="10"/>
      <c r="BE91" s="10"/>
      <c r="BF91" s="10"/>
      <c r="BG91" s="10"/>
      <c r="BH91" s="10"/>
      <c r="BI91" s="10"/>
      <c r="BJ91" s="10"/>
      <c r="CF91" s="10"/>
      <c r="CG91" s="10"/>
      <c r="CH91" s="10"/>
      <c r="CI91" s="10"/>
      <c r="CL91" s="10" t="s">
        <v>160</v>
      </c>
      <c r="CM91" s="10"/>
    </row>
    <row r="92" spans="1:91" ht="15.75">
      <c r="A92" s="10" t="s">
        <v>356</v>
      </c>
      <c r="C92" s="2" t="s">
        <v>357</v>
      </c>
      <c r="D92" s="2" t="s">
        <v>358</v>
      </c>
      <c r="E92" s="2" t="s">
        <v>359</v>
      </c>
      <c r="F92" s="2" t="s">
        <v>69</v>
      </c>
      <c r="AE92" s="10" t="s">
        <v>356</v>
      </c>
      <c r="BA92" s="10" t="s">
        <v>356</v>
      </c>
      <c r="BB92" s="10"/>
      <c r="BC92" s="10"/>
      <c r="BD92" s="10"/>
      <c r="BE92" s="10"/>
      <c r="BF92" s="10"/>
      <c r="BG92" s="10"/>
      <c r="BH92" s="10"/>
      <c r="BI92" s="10"/>
      <c r="BJ92" s="10"/>
      <c r="CF92" s="10"/>
      <c r="CG92" s="10"/>
      <c r="CH92" s="10"/>
      <c r="CI92" s="10"/>
      <c r="CJ92" s="10"/>
      <c r="CL92" s="10" t="s">
        <v>356</v>
      </c>
      <c r="CM92" s="10"/>
    </row>
    <row r="93" spans="1:91" ht="15.75">
      <c r="A93" s="10"/>
      <c r="F93" s="2" t="s">
        <v>160</v>
      </c>
      <c r="AE93" s="2" t="s">
        <v>160</v>
      </c>
      <c r="BA93" s="2" t="s">
        <v>160</v>
      </c>
      <c r="BB93" s="10"/>
      <c r="BC93" s="10"/>
      <c r="BD93" s="10"/>
      <c r="BE93" s="10"/>
      <c r="BF93" s="10"/>
      <c r="BG93" s="10"/>
      <c r="BH93" s="10"/>
      <c r="BI93" s="10"/>
      <c r="BJ93" s="10"/>
      <c r="CF93" s="10"/>
      <c r="CG93" s="10"/>
      <c r="CH93" s="10"/>
      <c r="CI93" s="10"/>
      <c r="CK93" s="17">
        <v>6071</v>
      </c>
      <c r="CL93" s="10" t="s">
        <v>160</v>
      </c>
      <c r="CM93" s="10"/>
    </row>
    <row r="94" spans="1:91" ht="15.75">
      <c r="A94" s="10" t="s">
        <v>356</v>
      </c>
      <c r="C94" s="2" t="s">
        <v>357</v>
      </c>
      <c r="D94" s="2" t="s">
        <v>353</v>
      </c>
      <c r="F94" s="2" t="s">
        <v>69</v>
      </c>
      <c r="AE94" s="10" t="s">
        <v>356</v>
      </c>
      <c r="BA94" s="10" t="s">
        <v>356</v>
      </c>
      <c r="BB94" s="10"/>
      <c r="BC94" s="10"/>
      <c r="BD94" s="10"/>
      <c r="BE94" s="10"/>
      <c r="BF94" s="10"/>
      <c r="BG94" s="10"/>
      <c r="BH94" s="10"/>
      <c r="BI94" s="10"/>
      <c r="BJ94" s="10"/>
      <c r="CF94" s="10"/>
      <c r="CG94" s="10"/>
      <c r="CH94" s="10"/>
      <c r="CI94" s="10"/>
      <c r="CJ94" s="10"/>
      <c r="CL94" s="10" t="s">
        <v>356</v>
      </c>
      <c r="CM94" s="10"/>
    </row>
    <row r="95" spans="1:91" ht="15.75">
      <c r="A95" s="10"/>
      <c r="B95" s="10" t="s">
        <v>114</v>
      </c>
      <c r="F95" s="2" t="s">
        <v>160</v>
      </c>
      <c r="AE95" s="2" t="s">
        <v>160</v>
      </c>
      <c r="BA95" s="2" t="s">
        <v>160</v>
      </c>
      <c r="BB95" s="10"/>
      <c r="BC95" s="10"/>
      <c r="BD95" s="10"/>
      <c r="BE95" s="10"/>
      <c r="BF95" s="10"/>
      <c r="BG95" s="10"/>
      <c r="BH95" s="10"/>
      <c r="BI95" s="10"/>
      <c r="BJ95" s="10"/>
      <c r="CF95" s="10"/>
      <c r="CG95" s="10"/>
      <c r="CH95" s="10"/>
      <c r="CI95" s="10"/>
      <c r="CL95" s="2" t="s">
        <v>160</v>
      </c>
      <c r="CM95" s="10"/>
    </row>
    <row r="96" spans="1:91" ht="15.75">
      <c r="A96" s="10"/>
      <c r="CI96" s="10"/>
      <c r="CM96" s="10"/>
    </row>
    <row r="97" spans="1:91" s="5" customFormat="1" ht="15.75">
      <c r="A97" s="11"/>
      <c r="G97" s="11" t="s">
        <v>317</v>
      </c>
      <c r="H97" s="11" t="s">
        <v>317</v>
      </c>
      <c r="I97" s="11" t="s">
        <v>317</v>
      </c>
      <c r="J97" s="11" t="s">
        <v>181</v>
      </c>
      <c r="K97" s="11" t="s">
        <v>181</v>
      </c>
      <c r="L97" s="11" t="s">
        <v>181</v>
      </c>
      <c r="M97" s="11" t="s">
        <v>259</v>
      </c>
      <c r="N97" s="11" t="s">
        <v>259</v>
      </c>
      <c r="O97" s="11" t="s">
        <v>259</v>
      </c>
      <c r="P97" s="11" t="s">
        <v>182</v>
      </c>
      <c r="Q97" s="11" t="s">
        <v>182</v>
      </c>
      <c r="R97" s="11" t="s">
        <v>182</v>
      </c>
      <c r="S97" s="11" t="s">
        <v>183</v>
      </c>
      <c r="T97" s="11" t="s">
        <v>183</v>
      </c>
      <c r="U97" s="11" t="s">
        <v>183</v>
      </c>
      <c r="V97" s="11" t="s">
        <v>184</v>
      </c>
      <c r="W97" s="11" t="s">
        <v>184</v>
      </c>
      <c r="X97" s="11" t="s">
        <v>184</v>
      </c>
      <c r="Y97" s="11" t="s">
        <v>185</v>
      </c>
      <c r="Z97" s="11" t="s">
        <v>185</v>
      </c>
      <c r="AA97" s="11" t="s">
        <v>185</v>
      </c>
      <c r="AB97" s="11" t="s">
        <v>186</v>
      </c>
      <c r="AC97" s="11" t="s">
        <v>186</v>
      </c>
      <c r="AD97" s="11" t="s">
        <v>186</v>
      </c>
      <c r="AE97" s="11"/>
      <c r="AF97" s="11" t="s">
        <v>196</v>
      </c>
      <c r="AG97" s="11" t="s">
        <v>196</v>
      </c>
      <c r="AH97" s="11" t="s">
        <v>196</v>
      </c>
      <c r="AI97" s="11" t="s">
        <v>197</v>
      </c>
      <c r="AJ97" s="11" t="s">
        <v>197</v>
      </c>
      <c r="AK97" s="11" t="s">
        <v>197</v>
      </c>
      <c r="AL97" s="11" t="s">
        <v>198</v>
      </c>
      <c r="AM97" s="11" t="s">
        <v>198</v>
      </c>
      <c r="AN97" s="11" t="s">
        <v>198</v>
      </c>
      <c r="AO97" s="11" t="s">
        <v>199</v>
      </c>
      <c r="AP97" s="11" t="s">
        <v>199</v>
      </c>
      <c r="AQ97" s="11" t="s">
        <v>199</v>
      </c>
      <c r="AR97" s="11" t="s">
        <v>200</v>
      </c>
      <c r="AS97" s="11" t="s">
        <v>200</v>
      </c>
      <c r="AT97" s="11" t="s">
        <v>200</v>
      </c>
      <c r="AU97" s="11" t="s">
        <v>201</v>
      </c>
      <c r="AV97" s="11" t="s">
        <v>201</v>
      </c>
      <c r="AW97" s="11" t="s">
        <v>201</v>
      </c>
      <c r="AX97" s="11" t="s">
        <v>266</v>
      </c>
      <c r="AY97" s="11" t="s">
        <v>266</v>
      </c>
      <c r="AZ97" s="11" t="s">
        <v>266</v>
      </c>
      <c r="BA97" s="11"/>
      <c r="BB97" s="11" t="s">
        <v>261</v>
      </c>
      <c r="BC97" s="11" t="s">
        <v>261</v>
      </c>
      <c r="BD97" s="11" t="s">
        <v>261</v>
      </c>
      <c r="BE97" s="11" t="s">
        <v>390</v>
      </c>
      <c r="BF97" s="11" t="s">
        <v>390</v>
      </c>
      <c r="BG97" s="11" t="s">
        <v>390</v>
      </c>
      <c r="BH97" s="11" t="s">
        <v>391</v>
      </c>
      <c r="BI97" s="11" t="s">
        <v>391</v>
      </c>
      <c r="BJ97" s="11" t="s">
        <v>391</v>
      </c>
      <c r="BK97" s="11" t="s">
        <v>267</v>
      </c>
      <c r="BL97" s="11" t="s">
        <v>267</v>
      </c>
      <c r="BM97" s="11" t="s">
        <v>267</v>
      </c>
      <c r="BN97" s="11" t="s">
        <v>268</v>
      </c>
      <c r="BO97" s="11" t="s">
        <v>268</v>
      </c>
      <c r="BP97" s="11" t="s">
        <v>268</v>
      </c>
      <c r="BQ97" s="11" t="s">
        <v>269</v>
      </c>
      <c r="BR97" s="11" t="s">
        <v>269</v>
      </c>
      <c r="BS97" s="11" t="s">
        <v>269</v>
      </c>
      <c r="BT97" s="11" t="s">
        <v>270</v>
      </c>
      <c r="BU97" s="11" t="s">
        <v>270</v>
      </c>
      <c r="BV97" s="11" t="s">
        <v>270</v>
      </c>
      <c r="BW97" s="11" t="s">
        <v>271</v>
      </c>
      <c r="BX97" s="11" t="s">
        <v>271</v>
      </c>
      <c r="BY97" s="11" t="s">
        <v>271</v>
      </c>
      <c r="BZ97" s="11" t="s">
        <v>272</v>
      </c>
      <c r="CA97" s="11" t="s">
        <v>272</v>
      </c>
      <c r="CB97" s="11" t="s">
        <v>272</v>
      </c>
      <c r="CC97" s="11" t="s">
        <v>273</v>
      </c>
      <c r="CD97" s="11" t="s">
        <v>273</v>
      </c>
      <c r="CE97" s="11" t="s">
        <v>273</v>
      </c>
      <c r="CF97" s="11" t="s">
        <v>274</v>
      </c>
      <c r="CG97" s="11" t="s">
        <v>274</v>
      </c>
      <c r="CH97" s="11" t="s">
        <v>274</v>
      </c>
      <c r="CI97" s="11">
        <v>1870</v>
      </c>
      <c r="CJ97" s="11">
        <v>1870</v>
      </c>
      <c r="CK97" s="11">
        <v>1870</v>
      </c>
      <c r="CM97" s="11"/>
    </row>
    <row r="98" spans="1:91" ht="15.75">
      <c r="A98" s="10" t="s">
        <v>361</v>
      </c>
      <c r="C98" s="2" t="s">
        <v>362</v>
      </c>
      <c r="D98" s="2" t="s">
        <v>385</v>
      </c>
      <c r="E98" s="2" t="s">
        <v>191</v>
      </c>
      <c r="F98" s="2" t="s">
        <v>69</v>
      </c>
      <c r="G98" s="2">
        <v>2</v>
      </c>
      <c r="H98" s="2">
        <v>6</v>
      </c>
      <c r="I98" s="2">
        <v>4.3</v>
      </c>
      <c r="J98" s="2">
        <v>3</v>
      </c>
      <c r="K98" s="2">
        <v>11.5</v>
      </c>
      <c r="L98" s="2">
        <v>7.25</v>
      </c>
      <c r="M98" s="2">
        <v>28</v>
      </c>
      <c r="N98" s="2">
        <v>29</v>
      </c>
      <c r="O98" s="2">
        <v>28.5</v>
      </c>
      <c r="U98" s="2">
        <v>70</v>
      </c>
      <c r="Y98" s="2">
        <v>140</v>
      </c>
      <c r="Z98" s="2">
        <v>250</v>
      </c>
      <c r="AA98" s="2">
        <v>176</v>
      </c>
      <c r="AB98" s="2">
        <v>104</v>
      </c>
      <c r="AC98" s="2">
        <v>284</v>
      </c>
      <c r="AD98" s="2">
        <v>212</v>
      </c>
      <c r="AE98" s="10" t="s">
        <v>361</v>
      </c>
      <c r="AF98" s="2">
        <v>107</v>
      </c>
      <c r="AG98" s="2">
        <v>240</v>
      </c>
      <c r="AH98" s="2">
        <v>180</v>
      </c>
      <c r="AI98" s="2">
        <v>150</v>
      </c>
      <c r="AJ98" s="2">
        <v>216</v>
      </c>
      <c r="AK98" s="2">
        <v>185</v>
      </c>
      <c r="AL98" s="2">
        <v>144</v>
      </c>
      <c r="AM98" s="2">
        <v>192</v>
      </c>
      <c r="AN98" s="2">
        <v>165</v>
      </c>
      <c r="AO98" s="2">
        <v>170</v>
      </c>
      <c r="AP98" s="2">
        <v>390</v>
      </c>
      <c r="AQ98" s="2">
        <v>278</v>
      </c>
      <c r="AR98" s="2">
        <v>230</v>
      </c>
      <c r="AS98" s="2">
        <v>340</v>
      </c>
      <c r="AT98" s="2">
        <v>295</v>
      </c>
      <c r="AU98" s="2">
        <v>363</v>
      </c>
      <c r="AV98" s="2">
        <v>760</v>
      </c>
      <c r="AW98" s="2">
        <v>470</v>
      </c>
      <c r="AX98" s="2">
        <v>220</v>
      </c>
      <c r="AY98" s="2">
        <v>726</v>
      </c>
      <c r="AZ98" s="2">
        <v>672</v>
      </c>
      <c r="BA98" s="10" t="s">
        <v>361</v>
      </c>
      <c r="BB98" s="2">
        <v>500</v>
      </c>
      <c r="BC98" s="2">
        <v>760</v>
      </c>
      <c r="BD98" s="2">
        <v>630</v>
      </c>
      <c r="BE98" s="2">
        <f aca="true" t="shared" si="23" ref="BE98:CA98">BE100*8.7/BE3</f>
        <v>1645.9459459459458</v>
      </c>
      <c r="BF98" s="2">
        <f t="shared" si="23"/>
        <v>3123.9382239382235</v>
      </c>
      <c r="BG98" s="2">
        <f t="shared" si="23"/>
        <v>2102.779922779923</v>
      </c>
      <c r="BH98" s="2">
        <f t="shared" si="23"/>
        <v>645.6204379562043</v>
      </c>
      <c r="BI98" s="2">
        <f t="shared" si="23"/>
        <v>846.7153284671533</v>
      </c>
      <c r="BJ98" s="2">
        <f t="shared" si="23"/>
        <v>758.8686131386861</v>
      </c>
      <c r="BK98" s="2">
        <f t="shared" si="23"/>
        <v>791.2944615884358</v>
      </c>
      <c r="BL98" s="2">
        <f t="shared" si="23"/>
        <v>1215.202208867955</v>
      </c>
      <c r="BM98" s="2">
        <f t="shared" si="23"/>
        <v>959.4445346759785</v>
      </c>
      <c r="BN98" s="2">
        <f t="shared" si="23"/>
        <v>1419.828641370869</v>
      </c>
      <c r="BO98" s="2">
        <f t="shared" si="23"/>
        <v>3301.10159118727</v>
      </c>
      <c r="BP98" s="2">
        <f t="shared" si="23"/>
        <v>2030.3549571603426</v>
      </c>
      <c r="BQ98" s="2">
        <f t="shared" si="23"/>
        <v>1149.0566037735848</v>
      </c>
      <c r="BR98" s="2">
        <f t="shared" si="23"/>
        <v>2101.132075471698</v>
      </c>
      <c r="BS98" s="2">
        <f t="shared" si="23"/>
        <v>1444.5283018867922</v>
      </c>
      <c r="BT98" s="2">
        <f t="shared" si="23"/>
        <v>1422.0849981837994</v>
      </c>
      <c r="BU98" s="2">
        <f t="shared" si="23"/>
        <v>2749.364329822012</v>
      </c>
      <c r="BV98" s="2">
        <f t="shared" si="23"/>
        <v>1927.7152197602613</v>
      </c>
      <c r="BW98" s="2">
        <f t="shared" si="23"/>
        <v>354.8123980424144</v>
      </c>
      <c r="BX98" s="2">
        <f t="shared" si="23"/>
        <v>665.273246329527</v>
      </c>
      <c r="BY98" s="2">
        <f t="shared" si="23"/>
        <v>523.3482871125611</v>
      </c>
      <c r="BZ98" s="2">
        <f t="shared" si="23"/>
        <v>411.8451504313065</v>
      </c>
      <c r="CA98" s="2">
        <f t="shared" si="23"/>
        <v>777.9297285924678</v>
      </c>
      <c r="CB98" s="2">
        <f>CB100*8.7/CB3</f>
        <v>631.4958973280034</v>
      </c>
      <c r="CC98" s="2">
        <v>443.7</v>
      </c>
      <c r="CD98" s="2">
        <v>696</v>
      </c>
      <c r="CE98" s="2">
        <v>579.42</v>
      </c>
      <c r="CF98" s="2">
        <v>626.4</v>
      </c>
      <c r="CG98" s="2">
        <v>1200.6</v>
      </c>
      <c r="CH98" s="2">
        <v>1084.89</v>
      </c>
      <c r="CL98" s="10" t="s">
        <v>254</v>
      </c>
      <c r="CM98" s="10"/>
    </row>
    <row r="99" spans="1:91" ht="15.75">
      <c r="A99" s="10"/>
      <c r="D99" s="2" t="s">
        <v>385</v>
      </c>
      <c r="E99" s="2" t="s">
        <v>191</v>
      </c>
      <c r="F99" s="2" t="s">
        <v>160</v>
      </c>
      <c r="G99" s="2">
        <f aca="true" t="shared" si="24" ref="G99:N99">G98*G3</f>
        <v>8.638</v>
      </c>
      <c r="H99" s="2">
        <f t="shared" si="24"/>
        <v>25.914</v>
      </c>
      <c r="I99" s="2">
        <f t="shared" si="24"/>
        <v>18.5717</v>
      </c>
      <c r="J99" s="2">
        <f t="shared" si="24"/>
        <v>11.256</v>
      </c>
      <c r="K99" s="2">
        <f t="shared" si="24"/>
        <v>43.147999999999996</v>
      </c>
      <c r="L99" s="2">
        <f t="shared" si="24"/>
        <v>27.201999999999998</v>
      </c>
      <c r="M99" s="2">
        <f t="shared" si="24"/>
        <v>105.056</v>
      </c>
      <c r="N99" s="2">
        <f t="shared" si="24"/>
        <v>108.80799999999999</v>
      </c>
      <c r="O99" s="2">
        <f>O98*O3</f>
        <v>106.93199999999999</v>
      </c>
      <c r="U99" s="2">
        <f aca="true" t="shared" si="25" ref="U99:AZ99">U98*U3</f>
        <v>168.84</v>
      </c>
      <c r="Y99" s="2">
        <f t="shared" si="25"/>
        <v>160.16</v>
      </c>
      <c r="Z99" s="2">
        <f t="shared" si="25"/>
        <v>286</v>
      </c>
      <c r="AA99" s="2">
        <f t="shared" si="25"/>
        <v>201.344</v>
      </c>
      <c r="AB99" s="2">
        <f t="shared" si="25"/>
        <v>118.97599999999998</v>
      </c>
      <c r="AC99" s="2">
        <f t="shared" si="25"/>
        <v>324.89599999999996</v>
      </c>
      <c r="AD99" s="2">
        <f t="shared" si="25"/>
        <v>242.528</v>
      </c>
      <c r="AE99" s="2" t="s">
        <v>160</v>
      </c>
      <c r="AF99" s="2">
        <f t="shared" si="25"/>
        <v>123.264</v>
      </c>
      <c r="AG99" s="2">
        <f t="shared" si="25"/>
        <v>276.47999999999996</v>
      </c>
      <c r="AH99" s="2">
        <f t="shared" si="25"/>
        <v>207.35999999999999</v>
      </c>
      <c r="AI99" s="2">
        <f t="shared" si="25"/>
        <v>172.79999999999998</v>
      </c>
      <c r="AJ99" s="2">
        <f t="shared" si="25"/>
        <v>248.832</v>
      </c>
      <c r="AK99" s="2">
        <f t="shared" si="25"/>
        <v>213.11999999999998</v>
      </c>
      <c r="AL99" s="2">
        <f t="shared" si="25"/>
        <v>165.88799999999998</v>
      </c>
      <c r="AM99" s="2">
        <f t="shared" si="25"/>
        <v>221.18399999999997</v>
      </c>
      <c r="AN99" s="2">
        <f t="shared" si="25"/>
        <v>190.07999999999998</v>
      </c>
      <c r="AO99" s="2">
        <f t="shared" si="25"/>
        <v>177.412</v>
      </c>
      <c r="AP99" s="2">
        <f t="shared" si="25"/>
        <v>407.004</v>
      </c>
      <c r="AQ99" s="2">
        <f t="shared" si="25"/>
        <v>290.12080000000003</v>
      </c>
      <c r="AR99" s="2">
        <f t="shared" si="25"/>
        <v>226.54999999999998</v>
      </c>
      <c r="AS99" s="2">
        <f t="shared" si="25"/>
        <v>334.9</v>
      </c>
      <c r="AT99" s="2">
        <f t="shared" si="25"/>
        <v>290.575</v>
      </c>
      <c r="AU99" s="2">
        <f t="shared" si="25"/>
        <v>346.66499999999996</v>
      </c>
      <c r="AV99" s="2">
        <f t="shared" si="25"/>
        <v>725.8</v>
      </c>
      <c r="AW99" s="2">
        <f t="shared" si="25"/>
        <v>448.84999999999997</v>
      </c>
      <c r="AX99" s="2">
        <f t="shared" si="25"/>
        <v>157.95999999999998</v>
      </c>
      <c r="AY99" s="2">
        <f t="shared" si="25"/>
        <v>521.268</v>
      </c>
      <c r="AZ99" s="2">
        <f t="shared" si="25"/>
        <v>482.496</v>
      </c>
      <c r="BA99" s="2" t="s">
        <v>160</v>
      </c>
      <c r="BB99" s="2">
        <f aca="true" t="shared" si="26" ref="BB99:CH99">BB98*BB3</f>
        <v>423</v>
      </c>
      <c r="BC99" s="2">
        <f t="shared" si="26"/>
        <v>642.96</v>
      </c>
      <c r="BD99" s="2">
        <f t="shared" si="26"/>
        <v>532.98</v>
      </c>
      <c r="BE99" s="2">
        <f t="shared" si="26"/>
        <v>426.29999999999995</v>
      </c>
      <c r="BF99" s="2">
        <f t="shared" si="26"/>
        <v>809.0999999999999</v>
      </c>
      <c r="BG99" s="2">
        <f t="shared" si="26"/>
        <v>544.62</v>
      </c>
      <c r="BH99" s="2">
        <f t="shared" si="26"/>
        <v>530.6999999999999</v>
      </c>
      <c r="BI99" s="2">
        <f t="shared" si="26"/>
        <v>696</v>
      </c>
      <c r="BJ99" s="2">
        <f t="shared" si="26"/>
        <v>623.79</v>
      </c>
      <c r="BK99" s="2">
        <f t="shared" si="26"/>
        <v>487.19999999999993</v>
      </c>
      <c r="BL99" s="2">
        <f t="shared" si="26"/>
        <v>748.1999999999999</v>
      </c>
      <c r="BM99" s="2">
        <f t="shared" si="26"/>
        <v>590.73</v>
      </c>
      <c r="BN99" s="2">
        <f t="shared" si="26"/>
        <v>348</v>
      </c>
      <c r="BO99" s="2">
        <f t="shared" si="26"/>
        <v>809.0999999999999</v>
      </c>
      <c r="BP99" s="2">
        <f t="shared" si="26"/>
        <v>497.64</v>
      </c>
      <c r="BQ99" s="2">
        <f t="shared" si="26"/>
        <v>304.5</v>
      </c>
      <c r="BR99" s="2">
        <f t="shared" si="26"/>
        <v>556.8</v>
      </c>
      <c r="BS99" s="2">
        <f t="shared" si="26"/>
        <v>382.79999999999995</v>
      </c>
      <c r="BT99" s="2">
        <f t="shared" si="26"/>
        <v>391.49999999999994</v>
      </c>
      <c r="BU99" s="2">
        <f t="shared" si="26"/>
        <v>756.9</v>
      </c>
      <c r="BV99" s="2">
        <f t="shared" si="26"/>
        <v>530.6999999999999</v>
      </c>
      <c r="BW99" s="2">
        <f t="shared" si="26"/>
        <v>348</v>
      </c>
      <c r="BX99" s="2">
        <f t="shared" si="26"/>
        <v>652.5</v>
      </c>
      <c r="BY99" s="2">
        <f t="shared" si="26"/>
        <v>513.3</v>
      </c>
      <c r="BZ99" s="2">
        <f t="shared" si="26"/>
        <v>391.49999999999994</v>
      </c>
      <c r="CA99" s="2">
        <f t="shared" si="26"/>
        <v>739.4999999999999</v>
      </c>
      <c r="CB99" s="2">
        <f t="shared" si="26"/>
        <v>600.3</v>
      </c>
      <c r="CC99" s="2">
        <f t="shared" si="26"/>
        <v>368.18226</v>
      </c>
      <c r="CD99" s="2">
        <f t="shared" si="26"/>
        <v>577.5408</v>
      </c>
      <c r="CE99" s="2">
        <f t="shared" si="26"/>
        <v>480.802716</v>
      </c>
      <c r="CF99" s="2">
        <f t="shared" si="26"/>
        <v>480.69935999999996</v>
      </c>
      <c r="CG99" s="2">
        <f t="shared" si="26"/>
        <v>921.34044</v>
      </c>
      <c r="CH99" s="2">
        <f t="shared" si="26"/>
        <v>832.5445860000001</v>
      </c>
      <c r="CI99" s="10"/>
      <c r="CL99" s="2" t="s">
        <v>160</v>
      </c>
      <c r="CM99" s="10"/>
    </row>
    <row r="100" spans="1:91" ht="15.75">
      <c r="A100" s="10"/>
      <c r="D100" s="2" t="s">
        <v>67</v>
      </c>
      <c r="E100" s="2" t="s">
        <v>68</v>
      </c>
      <c r="F100" s="2" t="s">
        <v>160</v>
      </c>
      <c r="U100" s="2">
        <f>U99/8.7</f>
        <v>19.40689655172414</v>
      </c>
      <c r="Y100" s="2">
        <f aca="true" t="shared" si="27" ref="Y100:AD100">Y99/8.7</f>
        <v>18.409195402298852</v>
      </c>
      <c r="Z100" s="2">
        <f t="shared" si="27"/>
        <v>32.87356321839081</v>
      </c>
      <c r="AA100" s="2">
        <f t="shared" si="27"/>
        <v>23.142988505747127</v>
      </c>
      <c r="AB100" s="2">
        <f t="shared" si="27"/>
        <v>13.675402298850575</v>
      </c>
      <c r="AC100" s="2">
        <f t="shared" si="27"/>
        <v>37.34436781609195</v>
      </c>
      <c r="AD100" s="2">
        <f t="shared" si="27"/>
        <v>27.876781609195405</v>
      </c>
      <c r="AE100" s="2" t="s">
        <v>360</v>
      </c>
      <c r="AF100" s="2">
        <f aca="true" t="shared" si="28" ref="AF100:AZ100">AF99/8.7</f>
        <v>14.168275862068967</v>
      </c>
      <c r="AG100" s="2">
        <f t="shared" si="28"/>
        <v>31.779310344827586</v>
      </c>
      <c r="AH100" s="2">
        <f t="shared" si="28"/>
        <v>23.83448275862069</v>
      </c>
      <c r="AI100" s="2">
        <f t="shared" si="28"/>
        <v>19.862068965517242</v>
      </c>
      <c r="AJ100" s="2">
        <f t="shared" si="28"/>
        <v>28.60137931034483</v>
      </c>
      <c r="AK100" s="2">
        <f t="shared" si="28"/>
        <v>24.49655172413793</v>
      </c>
      <c r="AL100" s="2">
        <f t="shared" si="28"/>
        <v>19.06758620689655</v>
      </c>
      <c r="AM100" s="2">
        <f t="shared" si="28"/>
        <v>25.423448275862068</v>
      </c>
      <c r="AN100" s="2">
        <f t="shared" si="28"/>
        <v>21.848275862068967</v>
      </c>
      <c r="AO100" s="2">
        <f t="shared" si="28"/>
        <v>20.39218390804598</v>
      </c>
      <c r="AP100" s="2">
        <f t="shared" si="28"/>
        <v>46.78206896551725</v>
      </c>
      <c r="AQ100" s="2">
        <f t="shared" si="28"/>
        <v>33.347218390804606</v>
      </c>
      <c r="AR100" s="2">
        <f t="shared" si="28"/>
        <v>26.04022988505747</v>
      </c>
      <c r="AS100" s="2">
        <f t="shared" si="28"/>
        <v>38.49425287356322</v>
      </c>
      <c r="AT100" s="2">
        <f t="shared" si="28"/>
        <v>33.39942528735632</v>
      </c>
      <c r="AU100" s="2">
        <f t="shared" si="28"/>
        <v>39.84655172413793</v>
      </c>
      <c r="AV100" s="2">
        <f t="shared" si="28"/>
        <v>83.42528735632185</v>
      </c>
      <c r="AW100" s="2">
        <f t="shared" si="28"/>
        <v>51.5919540229885</v>
      </c>
      <c r="AX100" s="2">
        <f t="shared" si="28"/>
        <v>18.15632183908046</v>
      </c>
      <c r="AY100" s="2">
        <f t="shared" si="28"/>
        <v>59.915862068965524</v>
      </c>
      <c r="AZ100" s="2">
        <f t="shared" si="28"/>
        <v>55.459310344827585</v>
      </c>
      <c r="BA100" s="2" t="s">
        <v>360</v>
      </c>
      <c r="BB100" s="2">
        <f>BB99/8.7</f>
        <v>48.62068965517242</v>
      </c>
      <c r="BC100" s="2">
        <f>BC99/8.7</f>
        <v>73.90344827586208</v>
      </c>
      <c r="BD100" s="2">
        <f>BD99/8.7</f>
        <v>61.26206896551725</v>
      </c>
      <c r="BE100" s="2">
        <v>49</v>
      </c>
      <c r="BF100" s="2">
        <v>93</v>
      </c>
      <c r="BG100" s="2">
        <v>62.6</v>
      </c>
      <c r="BH100" s="2">
        <v>61</v>
      </c>
      <c r="BI100" s="2">
        <v>80</v>
      </c>
      <c r="BJ100" s="2">
        <v>71.7</v>
      </c>
      <c r="BK100" s="2">
        <v>56</v>
      </c>
      <c r="BL100" s="2">
        <v>86</v>
      </c>
      <c r="BM100" s="2">
        <v>67.9</v>
      </c>
      <c r="BN100" s="2">
        <v>40</v>
      </c>
      <c r="BO100" s="2">
        <v>93</v>
      </c>
      <c r="BP100" s="2">
        <v>57.2</v>
      </c>
      <c r="BQ100" s="2">
        <v>35</v>
      </c>
      <c r="BR100" s="2">
        <v>64</v>
      </c>
      <c r="BS100" s="2">
        <v>44</v>
      </c>
      <c r="BT100" s="2">
        <v>45</v>
      </c>
      <c r="BU100" s="2">
        <v>87</v>
      </c>
      <c r="BV100" s="2">
        <v>61</v>
      </c>
      <c r="BW100" s="2">
        <v>40</v>
      </c>
      <c r="BX100" s="2">
        <v>75</v>
      </c>
      <c r="BY100" s="2">
        <v>59</v>
      </c>
      <c r="BZ100" s="2">
        <v>45</v>
      </c>
      <c r="CA100" s="2">
        <v>85</v>
      </c>
      <c r="CB100" s="2">
        <v>69</v>
      </c>
      <c r="CC100" s="2">
        <v>42.3198</v>
      </c>
      <c r="CD100" s="2">
        <v>66.384</v>
      </c>
      <c r="CE100" s="2">
        <v>55.26467999999999</v>
      </c>
      <c r="CF100" s="2">
        <v>55.2528</v>
      </c>
      <c r="CG100" s="2">
        <v>105.9012</v>
      </c>
      <c r="CH100" s="2">
        <v>95.69478</v>
      </c>
      <c r="CK100" s="26">
        <v>67.68666666666667</v>
      </c>
      <c r="CL100" s="2" t="s">
        <v>160</v>
      </c>
      <c r="CM100" s="10"/>
    </row>
    <row r="101" spans="1:91" ht="15.75">
      <c r="A101" s="10"/>
      <c r="C101" s="2" t="s">
        <v>362</v>
      </c>
      <c r="D101" s="2" t="s">
        <v>142</v>
      </c>
      <c r="F101" s="2" t="s">
        <v>130</v>
      </c>
      <c r="G101" s="16">
        <f aca="true" t="shared" si="29" ref="G101:O101">G98/(4*100*16.38)</f>
        <v>0.00030525030525030525</v>
      </c>
      <c r="H101" s="16">
        <f t="shared" si="29"/>
        <v>0.0009157509157509158</v>
      </c>
      <c r="I101" s="16">
        <f t="shared" si="29"/>
        <v>0.0006562881562881562</v>
      </c>
      <c r="J101" s="16">
        <f t="shared" si="29"/>
        <v>0.0004578754578754579</v>
      </c>
      <c r="K101" s="16">
        <f t="shared" si="29"/>
        <v>0.0017551892551892552</v>
      </c>
      <c r="L101" s="27">
        <f t="shared" si="29"/>
        <v>0.0011065323565323565</v>
      </c>
      <c r="M101" s="16">
        <f t="shared" si="29"/>
        <v>0.004273504273504274</v>
      </c>
      <c r="N101" s="16">
        <f t="shared" si="29"/>
        <v>0.004426129426129426</v>
      </c>
      <c r="O101" s="16">
        <f t="shared" si="29"/>
        <v>0.00434981684981685</v>
      </c>
      <c r="U101" s="16">
        <f>U98/(6.4*100*16.38)</f>
        <v>0.006677350427350428</v>
      </c>
      <c r="Y101" s="16">
        <f>Y98/(8.7*100*16.38)</f>
        <v>0.00982414775518224</v>
      </c>
      <c r="Z101" s="16">
        <f aca="true" t="shared" si="30" ref="Z101:CH101">Z98/(8.7*100*16.38)</f>
        <v>0.017543120991396856</v>
      </c>
      <c r="AA101" s="16">
        <f t="shared" si="30"/>
        <v>0.012350357177943388</v>
      </c>
      <c r="AB101" s="16">
        <f t="shared" si="30"/>
        <v>0.007297938332421093</v>
      </c>
      <c r="AC101" s="16">
        <f t="shared" si="30"/>
        <v>0.01992898544622683</v>
      </c>
      <c r="AD101" s="16">
        <f t="shared" si="30"/>
        <v>0.014876566600704536</v>
      </c>
      <c r="AE101" s="16"/>
      <c r="AF101" s="16">
        <f t="shared" si="30"/>
        <v>0.007508455784317855</v>
      </c>
      <c r="AG101" s="16">
        <f t="shared" si="30"/>
        <v>0.016841396151740982</v>
      </c>
      <c r="AH101" s="16">
        <f t="shared" si="30"/>
        <v>0.012631047113805737</v>
      </c>
      <c r="AI101" s="16">
        <f t="shared" si="30"/>
        <v>0.010525872594838115</v>
      </c>
      <c r="AJ101" s="16">
        <f t="shared" si="30"/>
        <v>0.015157256536566886</v>
      </c>
      <c r="AK101" s="16">
        <f t="shared" si="30"/>
        <v>0.012981909533633675</v>
      </c>
      <c r="AL101" s="16">
        <f t="shared" si="30"/>
        <v>0.01010483769104459</v>
      </c>
      <c r="AM101" s="16">
        <f t="shared" si="30"/>
        <v>0.013473116921392787</v>
      </c>
      <c r="AN101" s="16">
        <f t="shared" si="30"/>
        <v>0.011578459854321927</v>
      </c>
      <c r="AO101" s="16">
        <f t="shared" si="30"/>
        <v>0.011929322274149863</v>
      </c>
      <c r="AP101" s="16">
        <f t="shared" si="30"/>
        <v>0.027367268746579097</v>
      </c>
      <c r="AQ101" s="16">
        <f t="shared" si="30"/>
        <v>0.019507950542433306</v>
      </c>
      <c r="AR101" s="16">
        <f t="shared" si="30"/>
        <v>0.01613967131208511</v>
      </c>
      <c r="AS101" s="16">
        <f t="shared" si="30"/>
        <v>0.023858644548299727</v>
      </c>
      <c r="AT101" s="16">
        <f t="shared" si="30"/>
        <v>0.020700882769848293</v>
      </c>
      <c r="AU101" s="16">
        <f t="shared" si="30"/>
        <v>0.025472611679508237</v>
      </c>
      <c r="AV101" s="16">
        <f t="shared" si="30"/>
        <v>0.05333108781384645</v>
      </c>
      <c r="AW101" s="16">
        <f t="shared" si="30"/>
        <v>0.03298106746382609</v>
      </c>
      <c r="AX101" s="16">
        <f t="shared" si="30"/>
        <v>0.015437946472429234</v>
      </c>
      <c r="AY101" s="16">
        <f t="shared" si="30"/>
        <v>0.050945223359016474</v>
      </c>
      <c r="AZ101" s="16">
        <f t="shared" si="30"/>
        <v>0.047155909224874754</v>
      </c>
      <c r="BA101" s="2" t="s">
        <v>130</v>
      </c>
      <c r="BB101" s="16">
        <f t="shared" si="30"/>
        <v>0.03508624198279371</v>
      </c>
      <c r="BC101" s="16">
        <f t="shared" si="30"/>
        <v>0.05333108781384645</v>
      </c>
      <c r="BD101" s="16">
        <f t="shared" si="30"/>
        <v>0.04420866489832008</v>
      </c>
      <c r="BE101" s="16">
        <f t="shared" si="30"/>
        <v>0.11550011550011552</v>
      </c>
      <c r="BF101" s="16">
        <f t="shared" si="30"/>
        <v>0.21921450492879066</v>
      </c>
      <c r="BG101" s="16">
        <f t="shared" si="30"/>
        <v>0.1475572904144333</v>
      </c>
      <c r="BH101" s="16">
        <f t="shared" si="30"/>
        <v>0.04530478983033728</v>
      </c>
      <c r="BI101" s="16">
        <f t="shared" si="30"/>
        <v>0.05941611781027841</v>
      </c>
      <c r="BJ101" s="14">
        <f t="shared" si="30"/>
        <v>0.05325169558746202</v>
      </c>
      <c r="BK101" s="14">
        <f t="shared" si="30"/>
        <v>0.05552709791787264</v>
      </c>
      <c r="BL101" s="14">
        <f t="shared" si="30"/>
        <v>0.08527375751673301</v>
      </c>
      <c r="BM101" s="14">
        <f t="shared" si="30"/>
        <v>0.0673266062254206</v>
      </c>
      <c r="BN101" s="14">
        <f t="shared" si="30"/>
        <v>0.09963290257047909</v>
      </c>
      <c r="BO101" s="14">
        <f t="shared" si="30"/>
        <v>0.23164649847636387</v>
      </c>
      <c r="BP101" s="14">
        <f t="shared" si="30"/>
        <v>0.1424750506757851</v>
      </c>
      <c r="BQ101" s="14">
        <f t="shared" si="30"/>
        <v>0.08063215610385423</v>
      </c>
      <c r="BR101" s="14">
        <f t="shared" si="30"/>
        <v>0.14744165687561916</v>
      </c>
      <c r="BS101" s="14">
        <f t="shared" si="30"/>
        <v>0.10136613910198816</v>
      </c>
      <c r="BT101" s="14">
        <f t="shared" si="30"/>
        <v>0.09979123673275508</v>
      </c>
      <c r="BU101" s="14">
        <f t="shared" si="30"/>
        <v>0.19292972434999317</v>
      </c>
      <c r="BV101" s="14">
        <f t="shared" si="30"/>
        <v>0.1352725653488458</v>
      </c>
      <c r="BW101" s="14">
        <f t="shared" si="30"/>
        <v>0.024898067312422948</v>
      </c>
      <c r="BX101" s="14">
        <f t="shared" si="30"/>
        <v>0.04668387621079303</v>
      </c>
      <c r="BY101" s="14">
        <f t="shared" si="30"/>
        <v>0.03672464928582384</v>
      </c>
      <c r="BZ101" s="14">
        <f t="shared" si="30"/>
        <v>0.028900197214945796</v>
      </c>
      <c r="CA101" s="14">
        <f t="shared" si="30"/>
        <v>0.05458926140600873</v>
      </c>
      <c r="CB101" s="14">
        <f t="shared" si="30"/>
        <v>0.044313635729583564</v>
      </c>
      <c r="CC101" s="14">
        <f t="shared" si="30"/>
        <v>0.031135531135531143</v>
      </c>
      <c r="CD101" s="14">
        <f t="shared" si="30"/>
        <v>0.048840048840048854</v>
      </c>
      <c r="CE101" s="14">
        <f t="shared" si="30"/>
        <v>0.04065934065934067</v>
      </c>
      <c r="CF101" s="14">
        <f t="shared" si="30"/>
        <v>0.043956043956043966</v>
      </c>
      <c r="CG101" s="14">
        <f t="shared" si="30"/>
        <v>0.08424908424908427</v>
      </c>
      <c r="CH101" s="14">
        <f t="shared" si="30"/>
        <v>0.07612942612942615</v>
      </c>
      <c r="CK101" s="16"/>
      <c r="CM101" s="10"/>
    </row>
    <row r="102" spans="1:91" ht="15.75">
      <c r="A102" s="10"/>
      <c r="C102" s="2" t="s">
        <v>362</v>
      </c>
      <c r="D102" s="2" t="s">
        <v>142</v>
      </c>
      <c r="F102" s="2" t="s">
        <v>140</v>
      </c>
      <c r="G102" s="14">
        <f aca="true" t="shared" si="31" ref="G102:O102">G101*67.54</f>
        <v>0.020616605616605617</v>
      </c>
      <c r="H102" s="14">
        <f t="shared" si="31"/>
        <v>0.06184981684981686</v>
      </c>
      <c r="I102" s="14">
        <f t="shared" si="31"/>
        <v>0.04432570207570208</v>
      </c>
      <c r="J102" s="14">
        <f t="shared" si="31"/>
        <v>0.03092490842490843</v>
      </c>
      <c r="K102" s="14">
        <f t="shared" si="31"/>
        <v>0.11854548229548231</v>
      </c>
      <c r="L102" s="28">
        <f t="shared" si="31"/>
        <v>0.07473519536019536</v>
      </c>
      <c r="M102" s="14">
        <f t="shared" si="31"/>
        <v>0.2886324786324787</v>
      </c>
      <c r="N102" s="14">
        <f t="shared" si="31"/>
        <v>0.29894078144078146</v>
      </c>
      <c r="O102" s="13">
        <f t="shared" si="31"/>
        <v>0.2937866300366301</v>
      </c>
      <c r="U102" s="13">
        <f>U101*43.42</f>
        <v>0.2899305555555556</v>
      </c>
      <c r="Y102" s="14">
        <f aca="true" t="shared" si="32" ref="Y102:AD102">Y101*21.416</f>
        <v>0.21039394832498284</v>
      </c>
      <c r="Z102" s="14">
        <f t="shared" si="32"/>
        <v>0.37570347915175506</v>
      </c>
      <c r="AA102" s="14">
        <f t="shared" si="32"/>
        <v>0.26449524932283563</v>
      </c>
      <c r="AB102" s="14">
        <f t="shared" si="32"/>
        <v>0.15629264732713014</v>
      </c>
      <c r="AC102" s="14">
        <f t="shared" si="32"/>
        <v>0.4267991523163938</v>
      </c>
      <c r="AD102" s="14">
        <f t="shared" si="32"/>
        <v>0.31859655032068834</v>
      </c>
      <c r="AE102" s="7"/>
      <c r="AF102" s="14">
        <f>AF101*20.74</f>
        <v>0.15572537296675232</v>
      </c>
      <c r="AG102" s="14">
        <f aca="true" t="shared" si="33" ref="AG102:AN102">AG101*20.74</f>
        <v>0.34929055618710797</v>
      </c>
      <c r="AH102" s="14">
        <f t="shared" si="33"/>
        <v>0.26196791714033096</v>
      </c>
      <c r="AI102" s="14">
        <f t="shared" si="33"/>
        <v>0.2183065976169425</v>
      </c>
      <c r="AJ102" s="14">
        <f t="shared" si="33"/>
        <v>0.3143615005683972</v>
      </c>
      <c r="AK102" s="14">
        <f t="shared" si="33"/>
        <v>0.26924480372756243</v>
      </c>
      <c r="AL102" s="14">
        <f t="shared" si="33"/>
        <v>0.20957433371226478</v>
      </c>
      <c r="AM102" s="14">
        <f t="shared" si="33"/>
        <v>0.2794324449496864</v>
      </c>
      <c r="AN102" s="13">
        <f t="shared" si="33"/>
        <v>0.24013725737863675</v>
      </c>
      <c r="AO102" s="14">
        <f>AO101*18.822</f>
        <v>0.22453370384404872</v>
      </c>
      <c r="AP102" s="14">
        <f>AP101*18.822</f>
        <v>0.5151067323481118</v>
      </c>
      <c r="AQ102" s="13">
        <f>AQ101*18.822</f>
        <v>0.3671786451096797</v>
      </c>
      <c r="AR102" s="14">
        <f>AR101*18</f>
        <v>0.29051408361753195</v>
      </c>
      <c r="AS102" s="14">
        <f aca="true" t="shared" si="34" ref="AS102:CH102">AS101*18</f>
        <v>0.4294556018693951</v>
      </c>
      <c r="AT102" s="13">
        <f t="shared" si="34"/>
        <v>0.3726158898572693</v>
      </c>
      <c r="AU102" s="14">
        <f t="shared" si="34"/>
        <v>0.45850701023114826</v>
      </c>
      <c r="AV102" s="14">
        <f t="shared" si="34"/>
        <v>0.959959580649236</v>
      </c>
      <c r="AW102" s="13">
        <f t="shared" si="34"/>
        <v>0.5936592143488697</v>
      </c>
      <c r="AX102" s="14">
        <f t="shared" si="34"/>
        <v>0.2778830365037262</v>
      </c>
      <c r="AY102" s="14">
        <f t="shared" si="34"/>
        <v>0.9170140204622965</v>
      </c>
      <c r="AZ102" s="13">
        <f t="shared" si="34"/>
        <v>0.8488063660477456</v>
      </c>
      <c r="BA102" s="2" t="s">
        <v>140</v>
      </c>
      <c r="BB102" s="14">
        <f t="shared" si="34"/>
        <v>0.6315523556902868</v>
      </c>
      <c r="BC102" s="14">
        <f t="shared" si="34"/>
        <v>0.959959580649236</v>
      </c>
      <c r="BD102" s="13">
        <f t="shared" si="34"/>
        <v>0.7957559681697615</v>
      </c>
      <c r="BE102" s="14">
        <f t="shared" si="34"/>
        <v>2.0790020790020796</v>
      </c>
      <c r="BF102" s="14">
        <f t="shared" si="34"/>
        <v>3.9458610887182317</v>
      </c>
      <c r="BG102" s="13">
        <f t="shared" si="34"/>
        <v>2.6560312274597995</v>
      </c>
      <c r="BH102" s="14">
        <f t="shared" si="34"/>
        <v>0.815486216946071</v>
      </c>
      <c r="BI102" s="14">
        <f t="shared" si="34"/>
        <v>1.0694901205850114</v>
      </c>
      <c r="BJ102" s="13">
        <f t="shared" si="34"/>
        <v>0.9585305205743163</v>
      </c>
      <c r="BK102" s="14">
        <f t="shared" si="34"/>
        <v>0.9994877625217076</v>
      </c>
      <c r="BL102" s="14">
        <f t="shared" si="34"/>
        <v>1.5349276353011942</v>
      </c>
      <c r="BM102" s="13">
        <f t="shared" si="34"/>
        <v>1.2118789120575708</v>
      </c>
      <c r="BN102" s="14">
        <f t="shared" si="34"/>
        <v>1.7933922462686236</v>
      </c>
      <c r="BO102" s="14">
        <f t="shared" si="34"/>
        <v>4.1696369725745495</v>
      </c>
      <c r="BP102" s="13">
        <f t="shared" si="34"/>
        <v>2.5645509121641314</v>
      </c>
      <c r="BQ102" s="14">
        <f t="shared" si="34"/>
        <v>1.451378809869376</v>
      </c>
      <c r="BR102" s="14">
        <f t="shared" si="34"/>
        <v>2.653949823761145</v>
      </c>
      <c r="BS102" s="13">
        <f t="shared" si="34"/>
        <v>1.824590503835787</v>
      </c>
      <c r="BT102" s="29">
        <f t="shared" si="34"/>
        <v>1.7962422611895916</v>
      </c>
      <c r="BU102" s="29">
        <f t="shared" si="34"/>
        <v>3.472735038299877</v>
      </c>
      <c r="BV102" s="30">
        <f t="shared" si="34"/>
        <v>2.4349061762792243</v>
      </c>
      <c r="BW102" s="29">
        <f t="shared" si="34"/>
        <v>0.44816521162361306</v>
      </c>
      <c r="BX102" s="29">
        <f t="shared" si="34"/>
        <v>0.8403097717942745</v>
      </c>
      <c r="BY102" s="30">
        <f t="shared" si="34"/>
        <v>0.6610436871448292</v>
      </c>
      <c r="BZ102" s="14">
        <f t="shared" si="34"/>
        <v>0.5202035498690243</v>
      </c>
      <c r="CA102" s="14">
        <f t="shared" si="34"/>
        <v>0.9826067053081571</v>
      </c>
      <c r="CB102" s="13">
        <f t="shared" si="34"/>
        <v>0.7976454431325042</v>
      </c>
      <c r="CC102" s="14">
        <f t="shared" si="34"/>
        <v>0.5604395604395606</v>
      </c>
      <c r="CD102" s="14">
        <f t="shared" si="34"/>
        <v>0.8791208791208793</v>
      </c>
      <c r="CE102" s="13">
        <f t="shared" si="34"/>
        <v>0.731868131868132</v>
      </c>
      <c r="CF102" s="14">
        <f t="shared" si="34"/>
        <v>0.7912087912087914</v>
      </c>
      <c r="CG102" s="14">
        <f t="shared" si="34"/>
        <v>1.5164835164835169</v>
      </c>
      <c r="CH102" s="14">
        <f t="shared" si="34"/>
        <v>1.3703296703296708</v>
      </c>
      <c r="CK102" s="16">
        <f>0.18*CK100/16.38</f>
        <v>0.7438095238095239</v>
      </c>
      <c r="CM102" s="10"/>
    </row>
    <row r="103" spans="1:91" ht="15">
      <c r="A103" s="10"/>
      <c r="H103" s="31" t="s">
        <v>112</v>
      </c>
      <c r="I103" s="32"/>
      <c r="J103" s="33"/>
      <c r="K103" s="33"/>
      <c r="L103" s="34"/>
      <c r="M103" s="14"/>
      <c r="N103" s="14"/>
      <c r="O103" s="13"/>
      <c r="U103" s="14"/>
      <c r="Y103" s="14"/>
      <c r="Z103" s="14"/>
      <c r="AA103" s="14"/>
      <c r="AB103" s="14"/>
      <c r="AC103" s="14"/>
      <c r="AD103" s="14"/>
      <c r="AE103" s="7"/>
      <c r="AF103" s="14"/>
      <c r="AG103" s="14"/>
      <c r="AH103" s="14"/>
      <c r="AI103" s="14"/>
      <c r="AJ103" s="14"/>
      <c r="AK103" s="14"/>
      <c r="AL103" s="14"/>
      <c r="AM103" s="14"/>
      <c r="AN103" s="13"/>
      <c r="AO103" s="14"/>
      <c r="AP103" s="14"/>
      <c r="AQ103" s="14"/>
      <c r="AR103" s="14"/>
      <c r="AS103" s="14"/>
      <c r="AT103" s="14"/>
      <c r="AU103" s="14"/>
      <c r="AV103" s="14"/>
      <c r="AW103" s="14"/>
      <c r="AX103" s="14"/>
      <c r="AY103" s="14"/>
      <c r="AZ103" s="14"/>
      <c r="BA103" s="14"/>
      <c r="BB103" s="14"/>
      <c r="BC103" s="14"/>
      <c r="BD103" s="13"/>
      <c r="BE103" s="14"/>
      <c r="BF103" s="14"/>
      <c r="BG103" s="14"/>
      <c r="BH103" s="14"/>
      <c r="BI103" s="14"/>
      <c r="BJ103" s="14"/>
      <c r="BK103" s="14"/>
      <c r="BL103" s="14"/>
      <c r="BM103" s="14"/>
      <c r="BN103" s="14"/>
      <c r="BO103" s="14"/>
      <c r="BP103" s="14"/>
      <c r="BQ103" s="14"/>
      <c r="BR103" s="14"/>
      <c r="BS103" s="14"/>
      <c r="BT103" s="2" t="s">
        <v>177</v>
      </c>
      <c r="BU103" s="14"/>
      <c r="BV103" s="14"/>
      <c r="BW103" s="14"/>
      <c r="BX103" s="14"/>
      <c r="BY103" s="14"/>
      <c r="BZ103" s="14"/>
      <c r="CA103" s="14"/>
      <c r="CB103" s="14"/>
      <c r="CC103" s="14"/>
      <c r="CD103" s="14"/>
      <c r="CE103" s="14"/>
      <c r="CF103" s="14"/>
      <c r="CG103" s="14"/>
      <c r="CH103" s="14" t="s">
        <v>100</v>
      </c>
      <c r="CK103" s="16"/>
      <c r="CM103" s="10"/>
    </row>
    <row r="104" spans="1:91" ht="15">
      <c r="A104" s="10"/>
      <c r="J104" s="14"/>
      <c r="K104" s="14"/>
      <c r="L104" s="14"/>
      <c r="M104" s="14"/>
      <c r="N104" s="14"/>
      <c r="O104" s="14"/>
      <c r="U104" s="14"/>
      <c r="V104" s="14"/>
      <c r="W104" s="14"/>
      <c r="X104" s="14"/>
      <c r="Y104" s="14"/>
      <c r="Z104" s="14"/>
      <c r="AA104" s="14"/>
      <c r="AB104" s="14"/>
      <c r="AC104" s="14"/>
      <c r="AD104" s="14"/>
      <c r="AE104" s="7"/>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2" t="s">
        <v>88</v>
      </c>
      <c r="BU104" s="14"/>
      <c r="BV104" s="14"/>
      <c r="BW104" s="14"/>
      <c r="BX104" s="14"/>
      <c r="BY104" s="14"/>
      <c r="BZ104" s="14"/>
      <c r="CA104" s="14"/>
      <c r="CB104" s="14"/>
      <c r="CC104" s="14"/>
      <c r="CD104" s="14"/>
      <c r="CE104" s="14"/>
      <c r="CF104" s="14"/>
      <c r="CG104" s="14"/>
      <c r="CH104" s="14"/>
      <c r="CM104" s="10"/>
    </row>
    <row r="105" spans="1:91" ht="15">
      <c r="A105" s="10"/>
      <c r="J105" s="14"/>
      <c r="K105" s="14"/>
      <c r="L105" s="14"/>
      <c r="M105" s="14"/>
      <c r="N105" s="14"/>
      <c r="O105" s="14"/>
      <c r="P105" s="14"/>
      <c r="Q105" s="14"/>
      <c r="R105" s="14"/>
      <c r="S105" s="14"/>
      <c r="T105" s="14"/>
      <c r="U105" s="14"/>
      <c r="V105" s="14"/>
      <c r="W105" s="14"/>
      <c r="X105" s="14"/>
      <c r="Y105" s="14"/>
      <c r="Z105" s="14"/>
      <c r="AA105" s="14"/>
      <c r="AB105" s="14"/>
      <c r="AC105" s="14"/>
      <c r="AD105" s="14"/>
      <c r="AE105" s="7"/>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U105" s="14"/>
      <c r="BV105" s="14"/>
      <c r="BW105" s="14"/>
      <c r="BX105" s="14"/>
      <c r="BY105" s="14"/>
      <c r="BZ105" s="14"/>
      <c r="CA105" s="14"/>
      <c r="CB105" s="14"/>
      <c r="CC105" s="14"/>
      <c r="CD105" s="14"/>
      <c r="CE105" s="14"/>
      <c r="CF105" s="14"/>
      <c r="CG105" s="14"/>
      <c r="CH105" s="14"/>
      <c r="CM105" s="10"/>
    </row>
    <row r="106" spans="1:91" ht="15">
      <c r="A106" s="10" t="s">
        <v>363</v>
      </c>
      <c r="C106" s="2" t="s">
        <v>364</v>
      </c>
      <c r="D106" s="2" t="s">
        <v>385</v>
      </c>
      <c r="E106" s="2" t="s">
        <v>386</v>
      </c>
      <c r="F106" s="2" t="s">
        <v>69</v>
      </c>
      <c r="G106" s="2">
        <v>1</v>
      </c>
      <c r="H106" s="2">
        <v>3</v>
      </c>
      <c r="I106" s="2">
        <v>2.2</v>
      </c>
      <c r="J106" s="2">
        <v>3</v>
      </c>
      <c r="K106" s="2">
        <v>8</v>
      </c>
      <c r="L106" s="2">
        <v>5.5</v>
      </c>
      <c r="M106" s="2">
        <v>11</v>
      </c>
      <c r="N106" s="2">
        <v>15</v>
      </c>
      <c r="O106" s="2">
        <v>13</v>
      </c>
      <c r="Y106" s="2">
        <v>100</v>
      </c>
      <c r="Z106" s="2">
        <v>150</v>
      </c>
      <c r="AA106" s="2">
        <v>126</v>
      </c>
      <c r="AB106" s="2">
        <v>124</v>
      </c>
      <c r="AC106" s="2">
        <v>210</v>
      </c>
      <c r="AD106" s="2">
        <v>179</v>
      </c>
      <c r="AE106" s="10" t="s">
        <v>363</v>
      </c>
      <c r="AF106" s="2">
        <v>103</v>
      </c>
      <c r="AG106" s="2">
        <v>143</v>
      </c>
      <c r="AH106" s="2">
        <v>125</v>
      </c>
      <c r="AI106" s="2">
        <v>80</v>
      </c>
      <c r="AJ106" s="2">
        <v>210</v>
      </c>
      <c r="AK106" s="2">
        <v>122</v>
      </c>
      <c r="AL106" s="2">
        <v>81</v>
      </c>
      <c r="AM106" s="2">
        <v>98</v>
      </c>
      <c r="AN106" s="2">
        <v>87</v>
      </c>
      <c r="AO106" s="2">
        <v>79</v>
      </c>
      <c r="AP106" s="2">
        <v>113</v>
      </c>
      <c r="AQ106" s="2">
        <v>100</v>
      </c>
      <c r="AR106" s="2">
        <v>120</v>
      </c>
      <c r="AS106" s="2">
        <v>274</v>
      </c>
      <c r="AT106" s="2">
        <v>182</v>
      </c>
      <c r="AU106" s="2">
        <v>147</v>
      </c>
      <c r="AV106" s="2">
        <v>414</v>
      </c>
      <c r="AW106" s="2">
        <v>264</v>
      </c>
      <c r="AX106" s="2">
        <v>243</v>
      </c>
      <c r="AY106" s="2">
        <v>450</v>
      </c>
      <c r="AZ106" s="2">
        <v>366</v>
      </c>
      <c r="BA106" s="10" t="s">
        <v>363</v>
      </c>
      <c r="BB106" s="2">
        <v>225</v>
      </c>
      <c r="BC106" s="2">
        <v>414</v>
      </c>
      <c r="BD106" s="2">
        <v>261</v>
      </c>
      <c r="BE106" s="17">
        <f>BE107/BE3</f>
        <v>972.9729729729728</v>
      </c>
      <c r="BF106" s="17">
        <f>BF107/BF3</f>
        <v>1448.6486486486485</v>
      </c>
      <c r="BG106" s="17">
        <f>BG107/BG3</f>
        <v>1189.1891891891892</v>
      </c>
      <c r="BH106" s="2">
        <v>364</v>
      </c>
      <c r="BI106" s="2">
        <v>509.6</v>
      </c>
      <c r="BJ106" s="17">
        <v>437.36</v>
      </c>
      <c r="BK106" s="17">
        <f aca="true" t="shared" si="35" ref="BK106:CB106">BK107/BK3</f>
        <v>500.24362514211464</v>
      </c>
      <c r="BL106" s="17">
        <f t="shared" si="35"/>
        <v>727.6270911158031</v>
      </c>
      <c r="BM106" s="17">
        <f t="shared" si="35"/>
        <v>580.282605164853</v>
      </c>
      <c r="BN106" s="17">
        <f t="shared" si="35"/>
        <v>1005.3039575683393</v>
      </c>
      <c r="BO106" s="17">
        <f t="shared" si="35"/>
        <v>1370.8690330477355</v>
      </c>
      <c r="BP106" s="17">
        <f t="shared" si="35"/>
        <v>1142.390860873113</v>
      </c>
      <c r="BQ106" s="17">
        <f t="shared" si="35"/>
        <v>486.0377358490565</v>
      </c>
      <c r="BR106" s="17">
        <f t="shared" si="35"/>
        <v>845.2830188679245</v>
      </c>
      <c r="BS106" s="17">
        <f t="shared" si="35"/>
        <v>595.9245283018868</v>
      </c>
      <c r="BT106" s="17">
        <f t="shared" si="35"/>
        <v>549.2190337813295</v>
      </c>
      <c r="BU106" s="17">
        <f t="shared" si="35"/>
        <v>1037.4137304758444</v>
      </c>
      <c r="BV106" s="17">
        <f t="shared" si="35"/>
        <v>746.5310570286961</v>
      </c>
      <c r="BW106" s="17">
        <f t="shared" si="35"/>
        <v>251.22349102773245</v>
      </c>
      <c r="BX106" s="17">
        <f t="shared" si="35"/>
        <v>456.7699836867863</v>
      </c>
      <c r="BY106" s="17">
        <f t="shared" si="35"/>
        <v>317.4551386623165</v>
      </c>
      <c r="BZ106" s="17">
        <f t="shared" si="35"/>
        <v>318.1148748159057</v>
      </c>
      <c r="CA106" s="17">
        <f t="shared" si="35"/>
        <v>483.06332842415316</v>
      </c>
      <c r="CB106" s="17">
        <f t="shared" si="35"/>
        <v>378.2032400589101</v>
      </c>
      <c r="CC106" s="17">
        <v>308</v>
      </c>
      <c r="CD106" s="17">
        <v>509.6</v>
      </c>
      <c r="CE106" s="17">
        <v>391.44</v>
      </c>
      <c r="CF106" s="17">
        <v>448</v>
      </c>
      <c r="CG106" s="17">
        <v>548.8</v>
      </c>
      <c r="CH106" s="17">
        <v>502.88</v>
      </c>
      <c r="CL106" s="10" t="s">
        <v>255</v>
      </c>
      <c r="CM106" s="10"/>
    </row>
    <row r="107" spans="1:91" ht="15">
      <c r="A107" s="10"/>
      <c r="D107" s="2" t="s">
        <v>385</v>
      </c>
      <c r="E107" s="2" t="s">
        <v>386</v>
      </c>
      <c r="F107" s="2" t="s">
        <v>160</v>
      </c>
      <c r="G107" s="2">
        <f aca="true" t="shared" si="36" ref="G107:AD107">G106*G3</f>
        <v>4.319</v>
      </c>
      <c r="H107" s="2">
        <f t="shared" si="36"/>
        <v>12.957</v>
      </c>
      <c r="I107" s="2">
        <f t="shared" si="36"/>
        <v>9.501800000000001</v>
      </c>
      <c r="J107" s="2">
        <f t="shared" si="36"/>
        <v>11.256</v>
      </c>
      <c r="K107" s="2">
        <f t="shared" si="36"/>
        <v>30.016</v>
      </c>
      <c r="L107" s="2">
        <f t="shared" si="36"/>
        <v>20.636</v>
      </c>
      <c r="M107" s="2">
        <f t="shared" si="36"/>
        <v>41.272</v>
      </c>
      <c r="N107" s="2">
        <f t="shared" si="36"/>
        <v>56.279999999999994</v>
      </c>
      <c r="O107" s="2">
        <f t="shared" si="36"/>
        <v>48.775999999999996</v>
      </c>
      <c r="Y107" s="2">
        <f t="shared" si="36"/>
        <v>114.39999999999999</v>
      </c>
      <c r="Z107" s="2">
        <f t="shared" si="36"/>
        <v>171.6</v>
      </c>
      <c r="AA107" s="2">
        <f t="shared" si="36"/>
        <v>144.14399999999998</v>
      </c>
      <c r="AB107" s="2">
        <f t="shared" si="36"/>
        <v>141.856</v>
      </c>
      <c r="AC107" s="2">
        <f t="shared" si="36"/>
        <v>240.23999999999998</v>
      </c>
      <c r="AD107" s="2">
        <f t="shared" si="36"/>
        <v>204.77599999999998</v>
      </c>
      <c r="AE107" s="2" t="s">
        <v>160</v>
      </c>
      <c r="AF107" s="2">
        <f aca="true" t="shared" si="37" ref="AF107:AZ107">AF106*AF3</f>
        <v>118.65599999999999</v>
      </c>
      <c r="AG107" s="2">
        <f t="shared" si="37"/>
        <v>164.736</v>
      </c>
      <c r="AH107" s="2">
        <f t="shared" si="37"/>
        <v>144</v>
      </c>
      <c r="AI107" s="2">
        <f t="shared" si="37"/>
        <v>92.16</v>
      </c>
      <c r="AJ107" s="2">
        <f t="shared" si="37"/>
        <v>241.92</v>
      </c>
      <c r="AK107" s="2">
        <f t="shared" si="37"/>
        <v>140.54399999999998</v>
      </c>
      <c r="AL107" s="2">
        <f t="shared" si="37"/>
        <v>93.312</v>
      </c>
      <c r="AM107" s="2">
        <f t="shared" si="37"/>
        <v>112.89599999999999</v>
      </c>
      <c r="AN107" s="2">
        <f t="shared" si="37"/>
        <v>100.22399999999999</v>
      </c>
      <c r="AO107" s="2">
        <f t="shared" si="37"/>
        <v>82.4444</v>
      </c>
      <c r="AP107" s="2">
        <f t="shared" si="37"/>
        <v>117.92680000000001</v>
      </c>
      <c r="AQ107" s="2">
        <f t="shared" si="37"/>
        <v>104.36000000000001</v>
      </c>
      <c r="AR107" s="2">
        <f t="shared" si="37"/>
        <v>118.2</v>
      </c>
      <c r="AS107" s="2">
        <f t="shared" si="37"/>
        <v>269.89</v>
      </c>
      <c r="AT107" s="2">
        <f t="shared" si="37"/>
        <v>179.27</v>
      </c>
      <c r="AU107" s="2">
        <f t="shared" si="37"/>
        <v>140.385</v>
      </c>
      <c r="AV107" s="2">
        <f t="shared" si="37"/>
        <v>395.37</v>
      </c>
      <c r="AW107" s="2">
        <f t="shared" si="37"/>
        <v>252.11999999999998</v>
      </c>
      <c r="AX107" s="2">
        <f t="shared" si="37"/>
        <v>174.474</v>
      </c>
      <c r="AY107" s="2">
        <f t="shared" si="37"/>
        <v>323.09999999999997</v>
      </c>
      <c r="AZ107" s="2">
        <f t="shared" si="37"/>
        <v>262.788</v>
      </c>
      <c r="BA107" s="2" t="s">
        <v>160</v>
      </c>
      <c r="BB107" s="17">
        <f>BB106*BB3</f>
        <v>190.35</v>
      </c>
      <c r="BC107" s="17">
        <f>BC106*BC3</f>
        <v>350.24399999999997</v>
      </c>
      <c r="BD107" s="17">
        <f>BD106*BD3</f>
        <v>220.80599999999998</v>
      </c>
      <c r="BE107" s="2">
        <f>BE108*5.6</f>
        <v>251.99999999999997</v>
      </c>
      <c r="BF107" s="2">
        <f>BF108*5.6</f>
        <v>375.2</v>
      </c>
      <c r="BG107" s="2">
        <f>BG108*5.6</f>
        <v>308</v>
      </c>
      <c r="BH107" s="2">
        <f>BH106*BH3</f>
        <v>299.20799999999997</v>
      </c>
      <c r="BI107" s="2">
        <f>BI106*BI3</f>
        <v>418.89119999999997</v>
      </c>
      <c r="BJ107" s="17">
        <f>BJ106*BJ3</f>
        <v>359.50991999999997</v>
      </c>
      <c r="BK107" s="17">
        <f aca="true" t="shared" si="38" ref="BK107:CB107">BK108*5.6</f>
        <v>308</v>
      </c>
      <c r="BL107" s="17">
        <f t="shared" si="38"/>
        <v>448</v>
      </c>
      <c r="BM107" s="17">
        <f t="shared" si="38"/>
        <v>357.28</v>
      </c>
      <c r="BN107" s="17">
        <f t="shared" si="38"/>
        <v>246.39999999999998</v>
      </c>
      <c r="BO107" s="17">
        <f t="shared" si="38"/>
        <v>336</v>
      </c>
      <c r="BP107" s="17">
        <f t="shared" si="38"/>
        <v>280</v>
      </c>
      <c r="BQ107" s="17">
        <f t="shared" si="38"/>
        <v>128.79999999999998</v>
      </c>
      <c r="BR107" s="17">
        <f t="shared" si="38"/>
        <v>224</v>
      </c>
      <c r="BS107" s="17">
        <f t="shared" si="38"/>
        <v>157.92</v>
      </c>
      <c r="BT107" s="17">
        <f t="shared" si="38"/>
        <v>151.2</v>
      </c>
      <c r="BU107" s="17">
        <f t="shared" si="38"/>
        <v>285.59999999999997</v>
      </c>
      <c r="BV107" s="17">
        <f t="shared" si="38"/>
        <v>205.52</v>
      </c>
      <c r="BW107" s="17">
        <f t="shared" si="38"/>
        <v>246.39999999999998</v>
      </c>
      <c r="BX107" s="17">
        <f t="shared" si="38"/>
        <v>448</v>
      </c>
      <c r="BY107" s="17">
        <f t="shared" si="38"/>
        <v>311.36</v>
      </c>
      <c r="BZ107" s="17">
        <f t="shared" si="38"/>
        <v>302.4</v>
      </c>
      <c r="CA107" s="17">
        <f t="shared" si="38"/>
        <v>459.2</v>
      </c>
      <c r="CB107" s="17">
        <f t="shared" si="38"/>
        <v>359.52</v>
      </c>
      <c r="CC107" s="17">
        <f aca="true" t="shared" si="39" ref="CC107:CH107">CC106*CC3</f>
        <v>255.5784</v>
      </c>
      <c r="CD107" s="17">
        <f t="shared" si="39"/>
        <v>422.86608</v>
      </c>
      <c r="CE107" s="17">
        <f t="shared" si="39"/>
        <v>324.816912</v>
      </c>
      <c r="CF107" s="17">
        <f t="shared" si="39"/>
        <v>343.79519999999997</v>
      </c>
      <c r="CG107" s="17">
        <f t="shared" si="39"/>
        <v>421.1491199999999</v>
      </c>
      <c r="CH107" s="17">
        <f t="shared" si="39"/>
        <v>385.91011199999997</v>
      </c>
      <c r="CL107" s="2" t="s">
        <v>160</v>
      </c>
      <c r="CM107" s="10"/>
    </row>
    <row r="108" spans="1:91" ht="15">
      <c r="A108" s="10"/>
      <c r="D108" s="2" t="s">
        <v>67</v>
      </c>
      <c r="E108" s="2" t="s">
        <v>68</v>
      </c>
      <c r="F108" s="2" t="s">
        <v>188</v>
      </c>
      <c r="Y108" s="2">
        <f aca="true" t="shared" si="40" ref="Y108:AD108">Y107/5.6</f>
        <v>20.428571428571427</v>
      </c>
      <c r="Z108" s="2">
        <f t="shared" si="40"/>
        <v>30.642857142857142</v>
      </c>
      <c r="AA108" s="2">
        <f t="shared" si="40"/>
        <v>25.74</v>
      </c>
      <c r="AB108" s="2">
        <f t="shared" si="40"/>
        <v>25.33142857142857</v>
      </c>
      <c r="AC108" s="2">
        <f t="shared" si="40"/>
        <v>42.9</v>
      </c>
      <c r="AD108" s="2">
        <f t="shared" si="40"/>
        <v>36.567142857142855</v>
      </c>
      <c r="AE108" s="2" t="s">
        <v>360</v>
      </c>
      <c r="AF108" s="2">
        <f aca="true" t="shared" si="41" ref="AF108:AZ108">AF107/5.6</f>
        <v>21.18857142857143</v>
      </c>
      <c r="AG108" s="2">
        <f t="shared" si="41"/>
        <v>29.417142857142856</v>
      </c>
      <c r="AH108" s="2">
        <f t="shared" si="41"/>
        <v>25.714285714285715</v>
      </c>
      <c r="AI108" s="2">
        <f t="shared" si="41"/>
        <v>16.45714285714286</v>
      </c>
      <c r="AJ108" s="2">
        <f t="shared" si="41"/>
        <v>43.2</v>
      </c>
      <c r="AK108" s="2">
        <f t="shared" si="41"/>
        <v>25.097142857142856</v>
      </c>
      <c r="AL108" s="2">
        <f t="shared" si="41"/>
        <v>16.662857142857142</v>
      </c>
      <c r="AM108" s="2">
        <f t="shared" si="41"/>
        <v>20.16</v>
      </c>
      <c r="AN108" s="2">
        <f t="shared" si="41"/>
        <v>17.897142857142857</v>
      </c>
      <c r="AO108" s="2">
        <f t="shared" si="41"/>
        <v>14.722214285714287</v>
      </c>
      <c r="AP108" s="2">
        <f t="shared" si="41"/>
        <v>21.058357142857147</v>
      </c>
      <c r="AQ108" s="2">
        <f t="shared" si="41"/>
        <v>18.63571428571429</v>
      </c>
      <c r="AR108" s="2">
        <f t="shared" si="41"/>
        <v>21.107142857142858</v>
      </c>
      <c r="AS108" s="2">
        <f t="shared" si="41"/>
        <v>48.19464285714286</v>
      </c>
      <c r="AT108" s="2">
        <f t="shared" si="41"/>
        <v>32.0125</v>
      </c>
      <c r="AU108" s="2">
        <f t="shared" si="41"/>
        <v>25.06875</v>
      </c>
      <c r="AV108" s="2">
        <f t="shared" si="41"/>
        <v>70.60178571428573</v>
      </c>
      <c r="AW108" s="2">
        <f t="shared" si="41"/>
        <v>45.02142857142857</v>
      </c>
      <c r="AX108" s="2">
        <f t="shared" si="41"/>
        <v>31.15607142857143</v>
      </c>
      <c r="AY108" s="2">
        <f t="shared" si="41"/>
        <v>57.69642857142857</v>
      </c>
      <c r="AZ108" s="2">
        <f t="shared" si="41"/>
        <v>46.92642857142857</v>
      </c>
      <c r="BA108" s="2" t="s">
        <v>160</v>
      </c>
      <c r="BB108" s="17">
        <f>BB107/5.6</f>
        <v>33.99107142857143</v>
      </c>
      <c r="BC108" s="17">
        <f>BC107/5.6</f>
        <v>62.543571428571425</v>
      </c>
      <c r="BD108" s="17">
        <f>BD107/5.6</f>
        <v>39.42964285714286</v>
      </c>
      <c r="BE108" s="2">
        <v>45</v>
      </c>
      <c r="BF108" s="2">
        <v>67</v>
      </c>
      <c r="BG108" s="2">
        <v>55</v>
      </c>
      <c r="BH108" s="2">
        <f>BH107/5.6</f>
        <v>53.43</v>
      </c>
      <c r="BI108" s="2">
        <f>BI107/5.6</f>
        <v>74.80199999999999</v>
      </c>
      <c r="BJ108" s="17">
        <f>BJ107/5.6</f>
        <v>64.1982</v>
      </c>
      <c r="BK108" s="17">
        <v>55</v>
      </c>
      <c r="BL108" s="17">
        <v>80</v>
      </c>
      <c r="BM108" s="17">
        <v>63.8</v>
      </c>
      <c r="BN108" s="17">
        <v>44</v>
      </c>
      <c r="BO108" s="17">
        <v>60</v>
      </c>
      <c r="BP108" s="17">
        <v>50</v>
      </c>
      <c r="BQ108" s="17">
        <v>23</v>
      </c>
      <c r="BR108" s="17">
        <v>40</v>
      </c>
      <c r="BS108" s="17">
        <v>28.2</v>
      </c>
      <c r="BT108" s="17">
        <v>27</v>
      </c>
      <c r="BU108" s="17">
        <v>51</v>
      </c>
      <c r="BV108" s="17">
        <v>36.7</v>
      </c>
      <c r="BW108" s="17">
        <v>44</v>
      </c>
      <c r="BX108" s="17">
        <v>80</v>
      </c>
      <c r="BY108" s="17">
        <v>55.6</v>
      </c>
      <c r="BZ108" s="17">
        <v>54</v>
      </c>
      <c r="CA108" s="17">
        <v>82</v>
      </c>
      <c r="CB108" s="17">
        <v>64.2</v>
      </c>
      <c r="CC108" s="17">
        <f aca="true" t="shared" si="42" ref="CC108:CH108">CC107/5.6</f>
        <v>45.639</v>
      </c>
      <c r="CD108" s="17">
        <f t="shared" si="42"/>
        <v>75.51180000000001</v>
      </c>
      <c r="CE108" s="17">
        <f t="shared" si="42"/>
        <v>58.00302000000001</v>
      </c>
      <c r="CF108" s="17">
        <f t="shared" si="42"/>
        <v>61.391999999999996</v>
      </c>
      <c r="CG108" s="17">
        <f t="shared" si="42"/>
        <v>75.20519999999999</v>
      </c>
      <c r="CH108" s="17">
        <f t="shared" si="42"/>
        <v>68.91252</v>
      </c>
      <c r="CK108" s="17">
        <v>66</v>
      </c>
      <c r="CL108" s="2" t="s">
        <v>160</v>
      </c>
      <c r="CM108" s="10"/>
    </row>
    <row r="109" spans="1:91" ht="15">
      <c r="A109" s="10"/>
      <c r="CM109" s="10"/>
    </row>
    <row r="110" spans="1:91" ht="15">
      <c r="A110" s="10" t="s">
        <v>158</v>
      </c>
      <c r="C110" s="2" t="s">
        <v>365</v>
      </c>
      <c r="D110" s="2" t="s">
        <v>385</v>
      </c>
      <c r="E110" s="2" t="s">
        <v>190</v>
      </c>
      <c r="F110" s="2" t="s">
        <v>69</v>
      </c>
      <c r="G110" s="2">
        <v>4</v>
      </c>
      <c r="H110" s="2">
        <v>8</v>
      </c>
      <c r="I110" s="2">
        <v>6.2</v>
      </c>
      <c r="J110" s="2">
        <v>6</v>
      </c>
      <c r="K110" s="2">
        <v>20</v>
      </c>
      <c r="L110" s="2">
        <v>13</v>
      </c>
      <c r="M110" s="2">
        <v>46</v>
      </c>
      <c r="N110" s="2">
        <v>47</v>
      </c>
      <c r="O110" s="2">
        <v>46.5</v>
      </c>
      <c r="U110" s="2">
        <v>100</v>
      </c>
      <c r="AB110" s="2">
        <v>150</v>
      </c>
      <c r="AC110" s="2">
        <v>350</v>
      </c>
      <c r="AD110" s="2">
        <v>225</v>
      </c>
      <c r="AE110" s="10" t="s">
        <v>158</v>
      </c>
      <c r="AF110" s="2">
        <v>250</v>
      </c>
      <c r="AG110" s="2">
        <v>300</v>
      </c>
      <c r="AH110" s="2">
        <f>(AG110+AF110)/2</f>
        <v>275</v>
      </c>
      <c r="AI110" s="2">
        <v>200</v>
      </c>
      <c r="AJ110" s="2">
        <v>300</v>
      </c>
      <c r="AK110" s="2">
        <f>(AJ110+AI110)/2</f>
        <v>250</v>
      </c>
      <c r="AO110" s="2">
        <v>320</v>
      </c>
      <c r="AP110" s="2">
        <v>360</v>
      </c>
      <c r="AQ110" s="2">
        <f>(AP110+AO110)/2</f>
        <v>340</v>
      </c>
      <c r="AU110" s="2">
        <v>330</v>
      </c>
      <c r="AV110" s="2">
        <v>600</v>
      </c>
      <c r="AW110" s="2">
        <f>(AV110+AU110)/2</f>
        <v>465</v>
      </c>
      <c r="AX110" s="2">
        <v>450</v>
      </c>
      <c r="AY110" s="2">
        <v>650</v>
      </c>
      <c r="AZ110" s="2">
        <f>(AY110+AX110)/2</f>
        <v>550</v>
      </c>
      <c r="BA110" s="10" t="s">
        <v>158</v>
      </c>
      <c r="BB110" s="2">
        <v>390</v>
      </c>
      <c r="BC110" s="2">
        <v>625</v>
      </c>
      <c r="BD110" s="2">
        <v>508</v>
      </c>
      <c r="BE110" s="10"/>
      <c r="BF110" s="10"/>
      <c r="BG110" s="10"/>
      <c r="BH110" s="10"/>
      <c r="BI110" s="10"/>
      <c r="BJ110" s="10"/>
      <c r="BK110" s="2">
        <v>800</v>
      </c>
      <c r="BL110" s="2">
        <v>1200</v>
      </c>
      <c r="BM110" s="2">
        <f>(BL110+BK110)/2</f>
        <v>1000</v>
      </c>
      <c r="CI110" s="10"/>
      <c r="CJ110" s="10"/>
      <c r="CL110" s="10" t="s">
        <v>159</v>
      </c>
      <c r="CM110" s="10"/>
    </row>
    <row r="111" spans="1:91" ht="15">
      <c r="A111" s="10"/>
      <c r="D111" s="2" t="s">
        <v>385</v>
      </c>
      <c r="E111" s="2" t="s">
        <v>190</v>
      </c>
      <c r="F111" s="2" t="s">
        <v>160</v>
      </c>
      <c r="G111" s="2">
        <f aca="true" t="shared" si="43" ref="G111:O111">G110*G3</f>
        <v>17.276</v>
      </c>
      <c r="H111" s="2">
        <f t="shared" si="43"/>
        <v>34.552</v>
      </c>
      <c r="I111" s="2">
        <f t="shared" si="43"/>
        <v>26.7778</v>
      </c>
      <c r="J111" s="2">
        <f t="shared" si="43"/>
        <v>22.512</v>
      </c>
      <c r="K111" s="2">
        <f t="shared" si="43"/>
        <v>75.03999999999999</v>
      </c>
      <c r="L111" s="2">
        <f t="shared" si="43"/>
        <v>48.775999999999996</v>
      </c>
      <c r="M111" s="2">
        <f t="shared" si="43"/>
        <v>172.59199999999998</v>
      </c>
      <c r="N111" s="2">
        <f t="shared" si="43"/>
        <v>176.344</v>
      </c>
      <c r="O111" s="2">
        <f t="shared" si="43"/>
        <v>174.468</v>
      </c>
      <c r="U111" s="2">
        <f>U110*U3</f>
        <v>241.2</v>
      </c>
      <c r="AB111" s="2">
        <f>AB110*AB3</f>
        <v>171.6</v>
      </c>
      <c r="AC111" s="2">
        <f>AC110*AC3</f>
        <v>400.4</v>
      </c>
      <c r="AD111" s="2">
        <f>AD110*AD3</f>
        <v>257.4</v>
      </c>
      <c r="AE111" s="2" t="s">
        <v>160</v>
      </c>
      <c r="AF111" s="2">
        <f aca="true" t="shared" si="44" ref="AF111:AK111">AF110*AF3</f>
        <v>288</v>
      </c>
      <c r="AG111" s="2">
        <f t="shared" si="44"/>
        <v>345.59999999999997</v>
      </c>
      <c r="AH111" s="2">
        <f t="shared" si="44"/>
        <v>316.79999999999995</v>
      </c>
      <c r="AI111" s="2">
        <f t="shared" si="44"/>
        <v>230.39999999999998</v>
      </c>
      <c r="AJ111" s="2">
        <f t="shared" si="44"/>
        <v>345.59999999999997</v>
      </c>
      <c r="AK111" s="2">
        <f t="shared" si="44"/>
        <v>288</v>
      </c>
      <c r="AO111" s="2">
        <f>AO110*AO3</f>
        <v>333.952</v>
      </c>
      <c r="AP111" s="2">
        <f>AP110*AP3</f>
        <v>375.696</v>
      </c>
      <c r="AQ111" s="2">
        <f>AQ110*AQ3</f>
        <v>354.824</v>
      </c>
      <c r="AU111" s="2">
        <f aca="true" t="shared" si="45" ref="AU111:AZ111">AU110*AU3</f>
        <v>315.15</v>
      </c>
      <c r="AV111" s="2">
        <f t="shared" si="45"/>
        <v>573</v>
      </c>
      <c r="AW111" s="2">
        <f t="shared" si="45"/>
        <v>444.075</v>
      </c>
      <c r="AX111" s="2">
        <f t="shared" si="45"/>
        <v>323.09999999999997</v>
      </c>
      <c r="AY111" s="2">
        <f t="shared" si="45"/>
        <v>466.7</v>
      </c>
      <c r="AZ111" s="2">
        <f t="shared" si="45"/>
        <v>394.9</v>
      </c>
      <c r="BA111" s="2" t="s">
        <v>160</v>
      </c>
      <c r="BB111" s="17">
        <f>BB110*BB3</f>
        <v>329.94</v>
      </c>
      <c r="BC111" s="17">
        <f>BC110*BC3</f>
        <v>528.75</v>
      </c>
      <c r="BD111" s="17">
        <f>BD110*BD3</f>
        <v>429.768</v>
      </c>
      <c r="BE111" s="10"/>
      <c r="BF111" s="10"/>
      <c r="BG111" s="10"/>
      <c r="BH111" s="10"/>
      <c r="BI111" s="10"/>
      <c r="BJ111" s="10"/>
      <c r="BK111" s="2">
        <f>BK110*BK3</f>
        <v>492.56</v>
      </c>
      <c r="BL111" s="2">
        <f>BL110*BL3</f>
        <v>738.84</v>
      </c>
      <c r="BM111" s="2">
        <f>BM110*BM3</f>
        <v>615.7</v>
      </c>
      <c r="CI111" s="10"/>
      <c r="CK111" s="17">
        <v>209.213333333333</v>
      </c>
      <c r="CL111" s="2" t="s">
        <v>160</v>
      </c>
      <c r="CM111" s="10"/>
    </row>
    <row r="112" spans="1:91" ht="15">
      <c r="A112" s="10"/>
      <c r="D112" s="2" t="s">
        <v>67</v>
      </c>
      <c r="E112" s="2" t="s">
        <v>68</v>
      </c>
      <c r="F112" s="2" t="s">
        <v>160</v>
      </c>
      <c r="G112" s="14">
        <f>G111/9.5</f>
        <v>1.8185263157894738</v>
      </c>
      <c r="H112" s="14">
        <f aca="true" t="shared" si="46" ref="H112:O112">H111/9.5</f>
        <v>3.6370526315789475</v>
      </c>
      <c r="I112" s="14">
        <f t="shared" si="46"/>
        <v>2.8187157894736843</v>
      </c>
      <c r="J112" s="14">
        <f t="shared" si="46"/>
        <v>2.369684210526316</v>
      </c>
      <c r="K112" s="14">
        <f t="shared" si="46"/>
        <v>7.898947368421052</v>
      </c>
      <c r="L112" s="14">
        <f t="shared" si="46"/>
        <v>5.134315789473684</v>
      </c>
      <c r="M112" s="14">
        <f t="shared" si="46"/>
        <v>18.16757894736842</v>
      </c>
      <c r="N112" s="14">
        <f t="shared" si="46"/>
        <v>18.562526315789473</v>
      </c>
      <c r="O112" s="14">
        <f t="shared" si="46"/>
        <v>18.365052631578948</v>
      </c>
      <c r="U112" s="2">
        <f>U111/9.5</f>
        <v>25.389473684210525</v>
      </c>
      <c r="AB112" s="2">
        <f>AB111/9.5</f>
        <v>18.063157894736843</v>
      </c>
      <c r="AC112" s="2">
        <f>AC111/9.5</f>
        <v>42.147368421052626</v>
      </c>
      <c r="AD112" s="2">
        <f>AD111/9.5</f>
        <v>27.09473684210526</v>
      </c>
      <c r="AE112" s="2" t="s">
        <v>160</v>
      </c>
      <c r="AF112" s="2">
        <f aca="true" t="shared" si="47" ref="AF112:AZ112">AF111/9.5</f>
        <v>30.31578947368421</v>
      </c>
      <c r="AG112" s="2">
        <f t="shared" si="47"/>
        <v>36.37894736842105</v>
      </c>
      <c r="AH112" s="2">
        <f t="shared" si="47"/>
        <v>33.34736842105263</v>
      </c>
      <c r="AI112" s="2">
        <f t="shared" si="47"/>
        <v>24.252631578947366</v>
      </c>
      <c r="AJ112" s="2">
        <f t="shared" si="47"/>
        <v>36.37894736842105</v>
      </c>
      <c r="AK112" s="2">
        <f t="shared" si="47"/>
        <v>30.31578947368421</v>
      </c>
      <c r="AL112" s="2" t="s">
        <v>213</v>
      </c>
      <c r="AO112" s="2">
        <f t="shared" si="47"/>
        <v>35.152842105263154</v>
      </c>
      <c r="AP112" s="2">
        <f t="shared" si="47"/>
        <v>39.54694736842106</v>
      </c>
      <c r="AQ112" s="2">
        <f t="shared" si="47"/>
        <v>37.34989473684211</v>
      </c>
      <c r="AU112" s="2">
        <f t="shared" si="47"/>
        <v>33.17368421052631</v>
      </c>
      <c r="AV112" s="2">
        <f t="shared" si="47"/>
        <v>60.31578947368421</v>
      </c>
      <c r="AW112" s="2">
        <f t="shared" si="47"/>
        <v>46.74473684210526</v>
      </c>
      <c r="AX112" s="2">
        <f t="shared" si="47"/>
        <v>34.01052631578947</v>
      </c>
      <c r="AY112" s="2">
        <f t="shared" si="47"/>
        <v>49.126315789473686</v>
      </c>
      <c r="AZ112" s="2">
        <f t="shared" si="47"/>
        <v>41.56842105263158</v>
      </c>
      <c r="BA112" s="2" t="s">
        <v>160</v>
      </c>
      <c r="BB112" s="17">
        <f>BB111/9.5</f>
        <v>34.730526315789476</v>
      </c>
      <c r="BC112" s="17">
        <f>BC111/9.5</f>
        <v>55.6578947368421</v>
      </c>
      <c r="BD112" s="17">
        <f>BD111/9.5</f>
        <v>45.23873684210526</v>
      </c>
      <c r="BE112" s="10"/>
      <c r="BF112" s="10"/>
      <c r="BG112" s="10"/>
      <c r="BH112" s="10"/>
      <c r="BI112" s="10"/>
      <c r="BJ112" s="10"/>
      <c r="BK112" s="2">
        <f>BK111/9.5</f>
        <v>51.84842105263158</v>
      </c>
      <c r="BL112" s="2">
        <f>BL111/9.5</f>
        <v>77.77263157894737</v>
      </c>
      <c r="BM112" s="2">
        <f>BM111/9.5</f>
        <v>64.81052631578947</v>
      </c>
      <c r="CF112" s="10"/>
      <c r="CG112" s="10"/>
      <c r="CH112" s="10"/>
      <c r="CI112" s="10"/>
      <c r="CJ112" s="10"/>
      <c r="CK112" s="17">
        <f>CK111/9.5</f>
        <v>22.02245614035084</v>
      </c>
      <c r="CL112" s="2" t="s">
        <v>160</v>
      </c>
      <c r="CM112" s="10"/>
    </row>
    <row r="113" spans="1:91" ht="15">
      <c r="A113" s="10"/>
      <c r="D113" s="2" t="s">
        <v>142</v>
      </c>
      <c r="F113" s="2" t="s">
        <v>140</v>
      </c>
      <c r="G113" s="14">
        <f>0.18*G112/16.38</f>
        <v>0.019983805668016198</v>
      </c>
      <c r="H113" s="14">
        <f aca="true" t="shared" si="48" ref="H113:O113">0.18*H112/16.38</f>
        <v>0.039967611336032396</v>
      </c>
      <c r="I113" s="13">
        <f t="shared" si="48"/>
        <v>0.0309748987854251</v>
      </c>
      <c r="J113" s="14">
        <f t="shared" si="48"/>
        <v>0.026040485829959516</v>
      </c>
      <c r="K113" s="14">
        <f t="shared" si="48"/>
        <v>0.08680161943319836</v>
      </c>
      <c r="L113" s="13">
        <f t="shared" si="48"/>
        <v>0.05642105263157895</v>
      </c>
      <c r="M113" s="14">
        <f t="shared" si="48"/>
        <v>0.19964372469635627</v>
      </c>
      <c r="N113" s="14">
        <f t="shared" si="48"/>
        <v>0.2039838056680162</v>
      </c>
      <c r="O113" s="13">
        <f t="shared" si="48"/>
        <v>0.20181376518218624</v>
      </c>
      <c r="U113" s="14">
        <f>0.18*U112/16.38</f>
        <v>0.2790052053209948</v>
      </c>
      <c r="AB113" s="14">
        <f>0.18*AB112/16.38</f>
        <v>0.19849624060150378</v>
      </c>
      <c r="AC113" s="14">
        <f>0.18*AC112/16.38</f>
        <v>0.46315789473684205</v>
      </c>
      <c r="AD113" s="14">
        <f>0.18*AD112/16.38</f>
        <v>0.2977443609022556</v>
      </c>
      <c r="AE113" s="2" t="s">
        <v>140</v>
      </c>
      <c r="AF113" s="14">
        <f aca="true" t="shared" si="49" ref="AF113:AK113">0.18*AF112/16.38</f>
        <v>0.3331405436668594</v>
      </c>
      <c r="AG113" s="14">
        <f t="shared" si="49"/>
        <v>0.39976865240023135</v>
      </c>
      <c r="AH113" s="14">
        <f t="shared" si="49"/>
        <v>0.3664545980335454</v>
      </c>
      <c r="AI113" s="14">
        <f t="shared" si="49"/>
        <v>0.26651243493348753</v>
      </c>
      <c r="AJ113" s="14">
        <f t="shared" si="49"/>
        <v>0.39976865240023135</v>
      </c>
      <c r="AK113" s="14">
        <f t="shared" si="49"/>
        <v>0.3331405436668594</v>
      </c>
      <c r="AL113" s="2" t="s">
        <v>214</v>
      </c>
      <c r="AN113" s="19">
        <f>AN102/0.799</f>
        <v>0.3005472557930372</v>
      </c>
      <c r="AO113" s="14">
        <f>0.18*AO112/16.38</f>
        <v>0.386294968189705</v>
      </c>
      <c r="AP113" s="14">
        <f>0.18*AP112/16.38</f>
        <v>0.43458183921341825</v>
      </c>
      <c r="AQ113" s="14">
        <f>0.18*AQ112/16.38</f>
        <v>0.41043840370156165</v>
      </c>
      <c r="AU113" s="14">
        <f aca="true" t="shared" si="50" ref="AU113:AZ113">0.18*AU112/16.38</f>
        <v>0.364545980335454</v>
      </c>
      <c r="AV113" s="14">
        <f t="shared" si="50"/>
        <v>0.6628108733371892</v>
      </c>
      <c r="AW113" s="14">
        <f t="shared" si="50"/>
        <v>0.5136784268363216</v>
      </c>
      <c r="AX113" s="14">
        <f t="shared" si="50"/>
        <v>0.3737420474262579</v>
      </c>
      <c r="AY113" s="14">
        <f t="shared" si="50"/>
        <v>0.5398496240601504</v>
      </c>
      <c r="AZ113" s="14">
        <f t="shared" si="50"/>
        <v>0.45679583574320415</v>
      </c>
      <c r="BA113" s="2" t="s">
        <v>140</v>
      </c>
      <c r="BB113" s="14">
        <f>0.18*BB112/16.38</f>
        <v>0.3816541353383459</v>
      </c>
      <c r="BC113" s="14">
        <f>0.18*BC112/16.38</f>
        <v>0.6116252168883747</v>
      </c>
      <c r="BD113" s="13">
        <f>0.18*BD112/16.38</f>
        <v>0.49712897628687097</v>
      </c>
      <c r="BE113" s="10"/>
      <c r="BF113" s="10"/>
      <c r="BG113" s="10"/>
      <c r="BH113" s="10"/>
      <c r="BI113" s="10"/>
      <c r="BJ113" s="10"/>
      <c r="BK113" s="14">
        <f>0.18*BK112/16.38</f>
        <v>0.5697628687102371</v>
      </c>
      <c r="BL113" s="14">
        <f>0.18*BL112/16.38</f>
        <v>0.8546443030653557</v>
      </c>
      <c r="BM113" s="14">
        <f>0.18*BM112/16.38</f>
        <v>0.7122035858877964</v>
      </c>
      <c r="CF113" s="10"/>
      <c r="CG113" s="10"/>
      <c r="CH113" s="10"/>
      <c r="CI113" s="10"/>
      <c r="CJ113" s="10"/>
      <c r="CK113" s="12">
        <f>0.18*CK112/16.38</f>
        <v>0.24200501253132792</v>
      </c>
      <c r="CL113" s="2" t="s">
        <v>140</v>
      </c>
      <c r="CM113" s="10"/>
    </row>
    <row r="114" spans="1:91" ht="15">
      <c r="A114" s="10"/>
      <c r="AE114" s="10"/>
      <c r="BE114" s="10"/>
      <c r="BF114" s="10"/>
      <c r="BG114" s="10"/>
      <c r="BH114" s="10"/>
      <c r="BI114" s="10"/>
      <c r="BJ114" s="10"/>
      <c r="CF114" s="10"/>
      <c r="CG114" s="10"/>
      <c r="CH114" s="10"/>
      <c r="CI114" s="10"/>
      <c r="CJ114" s="10"/>
      <c r="CM114" s="10"/>
    </row>
    <row r="115" spans="1:90" ht="15">
      <c r="A115" s="10" t="s">
        <v>366</v>
      </c>
      <c r="C115" s="2" t="s">
        <v>367</v>
      </c>
      <c r="D115" s="2" t="s">
        <v>385</v>
      </c>
      <c r="E115" s="2" t="s">
        <v>189</v>
      </c>
      <c r="F115" s="2" t="s">
        <v>69</v>
      </c>
      <c r="G115" s="2">
        <v>1.5</v>
      </c>
      <c r="H115" s="2">
        <v>4</v>
      </c>
      <c r="I115" s="2">
        <v>3.3</v>
      </c>
      <c r="L115" s="2">
        <v>8</v>
      </c>
      <c r="M115" s="2">
        <v>19</v>
      </c>
      <c r="N115" s="2">
        <v>20</v>
      </c>
      <c r="O115" s="2">
        <v>19.5</v>
      </c>
      <c r="AE115" s="10" t="s">
        <v>366</v>
      </c>
      <c r="AF115" s="2">
        <v>100</v>
      </c>
      <c r="AG115" s="2">
        <v>125</v>
      </c>
      <c r="AH115" s="2">
        <f>(AG115+AF115)/2</f>
        <v>112.5</v>
      </c>
      <c r="AO115" s="2">
        <v>150</v>
      </c>
      <c r="AP115" s="2">
        <v>200</v>
      </c>
      <c r="AQ115" s="2">
        <f>(AP115+AO115)/2</f>
        <v>175</v>
      </c>
      <c r="BA115" s="10" t="s">
        <v>366</v>
      </c>
      <c r="BE115" s="10"/>
      <c r="BF115" s="10"/>
      <c r="BG115" s="10"/>
      <c r="BH115" s="10"/>
      <c r="BI115" s="10"/>
      <c r="BJ115" s="10"/>
      <c r="CF115" s="10"/>
      <c r="CG115" s="10"/>
      <c r="CH115" s="10"/>
      <c r="CI115" s="10"/>
      <c r="CJ115" s="10"/>
      <c r="CL115" s="10" t="s">
        <v>256</v>
      </c>
    </row>
    <row r="116" spans="1:90" ht="15">
      <c r="A116" s="10"/>
      <c r="D116" s="2" t="s">
        <v>385</v>
      </c>
      <c r="E116" s="2" t="s">
        <v>189</v>
      </c>
      <c r="F116" s="2" t="s">
        <v>160</v>
      </c>
      <c r="G116" s="2">
        <f>G115*G3</f>
        <v>6.4785</v>
      </c>
      <c r="H116" s="2">
        <f>H115*H3</f>
        <v>17.276</v>
      </c>
      <c r="I116" s="2">
        <f>I115*I3</f>
        <v>14.252699999999999</v>
      </c>
      <c r="L116" s="2">
        <f>L115*L3</f>
        <v>30.016</v>
      </c>
      <c r="M116" s="2">
        <f>M115*M3</f>
        <v>71.288</v>
      </c>
      <c r="N116" s="2">
        <f>N115*N3</f>
        <v>75.03999999999999</v>
      </c>
      <c r="O116" s="2">
        <f>O115*O3</f>
        <v>73.164</v>
      </c>
      <c r="AE116" s="2" t="s">
        <v>160</v>
      </c>
      <c r="AF116" s="2">
        <f>AF115*AF3</f>
        <v>115.19999999999999</v>
      </c>
      <c r="AG116" s="2">
        <f>AG115*AG3</f>
        <v>144</v>
      </c>
      <c r="AO116" s="2">
        <f>AO115*AO3</f>
        <v>156.54000000000002</v>
      </c>
      <c r="AP116" s="2">
        <f>AP115*AP3</f>
        <v>208.72000000000003</v>
      </c>
      <c r="AR116" s="2">
        <f aca="true" t="shared" si="51" ref="AR116:AZ116">AR115*AR3</f>
        <v>0</v>
      </c>
      <c r="AS116" s="2">
        <f t="shared" si="51"/>
        <v>0</v>
      </c>
      <c r="AT116" s="2">
        <f t="shared" si="51"/>
        <v>0</v>
      </c>
      <c r="AU116" s="2">
        <f t="shared" si="51"/>
        <v>0</v>
      </c>
      <c r="AV116" s="2">
        <f t="shared" si="51"/>
        <v>0</v>
      </c>
      <c r="AW116" s="2">
        <f t="shared" si="51"/>
        <v>0</v>
      </c>
      <c r="AX116" s="2">
        <f t="shared" si="51"/>
        <v>0</v>
      </c>
      <c r="AY116" s="2">
        <f t="shared" si="51"/>
        <v>0</v>
      </c>
      <c r="AZ116" s="2">
        <f t="shared" si="51"/>
        <v>0</v>
      </c>
      <c r="BA116" s="2" t="s">
        <v>160</v>
      </c>
      <c r="BE116" s="10"/>
      <c r="BF116" s="10"/>
      <c r="BG116" s="10"/>
      <c r="BH116" s="10"/>
      <c r="BI116" s="10"/>
      <c r="BJ116" s="10"/>
      <c r="CF116" s="10"/>
      <c r="CG116" s="10"/>
      <c r="CH116" s="10"/>
      <c r="CI116" s="10"/>
      <c r="CL116" s="2" t="s">
        <v>160</v>
      </c>
    </row>
    <row r="117" spans="1:90" ht="15">
      <c r="A117" s="10"/>
      <c r="D117" s="2" t="s">
        <v>67</v>
      </c>
      <c r="E117" s="2" t="s">
        <v>68</v>
      </c>
      <c r="F117" s="2" t="s">
        <v>160</v>
      </c>
      <c r="AE117" s="2" t="s">
        <v>160</v>
      </c>
      <c r="AF117" s="2">
        <f aca="true" t="shared" si="52" ref="AF117:AZ117">AF116/7.2</f>
        <v>15.999999999999998</v>
      </c>
      <c r="AG117" s="2">
        <f t="shared" si="52"/>
        <v>20</v>
      </c>
      <c r="AO117" s="2">
        <f t="shared" si="52"/>
        <v>21.74166666666667</v>
      </c>
      <c r="AP117" s="2">
        <f t="shared" si="52"/>
        <v>28.98888888888889</v>
      </c>
      <c r="AR117" s="2">
        <f t="shared" si="52"/>
        <v>0</v>
      </c>
      <c r="AS117" s="2">
        <f t="shared" si="52"/>
        <v>0</v>
      </c>
      <c r="AT117" s="2">
        <f t="shared" si="52"/>
        <v>0</v>
      </c>
      <c r="AU117" s="2">
        <f t="shared" si="52"/>
        <v>0</v>
      </c>
      <c r="AV117" s="2">
        <f t="shared" si="52"/>
        <v>0</v>
      </c>
      <c r="AW117" s="2">
        <f t="shared" si="52"/>
        <v>0</v>
      </c>
      <c r="AX117" s="2">
        <f t="shared" si="52"/>
        <v>0</v>
      </c>
      <c r="AY117" s="2">
        <f t="shared" si="52"/>
        <v>0</v>
      </c>
      <c r="AZ117" s="2">
        <f t="shared" si="52"/>
        <v>0</v>
      </c>
      <c r="BA117" s="2" t="s">
        <v>160</v>
      </c>
      <c r="BE117" s="10"/>
      <c r="BF117" s="10"/>
      <c r="BG117" s="10"/>
      <c r="BH117" s="10"/>
      <c r="BI117" s="10"/>
      <c r="BJ117" s="10"/>
      <c r="CF117" s="10"/>
      <c r="CG117" s="10"/>
      <c r="CH117" s="10"/>
      <c r="CI117" s="10"/>
      <c r="CJ117" s="10"/>
      <c r="CL117" s="2" t="s">
        <v>160</v>
      </c>
    </row>
    <row r="118" spans="1:90" ht="15">
      <c r="A118" s="10" t="s">
        <v>368</v>
      </c>
      <c r="C118" s="2" t="s">
        <v>370</v>
      </c>
      <c r="D118" s="2" t="s">
        <v>67</v>
      </c>
      <c r="E118" s="2" t="s">
        <v>68</v>
      </c>
      <c r="F118" s="2" t="s">
        <v>69</v>
      </c>
      <c r="G118" s="2">
        <v>5.5</v>
      </c>
      <c r="H118" s="2">
        <v>10</v>
      </c>
      <c r="I118" s="2">
        <v>7.9</v>
      </c>
      <c r="Y118" s="2">
        <v>30</v>
      </c>
      <c r="Z118" s="2">
        <v>40</v>
      </c>
      <c r="AA118" s="2">
        <f>(Z118+Y118)/2</f>
        <v>35</v>
      </c>
      <c r="AE118" s="10" t="s">
        <v>368</v>
      </c>
      <c r="AF118" s="2">
        <v>50</v>
      </c>
      <c r="AG118" s="2">
        <v>110</v>
      </c>
      <c r="AH118" s="2">
        <v>73</v>
      </c>
      <c r="AI118" s="2">
        <v>60</v>
      </c>
      <c r="AJ118" s="2">
        <v>72</v>
      </c>
      <c r="AK118" s="2">
        <v>67</v>
      </c>
      <c r="AL118" s="2">
        <v>75</v>
      </c>
      <c r="AM118" s="2">
        <v>80</v>
      </c>
      <c r="AN118" s="2">
        <v>78</v>
      </c>
      <c r="AO118" s="2">
        <v>73</v>
      </c>
      <c r="AP118" s="2">
        <v>90</v>
      </c>
      <c r="AQ118" s="2">
        <v>82</v>
      </c>
      <c r="AR118" s="2">
        <v>85</v>
      </c>
      <c r="AS118" s="2">
        <v>110</v>
      </c>
      <c r="AT118" s="2">
        <v>105</v>
      </c>
      <c r="AU118" s="2">
        <v>120</v>
      </c>
      <c r="AV118" s="2">
        <v>280</v>
      </c>
      <c r="AW118" s="2">
        <v>146</v>
      </c>
      <c r="AX118" s="2">
        <v>234</v>
      </c>
      <c r="AY118" s="2">
        <v>280</v>
      </c>
      <c r="AZ118" s="2">
        <v>247</v>
      </c>
      <c r="BA118" s="10" t="s">
        <v>368</v>
      </c>
      <c r="BE118" s="10"/>
      <c r="BF118" s="10"/>
      <c r="BG118" s="10"/>
      <c r="BH118" s="10"/>
      <c r="BI118" s="10"/>
      <c r="BJ118" s="10"/>
      <c r="BM118" s="2">
        <v>250</v>
      </c>
      <c r="BQ118" s="10">
        <v>569</v>
      </c>
      <c r="BR118" s="10">
        <v>684</v>
      </c>
      <c r="BS118" s="10">
        <v>606</v>
      </c>
      <c r="BT118" s="10">
        <v>580</v>
      </c>
      <c r="BU118" s="10">
        <v>720</v>
      </c>
      <c r="BV118" s="10">
        <v>600</v>
      </c>
      <c r="CB118" s="10">
        <v>275</v>
      </c>
      <c r="CF118" s="10"/>
      <c r="CG118" s="10"/>
      <c r="CH118" s="10"/>
      <c r="CL118" s="10" t="s">
        <v>368</v>
      </c>
    </row>
    <row r="119" spans="1:90" ht="15">
      <c r="A119" s="10"/>
      <c r="D119" s="2" t="s">
        <v>67</v>
      </c>
      <c r="E119" s="2" t="s">
        <v>68</v>
      </c>
      <c r="F119" s="2" t="s">
        <v>160</v>
      </c>
      <c r="Y119" s="2">
        <f>Y118*Y3</f>
        <v>34.32</v>
      </c>
      <c r="Z119" s="2">
        <f>Z118*Z3</f>
        <v>45.76</v>
      </c>
      <c r="AA119" s="2">
        <f>AA118*AA3</f>
        <v>40.04</v>
      </c>
      <c r="AE119" s="2" t="s">
        <v>160</v>
      </c>
      <c r="AF119" s="2">
        <v>35</v>
      </c>
      <c r="AG119" s="2">
        <v>40</v>
      </c>
      <c r="AH119" s="2">
        <v>38</v>
      </c>
      <c r="AI119" s="2">
        <v>50</v>
      </c>
      <c r="AJ119" s="2">
        <v>60</v>
      </c>
      <c r="AK119" s="2">
        <v>55</v>
      </c>
      <c r="AL119" s="2">
        <v>60</v>
      </c>
      <c r="AM119" s="2">
        <v>70</v>
      </c>
      <c r="AN119" s="2">
        <v>65</v>
      </c>
      <c r="AO119" s="2">
        <v>70</v>
      </c>
      <c r="AP119" s="2">
        <v>80</v>
      </c>
      <c r="AQ119" s="2">
        <v>75</v>
      </c>
      <c r="AR119" s="2">
        <v>65</v>
      </c>
      <c r="AS119" s="2">
        <v>70</v>
      </c>
      <c r="AT119" s="2">
        <v>68</v>
      </c>
      <c r="AU119" s="2">
        <v>100</v>
      </c>
      <c r="AV119" s="2">
        <v>120</v>
      </c>
      <c r="AW119" s="2">
        <v>110</v>
      </c>
      <c r="AX119" s="2">
        <v>140</v>
      </c>
      <c r="AY119" s="2">
        <v>150</v>
      </c>
      <c r="AZ119" s="2">
        <v>145</v>
      </c>
      <c r="BA119" s="2" t="s">
        <v>160</v>
      </c>
      <c r="BE119" s="10"/>
      <c r="BF119" s="10"/>
      <c r="BG119" s="10"/>
      <c r="BH119" s="10"/>
      <c r="BI119" s="10"/>
      <c r="BJ119" s="10"/>
      <c r="BM119" s="2">
        <f>BM118*BM3</f>
        <v>153.925</v>
      </c>
      <c r="BQ119" s="2">
        <f aca="true" t="shared" si="53" ref="BQ119:BV119">BQ118*BQ3</f>
        <v>150.785</v>
      </c>
      <c r="BR119" s="2">
        <f t="shared" si="53"/>
        <v>181.26000000000002</v>
      </c>
      <c r="BS119" s="2">
        <f t="shared" si="53"/>
        <v>160.59</v>
      </c>
      <c r="BT119" s="2">
        <f t="shared" si="53"/>
        <v>159.674</v>
      </c>
      <c r="BU119" s="2">
        <f t="shared" si="53"/>
        <v>198.21599999999998</v>
      </c>
      <c r="BV119" s="2">
        <f t="shared" si="53"/>
        <v>165.18</v>
      </c>
      <c r="CB119" s="10">
        <f>CB118*CB3</f>
        <v>261.415</v>
      </c>
      <c r="CF119" s="10"/>
      <c r="CG119" s="10"/>
      <c r="CH119" s="10"/>
      <c r="CI119" s="10"/>
      <c r="CK119" s="17">
        <v>340.8</v>
      </c>
      <c r="CL119" s="2" t="s">
        <v>160</v>
      </c>
    </row>
    <row r="120" spans="1:90" ht="15">
      <c r="A120" s="10"/>
      <c r="D120" s="2" t="s">
        <v>142</v>
      </c>
      <c r="F120" s="2" t="s">
        <v>140</v>
      </c>
      <c r="Y120" s="14">
        <f>0.18*Y119/16.38</f>
        <v>0.37714285714285717</v>
      </c>
      <c r="Z120" s="14">
        <f>0.18*Z119/16.38</f>
        <v>0.5028571428571428</v>
      </c>
      <c r="AA120" s="13">
        <f>0.18*AA119/16.38</f>
        <v>0.44</v>
      </c>
      <c r="AE120" s="2" t="s">
        <v>140</v>
      </c>
      <c r="AF120" s="14">
        <f aca="true" t="shared" si="54" ref="AF120:AZ120">0.18*AF119/16.38</f>
        <v>0.38461538461538464</v>
      </c>
      <c r="AG120" s="14">
        <f t="shared" si="54"/>
        <v>0.43956043956043955</v>
      </c>
      <c r="AH120" s="13">
        <f t="shared" si="54"/>
        <v>0.4175824175824176</v>
      </c>
      <c r="AI120" s="14">
        <f t="shared" si="54"/>
        <v>0.5494505494505495</v>
      </c>
      <c r="AJ120" s="14">
        <f t="shared" si="54"/>
        <v>0.6593406593406593</v>
      </c>
      <c r="AK120" s="13">
        <f t="shared" si="54"/>
        <v>0.6043956043956045</v>
      </c>
      <c r="AL120" s="14">
        <f t="shared" si="54"/>
        <v>0.6593406593406593</v>
      </c>
      <c r="AM120" s="14">
        <f t="shared" si="54"/>
        <v>0.7692307692307693</v>
      </c>
      <c r="AN120" s="13">
        <f t="shared" si="54"/>
        <v>0.7142857142857143</v>
      </c>
      <c r="AO120" s="14">
        <f t="shared" si="54"/>
        <v>0.7692307692307693</v>
      </c>
      <c r="AP120" s="14">
        <f t="shared" si="54"/>
        <v>0.8791208791208791</v>
      </c>
      <c r="AQ120" s="13">
        <f t="shared" si="54"/>
        <v>0.8241758241758242</v>
      </c>
      <c r="AR120" s="14">
        <f t="shared" si="54"/>
        <v>0.7142857142857143</v>
      </c>
      <c r="AS120" s="14">
        <f t="shared" si="54"/>
        <v>0.7692307692307693</v>
      </c>
      <c r="AT120" s="13">
        <f t="shared" si="54"/>
        <v>0.7472527472527473</v>
      </c>
      <c r="AU120" s="14">
        <f t="shared" si="54"/>
        <v>1.098901098901099</v>
      </c>
      <c r="AV120" s="14">
        <f t="shared" si="54"/>
        <v>1.3186813186813187</v>
      </c>
      <c r="AW120" s="13">
        <f t="shared" si="54"/>
        <v>1.208791208791209</v>
      </c>
      <c r="AX120" s="14">
        <f t="shared" si="54"/>
        <v>1.5384615384615385</v>
      </c>
      <c r="AY120" s="14">
        <f t="shared" si="54"/>
        <v>1.6483516483516485</v>
      </c>
      <c r="AZ120" s="13">
        <f t="shared" si="54"/>
        <v>1.5934065934065933</v>
      </c>
      <c r="BA120" s="2" t="s">
        <v>140</v>
      </c>
      <c r="BE120" s="10"/>
      <c r="BF120" s="10"/>
      <c r="BG120" s="10"/>
      <c r="BH120" s="10"/>
      <c r="BI120" s="10"/>
      <c r="BJ120" s="10"/>
      <c r="BM120" s="14">
        <f>0.18*BM119/16.38</f>
        <v>1.6914835164835167</v>
      </c>
      <c r="BQ120" s="35">
        <f aca="true" t="shared" si="55" ref="BQ120:BV120">0.18*BQ119/16.38</f>
        <v>1.656978021978022</v>
      </c>
      <c r="BR120" s="35">
        <f t="shared" si="55"/>
        <v>1.9918681318681322</v>
      </c>
      <c r="BS120" s="36">
        <f t="shared" si="55"/>
        <v>1.7647252747252746</v>
      </c>
      <c r="BT120" s="35">
        <f t="shared" si="55"/>
        <v>1.754659340659341</v>
      </c>
      <c r="BU120" s="35">
        <f t="shared" si="55"/>
        <v>2.178197802197802</v>
      </c>
      <c r="BV120" s="36">
        <f t="shared" si="55"/>
        <v>1.815164835164835</v>
      </c>
      <c r="CB120" s="35">
        <f>0.18*CB119/16.38</f>
        <v>2.8726923076923083</v>
      </c>
      <c r="CF120" s="10"/>
      <c r="CG120" s="10"/>
      <c r="CH120" s="10"/>
      <c r="CI120" s="10"/>
      <c r="CK120" s="36">
        <f>0.18*CK119/16.38</f>
        <v>3.7450549450549455</v>
      </c>
      <c r="CL120" s="2" t="s">
        <v>140</v>
      </c>
    </row>
    <row r="121" spans="1:87" ht="15">
      <c r="A121" s="10"/>
      <c r="BE121" s="10"/>
      <c r="BF121" s="10"/>
      <c r="BG121" s="10"/>
      <c r="BH121" s="10"/>
      <c r="BI121" s="10"/>
      <c r="BJ121" s="10"/>
      <c r="CB121" s="10"/>
      <c r="CI121" s="10"/>
    </row>
    <row r="122" spans="1:90" ht="15">
      <c r="A122" s="10" t="s">
        <v>208</v>
      </c>
      <c r="C122" s="2" t="s">
        <v>372</v>
      </c>
      <c r="D122" s="2" t="s">
        <v>67</v>
      </c>
      <c r="E122" s="2" t="s">
        <v>68</v>
      </c>
      <c r="F122" s="2" t="s">
        <v>69</v>
      </c>
      <c r="I122" s="2">
        <v>17</v>
      </c>
      <c r="M122" s="2">
        <v>57.5</v>
      </c>
      <c r="N122" s="2">
        <v>60</v>
      </c>
      <c r="O122" s="2">
        <v>58.8</v>
      </c>
      <c r="Y122" s="2">
        <v>150</v>
      </c>
      <c r="Z122" s="2">
        <v>180</v>
      </c>
      <c r="AA122" s="2">
        <v>160</v>
      </c>
      <c r="AB122" s="2">
        <v>180</v>
      </c>
      <c r="AC122" s="2">
        <v>200</v>
      </c>
      <c r="AD122" s="2">
        <f>(AC122+AB122)/2</f>
        <v>190</v>
      </c>
      <c r="AE122" s="10" t="s">
        <v>208</v>
      </c>
      <c r="AF122" s="2">
        <v>125</v>
      </c>
      <c r="AG122" s="2">
        <v>200</v>
      </c>
      <c r="AH122" s="2">
        <v>175</v>
      </c>
      <c r="AI122" s="2">
        <v>130</v>
      </c>
      <c r="AJ122" s="2">
        <v>196</v>
      </c>
      <c r="AK122" s="2">
        <v>163</v>
      </c>
      <c r="AN122" s="2">
        <v>180</v>
      </c>
      <c r="AO122" s="2">
        <v>230</v>
      </c>
      <c r="AP122" s="2">
        <v>250</v>
      </c>
      <c r="AQ122" s="2">
        <v>240</v>
      </c>
      <c r="AR122" s="2">
        <v>250</v>
      </c>
      <c r="AS122" s="2">
        <v>350</v>
      </c>
      <c r="AT122" s="2">
        <v>310</v>
      </c>
      <c r="AU122" s="2">
        <v>325</v>
      </c>
      <c r="AV122" s="2">
        <v>480</v>
      </c>
      <c r="AW122" s="2">
        <v>362</v>
      </c>
      <c r="AX122" s="2">
        <v>480</v>
      </c>
      <c r="AY122" s="2">
        <v>800</v>
      </c>
      <c r="AZ122" s="2">
        <v>644</v>
      </c>
      <c r="BA122" s="10" t="s">
        <v>208</v>
      </c>
      <c r="BE122" s="10"/>
      <c r="BF122" s="10"/>
      <c r="BG122" s="10"/>
      <c r="BH122" s="10"/>
      <c r="BI122" s="10"/>
      <c r="BJ122" s="10"/>
      <c r="BK122" s="2">
        <v>640</v>
      </c>
      <c r="BL122" s="2">
        <v>800</v>
      </c>
      <c r="BM122" s="2">
        <v>720</v>
      </c>
      <c r="CL122" s="10" t="s">
        <v>257</v>
      </c>
    </row>
    <row r="123" spans="1:90" ht="15">
      <c r="A123" s="10"/>
      <c r="D123" s="2" t="s">
        <v>67</v>
      </c>
      <c r="E123" s="2" t="s">
        <v>68</v>
      </c>
      <c r="F123" s="2" t="s">
        <v>160</v>
      </c>
      <c r="I123" s="2">
        <f>I122*I3</f>
        <v>73.423</v>
      </c>
      <c r="M123" s="2">
        <f>M122*M3</f>
        <v>215.73999999999998</v>
      </c>
      <c r="N123" s="2">
        <f>N122*N3</f>
        <v>225.11999999999998</v>
      </c>
      <c r="O123" s="2">
        <f>O122*O3</f>
        <v>220.61759999999998</v>
      </c>
      <c r="Y123" s="2">
        <f aca="true" t="shared" si="56" ref="Y123:AD123">Y122*Y3</f>
        <v>171.6</v>
      </c>
      <c r="Z123" s="2">
        <f t="shared" si="56"/>
        <v>205.92</v>
      </c>
      <c r="AA123" s="2">
        <f t="shared" si="56"/>
        <v>183.04</v>
      </c>
      <c r="AB123" s="2">
        <f t="shared" si="56"/>
        <v>205.92</v>
      </c>
      <c r="AC123" s="2">
        <f t="shared" si="56"/>
        <v>228.79999999999998</v>
      </c>
      <c r="AD123" s="2">
        <f t="shared" si="56"/>
        <v>217.35999999999999</v>
      </c>
      <c r="AE123" s="2" t="s">
        <v>160</v>
      </c>
      <c r="AF123" s="2">
        <v>130</v>
      </c>
      <c r="AG123" s="2">
        <v>140</v>
      </c>
      <c r="AH123" s="2">
        <v>135</v>
      </c>
      <c r="AI123" s="2">
        <v>170</v>
      </c>
      <c r="AJ123" s="2">
        <v>180</v>
      </c>
      <c r="AK123" s="2">
        <v>175</v>
      </c>
      <c r="AL123" s="2">
        <v>175</v>
      </c>
      <c r="AM123" s="2">
        <v>185</v>
      </c>
      <c r="AN123" s="2">
        <v>180</v>
      </c>
      <c r="AO123" s="2">
        <v>200</v>
      </c>
      <c r="AP123" s="2">
        <v>210</v>
      </c>
      <c r="AQ123" s="2">
        <v>205</v>
      </c>
      <c r="AR123" s="2">
        <v>240</v>
      </c>
      <c r="AS123" s="2">
        <v>250</v>
      </c>
      <c r="AT123" s="2">
        <v>245</v>
      </c>
      <c r="AU123" s="2">
        <v>290</v>
      </c>
      <c r="AV123" s="2">
        <v>310</v>
      </c>
      <c r="AW123" s="2">
        <v>300</v>
      </c>
      <c r="AX123" s="2">
        <v>450</v>
      </c>
      <c r="AY123" s="2">
        <v>600</v>
      </c>
      <c r="AZ123" s="2">
        <v>525</v>
      </c>
      <c r="BA123" s="2" t="s">
        <v>160</v>
      </c>
      <c r="BE123" s="10"/>
      <c r="BF123" s="10"/>
      <c r="BG123" s="10"/>
      <c r="BH123" s="10"/>
      <c r="BI123" s="10"/>
      <c r="BJ123" s="10"/>
      <c r="BK123" s="2">
        <f>BK122*BK3</f>
        <v>394.048</v>
      </c>
      <c r="BL123" s="2">
        <f>BL122*BL3</f>
        <v>492.56</v>
      </c>
      <c r="BM123" s="2">
        <f>BM122*BM3</f>
        <v>443.30400000000003</v>
      </c>
      <c r="CK123" s="17">
        <v>781</v>
      </c>
      <c r="CL123" s="2" t="s">
        <v>160</v>
      </c>
    </row>
    <row r="124" spans="1:90" ht="15">
      <c r="A124" s="10" t="s">
        <v>373</v>
      </c>
      <c r="B124" s="2" t="s">
        <v>374</v>
      </c>
      <c r="C124" s="2" t="s">
        <v>375</v>
      </c>
      <c r="D124" s="2" t="s">
        <v>67</v>
      </c>
      <c r="E124" s="2" t="s">
        <v>68</v>
      </c>
      <c r="F124" s="2" t="s">
        <v>69</v>
      </c>
      <c r="M124" s="2">
        <v>46</v>
      </c>
      <c r="N124" s="2">
        <v>48</v>
      </c>
      <c r="O124" s="2">
        <v>47</v>
      </c>
      <c r="S124" s="2">
        <v>90</v>
      </c>
      <c r="T124" s="2">
        <v>110</v>
      </c>
      <c r="U124" s="2">
        <f>(T124+S124)/2</f>
        <v>100</v>
      </c>
      <c r="V124" s="2">
        <v>80</v>
      </c>
      <c r="W124" s="2">
        <v>100</v>
      </c>
      <c r="X124" s="2">
        <v>90</v>
      </c>
      <c r="Y124" s="2">
        <v>50</v>
      </c>
      <c r="Z124" s="2">
        <v>120</v>
      </c>
      <c r="AA124" s="2">
        <v>100</v>
      </c>
      <c r="AB124" s="2">
        <v>100</v>
      </c>
      <c r="AC124" s="2">
        <v>140</v>
      </c>
      <c r="AD124" s="2">
        <v>120</v>
      </c>
      <c r="AE124" s="2" t="s">
        <v>373</v>
      </c>
      <c r="AF124" s="2">
        <v>145</v>
      </c>
      <c r="AG124" s="2">
        <v>155</v>
      </c>
      <c r="AH124" s="2">
        <v>150</v>
      </c>
      <c r="AI124" s="2">
        <v>140</v>
      </c>
      <c r="AJ124" s="2">
        <v>150</v>
      </c>
      <c r="AK124" s="2">
        <v>145</v>
      </c>
      <c r="AL124" s="2">
        <v>150</v>
      </c>
      <c r="AM124" s="2">
        <v>180</v>
      </c>
      <c r="AN124" s="2">
        <v>165</v>
      </c>
      <c r="AO124" s="2">
        <v>185</v>
      </c>
      <c r="AP124" s="2">
        <v>220</v>
      </c>
      <c r="AQ124" s="2">
        <v>205</v>
      </c>
      <c r="AR124" s="2">
        <v>240</v>
      </c>
      <c r="AS124" s="2">
        <v>260</v>
      </c>
      <c r="AT124" s="2">
        <v>250</v>
      </c>
      <c r="AU124" s="2">
        <v>260</v>
      </c>
      <c r="AV124" s="2">
        <v>350</v>
      </c>
      <c r="AW124" s="2">
        <v>305</v>
      </c>
      <c r="AX124" s="2">
        <v>400</v>
      </c>
      <c r="AY124" s="2">
        <v>510</v>
      </c>
      <c r="AZ124" s="2">
        <v>450</v>
      </c>
      <c r="BA124" s="10" t="s">
        <v>373</v>
      </c>
      <c r="BE124" s="10"/>
      <c r="BF124" s="10"/>
      <c r="BG124" s="10"/>
      <c r="BH124" s="10"/>
      <c r="BI124" s="10"/>
      <c r="BJ124" s="10"/>
      <c r="BK124" s="2">
        <v>520</v>
      </c>
      <c r="BL124" s="2">
        <v>570</v>
      </c>
      <c r="BM124" s="2">
        <f>(BL124+BK124)/2</f>
        <v>545</v>
      </c>
      <c r="CL124" s="10" t="s">
        <v>373</v>
      </c>
    </row>
    <row r="125" spans="1:90" ht="15">
      <c r="A125" s="10"/>
      <c r="F125" s="2" t="s">
        <v>160</v>
      </c>
      <c r="M125" s="2">
        <f aca="true" t="shared" si="57" ref="M125:AD125">M124*M3</f>
        <v>172.59199999999998</v>
      </c>
      <c r="N125" s="2">
        <f t="shared" si="57"/>
        <v>180.096</v>
      </c>
      <c r="O125" s="2">
        <f t="shared" si="57"/>
        <v>176.344</v>
      </c>
      <c r="S125" s="2">
        <f t="shared" si="57"/>
        <v>217.07999999999998</v>
      </c>
      <c r="T125" s="2">
        <f t="shared" si="57"/>
        <v>265.32</v>
      </c>
      <c r="U125" s="2">
        <f t="shared" si="57"/>
        <v>241.2</v>
      </c>
      <c r="V125" s="2">
        <f t="shared" si="57"/>
        <v>131.28</v>
      </c>
      <c r="W125" s="2">
        <f t="shared" si="57"/>
        <v>164.1</v>
      </c>
      <c r="X125" s="2">
        <f t="shared" si="57"/>
        <v>147.69</v>
      </c>
      <c r="Y125" s="2">
        <f t="shared" si="57"/>
        <v>57.199999999999996</v>
      </c>
      <c r="Z125" s="2">
        <f t="shared" si="57"/>
        <v>137.28</v>
      </c>
      <c r="AA125" s="2">
        <f t="shared" si="57"/>
        <v>114.39999999999999</v>
      </c>
      <c r="AB125" s="2">
        <f t="shared" si="57"/>
        <v>114.39999999999999</v>
      </c>
      <c r="AC125" s="2">
        <f t="shared" si="57"/>
        <v>160.16</v>
      </c>
      <c r="AD125" s="2">
        <f t="shared" si="57"/>
        <v>137.28</v>
      </c>
      <c r="AE125" s="2" t="s">
        <v>160</v>
      </c>
      <c r="AF125" s="2">
        <f aca="true" t="shared" si="58" ref="AF125:AZ125">AF124*AF3</f>
        <v>167.04</v>
      </c>
      <c r="AG125" s="2">
        <f t="shared" si="58"/>
        <v>178.55999999999997</v>
      </c>
      <c r="AH125" s="2">
        <f t="shared" si="58"/>
        <v>172.79999999999998</v>
      </c>
      <c r="AI125" s="2">
        <f t="shared" si="58"/>
        <v>161.28</v>
      </c>
      <c r="AJ125" s="2">
        <f t="shared" si="58"/>
        <v>172.79999999999998</v>
      </c>
      <c r="AK125" s="2">
        <f t="shared" si="58"/>
        <v>167.04</v>
      </c>
      <c r="AL125" s="2">
        <f t="shared" si="58"/>
        <v>172.79999999999998</v>
      </c>
      <c r="AM125" s="2">
        <f t="shared" si="58"/>
        <v>207.35999999999999</v>
      </c>
      <c r="AN125" s="2">
        <f t="shared" si="58"/>
        <v>190.07999999999998</v>
      </c>
      <c r="AO125" s="2">
        <f t="shared" si="58"/>
        <v>193.066</v>
      </c>
      <c r="AP125" s="2">
        <f t="shared" si="58"/>
        <v>229.592</v>
      </c>
      <c r="AQ125" s="2">
        <f t="shared" si="58"/>
        <v>213.93800000000002</v>
      </c>
      <c r="AR125" s="2">
        <f t="shared" si="58"/>
        <v>236.4</v>
      </c>
      <c r="AS125" s="2">
        <f t="shared" si="58"/>
        <v>256.1</v>
      </c>
      <c r="AT125" s="2">
        <f t="shared" si="58"/>
        <v>246.25</v>
      </c>
      <c r="AU125" s="2">
        <f t="shared" si="58"/>
        <v>248.29999999999998</v>
      </c>
      <c r="AV125" s="2">
        <f t="shared" si="58"/>
        <v>334.25</v>
      </c>
      <c r="AW125" s="2">
        <f t="shared" si="58"/>
        <v>291.275</v>
      </c>
      <c r="AX125" s="2">
        <f t="shared" si="58"/>
        <v>287.2</v>
      </c>
      <c r="AY125" s="2">
        <f t="shared" si="58"/>
        <v>366.18</v>
      </c>
      <c r="AZ125" s="2">
        <f t="shared" si="58"/>
        <v>323.09999999999997</v>
      </c>
      <c r="BA125" s="2" t="s">
        <v>160</v>
      </c>
      <c r="BE125" s="10"/>
      <c r="BF125" s="10"/>
      <c r="BG125" s="10"/>
      <c r="BH125" s="10"/>
      <c r="BI125" s="10"/>
      <c r="BJ125" s="10"/>
      <c r="BK125" s="2">
        <f>BK124*BK3</f>
        <v>320.164</v>
      </c>
      <c r="BL125" s="2">
        <f>BL124*BL3</f>
        <v>350.949</v>
      </c>
      <c r="BM125" s="2">
        <f>BM124*BM3</f>
        <v>335.5565</v>
      </c>
      <c r="CK125" s="17">
        <v>511.2</v>
      </c>
      <c r="CL125" s="2" t="s">
        <v>160</v>
      </c>
    </row>
    <row r="126" spans="1:62" ht="15">
      <c r="A126" s="10"/>
      <c r="BE126" s="10"/>
      <c r="BF126" s="10"/>
      <c r="BG126" s="10"/>
      <c r="BH126" s="10"/>
      <c r="BI126" s="10"/>
      <c r="BJ126" s="10"/>
    </row>
    <row r="127" spans="1:90" ht="15">
      <c r="A127" s="10" t="s">
        <v>376</v>
      </c>
      <c r="C127" s="2" t="s">
        <v>377</v>
      </c>
      <c r="D127" s="2" t="s">
        <v>67</v>
      </c>
      <c r="E127" s="2" t="s">
        <v>68</v>
      </c>
      <c r="F127" s="2" t="s">
        <v>69</v>
      </c>
      <c r="AE127" s="10" t="s">
        <v>376</v>
      </c>
      <c r="AO127" s="2">
        <v>240</v>
      </c>
      <c r="AP127" s="2">
        <v>250</v>
      </c>
      <c r="AQ127" s="2">
        <v>245</v>
      </c>
      <c r="AX127" s="2">
        <v>320</v>
      </c>
      <c r="AY127" s="2">
        <v>400</v>
      </c>
      <c r="AZ127" s="2">
        <f>(AY127+AX127)/2</f>
        <v>360</v>
      </c>
      <c r="BA127" s="10" t="s">
        <v>376</v>
      </c>
      <c r="BE127" s="10"/>
      <c r="BF127" s="10"/>
      <c r="BG127" s="10"/>
      <c r="BH127" s="10"/>
      <c r="BI127" s="10"/>
      <c r="BJ127" s="10"/>
      <c r="CL127" s="10" t="s">
        <v>376</v>
      </c>
    </row>
    <row r="128" spans="1:90" ht="15">
      <c r="A128" s="10"/>
      <c r="F128" s="2" t="s">
        <v>160</v>
      </c>
      <c r="AE128" s="2" t="s">
        <v>160</v>
      </c>
      <c r="AO128" s="2">
        <f>AO127*AO3</f>
        <v>250.46400000000003</v>
      </c>
      <c r="AP128" s="2">
        <f>AP127*AP3</f>
        <v>260.90000000000003</v>
      </c>
      <c r="AQ128" s="2">
        <f>AQ127*AQ3</f>
        <v>255.68200000000002</v>
      </c>
      <c r="AX128" s="2">
        <f>AX127*AX3</f>
        <v>229.76</v>
      </c>
      <c r="AY128" s="2">
        <f>AY127*AY3</f>
        <v>287.2</v>
      </c>
      <c r="AZ128" s="2">
        <f>AZ127*AZ3</f>
        <v>258.48</v>
      </c>
      <c r="BA128" s="2" t="s">
        <v>160</v>
      </c>
      <c r="BE128" s="10"/>
      <c r="BF128" s="10"/>
      <c r="BG128" s="10"/>
      <c r="BH128" s="10"/>
      <c r="BI128" s="10"/>
      <c r="BJ128" s="10"/>
      <c r="CL128" s="2" t="s">
        <v>160</v>
      </c>
    </row>
    <row r="129" spans="1:62" ht="15">
      <c r="A129" s="10"/>
      <c r="F129" s="2" t="s">
        <v>140</v>
      </c>
      <c r="AE129" s="2" t="s">
        <v>140</v>
      </c>
      <c r="AO129" s="2">
        <f>0.18*AO128/16.38</f>
        <v>2.7523516483516484</v>
      </c>
      <c r="AP129" s="2">
        <f>0.18*AP128/16.38</f>
        <v>2.8670329670329675</v>
      </c>
      <c r="AQ129" s="14">
        <f>0.18*AQ128/16.38</f>
        <v>2.8096923076923077</v>
      </c>
      <c r="AX129" s="14">
        <f>0.18*AX128/16.38</f>
        <v>2.524835164835165</v>
      </c>
      <c r="AY129" s="14">
        <f>0.18*AY128/16.38</f>
        <v>3.156043956043956</v>
      </c>
      <c r="AZ129" s="13">
        <f>0.18*AZ128/16.38</f>
        <v>2.840439560439561</v>
      </c>
      <c r="BE129" s="10"/>
      <c r="BF129" s="10"/>
      <c r="BG129" s="10"/>
      <c r="BH129" s="10"/>
      <c r="BI129" s="10"/>
      <c r="BJ129" s="10"/>
    </row>
    <row r="130" spans="1:62" ht="15">
      <c r="A130" s="10"/>
      <c r="BE130" s="10"/>
      <c r="BF130" s="10"/>
      <c r="BG130" s="10"/>
      <c r="BH130" s="10"/>
      <c r="BI130" s="10"/>
      <c r="BJ130" s="10"/>
    </row>
    <row r="131" spans="1:90" ht="15">
      <c r="A131" s="10" t="s">
        <v>378</v>
      </c>
      <c r="C131" s="2" t="s">
        <v>379</v>
      </c>
      <c r="D131" s="2" t="s">
        <v>67</v>
      </c>
      <c r="E131" s="2" t="s">
        <v>68</v>
      </c>
      <c r="F131" s="2" t="s">
        <v>69</v>
      </c>
      <c r="Y131" s="2">
        <v>150</v>
      </c>
      <c r="Z131" s="2">
        <v>200</v>
      </c>
      <c r="AA131" s="2">
        <v>190</v>
      </c>
      <c r="AE131" s="10" t="s">
        <v>378</v>
      </c>
      <c r="AX131" s="2">
        <v>800</v>
      </c>
      <c r="AY131" s="2">
        <v>1000</v>
      </c>
      <c r="AZ131" s="2">
        <f>(AY131+AX131)/2</f>
        <v>900</v>
      </c>
      <c r="BA131" s="10" t="s">
        <v>378</v>
      </c>
      <c r="BB131" s="10"/>
      <c r="BC131" s="10"/>
      <c r="BD131" s="10"/>
      <c r="BE131" s="10"/>
      <c r="BF131" s="10"/>
      <c r="BG131" s="10"/>
      <c r="BH131" s="10"/>
      <c r="BI131" s="10"/>
      <c r="BJ131" s="10"/>
      <c r="BK131" s="2">
        <v>1000</v>
      </c>
      <c r="BL131" s="2">
        <v>1200</v>
      </c>
      <c r="BM131" s="2">
        <f>(BL131+BK131)/2</f>
        <v>1100</v>
      </c>
      <c r="CL131" s="10" t="s">
        <v>378</v>
      </c>
    </row>
    <row r="132" spans="1:90" ht="15">
      <c r="A132" s="10"/>
      <c r="F132" s="2" t="s">
        <v>160</v>
      </c>
      <c r="Y132" s="2">
        <f>Y131*Y3</f>
        <v>171.6</v>
      </c>
      <c r="Z132" s="2">
        <f>Z131*Z3</f>
        <v>228.79999999999998</v>
      </c>
      <c r="AA132" s="2">
        <f>AA131*AA3</f>
        <v>217.35999999999999</v>
      </c>
      <c r="AE132" s="2" t="s">
        <v>160</v>
      </c>
      <c r="AX132" s="2">
        <f>AX131*AX3</f>
        <v>574.4</v>
      </c>
      <c r="AY132" s="2">
        <f>AY131*AY3</f>
        <v>718</v>
      </c>
      <c r="AZ132" s="2">
        <f>AZ131*AZ3</f>
        <v>646.1999999999999</v>
      </c>
      <c r="BA132" s="2" t="s">
        <v>160</v>
      </c>
      <c r="BB132" s="10"/>
      <c r="BC132" s="10"/>
      <c r="BD132" s="10"/>
      <c r="BE132" s="10"/>
      <c r="BF132" s="10"/>
      <c r="BG132" s="10"/>
      <c r="BH132" s="10"/>
      <c r="BI132" s="10"/>
      <c r="BJ132" s="10"/>
      <c r="BK132" s="2">
        <f>BK131*BK3</f>
        <v>615.7</v>
      </c>
      <c r="BL132" s="2">
        <f>BL131*BL3</f>
        <v>738.84</v>
      </c>
      <c r="BM132" s="2">
        <f>BM131*BM3</f>
        <v>677.27</v>
      </c>
      <c r="CK132" s="17">
        <v>440.2</v>
      </c>
      <c r="CL132" s="2" t="s">
        <v>160</v>
      </c>
    </row>
    <row r="133" spans="1:90" ht="15">
      <c r="A133" s="10" t="s">
        <v>145</v>
      </c>
      <c r="C133" s="2" t="s">
        <v>380</v>
      </c>
      <c r="D133" s="2" t="s">
        <v>67</v>
      </c>
      <c r="E133" s="2" t="s">
        <v>68</v>
      </c>
      <c r="F133" s="2" t="s">
        <v>69</v>
      </c>
      <c r="AE133" s="10" t="s">
        <v>145</v>
      </c>
      <c r="AF133" s="2">
        <v>1000</v>
      </c>
      <c r="AG133" s="2">
        <v>1100</v>
      </c>
      <c r="AH133" s="2">
        <f>(AG133+AF133)/2</f>
        <v>1050</v>
      </c>
      <c r="AX133" s="2">
        <v>2300</v>
      </c>
      <c r="AY133" s="2">
        <v>2700</v>
      </c>
      <c r="AZ133" s="2">
        <f>(AY133+AX133)/2</f>
        <v>2500</v>
      </c>
      <c r="BA133" s="10" t="s">
        <v>145</v>
      </c>
      <c r="BB133" s="10"/>
      <c r="BC133" s="10"/>
      <c r="BD133" s="10"/>
      <c r="BE133" s="10"/>
      <c r="BF133" s="10"/>
      <c r="BG133" s="10"/>
      <c r="BH133" s="10"/>
      <c r="BI133" s="10"/>
      <c r="BJ133" s="10"/>
      <c r="BK133" s="2">
        <v>2800</v>
      </c>
      <c r="BL133" s="2">
        <v>3000</v>
      </c>
      <c r="BM133" s="2">
        <f>(BL133+BK133)/2</f>
        <v>2900</v>
      </c>
      <c r="CL133" s="10" t="s">
        <v>145</v>
      </c>
    </row>
    <row r="134" spans="1:90" ht="15">
      <c r="A134" s="10"/>
      <c r="F134" s="2" t="s">
        <v>160</v>
      </c>
      <c r="AE134" s="2" t="s">
        <v>160</v>
      </c>
      <c r="AF134" s="2">
        <f>AF133*AF3</f>
        <v>1152</v>
      </c>
      <c r="AG134" s="2">
        <f>AG133*AG3</f>
        <v>1267.1999999999998</v>
      </c>
      <c r="AH134" s="2">
        <f>AH133*AH3</f>
        <v>1209.6</v>
      </c>
      <c r="AX134" s="2">
        <f>AX133*AX3</f>
        <v>1651.3999999999999</v>
      </c>
      <c r="AY134" s="2">
        <f>AY133*AY3</f>
        <v>1938.6</v>
      </c>
      <c r="AZ134" s="2">
        <f>AZ133*AZ3</f>
        <v>1795</v>
      </c>
      <c r="BA134" s="2" t="s">
        <v>160</v>
      </c>
      <c r="BB134" s="10"/>
      <c r="BC134" s="10"/>
      <c r="BD134" s="10"/>
      <c r="BE134" s="10"/>
      <c r="BF134" s="10"/>
      <c r="BG134" s="10"/>
      <c r="BH134" s="10"/>
      <c r="BI134" s="10"/>
      <c r="BJ134" s="10"/>
      <c r="BK134" s="2">
        <f>BK133*BK3</f>
        <v>1723.96</v>
      </c>
      <c r="BL134" s="2">
        <f>BL133*BL3</f>
        <v>1847.1000000000001</v>
      </c>
      <c r="BM134" s="2">
        <f>BM133*BM3</f>
        <v>1785.53</v>
      </c>
      <c r="CK134" s="17">
        <v>852</v>
      </c>
      <c r="CL134" s="2" t="s">
        <v>160</v>
      </c>
    </row>
    <row r="135" spans="1:90" ht="15">
      <c r="A135" s="10" t="s">
        <v>381</v>
      </c>
      <c r="C135" s="2" t="s">
        <v>382</v>
      </c>
      <c r="D135" s="2" t="s">
        <v>293</v>
      </c>
      <c r="E135" s="2" t="s">
        <v>383</v>
      </c>
      <c r="F135" s="2" t="s">
        <v>69</v>
      </c>
      <c r="AE135" s="10" t="s">
        <v>381</v>
      </c>
      <c r="AH135" s="2">
        <v>65</v>
      </c>
      <c r="AU135" s="2">
        <v>80</v>
      </c>
      <c r="AV135" s="2">
        <v>100</v>
      </c>
      <c r="AW135" s="2">
        <f>(AV135+AU135)/2</f>
        <v>90</v>
      </c>
      <c r="BA135" s="10" t="s">
        <v>381</v>
      </c>
      <c r="BB135" s="10"/>
      <c r="BC135" s="10"/>
      <c r="BD135" s="10"/>
      <c r="BE135" s="10"/>
      <c r="BF135" s="10"/>
      <c r="BG135" s="10"/>
      <c r="BH135" s="10"/>
      <c r="BI135" s="10"/>
      <c r="BJ135" s="10"/>
      <c r="CL135" s="10" t="s">
        <v>381</v>
      </c>
    </row>
    <row r="136" spans="1:90" ht="15">
      <c r="A136" s="10"/>
      <c r="F136" s="2" t="s">
        <v>160</v>
      </c>
      <c r="AE136" s="2" t="s">
        <v>160</v>
      </c>
      <c r="AH136" s="2">
        <f>AH135*AH3</f>
        <v>74.88</v>
      </c>
      <c r="AU136" s="2">
        <f>AU135*AU3</f>
        <v>76.39999999999999</v>
      </c>
      <c r="AV136" s="2">
        <f>AV135*AV3</f>
        <v>95.5</v>
      </c>
      <c r="AW136" s="2">
        <f>AW135*AW3</f>
        <v>85.95</v>
      </c>
      <c r="BA136" s="2" t="s">
        <v>160</v>
      </c>
      <c r="BB136" s="10"/>
      <c r="BC136" s="10"/>
      <c r="BD136" s="10"/>
      <c r="BE136" s="10"/>
      <c r="BF136" s="10"/>
      <c r="BG136" s="10"/>
      <c r="BH136" s="10"/>
      <c r="BI136" s="10"/>
      <c r="BJ136" s="10"/>
      <c r="CK136" s="17">
        <v>191.7</v>
      </c>
      <c r="CL136" s="2" t="s">
        <v>160</v>
      </c>
    </row>
    <row r="137" spans="1:90" s="5" customFormat="1" ht="15">
      <c r="A137" s="11"/>
      <c r="G137" s="11" t="s">
        <v>317</v>
      </c>
      <c r="H137" s="11" t="s">
        <v>317</v>
      </c>
      <c r="I137" s="2"/>
      <c r="J137" s="2"/>
      <c r="K137" s="2"/>
      <c r="L137" s="2"/>
      <c r="M137" s="2"/>
      <c r="N137" s="2"/>
      <c r="O137" s="2"/>
      <c r="P137" s="2"/>
      <c r="Q137" s="2"/>
      <c r="R137" s="2"/>
      <c r="S137" s="2"/>
      <c r="T137" s="2"/>
      <c r="U137" s="2"/>
      <c r="V137" s="2"/>
      <c r="W137" s="2"/>
      <c r="X137" s="2"/>
      <c r="Y137" s="11" t="s">
        <v>185</v>
      </c>
      <c r="Z137" s="11" t="s">
        <v>185</v>
      </c>
      <c r="AA137" s="11" t="s">
        <v>185</v>
      </c>
      <c r="AB137" s="11" t="s">
        <v>186</v>
      </c>
      <c r="AC137" s="11" t="s">
        <v>186</v>
      </c>
      <c r="AD137" s="11" t="s">
        <v>186</v>
      </c>
      <c r="AE137" s="11"/>
      <c r="AF137" s="11" t="s">
        <v>196</v>
      </c>
      <c r="AG137" s="11" t="s">
        <v>196</v>
      </c>
      <c r="AH137" s="11" t="s">
        <v>196</v>
      </c>
      <c r="AI137" s="11" t="s">
        <v>197</v>
      </c>
      <c r="AJ137" s="11" t="s">
        <v>197</v>
      </c>
      <c r="AK137" s="11" t="s">
        <v>197</v>
      </c>
      <c r="AL137" s="11" t="s">
        <v>198</v>
      </c>
      <c r="AM137" s="11" t="s">
        <v>198</v>
      </c>
      <c r="AN137" s="11" t="s">
        <v>198</v>
      </c>
      <c r="AO137" s="11" t="s">
        <v>199</v>
      </c>
      <c r="AP137" s="11" t="s">
        <v>199</v>
      </c>
      <c r="AQ137" s="11" t="s">
        <v>199</v>
      </c>
      <c r="AR137" s="11" t="s">
        <v>200</v>
      </c>
      <c r="AS137" s="11" t="s">
        <v>200</v>
      </c>
      <c r="AT137" s="11" t="s">
        <v>200</v>
      </c>
      <c r="AU137" s="11" t="s">
        <v>201</v>
      </c>
      <c r="AV137" s="11" t="s">
        <v>201</v>
      </c>
      <c r="AW137" s="11" t="s">
        <v>201</v>
      </c>
      <c r="AX137" s="11" t="s">
        <v>266</v>
      </c>
      <c r="AY137" s="11" t="s">
        <v>266</v>
      </c>
      <c r="AZ137" s="11" t="s">
        <v>266</v>
      </c>
      <c r="BA137" s="11"/>
      <c r="BB137" s="11" t="s">
        <v>261</v>
      </c>
      <c r="BC137" s="11" t="s">
        <v>261</v>
      </c>
      <c r="BD137" s="11" t="s">
        <v>261</v>
      </c>
      <c r="BE137" s="11" t="s">
        <v>390</v>
      </c>
      <c r="BF137" s="11" t="s">
        <v>390</v>
      </c>
      <c r="BG137" s="11" t="s">
        <v>390</v>
      </c>
      <c r="BH137" s="11" t="s">
        <v>391</v>
      </c>
      <c r="BI137" s="11" t="s">
        <v>391</v>
      </c>
      <c r="BJ137" s="11" t="s">
        <v>391</v>
      </c>
      <c r="BK137" s="11" t="s">
        <v>267</v>
      </c>
      <c r="BL137" s="11" t="s">
        <v>267</v>
      </c>
      <c r="BM137" s="11" t="s">
        <v>267</v>
      </c>
      <c r="BN137" s="11" t="s">
        <v>268</v>
      </c>
      <c r="BO137" s="11" t="s">
        <v>268</v>
      </c>
      <c r="BP137" s="11" t="s">
        <v>268</v>
      </c>
      <c r="BQ137" s="11" t="s">
        <v>269</v>
      </c>
      <c r="BR137" s="11" t="s">
        <v>269</v>
      </c>
      <c r="BS137" s="11" t="s">
        <v>269</v>
      </c>
      <c r="BT137" s="11" t="s">
        <v>270</v>
      </c>
      <c r="BU137" s="11" t="s">
        <v>270</v>
      </c>
      <c r="BV137" s="11" t="s">
        <v>270</v>
      </c>
      <c r="BW137" s="11" t="s">
        <v>271</v>
      </c>
      <c r="BX137" s="11" t="s">
        <v>271</v>
      </c>
      <c r="BY137" s="11" t="s">
        <v>271</v>
      </c>
      <c r="BZ137" s="11" t="s">
        <v>272</v>
      </c>
      <c r="CA137" s="11" t="s">
        <v>272</v>
      </c>
      <c r="CB137" s="11" t="s">
        <v>272</v>
      </c>
      <c r="CC137" s="11" t="s">
        <v>273</v>
      </c>
      <c r="CD137" s="11" t="s">
        <v>273</v>
      </c>
      <c r="CE137" s="11" t="s">
        <v>273</v>
      </c>
      <c r="CF137" s="11" t="s">
        <v>274</v>
      </c>
      <c r="CG137" s="11" t="s">
        <v>274</v>
      </c>
      <c r="CH137" s="11" t="s">
        <v>274</v>
      </c>
      <c r="CI137" s="11">
        <v>1870</v>
      </c>
      <c r="CJ137" s="11">
        <v>1870</v>
      </c>
      <c r="CK137" s="11">
        <v>1870</v>
      </c>
      <c r="CL137" s="11"/>
    </row>
    <row r="138" spans="1:90" ht="15">
      <c r="A138" s="10" t="s">
        <v>384</v>
      </c>
      <c r="C138" s="2" t="s">
        <v>239</v>
      </c>
      <c r="D138" s="2" t="s">
        <v>240</v>
      </c>
      <c r="S138" s="2">
        <v>90</v>
      </c>
      <c r="T138" s="2">
        <v>130</v>
      </c>
      <c r="U138" s="2">
        <f>(T138+S138)/2</f>
        <v>110</v>
      </c>
      <c r="AE138" s="10" t="s">
        <v>384</v>
      </c>
      <c r="AH138" s="2">
        <v>81</v>
      </c>
      <c r="AK138" s="2">
        <v>81</v>
      </c>
      <c r="BA138" s="10" t="s">
        <v>384</v>
      </c>
      <c r="BB138" s="10"/>
      <c r="BC138" s="10"/>
      <c r="BD138" s="10"/>
      <c r="BE138" s="10"/>
      <c r="BF138" s="10"/>
      <c r="BG138" s="10"/>
      <c r="BH138" s="10"/>
      <c r="BI138" s="10"/>
      <c r="BJ138" s="10"/>
      <c r="BK138" s="10"/>
      <c r="BL138" s="10"/>
      <c r="BM138" s="10"/>
      <c r="CL138" s="10" t="s">
        <v>384</v>
      </c>
    </row>
    <row r="139" spans="1:90" ht="15">
      <c r="A139" s="10"/>
      <c r="F139" s="2" t="s">
        <v>160</v>
      </c>
      <c r="S139" s="2">
        <f>S138*S3</f>
        <v>217.07999999999998</v>
      </c>
      <c r="T139" s="2">
        <f>T138*T3</f>
        <v>313.56</v>
      </c>
      <c r="U139" s="2">
        <f>U138*U3</f>
        <v>265.32</v>
      </c>
      <c r="AE139" s="2" t="s">
        <v>160</v>
      </c>
      <c r="AH139" s="2">
        <f>AH138*AH3</f>
        <v>93.312</v>
      </c>
      <c r="AK139" s="2">
        <f>AK138*AK3</f>
        <v>93.312</v>
      </c>
      <c r="BA139" s="2" t="s">
        <v>160</v>
      </c>
      <c r="BB139" s="10"/>
      <c r="BC139" s="10"/>
      <c r="BD139" s="10"/>
      <c r="BE139" s="10"/>
      <c r="BF139" s="10"/>
      <c r="BG139" s="10"/>
      <c r="BH139" s="10"/>
      <c r="BI139" s="10"/>
      <c r="BJ139" s="10"/>
      <c r="BK139" s="10"/>
      <c r="BL139" s="10"/>
      <c r="BM139" s="10"/>
      <c r="CL139" s="2" t="s">
        <v>160</v>
      </c>
    </row>
    <row r="140" spans="1:90" ht="15">
      <c r="A140" s="10" t="s">
        <v>371</v>
      </c>
      <c r="C140" s="2" t="s">
        <v>330</v>
      </c>
      <c r="D140" s="2" t="s">
        <v>67</v>
      </c>
      <c r="E140" s="2" t="s">
        <v>68</v>
      </c>
      <c r="F140" s="2" t="s">
        <v>69</v>
      </c>
      <c r="M140" s="2">
        <v>7.5</v>
      </c>
      <c r="N140" s="2">
        <v>9.5</v>
      </c>
      <c r="O140" s="2">
        <v>8.5</v>
      </c>
      <c r="AE140" s="10" t="s">
        <v>371</v>
      </c>
      <c r="BA140" s="10" t="s">
        <v>371</v>
      </c>
      <c r="BB140" s="10"/>
      <c r="BC140" s="10"/>
      <c r="BD140" s="10"/>
      <c r="BE140" s="10"/>
      <c r="BF140" s="10"/>
      <c r="BG140" s="10"/>
      <c r="BH140" s="10"/>
      <c r="BI140" s="10"/>
      <c r="BJ140" s="10"/>
      <c r="BK140" s="10"/>
      <c r="BL140" s="10"/>
      <c r="BM140" s="10"/>
      <c r="CL140" s="10" t="s">
        <v>371</v>
      </c>
    </row>
    <row r="141" spans="1:90" ht="15">
      <c r="A141" s="10"/>
      <c r="F141" s="2" t="s">
        <v>160</v>
      </c>
      <c r="M141" s="2">
        <f>M140*M3</f>
        <v>28.139999999999997</v>
      </c>
      <c r="N141" s="2">
        <f>N140*N3</f>
        <v>35.644</v>
      </c>
      <c r="O141" s="2">
        <f>O140*O3</f>
        <v>31.892</v>
      </c>
      <c r="AE141" s="2" t="s">
        <v>160</v>
      </c>
      <c r="BA141" s="2" t="s">
        <v>160</v>
      </c>
      <c r="BB141" s="10"/>
      <c r="BC141" s="10"/>
      <c r="BD141" s="10"/>
      <c r="BE141" s="10"/>
      <c r="BF141" s="10"/>
      <c r="BG141" s="10"/>
      <c r="BH141" s="10"/>
      <c r="BI141" s="10"/>
      <c r="BJ141" s="10"/>
      <c r="BK141" s="10"/>
      <c r="BL141" s="10"/>
      <c r="BM141" s="10"/>
      <c r="CK141" s="17">
        <v>78.00533333333334</v>
      </c>
      <c r="CL141" s="2" t="s">
        <v>160</v>
      </c>
    </row>
    <row r="142" spans="1:90" ht="15">
      <c r="A142" s="10" t="s">
        <v>395</v>
      </c>
      <c r="C142" s="2" t="s">
        <v>396</v>
      </c>
      <c r="D142" s="2" t="s">
        <v>67</v>
      </c>
      <c r="E142" s="2" t="s">
        <v>68</v>
      </c>
      <c r="F142" s="2" t="s">
        <v>69</v>
      </c>
      <c r="AD142" s="2">
        <v>2000</v>
      </c>
      <c r="AE142" s="10" t="s">
        <v>395</v>
      </c>
      <c r="AF142" s="2">
        <v>1000</v>
      </c>
      <c r="AG142" s="2">
        <v>1500</v>
      </c>
      <c r="AH142" s="2">
        <f>(AG142+AF142)/2</f>
        <v>1250</v>
      </c>
      <c r="AU142" s="2">
        <v>1600</v>
      </c>
      <c r="AV142" s="2">
        <v>1700</v>
      </c>
      <c r="AW142" s="2">
        <f>(AV142+AU142)/2</f>
        <v>1650</v>
      </c>
      <c r="AX142" s="2">
        <v>1800</v>
      </c>
      <c r="AY142" s="2">
        <v>2200</v>
      </c>
      <c r="AZ142" s="2">
        <f>(AY142+AX142)/2</f>
        <v>2000</v>
      </c>
      <c r="BA142" s="10" t="s">
        <v>395</v>
      </c>
      <c r="BB142" s="10"/>
      <c r="BC142" s="10"/>
      <c r="BD142" s="10"/>
      <c r="BE142" s="10"/>
      <c r="BF142" s="10"/>
      <c r="BG142" s="10"/>
      <c r="BH142" s="10"/>
      <c r="BI142" s="10"/>
      <c r="BJ142" s="10"/>
      <c r="BK142" s="2">
        <v>2200</v>
      </c>
      <c r="BL142" s="2">
        <v>3300</v>
      </c>
      <c r="BM142" s="2">
        <f>(BL142+BK142)/2</f>
        <v>2750</v>
      </c>
      <c r="CL142" s="10" t="s">
        <v>395</v>
      </c>
    </row>
    <row r="143" spans="1:90" ht="15">
      <c r="A143" s="10"/>
      <c r="F143" s="2" t="s">
        <v>160</v>
      </c>
      <c r="AD143" s="2">
        <f>AD142*AD3</f>
        <v>2288</v>
      </c>
      <c r="AE143" s="2" t="s">
        <v>160</v>
      </c>
      <c r="AF143" s="2">
        <f>AF142*AF3</f>
        <v>1152</v>
      </c>
      <c r="AG143" s="2">
        <f>AG142*AG3</f>
        <v>1727.9999999999998</v>
      </c>
      <c r="AH143" s="2">
        <f>AH142*AH3</f>
        <v>1440</v>
      </c>
      <c r="AU143" s="2">
        <f aca="true" t="shared" si="59" ref="AU143:AZ143">AU142*AU3</f>
        <v>1528</v>
      </c>
      <c r="AV143" s="2">
        <f t="shared" si="59"/>
        <v>1623.5</v>
      </c>
      <c r="AW143" s="2">
        <f t="shared" si="59"/>
        <v>1575.75</v>
      </c>
      <c r="AX143" s="2">
        <f t="shared" si="59"/>
        <v>1292.3999999999999</v>
      </c>
      <c r="AY143" s="2">
        <f t="shared" si="59"/>
        <v>1579.6</v>
      </c>
      <c r="AZ143" s="2">
        <f t="shared" si="59"/>
        <v>1436</v>
      </c>
      <c r="BA143" s="2" t="s">
        <v>160</v>
      </c>
      <c r="BB143" s="10"/>
      <c r="BC143" s="10"/>
      <c r="BD143" s="10"/>
      <c r="BE143" s="10"/>
      <c r="BF143" s="10"/>
      <c r="BG143" s="10"/>
      <c r="BH143" s="10"/>
      <c r="BI143" s="10"/>
      <c r="BJ143" s="10"/>
      <c r="BK143" s="2">
        <f>BK142*BK3</f>
        <v>1354.54</v>
      </c>
      <c r="BL143" s="2">
        <f>BL142*BL3</f>
        <v>2031.8100000000002</v>
      </c>
      <c r="BM143" s="2">
        <f>BM142*BM3</f>
        <v>1693.1750000000002</v>
      </c>
      <c r="CK143" s="17">
        <v>1278</v>
      </c>
      <c r="CL143" s="2" t="s">
        <v>160</v>
      </c>
    </row>
    <row r="144" spans="1:62" ht="15">
      <c r="A144" s="10"/>
      <c r="BB144" s="10"/>
      <c r="BC144" s="10"/>
      <c r="BD144" s="10"/>
      <c r="BE144" s="10"/>
      <c r="BF144" s="10"/>
      <c r="BG144" s="10"/>
      <c r="BH144" s="10"/>
      <c r="BI144" s="10"/>
      <c r="BJ144" s="10"/>
    </row>
    <row r="145" spans="1:90" ht="15">
      <c r="A145" s="10" t="s">
        <v>397</v>
      </c>
      <c r="C145" s="2" t="s">
        <v>398</v>
      </c>
      <c r="D145" s="2">
        <v>10</v>
      </c>
      <c r="F145" s="2" t="s">
        <v>69</v>
      </c>
      <c r="I145" s="2">
        <v>0.35</v>
      </c>
      <c r="Y145" s="2">
        <v>2</v>
      </c>
      <c r="Z145" s="2">
        <v>3</v>
      </c>
      <c r="AA145" s="2">
        <f>(Z145+Y145)/2</f>
        <v>2.5</v>
      </c>
      <c r="AE145" s="10" t="s">
        <v>397</v>
      </c>
      <c r="AH145" s="22"/>
      <c r="AI145" s="2">
        <v>2</v>
      </c>
      <c r="AJ145" s="2">
        <v>3</v>
      </c>
      <c r="AK145" s="2">
        <f>(AJ145+AI145)/2</f>
        <v>2.5</v>
      </c>
      <c r="AR145" s="2">
        <v>5</v>
      </c>
      <c r="AS145" s="2">
        <v>6</v>
      </c>
      <c r="AT145" s="2">
        <f>(AS145+AR145)/2</f>
        <v>5.5</v>
      </c>
      <c r="AU145" s="2">
        <v>10</v>
      </c>
      <c r="AV145" s="2">
        <v>20</v>
      </c>
      <c r="AW145" s="2">
        <f>(AV145+AU145)/2</f>
        <v>15</v>
      </c>
      <c r="AX145" s="2">
        <v>25</v>
      </c>
      <c r="AY145" s="2">
        <v>30</v>
      </c>
      <c r="AZ145" s="2">
        <f>(AY145+AX145)/2</f>
        <v>27.5</v>
      </c>
      <c r="BA145" s="10" t="s">
        <v>397</v>
      </c>
      <c r="BB145" s="10"/>
      <c r="BC145" s="10"/>
      <c r="BD145" s="10"/>
      <c r="BE145" s="10"/>
      <c r="BF145" s="10"/>
      <c r="BG145" s="10"/>
      <c r="BH145" s="10"/>
      <c r="BI145" s="10"/>
      <c r="BJ145" s="10"/>
      <c r="CJ145" s="10"/>
      <c r="CL145" s="10" t="s">
        <v>397</v>
      </c>
    </row>
    <row r="146" spans="1:90" ht="15">
      <c r="A146" s="10"/>
      <c r="F146" s="2" t="s">
        <v>160</v>
      </c>
      <c r="I146" s="2">
        <f>I145*I3</f>
        <v>1.51165</v>
      </c>
      <c r="Y146" s="2">
        <f>Y145*Y3</f>
        <v>2.288</v>
      </c>
      <c r="Z146" s="2">
        <f>Z145*Z3</f>
        <v>3.4319999999999995</v>
      </c>
      <c r="AA146" s="2">
        <f>AA145*AA3</f>
        <v>2.86</v>
      </c>
      <c r="AE146" s="2" t="s">
        <v>160</v>
      </c>
      <c r="AH146" s="22"/>
      <c r="AI146" s="2">
        <f>AI145*AI3</f>
        <v>2.304</v>
      </c>
      <c r="AJ146" s="2">
        <f>AJ145*AJ3</f>
        <v>3.4559999999999995</v>
      </c>
      <c r="AK146" s="2">
        <f>AK145*AK3</f>
        <v>2.88</v>
      </c>
      <c r="AR146" s="2">
        <f aca="true" t="shared" si="60" ref="AR146:AZ146">AR145*AR3</f>
        <v>4.925</v>
      </c>
      <c r="AS146" s="2">
        <f t="shared" si="60"/>
        <v>5.91</v>
      </c>
      <c r="AT146" s="2">
        <f t="shared" si="60"/>
        <v>5.4174999999999995</v>
      </c>
      <c r="AU146" s="2">
        <f t="shared" si="60"/>
        <v>9.549999999999999</v>
      </c>
      <c r="AV146" s="2">
        <f t="shared" si="60"/>
        <v>19.099999999999998</v>
      </c>
      <c r="AW146" s="2">
        <f t="shared" si="60"/>
        <v>14.325</v>
      </c>
      <c r="AX146" s="2">
        <f t="shared" si="60"/>
        <v>17.95</v>
      </c>
      <c r="AY146" s="2">
        <f t="shared" si="60"/>
        <v>21.54</v>
      </c>
      <c r="AZ146" s="2">
        <f t="shared" si="60"/>
        <v>19.744999999999997</v>
      </c>
      <c r="BA146" s="2" t="s">
        <v>160</v>
      </c>
      <c r="BB146" s="10"/>
      <c r="BC146" s="10"/>
      <c r="BD146" s="10"/>
      <c r="BE146" s="10"/>
      <c r="BF146" s="10"/>
      <c r="BG146" s="10"/>
      <c r="BH146" s="10"/>
      <c r="BI146" s="10"/>
      <c r="BJ146" s="10"/>
      <c r="BK146" s="10"/>
      <c r="BL146" s="10"/>
      <c r="BM146" s="10"/>
      <c r="CK146" s="17">
        <v>33.13333333333333</v>
      </c>
      <c r="CL146" s="2" t="s">
        <v>160</v>
      </c>
    </row>
    <row r="147" spans="1:65" ht="15">
      <c r="A147" s="10"/>
      <c r="F147" s="2" t="s">
        <v>277</v>
      </c>
      <c r="I147" s="13">
        <f>0.18*I146</f>
        <v>0.272097</v>
      </c>
      <c r="Y147" s="14">
        <f>0.18*Y146</f>
        <v>0.41183999999999993</v>
      </c>
      <c r="Z147" s="14">
        <f>0.18*Z146</f>
        <v>0.6177599999999999</v>
      </c>
      <c r="AA147" s="14">
        <f>0.18*AA146</f>
        <v>0.5147999999999999</v>
      </c>
      <c r="AI147" s="14">
        <f>0.18*AI146</f>
        <v>0.41472</v>
      </c>
      <c r="AJ147" s="14">
        <f>0.18*AJ146</f>
        <v>0.6220799999999999</v>
      </c>
      <c r="AK147" s="14">
        <f>0.18*AK146</f>
        <v>0.5184</v>
      </c>
      <c r="AR147" s="14">
        <f>0.18*AR146</f>
        <v>0.8865</v>
      </c>
      <c r="AS147" s="14">
        <f aca="true" t="shared" si="61" ref="AS147:AZ147">0.18*AS146</f>
        <v>1.0638</v>
      </c>
      <c r="AT147" s="14">
        <f t="shared" si="61"/>
        <v>0.9751499999999999</v>
      </c>
      <c r="AU147" s="14">
        <f t="shared" si="61"/>
        <v>1.7189999999999996</v>
      </c>
      <c r="AV147" s="14">
        <f t="shared" si="61"/>
        <v>3.4379999999999993</v>
      </c>
      <c r="AW147" s="14">
        <f t="shared" si="61"/>
        <v>2.5784999999999996</v>
      </c>
      <c r="AX147" s="14">
        <f t="shared" si="61"/>
        <v>3.231</v>
      </c>
      <c r="AY147" s="14">
        <f t="shared" si="61"/>
        <v>3.8771999999999998</v>
      </c>
      <c r="AZ147" s="14">
        <f t="shared" si="61"/>
        <v>3.5540999999999996</v>
      </c>
      <c r="BB147" s="10"/>
      <c r="BC147" s="10"/>
      <c r="BD147" s="10"/>
      <c r="BE147" s="10"/>
      <c r="BF147" s="10"/>
      <c r="BG147" s="10"/>
      <c r="BH147" s="10"/>
      <c r="BI147" s="10"/>
      <c r="BJ147" s="10"/>
      <c r="BK147" s="10"/>
      <c r="BL147" s="10"/>
      <c r="BM147" s="10"/>
    </row>
    <row r="148" spans="1:62" ht="15">
      <c r="A148" s="10"/>
      <c r="BB148" s="10"/>
      <c r="BC148" s="10"/>
      <c r="BD148" s="10"/>
      <c r="BE148" s="10"/>
      <c r="BF148" s="10"/>
      <c r="BG148" s="10"/>
      <c r="BH148" s="10"/>
      <c r="BI148" s="10"/>
      <c r="BJ148" s="10"/>
    </row>
    <row r="149" spans="1:90" ht="15">
      <c r="A149" s="10" t="s">
        <v>399</v>
      </c>
      <c r="C149" s="2" t="s">
        <v>241</v>
      </c>
      <c r="D149" s="2" t="s">
        <v>67</v>
      </c>
      <c r="E149" s="2" t="s">
        <v>68</v>
      </c>
      <c r="F149" s="2" t="s">
        <v>69</v>
      </c>
      <c r="S149" s="2">
        <v>600</v>
      </c>
      <c r="T149" s="2">
        <v>650</v>
      </c>
      <c r="U149" s="2">
        <f>(T149+S149)/2</f>
        <v>625</v>
      </c>
      <c r="Y149" s="2">
        <v>550</v>
      </c>
      <c r="Z149" s="2">
        <v>760</v>
      </c>
      <c r="AA149" s="2">
        <v>650</v>
      </c>
      <c r="AB149" s="2">
        <v>750</v>
      </c>
      <c r="AC149" s="2">
        <v>800</v>
      </c>
      <c r="AD149" s="2">
        <f>(AC149+AB149)/2</f>
        <v>775</v>
      </c>
      <c r="AE149" s="10" t="s">
        <v>399</v>
      </c>
      <c r="AF149" s="2">
        <v>480</v>
      </c>
      <c r="AG149" s="2">
        <v>720</v>
      </c>
      <c r="AH149" s="2">
        <v>600</v>
      </c>
      <c r="AI149" s="2">
        <v>675</v>
      </c>
      <c r="AJ149" s="2">
        <v>800</v>
      </c>
      <c r="AK149" s="2">
        <v>759</v>
      </c>
      <c r="AL149" s="2">
        <v>800</v>
      </c>
      <c r="AM149" s="2">
        <v>920</v>
      </c>
      <c r="AN149" s="2">
        <v>860</v>
      </c>
      <c r="AO149" s="2">
        <v>920</v>
      </c>
      <c r="AP149" s="2">
        <v>950</v>
      </c>
      <c r="AQ149" s="2">
        <v>935</v>
      </c>
      <c r="AR149" s="2">
        <v>650</v>
      </c>
      <c r="AS149" s="2">
        <v>1080</v>
      </c>
      <c r="AT149" s="2">
        <v>848</v>
      </c>
      <c r="AU149" s="2">
        <v>860</v>
      </c>
      <c r="AV149" s="2">
        <v>1400</v>
      </c>
      <c r="AW149" s="2">
        <v>1100</v>
      </c>
      <c r="AX149" s="2">
        <v>1394</v>
      </c>
      <c r="AY149" s="2">
        <v>3000</v>
      </c>
      <c r="AZ149" s="2">
        <v>2282</v>
      </c>
      <c r="BA149" s="10" t="s">
        <v>399</v>
      </c>
      <c r="BB149" s="10"/>
      <c r="BC149" s="10"/>
      <c r="BD149" s="10"/>
      <c r="BE149" s="10"/>
      <c r="BF149" s="10"/>
      <c r="BG149" s="10"/>
      <c r="BH149" s="10"/>
      <c r="BI149" s="10"/>
      <c r="BJ149" s="10"/>
      <c r="BK149" s="2">
        <v>1500</v>
      </c>
      <c r="BL149" s="2">
        <v>2599</v>
      </c>
      <c r="BM149" s="2">
        <v>1952</v>
      </c>
      <c r="CL149" s="10" t="s">
        <v>399</v>
      </c>
    </row>
    <row r="150" spans="1:90" ht="15">
      <c r="A150" s="10"/>
      <c r="F150" s="2" t="s">
        <v>160</v>
      </c>
      <c r="S150" s="2">
        <f>S149*S3</f>
        <v>1447.2</v>
      </c>
      <c r="T150" s="2">
        <f>T149*T3</f>
        <v>1567.8</v>
      </c>
      <c r="U150" s="2">
        <f>U149*U3</f>
        <v>1507.5</v>
      </c>
      <c r="Y150" s="2">
        <f aca="true" t="shared" si="62" ref="Y150:AD150">Y149*Y3</f>
        <v>629.1999999999999</v>
      </c>
      <c r="Z150" s="2">
        <f t="shared" si="62"/>
        <v>869.4399999999999</v>
      </c>
      <c r="AA150" s="2">
        <f t="shared" si="62"/>
        <v>743.5999999999999</v>
      </c>
      <c r="AB150" s="2">
        <f t="shared" si="62"/>
        <v>857.9999999999999</v>
      </c>
      <c r="AC150" s="2">
        <f t="shared" si="62"/>
        <v>915.1999999999999</v>
      </c>
      <c r="AD150" s="2">
        <f t="shared" si="62"/>
        <v>886.5999999999999</v>
      </c>
      <c r="AE150" s="2" t="s">
        <v>160</v>
      </c>
      <c r="AF150" s="2">
        <f aca="true" t="shared" si="63" ref="AF150:AZ150">AF149*AF3</f>
        <v>552.9599999999999</v>
      </c>
      <c r="AG150" s="2">
        <f t="shared" si="63"/>
        <v>829.4399999999999</v>
      </c>
      <c r="AH150" s="2">
        <f t="shared" si="63"/>
        <v>691.1999999999999</v>
      </c>
      <c r="AI150" s="2">
        <f t="shared" si="63"/>
        <v>777.5999999999999</v>
      </c>
      <c r="AJ150" s="2">
        <f t="shared" si="63"/>
        <v>921.5999999999999</v>
      </c>
      <c r="AK150" s="2">
        <f t="shared" si="63"/>
        <v>874.3679999999999</v>
      </c>
      <c r="AL150" s="2">
        <f t="shared" si="63"/>
        <v>921.5999999999999</v>
      </c>
      <c r="AM150" s="2">
        <f t="shared" si="63"/>
        <v>1059.84</v>
      </c>
      <c r="AN150" s="2">
        <f t="shared" si="63"/>
        <v>990.7199999999999</v>
      </c>
      <c r="AO150" s="2">
        <f t="shared" si="63"/>
        <v>960.1120000000001</v>
      </c>
      <c r="AP150" s="2">
        <f t="shared" si="63"/>
        <v>991.4200000000001</v>
      </c>
      <c r="AQ150" s="2">
        <f t="shared" si="63"/>
        <v>975.7660000000001</v>
      </c>
      <c r="AR150" s="2">
        <f t="shared" si="63"/>
        <v>640.25</v>
      </c>
      <c r="AS150" s="2">
        <f t="shared" si="63"/>
        <v>1063.8</v>
      </c>
      <c r="AT150" s="2">
        <f t="shared" si="63"/>
        <v>835.28</v>
      </c>
      <c r="AU150" s="2">
        <f t="shared" si="63"/>
        <v>821.3</v>
      </c>
      <c r="AV150" s="2">
        <f t="shared" si="63"/>
        <v>1337</v>
      </c>
      <c r="AW150" s="2">
        <f t="shared" si="63"/>
        <v>1050.5</v>
      </c>
      <c r="AX150" s="2">
        <f t="shared" si="63"/>
        <v>1000.8919999999999</v>
      </c>
      <c r="AY150" s="2">
        <f t="shared" si="63"/>
        <v>2154</v>
      </c>
      <c r="AZ150" s="2">
        <f t="shared" si="63"/>
        <v>1638.4759999999999</v>
      </c>
      <c r="BA150" s="2" t="s">
        <v>160</v>
      </c>
      <c r="BB150" s="10"/>
      <c r="BC150" s="10"/>
      <c r="BD150" s="10"/>
      <c r="BE150" s="10"/>
      <c r="BF150" s="10"/>
      <c r="BG150" s="10"/>
      <c r="BH150" s="10"/>
      <c r="BI150" s="10"/>
      <c r="BJ150" s="10"/>
      <c r="BK150" s="2">
        <f>BK149*BK3</f>
        <v>923.5500000000001</v>
      </c>
      <c r="BL150" s="2">
        <f>BL149*BL3</f>
        <v>1600.2043</v>
      </c>
      <c r="BM150" s="2">
        <f>BM149*BM3</f>
        <v>1201.8464000000001</v>
      </c>
      <c r="CK150" s="17">
        <v>674.0266666666666</v>
      </c>
      <c r="CL150" s="2" t="s">
        <v>160</v>
      </c>
    </row>
    <row r="151" spans="1:65" ht="15">
      <c r="A151" s="10"/>
      <c r="F151" s="2" t="s">
        <v>140</v>
      </c>
      <c r="S151" s="25">
        <f>0.18*S150/16.38</f>
        <v>15.903296703296704</v>
      </c>
      <c r="T151" s="25">
        <f>0.18*T150/16.38</f>
        <v>17.22857142857143</v>
      </c>
      <c r="U151" s="25">
        <f>0.18*U150/16.38</f>
        <v>16.565934065934066</v>
      </c>
      <c r="Y151" s="7">
        <f aca="true" t="shared" si="64" ref="Y151:AD151">0.18*Y150/16.38</f>
        <v>6.914285714285714</v>
      </c>
      <c r="Z151" s="7">
        <f t="shared" si="64"/>
        <v>9.554285714285713</v>
      </c>
      <c r="AA151" s="8">
        <f t="shared" si="64"/>
        <v>8.17142857142857</v>
      </c>
      <c r="AB151" s="7">
        <f t="shared" si="64"/>
        <v>9.428571428571427</v>
      </c>
      <c r="AC151" s="7">
        <f t="shared" si="64"/>
        <v>10.057142857142857</v>
      </c>
      <c r="AD151" s="7">
        <f t="shared" si="64"/>
        <v>9.742857142857142</v>
      </c>
      <c r="AF151" s="7">
        <f aca="true" t="shared" si="65" ref="AF151:AZ151">0.18*AF150/16.38</f>
        <v>6.076483516483516</v>
      </c>
      <c r="AG151" s="7">
        <f t="shared" si="65"/>
        <v>9.114725274725274</v>
      </c>
      <c r="AH151" s="7">
        <f t="shared" si="65"/>
        <v>7.595604395604395</v>
      </c>
      <c r="AI151" s="7">
        <f t="shared" si="65"/>
        <v>8.545054945054945</v>
      </c>
      <c r="AJ151" s="7">
        <f t="shared" si="65"/>
        <v>10.127472527472527</v>
      </c>
      <c r="AK151" s="8">
        <f t="shared" si="65"/>
        <v>9.60843956043956</v>
      </c>
      <c r="AL151" s="7">
        <f t="shared" si="65"/>
        <v>10.127472527472527</v>
      </c>
      <c r="AM151" s="7">
        <f t="shared" si="65"/>
        <v>11.646593406593405</v>
      </c>
      <c r="AN151" s="7">
        <f t="shared" si="65"/>
        <v>10.887032967032965</v>
      </c>
      <c r="AO151" s="7">
        <f t="shared" si="65"/>
        <v>10.55068131868132</v>
      </c>
      <c r="AP151" s="7">
        <f t="shared" si="65"/>
        <v>10.894725274725275</v>
      </c>
      <c r="AQ151" s="7">
        <f t="shared" si="65"/>
        <v>10.722703296703298</v>
      </c>
      <c r="AR151" s="7">
        <f t="shared" si="65"/>
        <v>7.035714285714286</v>
      </c>
      <c r="AS151" s="7">
        <f t="shared" si="65"/>
        <v>11.69010989010989</v>
      </c>
      <c r="AT151" s="7">
        <f t="shared" si="65"/>
        <v>9.178901098901099</v>
      </c>
      <c r="AU151" s="7">
        <f t="shared" si="65"/>
        <v>9.025274725274723</v>
      </c>
      <c r="AV151" s="7">
        <f t="shared" si="65"/>
        <v>14.692307692307693</v>
      </c>
      <c r="AW151" s="7">
        <f t="shared" si="65"/>
        <v>11.543956043956046</v>
      </c>
      <c r="AX151" s="7">
        <f t="shared" si="65"/>
        <v>10.998813186813186</v>
      </c>
      <c r="AY151" s="7">
        <f t="shared" si="65"/>
        <v>23.67032967032967</v>
      </c>
      <c r="AZ151" s="8">
        <f t="shared" si="65"/>
        <v>18.005230769230767</v>
      </c>
      <c r="BB151" s="10"/>
      <c r="BC151" s="10"/>
      <c r="BD151" s="10"/>
      <c r="BE151" s="10"/>
      <c r="BF151" s="10"/>
      <c r="BG151" s="10"/>
      <c r="BH151" s="10"/>
      <c r="BI151" s="10"/>
      <c r="BJ151" s="10"/>
      <c r="BK151" s="7">
        <f>0.18*BK150/16.38</f>
        <v>10.1489010989011</v>
      </c>
      <c r="BL151" s="7">
        <f>0.18*BL150/16.38</f>
        <v>17.584662637362637</v>
      </c>
      <c r="BM151" s="7">
        <f>0.18*BM150/16.38</f>
        <v>13.207103296703298</v>
      </c>
    </row>
    <row r="152" spans="1:62" ht="15">
      <c r="A152" s="10"/>
      <c r="BB152" s="10"/>
      <c r="BC152" s="10"/>
      <c r="BD152" s="10"/>
      <c r="BE152" s="10"/>
      <c r="BF152" s="10"/>
      <c r="BG152" s="10"/>
      <c r="BH152" s="10"/>
      <c r="BI152" s="10"/>
      <c r="BJ152" s="10"/>
    </row>
    <row r="153" spans="1:90" ht="15">
      <c r="A153" s="10" t="s">
        <v>242</v>
      </c>
      <c r="B153" s="2" t="s">
        <v>412</v>
      </c>
      <c r="C153" s="2" t="s">
        <v>243</v>
      </c>
      <c r="D153" s="2" t="s">
        <v>67</v>
      </c>
      <c r="E153" s="2" t="s">
        <v>68</v>
      </c>
      <c r="F153" s="2" t="s">
        <v>69</v>
      </c>
      <c r="I153" s="2">
        <v>24</v>
      </c>
      <c r="M153" s="2">
        <v>48</v>
      </c>
      <c r="N153" s="2">
        <v>66</v>
      </c>
      <c r="O153" s="2">
        <v>58</v>
      </c>
      <c r="Y153" s="2">
        <v>80</v>
      </c>
      <c r="Z153" s="2">
        <v>150</v>
      </c>
      <c r="AA153" s="2">
        <v>100</v>
      </c>
      <c r="AE153" s="10" t="s">
        <v>242</v>
      </c>
      <c r="AF153" s="2">
        <v>160</v>
      </c>
      <c r="AG153" s="2">
        <v>180</v>
      </c>
      <c r="AH153" s="2">
        <v>170</v>
      </c>
      <c r="AI153" s="2">
        <v>138</v>
      </c>
      <c r="AJ153" s="2">
        <v>160</v>
      </c>
      <c r="AK153" s="2">
        <v>149</v>
      </c>
      <c r="AR153" s="2">
        <v>270</v>
      </c>
      <c r="AS153" s="2">
        <v>340</v>
      </c>
      <c r="AT153" s="2">
        <v>299</v>
      </c>
      <c r="AU153" s="2">
        <v>309</v>
      </c>
      <c r="AV153" s="2">
        <v>347</v>
      </c>
      <c r="AW153" s="2">
        <v>340</v>
      </c>
      <c r="AX153" s="2">
        <v>340</v>
      </c>
      <c r="AY153" s="2">
        <v>600</v>
      </c>
      <c r="AZ153" s="2">
        <v>537</v>
      </c>
      <c r="BA153" s="10" t="s">
        <v>242</v>
      </c>
      <c r="BB153" s="10"/>
      <c r="BC153" s="10"/>
      <c r="BD153" s="10"/>
      <c r="BE153" s="10"/>
      <c r="BF153" s="10"/>
      <c r="BG153" s="10"/>
      <c r="BH153" s="10"/>
      <c r="BI153" s="10"/>
      <c r="BJ153" s="10"/>
      <c r="BK153" s="2">
        <v>520</v>
      </c>
      <c r="BL153" s="2">
        <v>800</v>
      </c>
      <c r="BM153" s="2">
        <v>660</v>
      </c>
      <c r="CJ153" s="10"/>
      <c r="CL153" s="10" t="s">
        <v>242</v>
      </c>
    </row>
    <row r="154" spans="1:90" ht="15">
      <c r="A154" s="10"/>
      <c r="F154" s="2" t="s">
        <v>160</v>
      </c>
      <c r="I154" s="2">
        <f>I153*I3</f>
        <v>103.656</v>
      </c>
      <c r="M154" s="2">
        <f>M153*M3</f>
        <v>180.096</v>
      </c>
      <c r="N154" s="2">
        <f>N153*N3</f>
        <v>247.63199999999998</v>
      </c>
      <c r="O154" s="2">
        <f>O153*O3</f>
        <v>217.61599999999999</v>
      </c>
      <c r="Y154" s="2">
        <f>Y153*Y3</f>
        <v>91.52</v>
      </c>
      <c r="Z154" s="2">
        <f>Z153*Z3</f>
        <v>171.6</v>
      </c>
      <c r="AA154" s="2">
        <f>AA153*AA3</f>
        <v>114.39999999999999</v>
      </c>
      <c r="AE154" s="2" t="s">
        <v>160</v>
      </c>
      <c r="AF154" s="2">
        <f aca="true" t="shared" si="66" ref="AF154:AK154">AF153*AF3</f>
        <v>184.32</v>
      </c>
      <c r="AG154" s="2">
        <f t="shared" si="66"/>
        <v>207.35999999999999</v>
      </c>
      <c r="AH154" s="2">
        <f t="shared" si="66"/>
        <v>195.83999999999997</v>
      </c>
      <c r="AI154" s="2">
        <f t="shared" si="66"/>
        <v>158.976</v>
      </c>
      <c r="AJ154" s="2">
        <f t="shared" si="66"/>
        <v>184.32</v>
      </c>
      <c r="AK154" s="2">
        <f t="shared" si="66"/>
        <v>171.648</v>
      </c>
      <c r="AR154" s="2">
        <f aca="true" t="shared" si="67" ref="AR154:AZ154">AR153*AR3</f>
        <v>265.95</v>
      </c>
      <c r="AS154" s="2">
        <f t="shared" si="67"/>
        <v>334.9</v>
      </c>
      <c r="AT154" s="2">
        <f t="shared" si="67"/>
        <v>294.515</v>
      </c>
      <c r="AU154" s="2">
        <f t="shared" si="67"/>
        <v>295.09499999999997</v>
      </c>
      <c r="AV154" s="2">
        <f t="shared" si="67"/>
        <v>331.385</v>
      </c>
      <c r="AW154" s="2">
        <f t="shared" si="67"/>
        <v>324.7</v>
      </c>
      <c r="AX154" s="2">
        <f t="shared" si="67"/>
        <v>244.12</v>
      </c>
      <c r="AY154" s="2">
        <f t="shared" si="67"/>
        <v>430.79999999999995</v>
      </c>
      <c r="AZ154" s="2">
        <f t="shared" si="67"/>
        <v>385.566</v>
      </c>
      <c r="BA154" s="2" t="s">
        <v>160</v>
      </c>
      <c r="BB154" s="10"/>
      <c r="BC154" s="10"/>
      <c r="BD154" s="10"/>
      <c r="BE154" s="10"/>
      <c r="BF154" s="10"/>
      <c r="BG154" s="10"/>
      <c r="BH154" s="10"/>
      <c r="BI154" s="10"/>
      <c r="BJ154" s="10"/>
      <c r="BK154" s="2">
        <f>BK153*BK3</f>
        <v>320.164</v>
      </c>
      <c r="BL154" s="2">
        <f>BL153*BL3</f>
        <v>492.56</v>
      </c>
      <c r="BM154" s="2">
        <f>BM153*BM3</f>
        <v>406.362</v>
      </c>
      <c r="CK154" s="17">
        <v>1022.4</v>
      </c>
      <c r="CL154" s="2" t="s">
        <v>160</v>
      </c>
    </row>
    <row r="155" spans="1:65" ht="15">
      <c r="A155" s="10"/>
      <c r="F155" s="2" t="s">
        <v>140</v>
      </c>
      <c r="I155" s="8">
        <f>0.18*I154/16.38</f>
        <v>1.1390769230769233</v>
      </c>
      <c r="J155" s="7"/>
      <c r="K155" s="7"/>
      <c r="L155" s="7"/>
      <c r="M155" s="7">
        <f>0.18*M154/16.38</f>
        <v>1.9790769230769232</v>
      </c>
      <c r="N155" s="7">
        <f>0.18*N154/16.38</f>
        <v>2.721230769230769</v>
      </c>
      <c r="O155" s="8">
        <f>0.18*O154/16.38</f>
        <v>2.391384615384615</v>
      </c>
      <c r="Y155" s="7">
        <f>0.18*Y154/16.38</f>
        <v>1.0057142857142856</v>
      </c>
      <c r="Z155" s="7">
        <f>0.18*Z154/16.38</f>
        <v>1.8857142857142857</v>
      </c>
      <c r="AA155" s="8">
        <f>0.18*AA154/16.38</f>
        <v>1.2571428571428571</v>
      </c>
      <c r="AF155" s="7">
        <f aca="true" t="shared" si="68" ref="AF155:AK155">0.18*AF154/16.38</f>
        <v>2.0254945054945055</v>
      </c>
      <c r="AG155" s="7">
        <f t="shared" si="68"/>
        <v>2.2786813186813184</v>
      </c>
      <c r="AH155" s="7">
        <f t="shared" si="68"/>
        <v>2.152087912087912</v>
      </c>
      <c r="AI155" s="7">
        <f t="shared" si="68"/>
        <v>1.746989010989011</v>
      </c>
      <c r="AJ155" s="7">
        <f t="shared" si="68"/>
        <v>2.0254945054945055</v>
      </c>
      <c r="AK155" s="8">
        <f t="shared" si="68"/>
        <v>1.8862417582417583</v>
      </c>
      <c r="AN155" s="37">
        <f>AN151*AK155/AK151</f>
        <v>2.137243625939278</v>
      </c>
      <c r="AR155" s="7">
        <f aca="true" t="shared" si="69" ref="AR155:AZ155">0.18*AR154/16.38</f>
        <v>2.9225274725274724</v>
      </c>
      <c r="AS155" s="7">
        <f t="shared" si="69"/>
        <v>3.68021978021978</v>
      </c>
      <c r="AT155" s="7">
        <f t="shared" si="69"/>
        <v>3.236428571428571</v>
      </c>
      <c r="AU155" s="7">
        <f t="shared" si="69"/>
        <v>3.2428021978021975</v>
      </c>
      <c r="AV155" s="7">
        <f t="shared" si="69"/>
        <v>3.641593406593407</v>
      </c>
      <c r="AW155" s="7">
        <f t="shared" si="69"/>
        <v>3.5681318681318683</v>
      </c>
      <c r="AX155" s="7">
        <f t="shared" si="69"/>
        <v>2.682637362637363</v>
      </c>
      <c r="AY155" s="7">
        <f t="shared" si="69"/>
        <v>4.734065934065933</v>
      </c>
      <c r="AZ155" s="8">
        <f t="shared" si="69"/>
        <v>4.236989010989011</v>
      </c>
      <c r="BB155" s="10"/>
      <c r="BC155" s="10"/>
      <c r="BD155" s="10"/>
      <c r="BE155" s="10"/>
      <c r="BF155" s="10"/>
      <c r="BG155" s="10"/>
      <c r="BH155" s="10"/>
      <c r="BI155" s="10"/>
      <c r="BJ155" s="10"/>
      <c r="BK155" s="7">
        <f>0.18*BK154/16.38</f>
        <v>3.5182857142857142</v>
      </c>
      <c r="BL155" s="7">
        <f>0.18*BL154/16.38</f>
        <v>5.412747252747253</v>
      </c>
      <c r="BM155" s="7">
        <f>0.18*BM154/16.38</f>
        <v>4.465516483516484</v>
      </c>
    </row>
    <row r="156" spans="1:62" ht="15">
      <c r="A156" s="10"/>
      <c r="BB156" s="10"/>
      <c r="BC156" s="10"/>
      <c r="BD156" s="10"/>
      <c r="BE156" s="10"/>
      <c r="BF156" s="10"/>
      <c r="BG156" s="10"/>
      <c r="BH156" s="10"/>
      <c r="BI156" s="10"/>
      <c r="BJ156" s="10"/>
    </row>
    <row r="157" spans="1:90" ht="15">
      <c r="A157" s="10" t="s">
        <v>244</v>
      </c>
      <c r="C157" s="2" t="s">
        <v>245</v>
      </c>
      <c r="D157" s="2" t="s">
        <v>67</v>
      </c>
      <c r="E157" s="2" t="s">
        <v>68</v>
      </c>
      <c r="F157" s="2" t="s">
        <v>69</v>
      </c>
      <c r="AE157" s="10" t="s">
        <v>244</v>
      </c>
      <c r="BA157" s="10" t="s">
        <v>244</v>
      </c>
      <c r="BB157" s="10"/>
      <c r="BC157" s="10"/>
      <c r="BD157" s="10"/>
      <c r="BE157" s="10"/>
      <c r="BF157" s="10"/>
      <c r="BG157" s="10"/>
      <c r="BH157" s="10"/>
      <c r="BI157" s="10"/>
      <c r="BJ157" s="10"/>
      <c r="CJ157" s="10"/>
      <c r="CL157" s="10" t="s">
        <v>244</v>
      </c>
    </row>
    <row r="158" spans="1:90" ht="15">
      <c r="A158" s="10"/>
      <c r="F158" s="2" t="s">
        <v>160</v>
      </c>
      <c r="AE158" s="2" t="s">
        <v>160</v>
      </c>
      <c r="BA158" s="2" t="s">
        <v>160</v>
      </c>
      <c r="BB158" s="10"/>
      <c r="BC158" s="10"/>
      <c r="BD158" s="10"/>
      <c r="BE158" s="10"/>
      <c r="BF158" s="10"/>
      <c r="BG158" s="10"/>
      <c r="BH158" s="10"/>
      <c r="BI158" s="10"/>
      <c r="BJ158" s="10"/>
      <c r="BK158" s="10"/>
      <c r="BL158" s="10"/>
      <c r="BM158" s="10"/>
      <c r="CL158" s="2" t="s">
        <v>160</v>
      </c>
    </row>
    <row r="159" spans="1:90" ht="15">
      <c r="A159" s="10" t="s">
        <v>246</v>
      </c>
      <c r="B159" s="2" t="s">
        <v>369</v>
      </c>
      <c r="C159" s="2" t="s">
        <v>247</v>
      </c>
      <c r="D159" s="2" t="s">
        <v>67</v>
      </c>
      <c r="E159" s="2" t="s">
        <v>68</v>
      </c>
      <c r="F159" s="2" t="s">
        <v>69</v>
      </c>
      <c r="Y159" s="2">
        <v>80</v>
      </c>
      <c r="Z159" s="2">
        <v>130</v>
      </c>
      <c r="AA159" s="2">
        <v>95</v>
      </c>
      <c r="AE159" s="10" t="s">
        <v>246</v>
      </c>
      <c r="AF159" s="2">
        <v>150</v>
      </c>
      <c r="AG159" s="2">
        <v>160</v>
      </c>
      <c r="AH159" s="2">
        <f>(AG159+AF159)/2</f>
        <v>155</v>
      </c>
      <c r="AR159" s="2">
        <v>300</v>
      </c>
      <c r="AS159" s="2">
        <v>325</v>
      </c>
      <c r="AT159" s="2">
        <f>(AS159+AR159)/2</f>
        <v>312.5</v>
      </c>
      <c r="AU159" s="2">
        <v>550</v>
      </c>
      <c r="AV159" s="2">
        <v>720</v>
      </c>
      <c r="AW159" s="2">
        <v>615</v>
      </c>
      <c r="AX159" s="2">
        <v>720</v>
      </c>
      <c r="AY159" s="2">
        <v>880</v>
      </c>
      <c r="AZ159" s="2">
        <v>787</v>
      </c>
      <c r="BA159" s="10" t="s">
        <v>246</v>
      </c>
      <c r="BB159" s="10"/>
      <c r="BC159" s="10"/>
      <c r="BD159" s="10"/>
      <c r="BE159" s="10"/>
      <c r="BF159" s="10"/>
      <c r="BG159" s="10"/>
      <c r="BH159" s="10"/>
      <c r="BI159" s="10"/>
      <c r="BJ159" s="10"/>
      <c r="BK159" s="10"/>
      <c r="BL159" s="10"/>
      <c r="BM159" s="10"/>
      <c r="CL159" s="10" t="s">
        <v>246</v>
      </c>
    </row>
    <row r="160" spans="1:90" ht="15">
      <c r="A160" s="10"/>
      <c r="F160" s="2" t="s">
        <v>160</v>
      </c>
      <c r="Y160" s="2">
        <f>Y159*Y3</f>
        <v>91.52</v>
      </c>
      <c r="Z160" s="2">
        <f>Z159*Z3</f>
        <v>148.72</v>
      </c>
      <c r="AA160" s="2">
        <f>AA159*AA3</f>
        <v>108.67999999999999</v>
      </c>
      <c r="AE160" s="2" t="s">
        <v>160</v>
      </c>
      <c r="AF160" s="2">
        <f>AF159*AF3</f>
        <v>172.79999999999998</v>
      </c>
      <c r="AG160" s="2">
        <f>AG159*AG3</f>
        <v>184.32</v>
      </c>
      <c r="AH160" s="2">
        <f>AH159*AH3</f>
        <v>178.55999999999997</v>
      </c>
      <c r="AR160" s="2">
        <f aca="true" t="shared" si="70" ref="AR160:AZ160">AR159*AR3</f>
        <v>295.5</v>
      </c>
      <c r="AS160" s="2">
        <f t="shared" si="70"/>
        <v>320.125</v>
      </c>
      <c r="AT160" s="2">
        <f t="shared" si="70"/>
        <v>307.8125</v>
      </c>
      <c r="AU160" s="2">
        <f t="shared" si="70"/>
        <v>525.25</v>
      </c>
      <c r="AV160" s="2">
        <f t="shared" si="70"/>
        <v>687.6</v>
      </c>
      <c r="AW160" s="2">
        <f t="shared" si="70"/>
        <v>587.3249999999999</v>
      </c>
      <c r="AX160" s="2">
        <f t="shared" si="70"/>
        <v>516.96</v>
      </c>
      <c r="AY160" s="2">
        <f t="shared" si="70"/>
        <v>631.8399999999999</v>
      </c>
      <c r="AZ160" s="2">
        <f t="shared" si="70"/>
        <v>565.066</v>
      </c>
      <c r="BA160" s="2" t="s">
        <v>160</v>
      </c>
      <c r="BB160" s="10"/>
      <c r="BC160" s="10"/>
      <c r="BD160" s="10"/>
      <c r="BE160" s="10"/>
      <c r="BF160" s="10"/>
      <c r="BG160" s="10"/>
      <c r="BH160" s="10"/>
      <c r="BI160" s="10"/>
      <c r="BJ160" s="10"/>
      <c r="BK160" s="10"/>
      <c r="BL160" s="10"/>
      <c r="BM160" s="10"/>
      <c r="CK160" s="17">
        <v>2773.7333333333336</v>
      </c>
      <c r="CL160" s="2" t="s">
        <v>160</v>
      </c>
    </row>
    <row r="161" spans="1:90" ht="15">
      <c r="A161" s="10" t="s">
        <v>248</v>
      </c>
      <c r="C161" s="2" t="s">
        <v>258</v>
      </c>
      <c r="D161" s="2" t="s">
        <v>67</v>
      </c>
      <c r="E161" s="2" t="s">
        <v>68</v>
      </c>
      <c r="F161" s="2" t="s">
        <v>69</v>
      </c>
      <c r="AE161" s="10" t="s">
        <v>248</v>
      </c>
      <c r="AF161" s="2">
        <v>320</v>
      </c>
      <c r="AG161" s="2">
        <v>430</v>
      </c>
      <c r="AH161" s="2">
        <f>(AG161+AF161)/2</f>
        <v>375</v>
      </c>
      <c r="AW161" s="2">
        <v>760</v>
      </c>
      <c r="BA161" s="10" t="s">
        <v>248</v>
      </c>
      <c r="BB161" s="10"/>
      <c r="BC161" s="10"/>
      <c r="BD161" s="10"/>
      <c r="BE161" s="10"/>
      <c r="BF161" s="10"/>
      <c r="BG161" s="10"/>
      <c r="BH161" s="10"/>
      <c r="BI161" s="10"/>
      <c r="BJ161" s="10"/>
      <c r="BK161" s="10"/>
      <c r="BL161" s="10"/>
      <c r="BM161" s="10"/>
      <c r="CJ161" s="10"/>
      <c r="CL161" s="10" t="s">
        <v>248</v>
      </c>
    </row>
    <row r="162" spans="6:90" ht="15">
      <c r="F162" s="2" t="s">
        <v>160</v>
      </c>
      <c r="AE162" s="2" t="s">
        <v>160</v>
      </c>
      <c r="AF162" s="2">
        <f>AF161*AF3</f>
        <v>368.64</v>
      </c>
      <c r="AG162" s="2">
        <f>AG161*AG3</f>
        <v>495.35999999999996</v>
      </c>
      <c r="AH162" s="2">
        <f>AH161*AH3</f>
        <v>431.99999999999994</v>
      </c>
      <c r="AW162" s="2">
        <f>AW161*AW3</f>
        <v>725.8</v>
      </c>
      <c r="BA162" s="2" t="s">
        <v>160</v>
      </c>
      <c r="BB162" s="10"/>
      <c r="BC162" s="10"/>
      <c r="BD162" s="10"/>
      <c r="BE162" s="10"/>
      <c r="BF162" s="10"/>
      <c r="BG162" s="10"/>
      <c r="BH162" s="10"/>
      <c r="BI162" s="10"/>
      <c r="BJ162" s="10"/>
      <c r="BK162" s="10"/>
      <c r="BL162" s="10"/>
      <c r="BM162" s="10"/>
      <c r="CK162" s="17">
        <v>1259.0666666666666</v>
      </c>
      <c r="CL162" s="2" t="s">
        <v>160</v>
      </c>
    </row>
    <row r="163" spans="7:89" s="5" customFormat="1" ht="15">
      <c r="G163" s="11" t="s">
        <v>317</v>
      </c>
      <c r="H163" s="11" t="s">
        <v>317</v>
      </c>
      <c r="I163" s="11" t="s">
        <v>317</v>
      </c>
      <c r="J163" s="11" t="s">
        <v>181</v>
      </c>
      <c r="K163" s="11" t="s">
        <v>181</v>
      </c>
      <c r="L163" s="11" t="s">
        <v>181</v>
      </c>
      <c r="M163" s="11" t="s">
        <v>259</v>
      </c>
      <c r="N163" s="11" t="s">
        <v>259</v>
      </c>
      <c r="O163" s="11" t="s">
        <v>259</v>
      </c>
      <c r="P163" s="11" t="s">
        <v>182</v>
      </c>
      <c r="Q163" s="11" t="s">
        <v>182</v>
      </c>
      <c r="R163" s="11" t="s">
        <v>182</v>
      </c>
      <c r="S163" s="11" t="s">
        <v>183</v>
      </c>
      <c r="T163" s="11" t="s">
        <v>183</v>
      </c>
      <c r="U163" s="11" t="s">
        <v>183</v>
      </c>
      <c r="V163" s="11" t="s">
        <v>184</v>
      </c>
      <c r="W163" s="11" t="s">
        <v>184</v>
      </c>
      <c r="X163" s="11" t="s">
        <v>184</v>
      </c>
      <c r="Y163" s="11" t="s">
        <v>185</v>
      </c>
      <c r="Z163" s="11" t="s">
        <v>185</v>
      </c>
      <c r="AA163" s="11" t="s">
        <v>185</v>
      </c>
      <c r="AB163" s="11" t="s">
        <v>186</v>
      </c>
      <c r="AC163" s="11" t="s">
        <v>186</v>
      </c>
      <c r="AD163" s="11" t="s">
        <v>186</v>
      </c>
      <c r="AE163" s="11"/>
      <c r="AF163" s="11" t="s">
        <v>196</v>
      </c>
      <c r="AG163" s="11" t="s">
        <v>196</v>
      </c>
      <c r="AH163" s="11" t="s">
        <v>196</v>
      </c>
      <c r="AI163" s="11" t="s">
        <v>197</v>
      </c>
      <c r="AJ163" s="11" t="s">
        <v>197</v>
      </c>
      <c r="AK163" s="11" t="s">
        <v>197</v>
      </c>
      <c r="AL163" s="11" t="s">
        <v>198</v>
      </c>
      <c r="AM163" s="11" t="s">
        <v>198</v>
      </c>
      <c r="AN163" s="11" t="s">
        <v>198</v>
      </c>
      <c r="AO163" s="11" t="s">
        <v>199</v>
      </c>
      <c r="AP163" s="11" t="s">
        <v>199</v>
      </c>
      <c r="AQ163" s="11" t="s">
        <v>199</v>
      </c>
      <c r="AR163" s="11" t="s">
        <v>200</v>
      </c>
      <c r="AS163" s="11" t="s">
        <v>200</v>
      </c>
      <c r="AT163" s="11" t="s">
        <v>200</v>
      </c>
      <c r="AU163" s="11" t="s">
        <v>201</v>
      </c>
      <c r="AV163" s="11" t="s">
        <v>201</v>
      </c>
      <c r="AW163" s="11" t="s">
        <v>201</v>
      </c>
      <c r="AX163" s="11" t="s">
        <v>266</v>
      </c>
      <c r="AY163" s="11" t="s">
        <v>266</v>
      </c>
      <c r="AZ163" s="11" t="s">
        <v>266</v>
      </c>
      <c r="BA163" s="11"/>
      <c r="BB163" s="11" t="s">
        <v>261</v>
      </c>
      <c r="BC163" s="11" t="s">
        <v>261</v>
      </c>
      <c r="BD163" s="11" t="s">
        <v>261</v>
      </c>
      <c r="BE163" s="11" t="s">
        <v>390</v>
      </c>
      <c r="BF163" s="11" t="s">
        <v>390</v>
      </c>
      <c r="BG163" s="11" t="s">
        <v>390</v>
      </c>
      <c r="BH163" s="11" t="s">
        <v>391</v>
      </c>
      <c r="BI163" s="11" t="s">
        <v>391</v>
      </c>
      <c r="BJ163" s="11" t="s">
        <v>391</v>
      </c>
      <c r="BK163" s="11" t="s">
        <v>267</v>
      </c>
      <c r="BL163" s="11" t="s">
        <v>267</v>
      </c>
      <c r="BM163" s="11" t="s">
        <v>267</v>
      </c>
      <c r="BN163" s="11" t="s">
        <v>268</v>
      </c>
      <c r="BO163" s="11" t="s">
        <v>268</v>
      </c>
      <c r="BP163" s="11" t="s">
        <v>268</v>
      </c>
      <c r="BQ163" s="11" t="s">
        <v>269</v>
      </c>
      <c r="BR163" s="11" t="s">
        <v>269</v>
      </c>
      <c r="BS163" s="11" t="s">
        <v>269</v>
      </c>
      <c r="BT163" s="11" t="s">
        <v>270</v>
      </c>
      <c r="BU163" s="11" t="s">
        <v>270</v>
      </c>
      <c r="BV163" s="11" t="s">
        <v>270</v>
      </c>
      <c r="BW163" s="11" t="s">
        <v>271</v>
      </c>
      <c r="BX163" s="11" t="s">
        <v>271</v>
      </c>
      <c r="BY163" s="11" t="s">
        <v>271</v>
      </c>
      <c r="BZ163" s="11" t="s">
        <v>272</v>
      </c>
      <c r="CA163" s="11" t="s">
        <v>272</v>
      </c>
      <c r="CB163" s="11" t="s">
        <v>272</v>
      </c>
      <c r="CC163" s="11" t="s">
        <v>273</v>
      </c>
      <c r="CD163" s="11" t="s">
        <v>273</v>
      </c>
      <c r="CE163" s="11" t="s">
        <v>273</v>
      </c>
      <c r="CF163" s="11" t="s">
        <v>274</v>
      </c>
      <c r="CG163" s="11" t="s">
        <v>274</v>
      </c>
      <c r="CH163" s="11" t="s">
        <v>274</v>
      </c>
      <c r="CI163" s="11">
        <v>1870</v>
      </c>
      <c r="CJ163" s="11">
        <v>1870</v>
      </c>
      <c r="CK163" s="11">
        <v>1870</v>
      </c>
    </row>
  </sheetData>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BD313"/>
  <sheetViews>
    <sheetView zoomScale="125" zoomScaleNormal="125" workbookViewId="0" topLeftCell="AL1">
      <pane ySplit="4260" topLeftCell="A1" activePane="bottomLeft" state="split"/>
      <selection pane="topLeft" activeCell="A3" sqref="A3:A309"/>
      <selection pane="bottomLeft" activeCell="AN4" sqref="AN4"/>
    </sheetView>
  </sheetViews>
  <sheetFormatPr defaultColWidth="11.00390625" defaultRowHeight="12.75"/>
  <cols>
    <col min="1" max="1" width="11.75390625" style="2" customWidth="1"/>
    <col min="2" max="2" width="19.375" style="2" customWidth="1"/>
    <col min="3" max="3" width="9.00390625" style="2" customWidth="1"/>
    <col min="4" max="4" width="9.125" style="2" customWidth="1"/>
    <col min="5" max="5" width="4.875" style="2" customWidth="1"/>
    <col min="6" max="6" width="5.875" style="2" customWidth="1"/>
    <col min="7" max="7" width="8.00390625" style="2" customWidth="1"/>
    <col min="8" max="8" width="5.75390625" style="2" customWidth="1"/>
    <col min="9" max="9" width="5.25390625" style="2" customWidth="1"/>
    <col min="10" max="10" width="6.125" style="2" customWidth="1"/>
    <col min="11" max="11" width="7.875" style="2" customWidth="1"/>
    <col min="12" max="12" width="6.125" style="2" customWidth="1"/>
    <col min="13" max="13" width="7.00390625" style="2" customWidth="1"/>
    <col min="14" max="14" width="8.125" style="2" customWidth="1"/>
    <col min="15" max="15" width="7.00390625" style="2" customWidth="1"/>
    <col min="16" max="16" width="6.375" style="2" customWidth="1"/>
    <col min="17" max="17" width="6.25390625" style="2" customWidth="1"/>
    <col min="18" max="18" width="5.125" style="2" customWidth="1"/>
    <col min="19" max="19" width="10.00390625" style="2" customWidth="1"/>
    <col min="20" max="20" width="6.375" style="2" customWidth="1"/>
    <col min="21" max="21" width="4.25390625" style="2" customWidth="1"/>
    <col min="22" max="22" width="4.875" style="2" customWidth="1"/>
    <col min="23" max="23" width="6.875" style="2" customWidth="1"/>
    <col min="24" max="24" width="5.875" style="2" customWidth="1"/>
    <col min="25" max="26" width="6.75390625" style="2" customWidth="1"/>
    <col min="27" max="27" width="5.25390625" style="2" customWidth="1"/>
    <col min="28" max="28" width="4.75390625" style="2" customWidth="1"/>
    <col min="29" max="29" width="7.00390625" style="2" customWidth="1"/>
    <col min="30" max="30" width="5.125" style="2" customWidth="1"/>
    <col min="31" max="31" width="6.25390625" style="2" customWidth="1"/>
    <col min="32" max="32" width="4.25390625" style="2" customWidth="1"/>
    <col min="33" max="33" width="6.375" style="2" customWidth="1"/>
    <col min="34" max="34" width="5.375" style="2" customWidth="1"/>
    <col min="35" max="36" width="8.75390625" style="2" customWidth="1"/>
    <col min="37" max="37" width="17.375" style="2" customWidth="1"/>
    <col min="38" max="39" width="8.75390625" style="2" customWidth="1"/>
    <col min="40" max="40" width="13.625" style="2" customWidth="1"/>
    <col min="41" max="41" width="7.375" style="2" customWidth="1"/>
    <col min="42" max="47" width="8.75390625" style="2" customWidth="1"/>
    <col min="48" max="50" width="6.875" style="2" customWidth="1"/>
    <col min="51" max="51" width="8.75390625" style="2" customWidth="1"/>
    <col min="52" max="52" width="6.25390625" style="2" customWidth="1"/>
    <col min="53" max="53" width="4.625" style="2" customWidth="1"/>
    <col min="54" max="16384" width="8.75390625" style="2" customWidth="1"/>
  </cols>
  <sheetData>
    <row r="1" spans="1:36" s="10" customFormat="1" ht="15.75">
      <c r="A1" s="10" t="s">
        <v>404</v>
      </c>
      <c r="AJ1" s="10" t="s">
        <v>325</v>
      </c>
    </row>
    <row r="2" spans="11:42" s="10" customFormat="1" ht="15.75">
      <c r="K2" s="10" t="s">
        <v>18</v>
      </c>
      <c r="AP2" s="10" t="s">
        <v>24</v>
      </c>
    </row>
    <row r="3" spans="1:51" s="10" customFormat="1" ht="15.75">
      <c r="A3" s="11" t="s">
        <v>147</v>
      </c>
      <c r="C3" s="10" t="s">
        <v>116</v>
      </c>
      <c r="D3" s="10" t="s">
        <v>117</v>
      </c>
      <c r="E3" s="10" t="s">
        <v>204</v>
      </c>
      <c r="K3" s="10" t="s">
        <v>17</v>
      </c>
      <c r="L3" s="10" t="s">
        <v>24</v>
      </c>
      <c r="O3" s="10" t="s">
        <v>206</v>
      </c>
      <c r="U3" s="10" t="s">
        <v>25</v>
      </c>
      <c r="X3" s="10" t="s">
        <v>60</v>
      </c>
      <c r="AA3" s="10" t="s">
        <v>61</v>
      </c>
      <c r="AD3" s="10" t="s">
        <v>63</v>
      </c>
      <c r="AJ3" s="10" t="s">
        <v>147</v>
      </c>
      <c r="AL3" s="10" t="s">
        <v>331</v>
      </c>
      <c r="AO3" s="10" t="s">
        <v>24</v>
      </c>
      <c r="AP3" s="10" t="s">
        <v>62</v>
      </c>
      <c r="AR3" s="10" t="s">
        <v>25</v>
      </c>
      <c r="AS3" s="10" t="s">
        <v>60</v>
      </c>
      <c r="AV3" s="10" t="s">
        <v>61</v>
      </c>
      <c r="AY3" s="10" t="s">
        <v>63</v>
      </c>
    </row>
    <row r="4" spans="1:51" s="10" customFormat="1" ht="15.75">
      <c r="A4" s="11"/>
      <c r="C4" s="10" t="s">
        <v>202</v>
      </c>
      <c r="D4" s="10" t="s">
        <v>119</v>
      </c>
      <c r="E4" s="10" t="s">
        <v>108</v>
      </c>
      <c r="H4" s="10" t="s">
        <v>109</v>
      </c>
      <c r="K4" s="10" t="s">
        <v>15</v>
      </c>
      <c r="L4" s="10" t="s">
        <v>29</v>
      </c>
      <c r="O4" s="10" t="s">
        <v>108</v>
      </c>
      <c r="R4" s="10" t="s">
        <v>109</v>
      </c>
      <c r="U4" s="10" t="s">
        <v>47</v>
      </c>
      <c r="X4" s="10" t="s">
        <v>59</v>
      </c>
      <c r="AA4" s="10" t="s">
        <v>62</v>
      </c>
      <c r="AD4" s="10" t="s">
        <v>62</v>
      </c>
      <c r="AL4" s="10" t="s">
        <v>108</v>
      </c>
      <c r="AM4" s="10" t="s">
        <v>109</v>
      </c>
      <c r="AN4" s="10" t="s">
        <v>21</v>
      </c>
      <c r="AO4" s="10" t="s">
        <v>29</v>
      </c>
      <c r="AP4" s="10" t="s">
        <v>108</v>
      </c>
      <c r="AQ4" s="10" t="s">
        <v>109</v>
      </c>
      <c r="AR4" s="10" t="s">
        <v>47</v>
      </c>
      <c r="AS4" s="10" t="s">
        <v>59</v>
      </c>
      <c r="AV4" s="10" t="s">
        <v>62</v>
      </c>
      <c r="AY4" s="10" t="s">
        <v>62</v>
      </c>
    </row>
    <row r="5" spans="1:53" s="10" customFormat="1" ht="15.75">
      <c r="A5" s="11"/>
      <c r="C5" s="10" t="s">
        <v>203</v>
      </c>
      <c r="D5" s="10" t="s">
        <v>120</v>
      </c>
      <c r="E5" s="2" t="s">
        <v>249</v>
      </c>
      <c r="F5" s="2" t="s">
        <v>250</v>
      </c>
      <c r="G5" s="10" t="s">
        <v>251</v>
      </c>
      <c r="H5" s="2" t="s">
        <v>249</v>
      </c>
      <c r="I5" s="2" t="s">
        <v>250</v>
      </c>
      <c r="J5" s="10" t="s">
        <v>251</v>
      </c>
      <c r="K5" s="10" t="s">
        <v>16</v>
      </c>
      <c r="L5" s="10" t="s">
        <v>249</v>
      </c>
      <c r="M5" s="10" t="s">
        <v>250</v>
      </c>
      <c r="N5" s="10" t="s">
        <v>251</v>
      </c>
      <c r="O5" s="10" t="s">
        <v>249</v>
      </c>
      <c r="P5" s="10" t="s">
        <v>250</v>
      </c>
      <c r="Q5" s="10" t="s">
        <v>251</v>
      </c>
      <c r="R5" s="10" t="s">
        <v>249</v>
      </c>
      <c r="S5" s="10" t="s">
        <v>250</v>
      </c>
      <c r="T5" s="10" t="s">
        <v>251</v>
      </c>
      <c r="U5" s="10" t="s">
        <v>249</v>
      </c>
      <c r="V5" s="10" t="s">
        <v>250</v>
      </c>
      <c r="W5" s="10" t="s">
        <v>251</v>
      </c>
      <c r="X5" s="10" t="s">
        <v>121</v>
      </c>
      <c r="Y5" s="10" t="s">
        <v>122</v>
      </c>
      <c r="Z5" s="10" t="s">
        <v>251</v>
      </c>
      <c r="AA5" s="10" t="s">
        <v>249</v>
      </c>
      <c r="AB5" s="10" t="s">
        <v>250</v>
      </c>
      <c r="AC5" s="10" t="s">
        <v>251</v>
      </c>
      <c r="AD5" s="10" t="s">
        <v>123</v>
      </c>
      <c r="AE5" s="10" t="s">
        <v>152</v>
      </c>
      <c r="AF5" s="10" t="s">
        <v>153</v>
      </c>
      <c r="AL5" s="10" t="s">
        <v>251</v>
      </c>
      <c r="AM5" s="10" t="s">
        <v>251</v>
      </c>
      <c r="AN5" s="10" t="s">
        <v>251</v>
      </c>
      <c r="AO5" s="10" t="s">
        <v>251</v>
      </c>
      <c r="AP5" s="10" t="s">
        <v>251</v>
      </c>
      <c r="AQ5" s="10" t="s">
        <v>251</v>
      </c>
      <c r="AR5" s="10" t="s">
        <v>251</v>
      </c>
      <c r="AS5" s="10" t="s">
        <v>121</v>
      </c>
      <c r="AT5" s="10" t="s">
        <v>122</v>
      </c>
      <c r="AU5" s="10" t="s">
        <v>251</v>
      </c>
      <c r="AV5" s="10" t="s">
        <v>249</v>
      </c>
      <c r="AW5" s="10" t="s">
        <v>250</v>
      </c>
      <c r="AX5" s="10" t="s">
        <v>251</v>
      </c>
      <c r="AY5" s="10" t="s">
        <v>123</v>
      </c>
      <c r="AZ5" s="10" t="s">
        <v>152</v>
      </c>
      <c r="BA5" s="10" t="s">
        <v>153</v>
      </c>
    </row>
    <row r="6" spans="1:54" ht="15.75">
      <c r="A6" s="5" t="s">
        <v>154</v>
      </c>
      <c r="B6" s="2" t="s">
        <v>69</v>
      </c>
      <c r="E6" s="2">
        <v>8</v>
      </c>
      <c r="F6" s="2">
        <v>16</v>
      </c>
      <c r="G6" s="2">
        <v>12</v>
      </c>
      <c r="H6" s="2">
        <v>4</v>
      </c>
      <c r="I6" s="2">
        <v>10</v>
      </c>
      <c r="J6" s="2">
        <v>7</v>
      </c>
      <c r="R6" s="2">
        <v>150</v>
      </c>
      <c r="S6" s="2">
        <v>250</v>
      </c>
      <c r="T6" s="2">
        <v>200</v>
      </c>
      <c r="AA6" s="2">
        <v>60</v>
      </c>
      <c r="AB6" s="2">
        <v>100</v>
      </c>
      <c r="AD6" s="2">
        <v>125</v>
      </c>
      <c r="AG6" s="2" t="s">
        <v>154</v>
      </c>
      <c r="AJ6" s="10" t="s">
        <v>154</v>
      </c>
      <c r="AK6" s="10" t="s">
        <v>210</v>
      </c>
      <c r="AL6" s="8">
        <v>2.4710399999999995</v>
      </c>
      <c r="AM6" s="8">
        <v>1.4414399999999998</v>
      </c>
      <c r="AN6" s="8"/>
      <c r="AO6" s="8"/>
      <c r="AP6" s="8"/>
      <c r="AQ6" s="8">
        <v>41.184</v>
      </c>
      <c r="AR6" s="8"/>
      <c r="AS6" s="8"/>
      <c r="AT6" s="8"/>
      <c r="AU6" s="8"/>
      <c r="AV6" s="8">
        <v>12.3552</v>
      </c>
      <c r="AW6" s="8">
        <v>20.592</v>
      </c>
      <c r="AX6" s="8"/>
      <c r="AY6" s="8">
        <v>25.74</v>
      </c>
      <c r="AZ6" s="8"/>
      <c r="BA6" s="8"/>
      <c r="BB6" s="10" t="s">
        <v>210</v>
      </c>
    </row>
    <row r="7" spans="1:54" ht="15.75">
      <c r="A7" s="5" t="s">
        <v>154</v>
      </c>
      <c r="B7" s="2" t="s">
        <v>160</v>
      </c>
      <c r="C7" s="2">
        <v>1.144</v>
      </c>
      <c r="E7" s="2">
        <f aca="true" t="shared" si="0" ref="E7:J7">E6*1.144</f>
        <v>9.152</v>
      </c>
      <c r="F7" s="2">
        <f t="shared" si="0"/>
        <v>18.304</v>
      </c>
      <c r="G7" s="2">
        <f t="shared" si="0"/>
        <v>13.727999999999998</v>
      </c>
      <c r="H7" s="2">
        <f t="shared" si="0"/>
        <v>4.576</v>
      </c>
      <c r="I7" s="2">
        <f t="shared" si="0"/>
        <v>11.44</v>
      </c>
      <c r="J7" s="2">
        <f t="shared" si="0"/>
        <v>8.008</v>
      </c>
      <c r="R7" s="2">
        <f>R6*1.144</f>
        <v>171.6</v>
      </c>
      <c r="S7" s="2">
        <f>S6*1.144</f>
        <v>286</v>
      </c>
      <c r="T7" s="2">
        <f>T6*1.144</f>
        <v>228.79999999999998</v>
      </c>
      <c r="AA7" s="2">
        <f>AA6*1.144</f>
        <v>68.64</v>
      </c>
      <c r="AB7" s="2">
        <f>AB6*1.144</f>
        <v>114.39999999999999</v>
      </c>
      <c r="AD7" s="2">
        <f>AD6*1.144</f>
        <v>143</v>
      </c>
      <c r="AG7" s="2" t="s">
        <v>160</v>
      </c>
      <c r="AJ7" s="2" t="s">
        <v>155</v>
      </c>
      <c r="AK7" s="2" t="s">
        <v>210</v>
      </c>
      <c r="AL7" s="7">
        <v>3.7065599999999996</v>
      </c>
      <c r="AM7" s="7">
        <v>1.6473599999999997</v>
      </c>
      <c r="AN7" s="7"/>
      <c r="AO7" s="7">
        <v>2.4710399999999995</v>
      </c>
      <c r="AP7" s="7">
        <v>82.368</v>
      </c>
      <c r="AQ7" s="7"/>
      <c r="AR7" s="7">
        <v>53.5392</v>
      </c>
      <c r="AS7" s="7">
        <v>1.4414399999999998</v>
      </c>
      <c r="AT7" s="7">
        <v>2.6769599999999993</v>
      </c>
      <c r="AU7" s="7">
        <v>2.1621599999999996</v>
      </c>
      <c r="AV7" s="7"/>
      <c r="AW7" s="7"/>
      <c r="AX7" s="7"/>
      <c r="AY7" s="7"/>
      <c r="AZ7" s="7"/>
      <c r="BA7" s="7"/>
      <c r="BB7" s="2" t="s">
        <v>210</v>
      </c>
    </row>
    <row r="8" spans="1:56" s="10" customFormat="1" ht="15.75">
      <c r="A8" s="11" t="s">
        <v>154</v>
      </c>
      <c r="B8" s="10" t="s">
        <v>210</v>
      </c>
      <c r="E8" s="7">
        <f aca="true" t="shared" si="1" ref="E8:J8">0.18*E7</f>
        <v>1.6473599999999997</v>
      </c>
      <c r="F8" s="7">
        <f t="shared" si="1"/>
        <v>3.2947199999999994</v>
      </c>
      <c r="G8" s="8">
        <f t="shared" si="1"/>
        <v>2.4710399999999995</v>
      </c>
      <c r="H8" s="7">
        <f t="shared" si="1"/>
        <v>0.8236799999999999</v>
      </c>
      <c r="I8" s="7">
        <f t="shared" si="1"/>
        <v>2.0591999999999997</v>
      </c>
      <c r="J8" s="8">
        <f t="shared" si="1"/>
        <v>1.4414399999999998</v>
      </c>
      <c r="K8" s="8">
        <f>100*((G8/J8)-1)</f>
        <v>71.42857142857142</v>
      </c>
      <c r="L8" s="2"/>
      <c r="M8" s="2"/>
      <c r="N8" s="2"/>
      <c r="O8" s="2"/>
      <c r="P8" s="2"/>
      <c r="Q8" s="2"/>
      <c r="R8" s="8">
        <f>0.18*R7</f>
        <v>30.887999999999998</v>
      </c>
      <c r="S8" s="8">
        <f>0.18*S7</f>
        <v>51.48</v>
      </c>
      <c r="T8" s="8">
        <f>0.18*T7</f>
        <v>41.184</v>
      </c>
      <c r="U8" s="2"/>
      <c r="V8" s="2"/>
      <c r="W8" s="2"/>
      <c r="X8" s="2"/>
      <c r="Y8" s="2"/>
      <c r="Z8" s="2"/>
      <c r="AA8" s="8">
        <f>0.18*AA7</f>
        <v>12.3552</v>
      </c>
      <c r="AB8" s="8">
        <f>0.18*AB7</f>
        <v>20.592</v>
      </c>
      <c r="AC8" s="2"/>
      <c r="AD8" s="8">
        <f>0.18*AD7</f>
        <v>25.74</v>
      </c>
      <c r="AE8" s="2"/>
      <c r="AF8" s="2"/>
      <c r="AG8" s="10" t="s">
        <v>210</v>
      </c>
      <c r="AJ8" s="2" t="s">
        <v>31</v>
      </c>
      <c r="AK8" s="2" t="s">
        <v>210</v>
      </c>
      <c r="AL8" s="7">
        <v>2.8828799999999997</v>
      </c>
      <c r="AM8" s="7"/>
      <c r="AN8" s="7"/>
      <c r="AO8" s="7"/>
      <c r="AP8" s="7">
        <v>67.9536</v>
      </c>
      <c r="AQ8" s="7"/>
      <c r="AR8" s="7">
        <v>53.5392</v>
      </c>
      <c r="AS8" s="7">
        <v>1.4414399999999998</v>
      </c>
      <c r="AT8" s="7">
        <v>2.6769599999999993</v>
      </c>
      <c r="AU8" s="7">
        <v>2.1621599999999996</v>
      </c>
      <c r="AV8" s="7"/>
      <c r="AW8" s="7"/>
      <c r="AX8" s="7"/>
      <c r="AY8" s="7">
        <v>41.184</v>
      </c>
      <c r="AZ8" s="7"/>
      <c r="BA8" s="7"/>
      <c r="BB8" s="2" t="s">
        <v>210</v>
      </c>
      <c r="BC8" s="2"/>
      <c r="BD8" s="2"/>
    </row>
    <row r="9" spans="1:54" ht="15.75">
      <c r="A9" s="5"/>
      <c r="AJ9" s="10" t="s">
        <v>32</v>
      </c>
      <c r="AK9" s="2" t="s">
        <v>210</v>
      </c>
      <c r="AL9" s="8">
        <v>2.69568</v>
      </c>
      <c r="AM9" s="7"/>
      <c r="AN9" s="7"/>
      <c r="AO9" s="7"/>
      <c r="AP9" s="7"/>
      <c r="AQ9" s="7"/>
      <c r="AR9" s="7">
        <v>53.913599999999995</v>
      </c>
      <c r="AS9" s="7"/>
      <c r="AT9" s="7"/>
      <c r="AU9" s="7"/>
      <c r="AV9" s="7"/>
      <c r="AW9" s="7"/>
      <c r="AX9" s="7"/>
      <c r="AY9" s="7"/>
      <c r="AZ9" s="7"/>
      <c r="BA9" s="7"/>
      <c r="BB9" s="2" t="s">
        <v>210</v>
      </c>
    </row>
    <row r="10" spans="1:54" ht="15.75">
      <c r="A10" s="5" t="s">
        <v>155</v>
      </c>
      <c r="B10" s="2" t="s">
        <v>69</v>
      </c>
      <c r="E10" s="2">
        <v>12</v>
      </c>
      <c r="F10" s="2">
        <v>20</v>
      </c>
      <c r="G10" s="2">
        <v>18</v>
      </c>
      <c r="H10" s="2">
        <v>6</v>
      </c>
      <c r="I10" s="2">
        <v>12</v>
      </c>
      <c r="J10" s="2">
        <v>8</v>
      </c>
      <c r="L10" s="2">
        <v>10</v>
      </c>
      <c r="M10" s="2">
        <v>16</v>
      </c>
      <c r="N10" s="2">
        <v>12</v>
      </c>
      <c r="O10" s="2">
        <v>300</v>
      </c>
      <c r="P10" s="2">
        <v>500</v>
      </c>
      <c r="Q10" s="2">
        <v>400</v>
      </c>
      <c r="R10" s="2">
        <v>200</v>
      </c>
      <c r="S10" s="2">
        <v>300</v>
      </c>
      <c r="W10" s="2">
        <v>260</v>
      </c>
      <c r="X10" s="2">
        <v>7</v>
      </c>
      <c r="Y10" s="2">
        <v>13</v>
      </c>
      <c r="Z10" s="2">
        <v>10.5</v>
      </c>
      <c r="AG10" s="2" t="s">
        <v>155</v>
      </c>
      <c r="AJ10" s="2" t="s">
        <v>199</v>
      </c>
      <c r="AK10" s="2" t="s">
        <v>210</v>
      </c>
      <c r="AL10" s="7">
        <v>2.8242000000000003</v>
      </c>
      <c r="AM10" s="7"/>
      <c r="AN10" s="7"/>
      <c r="AO10" s="7"/>
      <c r="AP10" s="7"/>
      <c r="AQ10" s="7"/>
      <c r="AR10" s="7"/>
      <c r="AS10" s="7"/>
      <c r="AT10" s="7"/>
      <c r="AU10" s="7"/>
      <c r="AV10" s="7"/>
      <c r="AW10" s="7"/>
      <c r="AX10" s="7"/>
      <c r="AY10" s="7"/>
      <c r="AZ10" s="7"/>
      <c r="BA10" s="7"/>
      <c r="BB10" s="2" t="s">
        <v>210</v>
      </c>
    </row>
    <row r="11" spans="1:53" ht="15.75">
      <c r="A11" s="5" t="s">
        <v>155</v>
      </c>
      <c r="B11" s="2" t="s">
        <v>160</v>
      </c>
      <c r="C11" s="2">
        <v>1.144</v>
      </c>
      <c r="E11" s="2">
        <f>E10*1.144</f>
        <v>13.727999999999998</v>
      </c>
      <c r="F11" s="2">
        <f aca="true" t="shared" si="2" ref="F11:S11">F10*1.144</f>
        <v>22.88</v>
      </c>
      <c r="G11" s="2">
        <f t="shared" si="2"/>
        <v>20.592</v>
      </c>
      <c r="H11" s="2">
        <f t="shared" si="2"/>
        <v>6.863999999999999</v>
      </c>
      <c r="I11" s="2">
        <f t="shared" si="2"/>
        <v>13.727999999999998</v>
      </c>
      <c r="J11" s="2">
        <f t="shared" si="2"/>
        <v>9.152</v>
      </c>
      <c r="L11" s="2">
        <f t="shared" si="2"/>
        <v>11.44</v>
      </c>
      <c r="M11" s="2">
        <f t="shared" si="2"/>
        <v>18.304</v>
      </c>
      <c r="N11" s="2">
        <f t="shared" si="2"/>
        <v>13.727999999999998</v>
      </c>
      <c r="O11" s="2">
        <f t="shared" si="2"/>
        <v>343.2</v>
      </c>
      <c r="P11" s="2">
        <f t="shared" si="2"/>
        <v>572</v>
      </c>
      <c r="Q11" s="2">
        <f t="shared" si="2"/>
        <v>457.59999999999997</v>
      </c>
      <c r="R11" s="2">
        <f t="shared" si="2"/>
        <v>228.79999999999998</v>
      </c>
      <c r="S11" s="2">
        <f t="shared" si="2"/>
        <v>343.2</v>
      </c>
      <c r="AG11" s="2" t="s">
        <v>160</v>
      </c>
      <c r="AL11" s="7"/>
      <c r="AM11" s="7"/>
      <c r="AN11" s="7"/>
      <c r="AO11" s="7"/>
      <c r="AP11" s="7"/>
      <c r="AQ11" s="7"/>
      <c r="AR11" s="7"/>
      <c r="AS11" s="7"/>
      <c r="AT11" s="7"/>
      <c r="AU11" s="7"/>
      <c r="AV11" s="7"/>
      <c r="AW11" s="7"/>
      <c r="AX11" s="7"/>
      <c r="AY11" s="7"/>
      <c r="AZ11" s="7"/>
      <c r="BA11" s="7"/>
    </row>
    <row r="12" spans="1:54" ht="15.75">
      <c r="A12" s="5" t="s">
        <v>155</v>
      </c>
      <c r="B12" s="10" t="s">
        <v>210</v>
      </c>
      <c r="C12" s="10"/>
      <c r="D12" s="10"/>
      <c r="E12" s="7">
        <f aca="true" t="shared" si="3" ref="E12:J12">0.18*E11</f>
        <v>2.4710399999999995</v>
      </c>
      <c r="F12" s="7">
        <f t="shared" si="3"/>
        <v>4.118399999999999</v>
      </c>
      <c r="G12" s="8">
        <f t="shared" si="3"/>
        <v>3.7065599999999996</v>
      </c>
      <c r="H12" s="7">
        <f t="shared" si="3"/>
        <v>1.2355199999999997</v>
      </c>
      <c r="I12" s="7">
        <f t="shared" si="3"/>
        <v>2.4710399999999995</v>
      </c>
      <c r="J12" s="8">
        <f t="shared" si="3"/>
        <v>1.6473599999999997</v>
      </c>
      <c r="K12" s="8">
        <f>100*((G12/J12)-1)</f>
        <v>125</v>
      </c>
      <c r="L12" s="7">
        <f aca="true" t="shared" si="4" ref="L12:S12">0.18*L11</f>
        <v>2.0591999999999997</v>
      </c>
      <c r="M12" s="7">
        <f t="shared" si="4"/>
        <v>3.2947199999999994</v>
      </c>
      <c r="N12" s="8">
        <f t="shared" si="4"/>
        <v>2.4710399999999995</v>
      </c>
      <c r="O12" s="8">
        <f t="shared" si="4"/>
        <v>61.775999999999996</v>
      </c>
      <c r="P12" s="8">
        <f t="shared" si="4"/>
        <v>102.96</v>
      </c>
      <c r="Q12" s="8">
        <f t="shared" si="4"/>
        <v>82.368</v>
      </c>
      <c r="R12" s="8">
        <f t="shared" si="4"/>
        <v>41.184</v>
      </c>
      <c r="S12" s="8">
        <f t="shared" si="4"/>
        <v>61.775999999999996</v>
      </c>
      <c r="AG12" s="10" t="s">
        <v>210</v>
      </c>
      <c r="AJ12" s="2">
        <v>1803</v>
      </c>
      <c r="AK12" s="2" t="s">
        <v>210</v>
      </c>
      <c r="AL12" s="7"/>
      <c r="AM12" s="7"/>
      <c r="AN12" s="7"/>
      <c r="AO12" s="7"/>
      <c r="AP12" s="7"/>
      <c r="AQ12" s="7"/>
      <c r="AR12" s="7"/>
      <c r="AS12" s="7">
        <v>0.92781</v>
      </c>
      <c r="AT12" s="7">
        <v>2.06973</v>
      </c>
      <c r="AU12" s="7">
        <v>1.4987700000000002</v>
      </c>
      <c r="AV12" s="7"/>
      <c r="AW12" s="7"/>
      <c r="AX12" s="7"/>
      <c r="AY12" s="7"/>
      <c r="AZ12" s="7"/>
      <c r="BB12" s="2" t="s">
        <v>210</v>
      </c>
    </row>
    <row r="13" spans="1:54" ht="15.75">
      <c r="A13" s="5"/>
      <c r="AJ13" s="2">
        <v>1804</v>
      </c>
      <c r="AK13" s="2" t="s">
        <v>210</v>
      </c>
      <c r="AL13" s="7"/>
      <c r="AM13" s="7"/>
      <c r="AN13" s="7">
        <v>7.484399999999999</v>
      </c>
      <c r="AO13" s="7"/>
      <c r="AP13" s="7"/>
      <c r="AQ13" s="7"/>
      <c r="AR13" s="7"/>
      <c r="AS13" s="7"/>
      <c r="AT13" s="7"/>
      <c r="AU13" s="7"/>
      <c r="AV13" s="7"/>
      <c r="AW13" s="7"/>
      <c r="AX13" s="7"/>
      <c r="AY13" s="7"/>
      <c r="AZ13" s="7"/>
      <c r="BB13" s="2" t="s">
        <v>210</v>
      </c>
    </row>
    <row r="14" spans="1:54" ht="15.75">
      <c r="A14" s="5" t="s">
        <v>31</v>
      </c>
      <c r="B14" s="2" t="s">
        <v>69</v>
      </c>
      <c r="E14" s="2">
        <v>10</v>
      </c>
      <c r="F14" s="2">
        <v>20</v>
      </c>
      <c r="G14" s="2">
        <v>14</v>
      </c>
      <c r="O14" s="2">
        <v>280</v>
      </c>
      <c r="P14" s="2">
        <v>380</v>
      </c>
      <c r="Q14" s="2">
        <v>330</v>
      </c>
      <c r="R14" s="2">
        <v>270</v>
      </c>
      <c r="S14" s="2">
        <v>290</v>
      </c>
      <c r="W14" s="2">
        <v>260</v>
      </c>
      <c r="X14" s="2">
        <v>7</v>
      </c>
      <c r="Y14" s="2">
        <v>13</v>
      </c>
      <c r="Z14" s="2">
        <v>10.5</v>
      </c>
      <c r="AD14" s="2">
        <v>200</v>
      </c>
      <c r="AG14" s="2" t="s">
        <v>31</v>
      </c>
      <c r="AJ14" s="2">
        <v>1805</v>
      </c>
      <c r="AK14" s="2" t="s">
        <v>210</v>
      </c>
      <c r="AL14" s="7">
        <v>12.088799999999999</v>
      </c>
      <c r="AM14" s="7">
        <v>7.7526</v>
      </c>
      <c r="AN14" s="7">
        <v>7.4898</v>
      </c>
      <c r="AO14" s="7"/>
      <c r="AP14" s="7"/>
      <c r="AQ14" s="7"/>
      <c r="AR14" s="7"/>
      <c r="AS14" s="7"/>
      <c r="AT14" s="7"/>
      <c r="AU14" s="7"/>
      <c r="AV14" s="7"/>
      <c r="AW14" s="7"/>
      <c r="AX14" s="7"/>
      <c r="AY14" s="7"/>
      <c r="AZ14" s="7"/>
      <c r="BB14" s="2" t="s">
        <v>210</v>
      </c>
    </row>
    <row r="15" spans="1:54" ht="15.75">
      <c r="A15" s="5" t="s">
        <v>31</v>
      </c>
      <c r="B15" s="2" t="s">
        <v>160</v>
      </c>
      <c r="C15" s="2">
        <v>1.144</v>
      </c>
      <c r="E15" s="2">
        <f>E14*1.144</f>
        <v>11.44</v>
      </c>
      <c r="F15" s="2">
        <f>F14*1.144</f>
        <v>22.88</v>
      </c>
      <c r="G15" s="2">
        <f>G14*1.144</f>
        <v>16.016</v>
      </c>
      <c r="O15" s="2">
        <f>O14*1.144</f>
        <v>320.32</v>
      </c>
      <c r="P15" s="2">
        <f>P14*1.144</f>
        <v>434.71999999999997</v>
      </c>
      <c r="Q15" s="2">
        <f>Q14*1.144</f>
        <v>377.52</v>
      </c>
      <c r="R15" s="2">
        <f>R14*1.144</f>
        <v>308.88</v>
      </c>
      <c r="S15" s="2">
        <f>S14*1.144</f>
        <v>331.76</v>
      </c>
      <c r="AD15" s="2">
        <f>AD14*1.144</f>
        <v>228.79999999999998</v>
      </c>
      <c r="AG15" s="2" t="s">
        <v>160</v>
      </c>
      <c r="AJ15" s="2">
        <v>1806</v>
      </c>
      <c r="AK15" s="2" t="s">
        <v>210</v>
      </c>
      <c r="AL15" s="7"/>
      <c r="AM15" s="7"/>
      <c r="AN15" s="7">
        <v>7.776</v>
      </c>
      <c r="AO15" s="7"/>
      <c r="AP15" s="7"/>
      <c r="AQ15" s="7"/>
      <c r="AR15" s="7"/>
      <c r="AS15" s="7"/>
      <c r="AT15" s="7"/>
      <c r="AU15" s="7"/>
      <c r="AV15" s="7"/>
      <c r="AW15" s="7"/>
      <c r="AX15" s="7"/>
      <c r="AY15" s="7"/>
      <c r="AZ15" s="7"/>
      <c r="BB15" s="2" t="s">
        <v>210</v>
      </c>
    </row>
    <row r="16" spans="1:54" ht="15.75">
      <c r="A16" s="5" t="s">
        <v>31</v>
      </c>
      <c r="B16" s="10" t="s">
        <v>210</v>
      </c>
      <c r="C16" s="10"/>
      <c r="D16" s="10"/>
      <c r="E16" s="7">
        <f>0.18*E15</f>
        <v>2.0591999999999997</v>
      </c>
      <c r="F16" s="7">
        <f>0.18*F15</f>
        <v>4.118399999999999</v>
      </c>
      <c r="G16" s="8">
        <f>0.18*G15</f>
        <v>2.8828799999999997</v>
      </c>
      <c r="O16" s="8">
        <f>0.18*O15</f>
        <v>57.657599999999995</v>
      </c>
      <c r="P16" s="8">
        <f>0.18*P15</f>
        <v>78.24959999999999</v>
      </c>
      <c r="Q16" s="8">
        <f>0.18*Q15</f>
        <v>67.9536</v>
      </c>
      <c r="R16" s="8">
        <f>0.18*R15</f>
        <v>55.5984</v>
      </c>
      <c r="S16" s="8">
        <f>0.18*S15</f>
        <v>59.7168</v>
      </c>
      <c r="AD16" s="8">
        <f>0.18*AD15</f>
        <v>41.184</v>
      </c>
      <c r="AG16" s="10" t="s">
        <v>210</v>
      </c>
      <c r="AJ16" s="2">
        <v>1807</v>
      </c>
      <c r="AK16" s="2" t="s">
        <v>210</v>
      </c>
      <c r="AL16" s="7">
        <v>9.684000000000001</v>
      </c>
      <c r="AM16" s="7">
        <v>5.71356</v>
      </c>
      <c r="AN16" s="7">
        <v>7.1661600000000005</v>
      </c>
      <c r="AO16" s="7"/>
      <c r="AP16" s="7"/>
      <c r="AQ16" s="7"/>
      <c r="AR16" s="7"/>
      <c r="AS16" s="7"/>
      <c r="AT16" s="7"/>
      <c r="AU16" s="7"/>
      <c r="AV16" s="7"/>
      <c r="AW16" s="7"/>
      <c r="AX16" s="7"/>
      <c r="AY16" s="7"/>
      <c r="AZ16" s="7"/>
      <c r="BB16" s="2" t="s">
        <v>210</v>
      </c>
    </row>
    <row r="17" spans="1:54" ht="15.75">
      <c r="A17" s="5"/>
      <c r="AJ17" s="2">
        <v>1808</v>
      </c>
      <c r="AK17" s="2" t="s">
        <v>210</v>
      </c>
      <c r="AL17" s="7"/>
      <c r="AM17" s="7"/>
      <c r="AN17" s="7">
        <v>5.87358</v>
      </c>
      <c r="AO17" s="7"/>
      <c r="AP17" s="7"/>
      <c r="AQ17" s="7"/>
      <c r="AR17" s="7"/>
      <c r="AS17" s="7"/>
      <c r="AT17" s="7"/>
      <c r="AU17" s="7"/>
      <c r="AV17" s="7"/>
      <c r="AW17" s="7"/>
      <c r="AX17" s="7"/>
      <c r="AY17" s="7"/>
      <c r="AZ17" s="7"/>
      <c r="BB17" s="2" t="s">
        <v>210</v>
      </c>
    </row>
    <row r="18" spans="1:54" ht="15.75">
      <c r="A18" s="5" t="s">
        <v>32</v>
      </c>
      <c r="B18" s="2" t="s">
        <v>69</v>
      </c>
      <c r="E18" s="2">
        <v>12</v>
      </c>
      <c r="F18" s="2">
        <v>14</v>
      </c>
      <c r="G18" s="2">
        <v>13</v>
      </c>
      <c r="L18" s="2">
        <v>8</v>
      </c>
      <c r="M18" s="2">
        <v>16</v>
      </c>
      <c r="W18" s="2">
        <v>260</v>
      </c>
      <c r="AG18" s="2" t="s">
        <v>32</v>
      </c>
      <c r="AJ18" s="2">
        <v>1809</v>
      </c>
      <c r="AK18" s="2" t="s">
        <v>210</v>
      </c>
      <c r="AL18" s="7"/>
      <c r="AM18" s="7"/>
      <c r="AN18" s="7">
        <v>6.15726</v>
      </c>
      <c r="AO18" s="7"/>
      <c r="AP18" s="7"/>
      <c r="AQ18" s="7"/>
      <c r="AR18" s="7"/>
      <c r="AS18" s="7"/>
      <c r="AT18" s="7"/>
      <c r="AU18" s="7"/>
      <c r="AV18" s="7"/>
      <c r="AW18" s="7"/>
      <c r="AX18" s="7"/>
      <c r="AY18" s="7"/>
      <c r="AZ18" s="7"/>
      <c r="BB18" s="2" t="s">
        <v>210</v>
      </c>
    </row>
    <row r="19" spans="1:54" ht="15.75">
      <c r="A19" s="5" t="s">
        <v>32</v>
      </c>
      <c r="B19" s="2" t="s">
        <v>160</v>
      </c>
      <c r="C19" s="2">
        <v>1.152</v>
      </c>
      <c r="E19" s="2">
        <f>E18*1.152</f>
        <v>13.823999999999998</v>
      </c>
      <c r="F19" s="2">
        <f>F18*1.152</f>
        <v>16.128</v>
      </c>
      <c r="G19" s="2">
        <f>G18*1.152</f>
        <v>14.975999999999999</v>
      </c>
      <c r="L19" s="7">
        <f>L18*1.152</f>
        <v>9.216</v>
      </c>
      <c r="M19" s="7">
        <f>M18*1.152</f>
        <v>18.432</v>
      </c>
      <c r="AG19" s="2" t="s">
        <v>160</v>
      </c>
      <c r="AJ19" s="2">
        <v>1810</v>
      </c>
      <c r="AK19" s="2" t="s">
        <v>210</v>
      </c>
      <c r="AL19" s="7"/>
      <c r="AM19" s="7"/>
      <c r="AN19" s="7">
        <v>4.3434</v>
      </c>
      <c r="AO19" s="7"/>
      <c r="AP19" s="7"/>
      <c r="AQ19" s="7"/>
      <c r="AR19" s="7"/>
      <c r="AS19" s="7"/>
      <c r="AT19" s="7"/>
      <c r="AU19" s="7"/>
      <c r="AV19" s="7"/>
      <c r="AW19" s="7"/>
      <c r="AX19" s="7"/>
      <c r="AY19" s="7"/>
      <c r="AZ19" s="7"/>
      <c r="BB19" s="2" t="s">
        <v>210</v>
      </c>
    </row>
    <row r="20" spans="1:54" ht="15.75">
      <c r="A20" s="5" t="s">
        <v>32</v>
      </c>
      <c r="B20" s="10" t="s">
        <v>210</v>
      </c>
      <c r="C20" s="10"/>
      <c r="D20" s="10"/>
      <c r="E20" s="7">
        <f>0.18*E19</f>
        <v>2.4883199999999994</v>
      </c>
      <c r="F20" s="7">
        <f>0.18*F19</f>
        <v>2.90304</v>
      </c>
      <c r="G20" s="8">
        <f>0.18*G19</f>
        <v>2.69568</v>
      </c>
      <c r="L20" s="7">
        <f>0.18*L19</f>
        <v>1.65888</v>
      </c>
      <c r="M20" s="7">
        <f>0.18*M19</f>
        <v>3.31776</v>
      </c>
      <c r="AG20" s="10" t="s">
        <v>210</v>
      </c>
      <c r="AJ20" s="2">
        <v>1811</v>
      </c>
      <c r="AK20" s="2" t="s">
        <v>210</v>
      </c>
      <c r="AL20" s="7">
        <v>7.128</v>
      </c>
      <c r="AM20" s="7">
        <v>3.6590399999999996</v>
      </c>
      <c r="AN20" s="7">
        <v>5.27472</v>
      </c>
      <c r="AO20" s="7"/>
      <c r="AP20" s="7"/>
      <c r="AQ20" s="7"/>
      <c r="AR20" s="7"/>
      <c r="AS20" s="7"/>
      <c r="AT20" s="7"/>
      <c r="AU20" s="7"/>
      <c r="AV20" s="7"/>
      <c r="AW20" s="7"/>
      <c r="AX20" s="7"/>
      <c r="AY20" s="7"/>
      <c r="AZ20" s="7"/>
      <c r="BB20" s="2" t="s">
        <v>210</v>
      </c>
    </row>
    <row r="21" spans="1:54" ht="15.75">
      <c r="A21" s="5"/>
      <c r="AJ21" s="2">
        <v>1813</v>
      </c>
      <c r="AK21" s="2" t="s">
        <v>210</v>
      </c>
      <c r="AL21" s="7"/>
      <c r="AM21" s="7"/>
      <c r="AN21" s="7"/>
      <c r="AO21" s="7"/>
      <c r="AP21" s="7"/>
      <c r="AQ21" s="7"/>
      <c r="AR21" s="7"/>
      <c r="AS21" s="7"/>
      <c r="AT21" s="7"/>
      <c r="AU21" s="7"/>
      <c r="AV21" s="7"/>
      <c r="AW21" s="7"/>
      <c r="AX21" s="7"/>
      <c r="AY21" s="7"/>
      <c r="AZ21" s="7"/>
      <c r="BB21" s="2" t="s">
        <v>210</v>
      </c>
    </row>
    <row r="22" spans="1:54" ht="15.75">
      <c r="A22" s="5" t="s">
        <v>199</v>
      </c>
      <c r="B22" s="2" t="s">
        <v>69</v>
      </c>
      <c r="E22" s="2">
        <v>14</v>
      </c>
      <c r="F22" s="2">
        <v>16</v>
      </c>
      <c r="G22" s="2">
        <v>15</v>
      </c>
      <c r="AG22" s="2" t="s">
        <v>199</v>
      </c>
      <c r="AJ22" s="2">
        <v>1818</v>
      </c>
      <c r="AK22" s="2" t="s">
        <v>210</v>
      </c>
      <c r="AL22" s="8">
        <v>10.2465</v>
      </c>
      <c r="AM22" s="8">
        <v>7.969499999999999</v>
      </c>
      <c r="AN22" s="8"/>
      <c r="AO22" s="7"/>
      <c r="AP22" s="7"/>
      <c r="AQ22" s="7"/>
      <c r="AR22" s="7"/>
      <c r="AS22" s="7"/>
      <c r="AT22" s="7"/>
      <c r="AU22" s="7"/>
      <c r="AV22" s="7"/>
      <c r="AW22" s="7"/>
      <c r="AX22" s="7"/>
      <c r="AY22" s="7"/>
      <c r="AZ22" s="7"/>
      <c r="BB22" s="2" t="s">
        <v>210</v>
      </c>
    </row>
    <row r="23" spans="1:54" ht="15.75">
      <c r="A23" s="5" t="s">
        <v>199</v>
      </c>
      <c r="B23" s="2" t="s">
        <v>160</v>
      </c>
      <c r="C23" s="2">
        <v>1.0456</v>
      </c>
      <c r="E23" s="2">
        <f>E22*1.046</f>
        <v>14.644</v>
      </c>
      <c r="F23" s="2">
        <f>F22*1.046</f>
        <v>16.736</v>
      </c>
      <c r="G23" s="2">
        <f>G22*1.046</f>
        <v>15.690000000000001</v>
      </c>
      <c r="AG23" s="2" t="s">
        <v>160</v>
      </c>
      <c r="AJ23" s="2">
        <v>1819</v>
      </c>
      <c r="AK23" s="2" t="s">
        <v>210</v>
      </c>
      <c r="AL23" s="8">
        <v>15.81156</v>
      </c>
      <c r="AM23" s="8"/>
      <c r="AN23" s="8"/>
      <c r="AO23" s="7"/>
      <c r="AP23" s="7"/>
      <c r="AQ23" s="7"/>
      <c r="AR23" s="7"/>
      <c r="AS23" s="7"/>
      <c r="AT23" s="7"/>
      <c r="AU23" s="7"/>
      <c r="AV23" s="7"/>
      <c r="AW23" s="7"/>
      <c r="AX23" s="7"/>
      <c r="AY23" s="7"/>
      <c r="AZ23" s="7"/>
      <c r="BB23" s="2" t="s">
        <v>210</v>
      </c>
    </row>
    <row r="24" spans="1:54" ht="15.75">
      <c r="A24" s="5" t="s">
        <v>199</v>
      </c>
      <c r="B24" s="10" t="s">
        <v>210</v>
      </c>
      <c r="C24" s="10"/>
      <c r="D24" s="10"/>
      <c r="E24" s="7">
        <f>0.18*E23</f>
        <v>2.63592</v>
      </c>
      <c r="F24" s="7">
        <f>0.18*F23</f>
        <v>3.01248</v>
      </c>
      <c r="G24" s="8">
        <f>0.18*G23</f>
        <v>2.8242000000000003</v>
      </c>
      <c r="AG24" s="10" t="s">
        <v>210</v>
      </c>
      <c r="AJ24" s="2">
        <v>1820</v>
      </c>
      <c r="AK24" s="2" t="s">
        <v>210</v>
      </c>
      <c r="AL24" s="8">
        <v>17.421120000000002</v>
      </c>
      <c r="AM24" s="8">
        <v>10.4148</v>
      </c>
      <c r="AN24" s="8"/>
      <c r="AO24" s="7"/>
      <c r="AP24" s="7"/>
      <c r="AQ24" s="7"/>
      <c r="AR24" s="7"/>
      <c r="AS24" s="7"/>
      <c r="AT24" s="7"/>
      <c r="AU24" s="7"/>
      <c r="AV24" s="7"/>
      <c r="AW24" s="7"/>
      <c r="AX24" s="7"/>
      <c r="AY24" s="7"/>
      <c r="AZ24" s="7"/>
      <c r="BB24" s="2" t="s">
        <v>210</v>
      </c>
    </row>
    <row r="25" spans="1:54" ht="15.75">
      <c r="A25" s="5"/>
      <c r="AJ25" s="2">
        <v>1821</v>
      </c>
      <c r="AK25" s="2" t="s">
        <v>210</v>
      </c>
      <c r="AL25" s="8">
        <v>15.080759999999998</v>
      </c>
      <c r="AM25" s="8"/>
      <c r="AN25" s="23">
        <v>1.8504</v>
      </c>
      <c r="AO25" s="8" t="s">
        <v>405</v>
      </c>
      <c r="AP25" s="7"/>
      <c r="AQ25" s="7"/>
      <c r="AR25" s="7"/>
      <c r="AS25" s="7"/>
      <c r="AT25" s="7"/>
      <c r="AU25" s="7"/>
      <c r="AV25" s="7"/>
      <c r="AW25" s="7"/>
      <c r="AX25" s="7"/>
      <c r="AY25" s="7"/>
      <c r="AZ25" s="7"/>
      <c r="BB25" s="2" t="s">
        <v>210</v>
      </c>
    </row>
    <row r="26" spans="1:54" ht="15.75">
      <c r="A26" s="5" t="s">
        <v>107</v>
      </c>
      <c r="B26" s="2" t="s">
        <v>69</v>
      </c>
      <c r="U26" s="2">
        <v>200</v>
      </c>
      <c r="V26" s="2">
        <v>275</v>
      </c>
      <c r="W26" s="2">
        <v>240</v>
      </c>
      <c r="Z26" s="2">
        <v>11</v>
      </c>
      <c r="AG26" s="2" t="s">
        <v>107</v>
      </c>
      <c r="AJ26" s="2">
        <v>1826</v>
      </c>
      <c r="AK26" s="2" t="s">
        <v>210</v>
      </c>
      <c r="AL26" s="7">
        <v>12.15918</v>
      </c>
      <c r="AM26" s="7"/>
      <c r="AN26" s="7">
        <v>7.3051200000000005</v>
      </c>
      <c r="AO26" s="7"/>
      <c r="AP26" s="7"/>
      <c r="AQ26" s="7"/>
      <c r="AR26" s="7"/>
      <c r="AS26" s="7"/>
      <c r="AT26" s="7"/>
      <c r="AU26" s="7"/>
      <c r="AV26" s="7"/>
      <c r="AW26" s="7"/>
      <c r="AX26" s="7"/>
      <c r="AY26" s="7"/>
      <c r="AZ26" s="7"/>
      <c r="BB26" s="2" t="s">
        <v>210</v>
      </c>
    </row>
    <row r="27" spans="1:54" ht="15.75">
      <c r="A27" s="5" t="s">
        <v>107</v>
      </c>
      <c r="B27" s="2" t="s">
        <v>160</v>
      </c>
      <c r="C27" s="2">
        <v>0.2634</v>
      </c>
      <c r="AG27" s="2" t="s">
        <v>160</v>
      </c>
      <c r="AJ27" s="2">
        <v>1828</v>
      </c>
      <c r="AK27" s="2" t="s">
        <v>210</v>
      </c>
      <c r="AL27" s="7">
        <v>8.97264</v>
      </c>
      <c r="AM27" s="7"/>
      <c r="AN27" s="7"/>
      <c r="AO27" s="7"/>
      <c r="AP27" s="7"/>
      <c r="AQ27" s="7"/>
      <c r="AR27" s="7"/>
      <c r="AS27" s="7"/>
      <c r="AT27" s="7"/>
      <c r="AU27" s="7"/>
      <c r="AV27" s="7"/>
      <c r="AW27" s="7"/>
      <c r="AX27" s="7"/>
      <c r="AY27" s="7"/>
      <c r="AZ27" s="7"/>
      <c r="BB27" s="2" t="s">
        <v>210</v>
      </c>
    </row>
    <row r="28" spans="1:54" ht="15.75">
      <c r="A28" s="5" t="s">
        <v>107</v>
      </c>
      <c r="B28" s="10" t="s">
        <v>210</v>
      </c>
      <c r="C28" s="10"/>
      <c r="D28" s="10"/>
      <c r="AG28" s="10" t="s">
        <v>210</v>
      </c>
      <c r="AJ28" s="2">
        <v>1829</v>
      </c>
      <c r="AK28" s="2" t="s">
        <v>210</v>
      </c>
      <c r="AL28" s="7">
        <v>8.89434</v>
      </c>
      <c r="AM28" s="7"/>
      <c r="AN28" s="7">
        <v>7.371</v>
      </c>
      <c r="AO28" s="7"/>
      <c r="AP28" s="7"/>
      <c r="AQ28" s="7"/>
      <c r="AR28" s="7"/>
      <c r="AS28" s="7"/>
      <c r="AT28" s="7"/>
      <c r="AU28" s="7"/>
      <c r="AV28" s="7"/>
      <c r="AW28" s="7"/>
      <c r="AX28" s="7"/>
      <c r="AY28" s="7"/>
      <c r="AZ28" s="7"/>
      <c r="BB28" s="2" t="s">
        <v>210</v>
      </c>
    </row>
    <row r="29" spans="1:54" ht="15.75">
      <c r="A29" s="5"/>
      <c r="AJ29" s="2">
        <v>1832</v>
      </c>
      <c r="AK29" s="2" t="s">
        <v>210</v>
      </c>
      <c r="AL29" s="7">
        <v>9.351360000000001</v>
      </c>
      <c r="AM29" s="7"/>
      <c r="AN29" s="7"/>
      <c r="AO29" s="7"/>
      <c r="AP29" s="7"/>
      <c r="AQ29" s="7"/>
      <c r="AR29" s="7"/>
      <c r="AS29" s="7"/>
      <c r="AT29" s="7"/>
      <c r="AU29" s="7"/>
      <c r="AV29" s="7"/>
      <c r="AW29" s="7"/>
      <c r="AX29" s="7"/>
      <c r="AY29" s="7"/>
      <c r="AZ29" s="7"/>
      <c r="BB29" s="2" t="s">
        <v>210</v>
      </c>
    </row>
    <row r="30" spans="1:54" ht="15.75">
      <c r="A30" s="5" t="s">
        <v>272</v>
      </c>
      <c r="B30" s="2" t="s">
        <v>69</v>
      </c>
      <c r="O30" s="2">
        <v>800</v>
      </c>
      <c r="P30" s="2">
        <v>1800</v>
      </c>
      <c r="AG30" s="2" t="s">
        <v>33</v>
      </c>
      <c r="AJ30" s="2">
        <v>1833</v>
      </c>
      <c r="AK30" s="2" t="s">
        <v>210</v>
      </c>
      <c r="AL30" s="7">
        <v>9.828</v>
      </c>
      <c r="AM30" s="7">
        <v>6.68304</v>
      </c>
      <c r="AN30" s="7"/>
      <c r="AO30" s="7"/>
      <c r="AP30" s="7"/>
      <c r="AQ30" s="7"/>
      <c r="AR30" s="7"/>
      <c r="AS30" s="7"/>
      <c r="AT30" s="7"/>
      <c r="AU30" s="7"/>
      <c r="AV30" s="7"/>
      <c r="AW30" s="7"/>
      <c r="AX30" s="7"/>
      <c r="AY30" s="7"/>
      <c r="AZ30" s="7"/>
      <c r="BB30" s="2" t="s">
        <v>210</v>
      </c>
    </row>
    <row r="31" spans="1:54" ht="15.75">
      <c r="A31" s="5" t="s">
        <v>272</v>
      </c>
      <c r="B31" s="2" t="s">
        <v>160</v>
      </c>
      <c r="C31" s="2">
        <v>0.9808</v>
      </c>
      <c r="O31" s="2">
        <f>O30*0.981</f>
        <v>784.8</v>
      </c>
      <c r="P31" s="2">
        <f>P30*0.981</f>
        <v>1765.8</v>
      </c>
      <c r="AG31" s="2" t="s">
        <v>160</v>
      </c>
      <c r="AJ31" s="2">
        <v>1847</v>
      </c>
      <c r="AK31" s="2" t="s">
        <v>210</v>
      </c>
      <c r="AL31" s="7"/>
      <c r="AM31" s="7"/>
      <c r="AN31" s="7"/>
      <c r="AO31" s="7"/>
      <c r="AP31" s="7">
        <v>99</v>
      </c>
      <c r="AQ31" s="7"/>
      <c r="AR31" s="7"/>
      <c r="AS31" s="7"/>
      <c r="AT31" s="7"/>
      <c r="AU31" s="7"/>
      <c r="AV31" s="7"/>
      <c r="AW31" s="7"/>
      <c r="AX31" s="7"/>
      <c r="AY31" s="7"/>
      <c r="AZ31" s="7"/>
      <c r="BB31" s="2" t="s">
        <v>210</v>
      </c>
    </row>
    <row r="32" spans="1:54" ht="15.75">
      <c r="A32" s="5" t="s">
        <v>272</v>
      </c>
      <c r="B32" s="10" t="s">
        <v>210</v>
      </c>
      <c r="C32" s="10"/>
      <c r="D32" s="10"/>
      <c r="O32" s="8">
        <f>0.18*O31</f>
        <v>141.26399999999998</v>
      </c>
      <c r="P32" s="8">
        <f>0.18*P31</f>
        <v>317.844</v>
      </c>
      <c r="AG32" s="10" t="s">
        <v>210</v>
      </c>
      <c r="AJ32" s="2">
        <v>1860</v>
      </c>
      <c r="AK32" s="2" t="s">
        <v>210</v>
      </c>
      <c r="AL32" s="7"/>
      <c r="AM32" s="7"/>
      <c r="AN32" s="7"/>
      <c r="AO32" s="7"/>
      <c r="AP32" s="7">
        <v>99</v>
      </c>
      <c r="AQ32" s="7"/>
      <c r="AR32" s="7"/>
      <c r="AS32" s="7"/>
      <c r="AT32" s="7"/>
      <c r="AU32" s="7"/>
      <c r="AV32" s="7"/>
      <c r="AW32" s="7"/>
      <c r="AX32" s="7"/>
      <c r="AY32" s="7"/>
      <c r="AZ32" s="7"/>
      <c r="BB32" s="2" t="s">
        <v>210</v>
      </c>
    </row>
    <row r="33" spans="1:54" ht="15.75">
      <c r="A33" s="5"/>
      <c r="AJ33" s="2">
        <v>1870</v>
      </c>
      <c r="AK33" s="2" t="s">
        <v>210</v>
      </c>
      <c r="AL33" s="7"/>
      <c r="AM33" s="7"/>
      <c r="AN33" s="7"/>
      <c r="AO33" s="7"/>
      <c r="AP33" s="7">
        <v>99</v>
      </c>
      <c r="AQ33" s="7"/>
      <c r="AR33" s="7"/>
      <c r="AS33" s="7"/>
      <c r="AT33" s="7"/>
      <c r="AU33" s="7"/>
      <c r="AV33" s="7"/>
      <c r="AW33" s="7"/>
      <c r="AX33" s="7"/>
      <c r="AY33" s="7"/>
      <c r="AZ33" s="7"/>
      <c r="BB33" s="2" t="s">
        <v>210</v>
      </c>
    </row>
    <row r="34" spans="1:54" ht="15.75">
      <c r="A34" s="5" t="s">
        <v>34</v>
      </c>
      <c r="B34" s="2" t="s">
        <v>69</v>
      </c>
      <c r="AG34" s="2" t="s">
        <v>34</v>
      </c>
      <c r="AJ34" s="2">
        <v>1870</v>
      </c>
      <c r="AK34" s="2" t="s">
        <v>210</v>
      </c>
      <c r="AL34" s="7">
        <v>14.685300000000002</v>
      </c>
      <c r="AM34" s="7">
        <v>9.93006</v>
      </c>
      <c r="AN34" s="7">
        <v>17.567999999999998</v>
      </c>
      <c r="AO34" s="7"/>
      <c r="AP34" s="7"/>
      <c r="AQ34" s="7"/>
      <c r="AR34" s="7"/>
      <c r="AS34" s="7"/>
      <c r="AT34" s="7"/>
      <c r="AU34" s="7"/>
      <c r="AV34" s="7"/>
      <c r="AW34" s="7"/>
      <c r="AX34" s="7"/>
      <c r="AY34" s="7"/>
      <c r="AZ34" s="7"/>
      <c r="BB34" s="2" t="s">
        <v>210</v>
      </c>
    </row>
    <row r="35" spans="1:54" ht="15.75">
      <c r="A35" s="5" t="s">
        <v>34</v>
      </c>
      <c r="B35" s="2" t="s">
        <v>160</v>
      </c>
      <c r="C35" s="2">
        <v>0.9866</v>
      </c>
      <c r="O35" s="2">
        <v>480</v>
      </c>
      <c r="P35" s="2">
        <v>1100</v>
      </c>
      <c r="Q35" s="2">
        <v>500</v>
      </c>
      <c r="AG35" s="2" t="s">
        <v>160</v>
      </c>
      <c r="AJ35" s="2">
        <v>1886</v>
      </c>
      <c r="AK35" s="2" t="s">
        <v>210</v>
      </c>
      <c r="AL35" s="7"/>
      <c r="AM35" s="7"/>
      <c r="AN35" s="7"/>
      <c r="AO35" s="7"/>
      <c r="AP35" s="7"/>
      <c r="AQ35" s="7"/>
      <c r="AR35" s="7"/>
      <c r="AS35" s="7"/>
      <c r="AT35" s="7"/>
      <c r="AU35" s="7"/>
      <c r="AV35" s="7"/>
      <c r="AW35" s="7"/>
      <c r="AX35" s="7"/>
      <c r="AY35" s="7"/>
      <c r="AZ35" s="7"/>
      <c r="BB35" s="2" t="s">
        <v>210</v>
      </c>
    </row>
    <row r="36" spans="1:54" ht="15.75">
      <c r="A36" s="5" t="s">
        <v>34</v>
      </c>
      <c r="B36" s="10" t="s">
        <v>210</v>
      </c>
      <c r="C36" s="10"/>
      <c r="D36" s="10"/>
      <c r="O36" s="8">
        <f>0.18*O35</f>
        <v>86.39999999999999</v>
      </c>
      <c r="P36" s="8">
        <f>0.18*P35</f>
        <v>198</v>
      </c>
      <c r="Q36" s="8">
        <f>0.18*Q35</f>
        <v>90</v>
      </c>
      <c r="AG36" s="10" t="s">
        <v>210</v>
      </c>
      <c r="AJ36" s="2">
        <v>1904</v>
      </c>
      <c r="AK36" s="2" t="s">
        <v>210</v>
      </c>
      <c r="AL36" s="7"/>
      <c r="AM36" s="7"/>
      <c r="AN36" s="7"/>
      <c r="AO36" s="7"/>
      <c r="AP36" s="7"/>
      <c r="AQ36" s="7"/>
      <c r="AR36" s="7">
        <v>31.935959999999998</v>
      </c>
      <c r="AS36" s="7"/>
      <c r="AT36" s="7"/>
      <c r="AU36" s="7">
        <v>1.3326660000000001</v>
      </c>
      <c r="AV36" s="7"/>
      <c r="AW36" s="7"/>
      <c r="AX36" s="7"/>
      <c r="AY36" s="7"/>
      <c r="AZ36" s="7"/>
      <c r="BB36" s="2" t="s">
        <v>210</v>
      </c>
    </row>
    <row r="37" spans="1:54" ht="15.75">
      <c r="A37" s="5"/>
      <c r="AJ37" s="2">
        <v>1913</v>
      </c>
      <c r="AK37" s="2" t="s">
        <v>210</v>
      </c>
      <c r="AL37" s="7"/>
      <c r="AM37" s="7"/>
      <c r="AN37" s="7"/>
      <c r="AO37" s="7"/>
      <c r="AP37" s="7">
        <v>384.192</v>
      </c>
      <c r="AQ37" s="7"/>
      <c r="AR37" s="7"/>
      <c r="AS37" s="7"/>
      <c r="AT37" s="7"/>
      <c r="AU37" s="7"/>
      <c r="AV37" s="7"/>
      <c r="AW37" s="7"/>
      <c r="AX37" s="7"/>
      <c r="AY37" s="7"/>
      <c r="AZ37" s="7"/>
      <c r="BB37" s="2" t="s">
        <v>210</v>
      </c>
    </row>
    <row r="38" spans="1:54" ht="15.75">
      <c r="A38" s="5">
        <v>1847</v>
      </c>
      <c r="B38" s="2" t="s">
        <v>69</v>
      </c>
      <c r="AG38" s="2">
        <v>1847</v>
      </c>
      <c r="AJ38" s="2" t="s">
        <v>107</v>
      </c>
      <c r="AK38" s="2" t="s">
        <v>210</v>
      </c>
      <c r="AL38" s="7"/>
      <c r="AM38" s="7"/>
      <c r="AN38" s="7"/>
      <c r="AO38" s="7"/>
      <c r="AP38" s="7"/>
      <c r="AQ38" s="7"/>
      <c r="AR38" s="7">
        <v>11.361600000000001</v>
      </c>
      <c r="AS38" s="7"/>
      <c r="AT38" s="7"/>
      <c r="AU38" s="7">
        <v>0.52074</v>
      </c>
      <c r="AV38" s="7"/>
      <c r="AW38" s="7"/>
      <c r="AX38" s="7"/>
      <c r="AY38" s="7"/>
      <c r="AZ38" s="7"/>
      <c r="BB38" s="2" t="s">
        <v>210</v>
      </c>
    </row>
    <row r="39" spans="1:54" ht="15.75">
      <c r="A39" s="5">
        <v>1847</v>
      </c>
      <c r="B39" s="2" t="s">
        <v>160</v>
      </c>
      <c r="C39" s="2">
        <v>0.995</v>
      </c>
      <c r="Q39" s="2">
        <v>550</v>
      </c>
      <c r="AG39" s="2" t="s">
        <v>160</v>
      </c>
      <c r="AJ39" s="2" t="s">
        <v>34</v>
      </c>
      <c r="AK39" s="2" t="s">
        <v>210</v>
      </c>
      <c r="AL39" s="7"/>
      <c r="AM39" s="7"/>
      <c r="AN39" s="7"/>
      <c r="AO39" s="7"/>
      <c r="AP39" s="7">
        <v>90</v>
      </c>
      <c r="AQ39" s="7"/>
      <c r="AR39" s="7"/>
      <c r="AS39" s="7"/>
      <c r="AT39" s="7"/>
      <c r="AU39" s="7"/>
      <c r="AV39" s="7"/>
      <c r="AW39" s="7"/>
      <c r="AX39" s="7"/>
      <c r="AY39" s="7"/>
      <c r="AZ39" s="7"/>
      <c r="BB39" s="2" t="s">
        <v>210</v>
      </c>
    </row>
    <row r="40" spans="1:54" ht="15.75">
      <c r="A40" s="5">
        <v>1847</v>
      </c>
      <c r="B40" s="10" t="s">
        <v>210</v>
      </c>
      <c r="C40" s="10"/>
      <c r="D40" s="10"/>
      <c r="Q40" s="8">
        <f>0.18*Q39</f>
        <v>99</v>
      </c>
      <c r="AG40" s="10" t="s">
        <v>210</v>
      </c>
      <c r="AJ40" s="2" t="s">
        <v>37</v>
      </c>
      <c r="AK40" s="2" t="s">
        <v>210</v>
      </c>
      <c r="AL40" s="8">
        <v>13.585662000000001</v>
      </c>
      <c r="AM40" s="8">
        <v>9.75528</v>
      </c>
      <c r="AN40" s="8">
        <v>16.02</v>
      </c>
      <c r="AO40" s="8">
        <v>13.6287</v>
      </c>
      <c r="AP40" s="7"/>
      <c r="AQ40" s="7"/>
      <c r="AR40" s="7"/>
      <c r="AS40" s="7"/>
      <c r="AT40" s="7"/>
      <c r="AU40" s="7"/>
      <c r="AV40" s="7"/>
      <c r="AW40" s="7"/>
      <c r="AX40" s="7"/>
      <c r="AY40" s="7"/>
      <c r="AZ40" s="7"/>
      <c r="BB40" s="2" t="s">
        <v>210</v>
      </c>
    </row>
    <row r="41" spans="1:54" ht="15.75">
      <c r="A41" s="5"/>
      <c r="AJ41" s="2" t="s">
        <v>38</v>
      </c>
      <c r="AK41" s="2" t="s">
        <v>210</v>
      </c>
      <c r="AL41" s="8">
        <v>14.728229999999998</v>
      </c>
      <c r="AM41" s="8">
        <v>10.157399999999999</v>
      </c>
      <c r="AN41" s="23">
        <v>16.0596</v>
      </c>
      <c r="AO41" s="8" t="s">
        <v>335</v>
      </c>
      <c r="AP41" s="7"/>
      <c r="AQ41" s="7"/>
      <c r="AR41" s="7"/>
      <c r="AS41" s="7"/>
      <c r="AT41" s="7"/>
      <c r="AU41" s="7"/>
      <c r="AV41" s="7"/>
      <c r="AW41" s="7"/>
      <c r="AX41" s="7"/>
      <c r="AY41" s="7"/>
      <c r="AZ41" s="7"/>
      <c r="BB41" s="2" t="s">
        <v>210</v>
      </c>
    </row>
    <row r="42" spans="1:40" ht="15.75">
      <c r="A42" s="5">
        <v>1860</v>
      </c>
      <c r="B42" s="2" t="s">
        <v>69</v>
      </c>
      <c r="AG42" s="2">
        <v>1860</v>
      </c>
      <c r="AJ42" s="2" t="s">
        <v>332</v>
      </c>
      <c r="AK42" s="2" t="s">
        <v>210</v>
      </c>
      <c r="AN42" s="2">
        <v>32.034000000000006</v>
      </c>
    </row>
    <row r="43" spans="1:33" ht="15.75">
      <c r="A43" s="5">
        <v>1860</v>
      </c>
      <c r="B43" s="2" t="s">
        <v>160</v>
      </c>
      <c r="C43" s="2">
        <v>0.8298</v>
      </c>
      <c r="O43" s="2">
        <v>500</v>
      </c>
      <c r="P43" s="2">
        <v>800</v>
      </c>
      <c r="Q43" s="2">
        <v>550</v>
      </c>
      <c r="AG43" s="2" t="s">
        <v>160</v>
      </c>
    </row>
    <row r="44" spans="1:33" ht="15.75">
      <c r="A44" s="5">
        <v>1860</v>
      </c>
      <c r="B44" s="10" t="s">
        <v>210</v>
      </c>
      <c r="C44" s="10"/>
      <c r="D44" s="10"/>
      <c r="O44" s="8">
        <f>0.18*O43</f>
        <v>90</v>
      </c>
      <c r="P44" s="8">
        <f>0.18*P43</f>
        <v>144</v>
      </c>
      <c r="Q44" s="8">
        <f>0.18*Q43</f>
        <v>99</v>
      </c>
      <c r="AG44" s="10" t="s">
        <v>210</v>
      </c>
    </row>
    <row r="45" spans="1:41" ht="15.75">
      <c r="A45" s="5"/>
      <c r="AJ45" s="2" t="s">
        <v>333</v>
      </c>
      <c r="AL45" s="8">
        <f>AVERAGE(AL22:AL25)</f>
        <v>14.639985</v>
      </c>
      <c r="AM45" s="8">
        <f>AVERAGE(AM22:AM25)</f>
        <v>9.19215</v>
      </c>
      <c r="AN45" s="23">
        <f>AVERAGE(AN22:AN25)</f>
        <v>1.8504</v>
      </c>
      <c r="AO45" s="8" t="s">
        <v>335</v>
      </c>
    </row>
    <row r="46" spans="1:36" ht="15.75">
      <c r="A46" s="5">
        <v>1870</v>
      </c>
      <c r="B46" s="2" t="s">
        <v>69</v>
      </c>
      <c r="AG46" s="2">
        <v>1870</v>
      </c>
      <c r="AJ46" s="2" t="s">
        <v>334</v>
      </c>
    </row>
    <row r="47" spans="1:33" ht="15.75">
      <c r="A47" s="5">
        <v>1870</v>
      </c>
      <c r="B47" s="2" t="s">
        <v>160</v>
      </c>
      <c r="C47" s="2">
        <v>0.764</v>
      </c>
      <c r="Q47" s="2">
        <v>550</v>
      </c>
      <c r="AG47" s="2" t="s">
        <v>160</v>
      </c>
    </row>
    <row r="48" spans="1:33" ht="15.75">
      <c r="A48" s="5">
        <v>1870</v>
      </c>
      <c r="B48" s="10" t="s">
        <v>210</v>
      </c>
      <c r="C48" s="10"/>
      <c r="D48" s="10"/>
      <c r="Q48" s="8">
        <f>0.18*Q47</f>
        <v>99</v>
      </c>
      <c r="AG48" s="10" t="s">
        <v>210</v>
      </c>
    </row>
    <row r="49" ht="15.75">
      <c r="A49" s="5"/>
    </row>
    <row r="50" spans="1:33" ht="15.75">
      <c r="A50" s="5">
        <v>1886</v>
      </c>
      <c r="B50" s="2" t="s">
        <v>69</v>
      </c>
      <c r="AG50" s="2">
        <v>1885</v>
      </c>
    </row>
    <row r="51" spans="1:3" ht="15.75">
      <c r="A51" s="5">
        <v>1886</v>
      </c>
      <c r="B51" s="2" t="s">
        <v>160</v>
      </c>
      <c r="C51" s="2">
        <v>0.607</v>
      </c>
    </row>
    <row r="52" spans="1:33" ht="15.75">
      <c r="A52" s="5">
        <v>1886</v>
      </c>
      <c r="B52" s="10" t="s">
        <v>210</v>
      </c>
      <c r="C52" s="10"/>
      <c r="D52" s="10"/>
      <c r="AG52" s="10" t="s">
        <v>210</v>
      </c>
    </row>
    <row r="53" ht="15.75">
      <c r="A53" s="5"/>
    </row>
    <row r="54" spans="1:33" ht="15.75">
      <c r="A54" s="5">
        <v>1904</v>
      </c>
      <c r="B54" s="2" t="s">
        <v>69</v>
      </c>
      <c r="W54" s="2">
        <v>266</v>
      </c>
      <c r="Z54" s="2">
        <v>11.1</v>
      </c>
      <c r="AG54" s="2">
        <v>1904</v>
      </c>
    </row>
    <row r="55" spans="1:3" ht="15.75">
      <c r="A55" s="5">
        <v>1904</v>
      </c>
      <c r="B55" s="2" t="s">
        <v>160</v>
      </c>
      <c r="C55" s="2">
        <v>0.6667</v>
      </c>
    </row>
    <row r="56" spans="1:33" ht="15.75">
      <c r="A56" s="5">
        <v>1904</v>
      </c>
      <c r="B56" s="10" t="s">
        <v>210</v>
      </c>
      <c r="C56" s="10"/>
      <c r="D56" s="10"/>
      <c r="AG56" s="10" t="s">
        <v>210</v>
      </c>
    </row>
    <row r="57" ht="15.75">
      <c r="A57" s="5"/>
    </row>
    <row r="58" spans="1:33" ht="15.75">
      <c r="A58" s="5">
        <v>1913</v>
      </c>
      <c r="B58" s="2" t="s">
        <v>69</v>
      </c>
      <c r="D58" s="2">
        <v>100</v>
      </c>
      <c r="O58" s="2">
        <v>2820</v>
      </c>
      <c r="P58" s="2">
        <v>5640</v>
      </c>
      <c r="Q58" s="2">
        <v>3200</v>
      </c>
      <c r="AG58" s="2">
        <v>1913</v>
      </c>
    </row>
    <row r="59" spans="1:17" ht="15.75">
      <c r="A59" s="5">
        <v>1913</v>
      </c>
      <c r="B59" s="2" t="s">
        <v>160</v>
      </c>
      <c r="C59" s="2">
        <v>0.6667</v>
      </c>
      <c r="O59" s="2">
        <f>O58*0.667</f>
        <v>1880.94</v>
      </c>
      <c r="P59" s="2">
        <f>P58*0.667</f>
        <v>3761.88</v>
      </c>
      <c r="Q59" s="2">
        <f>Q58*0.667</f>
        <v>2134.4</v>
      </c>
    </row>
    <row r="60" spans="1:33" ht="15.75">
      <c r="A60" s="5">
        <v>1913</v>
      </c>
      <c r="B60" s="10" t="s">
        <v>210</v>
      </c>
      <c r="C60" s="10"/>
      <c r="D60" s="10"/>
      <c r="O60" s="8">
        <f>0.18*O59</f>
        <v>338.5692</v>
      </c>
      <c r="P60" s="8">
        <f>0.18*P59</f>
        <v>677.1384</v>
      </c>
      <c r="Q60" s="8">
        <f>0.18*Q59</f>
        <v>384.192</v>
      </c>
      <c r="AG60" s="10" t="s">
        <v>210</v>
      </c>
    </row>
    <row r="61" ht="15.75">
      <c r="A61" s="5"/>
    </row>
    <row r="62" spans="1:33" ht="15.75">
      <c r="A62" s="5">
        <v>1803</v>
      </c>
      <c r="B62" s="2" t="s">
        <v>69</v>
      </c>
      <c r="D62" s="2">
        <v>42.3</v>
      </c>
      <c r="X62" s="2">
        <v>6.5</v>
      </c>
      <c r="Y62" s="2">
        <v>14.5</v>
      </c>
      <c r="Z62" s="2">
        <v>10.5</v>
      </c>
      <c r="AG62" s="2">
        <v>1803</v>
      </c>
    </row>
    <row r="63" spans="1:3" ht="15.75">
      <c r="A63" s="5">
        <v>1803</v>
      </c>
      <c r="B63" s="2" t="s">
        <v>160</v>
      </c>
      <c r="C63" s="2">
        <v>0.793</v>
      </c>
    </row>
    <row r="64" spans="1:33" ht="15.75">
      <c r="A64" s="5">
        <v>1803</v>
      </c>
      <c r="B64" s="10" t="s">
        <v>210</v>
      </c>
      <c r="C64" s="10"/>
      <c r="D64" s="10"/>
      <c r="AG64" s="10" t="s">
        <v>210</v>
      </c>
    </row>
    <row r="65" ht="15.75">
      <c r="A65" s="5"/>
    </row>
    <row r="66" spans="1:33" ht="15.75">
      <c r="A66" s="5">
        <v>1804</v>
      </c>
      <c r="B66" s="2">
        <v>1804</v>
      </c>
      <c r="AG66" s="2">
        <v>1804</v>
      </c>
    </row>
    <row r="67" spans="1:3" ht="15.75">
      <c r="A67" s="5">
        <v>1804</v>
      </c>
      <c r="B67" s="2" t="s">
        <v>160</v>
      </c>
      <c r="C67" s="2">
        <v>0.77</v>
      </c>
    </row>
    <row r="68" spans="1:33" ht="15.75">
      <c r="A68" s="5">
        <v>1804</v>
      </c>
      <c r="B68" s="10" t="s">
        <v>210</v>
      </c>
      <c r="C68" s="10"/>
      <c r="D68" s="10"/>
      <c r="AG68" s="10" t="s">
        <v>210</v>
      </c>
    </row>
    <row r="69" ht="15.75">
      <c r="A69" s="5"/>
    </row>
    <row r="70" spans="1:33" ht="15.75">
      <c r="A70" s="5">
        <v>1805</v>
      </c>
      <c r="B70" s="2">
        <v>1805</v>
      </c>
      <c r="E70" s="2">
        <v>90</v>
      </c>
      <c r="F70" s="2">
        <v>115</v>
      </c>
      <c r="G70" s="2">
        <v>92</v>
      </c>
      <c r="H70" s="2">
        <v>40</v>
      </c>
      <c r="I70" s="2">
        <v>70</v>
      </c>
      <c r="J70" s="2">
        <v>59</v>
      </c>
      <c r="AG70" s="2">
        <v>1805</v>
      </c>
    </row>
    <row r="71" spans="1:10" ht="15.75">
      <c r="A71" s="5"/>
      <c r="B71" s="2" t="s">
        <v>160</v>
      </c>
      <c r="C71" s="2">
        <v>0.73</v>
      </c>
      <c r="E71" s="2">
        <f aca="true" t="shared" si="5" ref="E71:J71">E70*0.73</f>
        <v>65.7</v>
      </c>
      <c r="F71" s="2">
        <f t="shared" si="5"/>
        <v>83.95</v>
      </c>
      <c r="G71" s="2">
        <f t="shared" si="5"/>
        <v>67.16</v>
      </c>
      <c r="H71" s="2">
        <f t="shared" si="5"/>
        <v>29.2</v>
      </c>
      <c r="I71" s="2">
        <f t="shared" si="5"/>
        <v>51.1</v>
      </c>
      <c r="J71" s="2">
        <f t="shared" si="5"/>
        <v>43.07</v>
      </c>
    </row>
    <row r="72" spans="1:33" ht="15.75">
      <c r="A72" s="5"/>
      <c r="B72" s="10" t="s">
        <v>210</v>
      </c>
      <c r="C72" s="10"/>
      <c r="D72" s="10"/>
      <c r="E72" s="8">
        <f aca="true" t="shared" si="6" ref="E72:J72">0.18*E71</f>
        <v>11.826</v>
      </c>
      <c r="F72" s="8">
        <f t="shared" si="6"/>
        <v>15.111</v>
      </c>
      <c r="G72" s="8">
        <f t="shared" si="6"/>
        <v>12.088799999999999</v>
      </c>
      <c r="H72" s="8">
        <f t="shared" si="6"/>
        <v>5.255999999999999</v>
      </c>
      <c r="I72" s="8">
        <f t="shared" si="6"/>
        <v>9.198</v>
      </c>
      <c r="J72" s="8">
        <f t="shared" si="6"/>
        <v>7.7526</v>
      </c>
      <c r="K72" s="8">
        <f>100*((G72/J72)-1)</f>
        <v>55.93220338983049</v>
      </c>
      <c r="AG72" s="10" t="s">
        <v>210</v>
      </c>
    </row>
    <row r="73" ht="15.75">
      <c r="A73" s="5"/>
    </row>
    <row r="74" spans="1:33" ht="15.75">
      <c r="A74" s="5">
        <v>1806</v>
      </c>
      <c r="B74" s="2">
        <v>1806</v>
      </c>
      <c r="AG74" s="2">
        <v>1806</v>
      </c>
    </row>
    <row r="75" spans="1:3" ht="15.75">
      <c r="A75" s="5"/>
      <c r="B75" s="2" t="s">
        <v>160</v>
      </c>
      <c r="C75" s="2">
        <v>0.675</v>
      </c>
    </row>
    <row r="76" spans="1:33" ht="15.75">
      <c r="A76" s="5"/>
      <c r="B76" s="10" t="s">
        <v>210</v>
      </c>
      <c r="C76" s="10"/>
      <c r="D76" s="10"/>
      <c r="AG76" s="10" t="s">
        <v>210</v>
      </c>
    </row>
    <row r="77" ht="15.75">
      <c r="A77" s="5"/>
    </row>
    <row r="78" spans="1:33" ht="15.75">
      <c r="A78" s="5">
        <v>1807</v>
      </c>
      <c r="B78" s="2">
        <v>1807</v>
      </c>
      <c r="E78" s="2">
        <v>60</v>
      </c>
      <c r="F78" s="2">
        <v>130</v>
      </c>
      <c r="G78" s="2">
        <v>100</v>
      </c>
      <c r="H78" s="2">
        <v>45</v>
      </c>
      <c r="I78" s="2">
        <v>70</v>
      </c>
      <c r="J78" s="2">
        <v>59</v>
      </c>
      <c r="AG78" s="2">
        <v>1807</v>
      </c>
    </row>
    <row r="79" spans="1:10" ht="15.75">
      <c r="A79" s="5"/>
      <c r="B79" s="2" t="s">
        <v>160</v>
      </c>
      <c r="C79" s="2">
        <v>0.538</v>
      </c>
      <c r="E79" s="2">
        <f aca="true" t="shared" si="7" ref="E79:J79">E78*0.538</f>
        <v>32.28</v>
      </c>
      <c r="F79" s="2">
        <f t="shared" si="7"/>
        <v>69.94</v>
      </c>
      <c r="G79" s="2">
        <f t="shared" si="7"/>
        <v>53.800000000000004</v>
      </c>
      <c r="H79" s="2">
        <f t="shared" si="7"/>
        <v>24.21</v>
      </c>
      <c r="I79" s="2">
        <f t="shared" si="7"/>
        <v>37.660000000000004</v>
      </c>
      <c r="J79" s="2">
        <f t="shared" si="7"/>
        <v>31.742</v>
      </c>
    </row>
    <row r="80" spans="1:33" ht="15.75">
      <c r="A80" s="5"/>
      <c r="B80" s="10" t="s">
        <v>210</v>
      </c>
      <c r="C80" s="10"/>
      <c r="D80" s="10"/>
      <c r="E80" s="8">
        <f aca="true" t="shared" si="8" ref="E80:J80">0.18*E79</f>
        <v>5.8104</v>
      </c>
      <c r="F80" s="8">
        <f t="shared" si="8"/>
        <v>12.5892</v>
      </c>
      <c r="G80" s="8">
        <f t="shared" si="8"/>
        <v>9.684000000000001</v>
      </c>
      <c r="H80" s="8">
        <f t="shared" si="8"/>
        <v>4.3578</v>
      </c>
      <c r="I80" s="8">
        <f t="shared" si="8"/>
        <v>6.7788</v>
      </c>
      <c r="J80" s="8">
        <f t="shared" si="8"/>
        <v>5.71356</v>
      </c>
      <c r="K80" s="8">
        <f>100*((G80/J80)-1)</f>
        <v>69.49152542372883</v>
      </c>
      <c r="AG80" s="10" t="s">
        <v>210</v>
      </c>
    </row>
    <row r="81" ht="15.75">
      <c r="A81" s="5"/>
    </row>
    <row r="82" spans="1:33" ht="15.75">
      <c r="A82" s="5">
        <v>1808</v>
      </c>
      <c r="B82" s="2">
        <v>1808</v>
      </c>
      <c r="AG82" s="2">
        <v>1808</v>
      </c>
    </row>
    <row r="83" spans="1:3" ht="15.75">
      <c r="A83" s="5"/>
      <c r="B83" s="2" t="s">
        <v>160</v>
      </c>
      <c r="C83" s="2">
        <v>0.447</v>
      </c>
    </row>
    <row r="84" spans="1:33" ht="15.75">
      <c r="A84" s="5"/>
      <c r="B84" s="10" t="s">
        <v>210</v>
      </c>
      <c r="C84" s="10"/>
      <c r="D84" s="10"/>
      <c r="AG84" s="10" t="s">
        <v>210</v>
      </c>
    </row>
    <row r="85" ht="15.75">
      <c r="A85" s="5"/>
    </row>
    <row r="86" spans="1:33" ht="15.75">
      <c r="A86" s="5">
        <v>1809</v>
      </c>
      <c r="B86" s="2">
        <v>1809</v>
      </c>
      <c r="AG86" s="2">
        <v>1809</v>
      </c>
    </row>
    <row r="87" spans="1:3" ht="15.75">
      <c r="A87" s="5"/>
      <c r="B87" s="2" t="s">
        <v>160</v>
      </c>
      <c r="C87" s="2">
        <v>0.433</v>
      </c>
    </row>
    <row r="88" spans="1:33" ht="15.75">
      <c r="A88" s="5"/>
      <c r="B88" s="10" t="s">
        <v>210</v>
      </c>
      <c r="C88" s="10"/>
      <c r="D88" s="10"/>
      <c r="AG88" s="10" t="s">
        <v>210</v>
      </c>
    </row>
    <row r="89" ht="15.75">
      <c r="A89" s="5"/>
    </row>
    <row r="90" spans="1:33" ht="15.75">
      <c r="A90" s="5">
        <v>1810</v>
      </c>
      <c r="B90" s="2">
        <v>1810</v>
      </c>
      <c r="AG90" s="2">
        <v>1810</v>
      </c>
    </row>
    <row r="91" spans="1:3" ht="15.75">
      <c r="A91" s="5"/>
      <c r="B91" s="2" t="s">
        <v>160</v>
      </c>
      <c r="C91" s="2">
        <v>0.254</v>
      </c>
    </row>
    <row r="92" spans="1:33" ht="15.75">
      <c r="A92" s="5"/>
      <c r="B92" s="10" t="s">
        <v>210</v>
      </c>
      <c r="C92" s="10"/>
      <c r="D92" s="10"/>
      <c r="AG92" s="10" t="s">
        <v>210</v>
      </c>
    </row>
    <row r="93" ht="15.75">
      <c r="A93" s="5"/>
    </row>
    <row r="94" spans="1:33" ht="15.75">
      <c r="A94" s="5">
        <v>1811</v>
      </c>
      <c r="B94" s="2">
        <v>1811</v>
      </c>
      <c r="E94" s="2">
        <v>140</v>
      </c>
      <c r="F94" s="2">
        <v>160</v>
      </c>
      <c r="G94" s="2">
        <v>150</v>
      </c>
      <c r="H94" s="2">
        <v>60</v>
      </c>
      <c r="I94" s="2">
        <v>80</v>
      </c>
      <c r="J94" s="2">
        <v>77</v>
      </c>
      <c r="AG94" s="2">
        <v>1811</v>
      </c>
    </row>
    <row r="95" spans="1:10" ht="15.75">
      <c r="A95" s="5"/>
      <c r="B95" s="2" t="s">
        <v>160</v>
      </c>
      <c r="C95" s="2">
        <v>0.264</v>
      </c>
      <c r="E95" s="2">
        <f aca="true" t="shared" si="9" ref="E95:J95">E94*0.264</f>
        <v>36.96</v>
      </c>
      <c r="F95" s="2">
        <f t="shared" si="9"/>
        <v>42.24</v>
      </c>
      <c r="G95" s="2">
        <f t="shared" si="9"/>
        <v>39.6</v>
      </c>
      <c r="H95" s="2">
        <f t="shared" si="9"/>
        <v>15.84</v>
      </c>
      <c r="I95" s="2">
        <f t="shared" si="9"/>
        <v>21.12</v>
      </c>
      <c r="J95" s="2">
        <f t="shared" si="9"/>
        <v>20.328</v>
      </c>
    </row>
    <row r="96" spans="1:33" ht="15.75">
      <c r="A96" s="5"/>
      <c r="B96" s="10" t="s">
        <v>210</v>
      </c>
      <c r="C96" s="10"/>
      <c r="D96" s="10"/>
      <c r="E96" s="8">
        <f aca="true" t="shared" si="10" ref="E96:J96">0.18*E95</f>
        <v>6.6528</v>
      </c>
      <c r="F96" s="8">
        <f t="shared" si="10"/>
        <v>7.6032</v>
      </c>
      <c r="G96" s="8">
        <f t="shared" si="10"/>
        <v>7.128</v>
      </c>
      <c r="H96" s="8">
        <f t="shared" si="10"/>
        <v>2.8512</v>
      </c>
      <c r="I96" s="8">
        <f t="shared" si="10"/>
        <v>3.8016</v>
      </c>
      <c r="J96" s="8">
        <f t="shared" si="10"/>
        <v>3.6590399999999996</v>
      </c>
      <c r="K96" s="8">
        <f>100*((G96/J96)-1)</f>
        <v>94.80519480519483</v>
      </c>
      <c r="AG96" s="10" t="s">
        <v>210</v>
      </c>
    </row>
    <row r="97" ht="15.75">
      <c r="A97" s="5"/>
    </row>
    <row r="98" spans="1:33" ht="15.75">
      <c r="A98" s="5">
        <v>1813</v>
      </c>
      <c r="B98" s="2">
        <v>1813</v>
      </c>
      <c r="D98" s="2">
        <v>39.2</v>
      </c>
      <c r="AG98" s="2">
        <v>1813</v>
      </c>
    </row>
    <row r="99" spans="1:3" ht="15.75">
      <c r="A99" s="5"/>
      <c r="B99" s="2" t="s">
        <v>160</v>
      </c>
      <c r="C99" s="2">
        <v>0.252</v>
      </c>
    </row>
    <row r="100" spans="1:33" ht="15.75">
      <c r="A100" s="5"/>
      <c r="B100" s="10" t="s">
        <v>210</v>
      </c>
      <c r="C100" s="10"/>
      <c r="D100" s="10"/>
      <c r="AG100" s="10" t="s">
        <v>210</v>
      </c>
    </row>
    <row r="101" ht="15.75">
      <c r="A101" s="5"/>
    </row>
    <row r="102" spans="1:33" ht="15.75">
      <c r="A102" s="5">
        <v>1818</v>
      </c>
      <c r="B102" s="2" t="s">
        <v>69</v>
      </c>
      <c r="E102" s="2">
        <v>180</v>
      </c>
      <c r="G102" s="2">
        <v>225</v>
      </c>
      <c r="H102" s="2">
        <v>140</v>
      </c>
      <c r="J102" s="2">
        <v>175</v>
      </c>
      <c r="AG102" s="2">
        <v>1818</v>
      </c>
    </row>
    <row r="103" spans="1:10" ht="15.75">
      <c r="A103" s="5">
        <v>1818</v>
      </c>
      <c r="B103" s="2" t="s">
        <v>160</v>
      </c>
      <c r="C103" s="2">
        <v>0.253</v>
      </c>
      <c r="E103" s="2">
        <f>E102*0.253</f>
        <v>45.54</v>
      </c>
      <c r="G103" s="2">
        <f>G102*0.253</f>
        <v>56.925</v>
      </c>
      <c r="H103" s="2">
        <f>H102*0.253</f>
        <v>35.42</v>
      </c>
      <c r="J103" s="2">
        <f>J102*0.253</f>
        <v>44.275</v>
      </c>
    </row>
    <row r="104" spans="1:33" ht="15.75">
      <c r="A104" s="5">
        <v>1818</v>
      </c>
      <c r="B104" s="10" t="s">
        <v>210</v>
      </c>
      <c r="C104" s="10"/>
      <c r="D104" s="10"/>
      <c r="E104" s="8">
        <f>0.18*E103</f>
        <v>8.197199999999999</v>
      </c>
      <c r="G104" s="8">
        <f>0.18*G103</f>
        <v>10.2465</v>
      </c>
      <c r="H104" s="8">
        <f>0.18*H103</f>
        <v>6.3756</v>
      </c>
      <c r="J104" s="8">
        <f>0.18*J103</f>
        <v>7.969499999999999</v>
      </c>
      <c r="K104" s="8">
        <f>100*((G104/J104)-1)</f>
        <v>28.57142857142858</v>
      </c>
      <c r="AG104" s="10" t="s">
        <v>210</v>
      </c>
    </row>
    <row r="105" ht="15.75">
      <c r="A105" s="5"/>
    </row>
    <row r="106" spans="1:33" ht="15.75">
      <c r="A106" s="5">
        <v>1819</v>
      </c>
      <c r="B106" s="2" t="s">
        <v>69</v>
      </c>
      <c r="E106" s="2">
        <v>250</v>
      </c>
      <c r="F106" s="2">
        <v>400</v>
      </c>
      <c r="G106" s="2">
        <v>334</v>
      </c>
      <c r="AG106" s="2">
        <v>1819</v>
      </c>
    </row>
    <row r="107" spans="1:7" ht="15.75">
      <c r="A107" s="5">
        <v>1819</v>
      </c>
      <c r="B107" s="2" t="s">
        <v>160</v>
      </c>
      <c r="C107" s="2">
        <v>0.263</v>
      </c>
      <c r="E107" s="2">
        <f>E106*0.263</f>
        <v>65.75</v>
      </c>
      <c r="F107" s="2">
        <f>F106*0.263</f>
        <v>105.2</v>
      </c>
      <c r="G107" s="2">
        <f>G106*0.263</f>
        <v>87.842</v>
      </c>
    </row>
    <row r="108" spans="1:33" ht="15.75">
      <c r="A108" s="5">
        <v>1819</v>
      </c>
      <c r="B108" s="10" t="s">
        <v>210</v>
      </c>
      <c r="C108" s="10"/>
      <c r="D108" s="10"/>
      <c r="E108" s="8">
        <f>0.18*E107</f>
        <v>11.834999999999999</v>
      </c>
      <c r="F108" s="8">
        <f>0.18*F107</f>
        <v>18.936</v>
      </c>
      <c r="G108" s="8">
        <f>0.18*G107</f>
        <v>15.81156</v>
      </c>
      <c r="AG108" s="10" t="s">
        <v>210</v>
      </c>
    </row>
    <row r="109" ht="15.75">
      <c r="A109" s="5"/>
    </row>
    <row r="110" spans="1:33" ht="15.75">
      <c r="A110" s="5">
        <v>1820</v>
      </c>
      <c r="B110" s="2" t="s">
        <v>69</v>
      </c>
      <c r="E110" s="2">
        <v>150</v>
      </c>
      <c r="F110" s="2">
        <v>900</v>
      </c>
      <c r="G110" s="2">
        <v>368</v>
      </c>
      <c r="H110" s="2">
        <v>200</v>
      </c>
      <c r="I110" s="2">
        <v>240</v>
      </c>
      <c r="J110" s="2">
        <v>220</v>
      </c>
      <c r="AG110" s="2">
        <v>1820</v>
      </c>
    </row>
    <row r="111" spans="1:10" ht="15.75">
      <c r="A111" s="5">
        <v>1820</v>
      </c>
      <c r="B111" s="2" t="s">
        <v>160</v>
      </c>
      <c r="C111" s="2">
        <v>0.263</v>
      </c>
      <c r="E111" s="2">
        <f aca="true" t="shared" si="11" ref="E111:J111">E110*0.263</f>
        <v>39.45</v>
      </c>
      <c r="F111" s="2">
        <f t="shared" si="11"/>
        <v>236.70000000000002</v>
      </c>
      <c r="G111" s="2">
        <f t="shared" si="11"/>
        <v>96.784</v>
      </c>
      <c r="H111" s="2">
        <f t="shared" si="11"/>
        <v>52.6</v>
      </c>
      <c r="I111" s="2">
        <f t="shared" si="11"/>
        <v>63.120000000000005</v>
      </c>
      <c r="J111" s="2">
        <f t="shared" si="11"/>
        <v>57.86</v>
      </c>
    </row>
    <row r="112" spans="1:33" ht="15.75">
      <c r="A112" s="5">
        <v>1820</v>
      </c>
      <c r="B112" s="10" t="s">
        <v>210</v>
      </c>
      <c r="C112" s="10"/>
      <c r="D112" s="10"/>
      <c r="E112" s="8">
        <f aca="true" t="shared" si="12" ref="E112:J112">0.18*E111</f>
        <v>7.101</v>
      </c>
      <c r="F112" s="8">
        <f t="shared" si="12"/>
        <v>42.606</v>
      </c>
      <c r="G112" s="8">
        <f t="shared" si="12"/>
        <v>17.421120000000002</v>
      </c>
      <c r="H112" s="8">
        <f t="shared" si="12"/>
        <v>9.468</v>
      </c>
      <c r="I112" s="8">
        <f t="shared" si="12"/>
        <v>11.361600000000001</v>
      </c>
      <c r="J112" s="8">
        <f t="shared" si="12"/>
        <v>10.4148</v>
      </c>
      <c r="K112" s="8">
        <f>100*((G112/J112)-1)</f>
        <v>67.27272727272731</v>
      </c>
      <c r="AG112" s="10" t="s">
        <v>210</v>
      </c>
    </row>
    <row r="113" ht="15.75">
      <c r="A113" s="5"/>
    </row>
    <row r="114" spans="1:33" ht="15.75">
      <c r="A114" s="5">
        <v>1821</v>
      </c>
      <c r="B114" s="2" t="s">
        <v>69</v>
      </c>
      <c r="E114" s="2">
        <v>280</v>
      </c>
      <c r="F114" s="2">
        <v>400</v>
      </c>
      <c r="G114" s="2">
        <v>326</v>
      </c>
      <c r="AG114" s="2">
        <v>1821</v>
      </c>
    </row>
    <row r="115" spans="1:7" ht="15.75">
      <c r="A115" s="5">
        <v>1821</v>
      </c>
      <c r="B115" s="2" t="s">
        <v>160</v>
      </c>
      <c r="C115" s="2">
        <v>0.257</v>
      </c>
      <c r="E115" s="2">
        <f>E114*0.257</f>
        <v>71.96000000000001</v>
      </c>
      <c r="F115" s="2">
        <f>F114*0.257</f>
        <v>102.8</v>
      </c>
      <c r="G115" s="2">
        <f>G114*0.257</f>
        <v>83.782</v>
      </c>
    </row>
    <row r="116" spans="1:33" ht="15.75">
      <c r="A116" s="5">
        <v>1821</v>
      </c>
      <c r="B116" s="10" t="s">
        <v>210</v>
      </c>
      <c r="C116" s="10"/>
      <c r="D116" s="10"/>
      <c r="E116" s="8">
        <f>0.18*E115</f>
        <v>12.952800000000002</v>
      </c>
      <c r="F116" s="8">
        <f>0.18*F115</f>
        <v>18.503999999999998</v>
      </c>
      <c r="G116" s="8">
        <f>0.18*G115</f>
        <v>15.080759999999998</v>
      </c>
      <c r="AG116" s="10" t="s">
        <v>210</v>
      </c>
    </row>
    <row r="117" ht="15.75">
      <c r="A117" s="5"/>
    </row>
    <row r="118" spans="1:33" ht="15.75">
      <c r="A118" s="5">
        <v>1823</v>
      </c>
      <c r="B118" s="2" t="s">
        <v>69</v>
      </c>
      <c r="D118" s="2">
        <v>40</v>
      </c>
      <c r="AG118" s="2">
        <v>1823</v>
      </c>
    </row>
    <row r="119" spans="1:3" ht="15.75">
      <c r="A119" s="5">
        <v>1823</v>
      </c>
      <c r="B119" s="2" t="s">
        <v>160</v>
      </c>
      <c r="C119" s="2">
        <v>0.262</v>
      </c>
    </row>
    <row r="120" spans="1:33" ht="15.75">
      <c r="A120" s="5">
        <v>1823</v>
      </c>
      <c r="B120" s="10" t="s">
        <v>210</v>
      </c>
      <c r="C120" s="10"/>
      <c r="D120" s="10"/>
      <c r="AG120" s="10" t="s">
        <v>210</v>
      </c>
    </row>
    <row r="121" ht="15.75">
      <c r="A121" s="5"/>
    </row>
    <row r="122" spans="1:33" ht="15.75">
      <c r="A122" s="5">
        <v>1826</v>
      </c>
      <c r="B122" s="2" t="s">
        <v>69</v>
      </c>
      <c r="E122" s="2">
        <v>218</v>
      </c>
      <c r="F122" s="2">
        <v>280</v>
      </c>
      <c r="G122" s="2">
        <v>253</v>
      </c>
      <c r="AG122" s="2">
        <v>1826</v>
      </c>
    </row>
    <row r="123" spans="1:7" ht="15.75">
      <c r="A123" s="5">
        <v>1826</v>
      </c>
      <c r="B123" s="2" t="s">
        <v>160</v>
      </c>
      <c r="C123" s="2">
        <v>0.267</v>
      </c>
      <c r="E123" s="2">
        <f>E122*0.267</f>
        <v>58.206</v>
      </c>
      <c r="F123" s="2">
        <f>F122*0.267</f>
        <v>74.76</v>
      </c>
      <c r="G123" s="2">
        <f>G122*0.267</f>
        <v>67.551</v>
      </c>
    </row>
    <row r="124" spans="1:33" ht="15.75">
      <c r="A124" s="5">
        <v>1826</v>
      </c>
      <c r="B124" s="10" t="s">
        <v>210</v>
      </c>
      <c r="C124" s="10"/>
      <c r="D124" s="10"/>
      <c r="E124" s="8">
        <f>0.18*E123</f>
        <v>10.47708</v>
      </c>
      <c r="F124" s="8">
        <f>0.18*F123</f>
        <v>13.456800000000001</v>
      </c>
      <c r="G124" s="8">
        <f>0.18*G123</f>
        <v>12.15918</v>
      </c>
      <c r="AG124" s="10" t="s">
        <v>210</v>
      </c>
    </row>
    <row r="125" ht="15.75">
      <c r="A125" s="5"/>
    </row>
    <row r="126" spans="1:33" ht="15.75">
      <c r="A126" s="5" t="s">
        <v>35</v>
      </c>
      <c r="B126" s="2" t="s">
        <v>69</v>
      </c>
      <c r="AG126" s="2" t="s">
        <v>35</v>
      </c>
    </row>
    <row r="127" spans="1:2" ht="15.75">
      <c r="A127" s="5" t="s">
        <v>35</v>
      </c>
      <c r="B127" s="2" t="s">
        <v>160</v>
      </c>
    </row>
    <row r="128" spans="1:33" ht="15.75">
      <c r="A128" s="5" t="s">
        <v>35</v>
      </c>
      <c r="B128" s="10" t="s">
        <v>210</v>
      </c>
      <c r="C128" s="10"/>
      <c r="D128" s="10"/>
      <c r="AG128" s="10" t="s">
        <v>210</v>
      </c>
    </row>
    <row r="129" ht="15.75">
      <c r="A129" s="5"/>
    </row>
    <row r="130" spans="1:33" ht="15.75">
      <c r="A130" s="5">
        <v>1828</v>
      </c>
      <c r="B130" s="2" t="s">
        <v>69</v>
      </c>
      <c r="E130" s="2">
        <v>160</v>
      </c>
      <c r="F130" s="2">
        <v>214</v>
      </c>
      <c r="G130" s="2">
        <v>186</v>
      </c>
      <c r="AG130" s="2">
        <v>1828</v>
      </c>
    </row>
    <row r="131" spans="1:7" ht="15.75">
      <c r="A131" s="5">
        <v>1828</v>
      </c>
      <c r="B131" s="2" t="s">
        <v>160</v>
      </c>
      <c r="C131" s="2">
        <v>0.268</v>
      </c>
      <c r="E131" s="2">
        <f>E130*0.268</f>
        <v>42.88</v>
      </c>
      <c r="F131" s="2">
        <f>F130*0.268</f>
        <v>57.352000000000004</v>
      </c>
      <c r="G131" s="2">
        <f>G130*0.268</f>
        <v>49.848000000000006</v>
      </c>
    </row>
    <row r="132" spans="1:33" ht="15.75">
      <c r="A132" s="5">
        <v>1828</v>
      </c>
      <c r="B132" s="10" t="s">
        <v>210</v>
      </c>
      <c r="C132" s="10"/>
      <c r="D132" s="10"/>
      <c r="E132" s="8">
        <f>0.18*E131</f>
        <v>7.7184</v>
      </c>
      <c r="F132" s="8">
        <f>0.18*F131</f>
        <v>10.323360000000001</v>
      </c>
      <c r="G132" s="8">
        <f>0.18*G131</f>
        <v>8.97264</v>
      </c>
      <c r="AG132" s="10" t="s">
        <v>210</v>
      </c>
    </row>
    <row r="133" spans="1:33" ht="15.75">
      <c r="A133" s="5"/>
      <c r="B133" s="10"/>
      <c r="C133" s="10"/>
      <c r="D133" s="10"/>
      <c r="E133" s="8"/>
      <c r="F133" s="8"/>
      <c r="G133" s="8"/>
      <c r="AG133" s="10"/>
    </row>
    <row r="134" spans="1:33" ht="15.75">
      <c r="A134" s="5">
        <v>1829</v>
      </c>
      <c r="B134" s="2">
        <v>1829</v>
      </c>
      <c r="E134" s="2">
        <v>143</v>
      </c>
      <c r="F134" s="2">
        <v>214</v>
      </c>
      <c r="G134" s="2">
        <v>181</v>
      </c>
      <c r="AG134" s="2">
        <v>1829</v>
      </c>
    </row>
    <row r="135" spans="1:7" ht="15.75">
      <c r="A135" s="5" t="s">
        <v>160</v>
      </c>
      <c r="B135" s="2" t="s">
        <v>160</v>
      </c>
      <c r="C135" s="2">
        <v>0.273</v>
      </c>
      <c r="E135" s="2">
        <f>E134*0.273</f>
        <v>39.039</v>
      </c>
      <c r="F135" s="2">
        <f>F134*0.273</f>
        <v>58.422000000000004</v>
      </c>
      <c r="G135" s="2">
        <f>G134*0.273</f>
        <v>49.413000000000004</v>
      </c>
    </row>
    <row r="136" spans="1:33" ht="15.75">
      <c r="A136" s="5"/>
      <c r="B136" s="10" t="s">
        <v>210</v>
      </c>
      <c r="C136" s="10"/>
      <c r="D136" s="10"/>
      <c r="E136" s="8">
        <f>0.18*E135</f>
        <v>7.02702</v>
      </c>
      <c r="F136" s="8">
        <f>0.18*F135</f>
        <v>10.51596</v>
      </c>
      <c r="G136" s="8">
        <f>0.18*G135</f>
        <v>8.89434</v>
      </c>
      <c r="AG136" s="10" t="s">
        <v>210</v>
      </c>
    </row>
    <row r="137" spans="1:33" ht="15.75">
      <c r="A137" s="5">
        <v>1832</v>
      </c>
      <c r="B137" s="2">
        <v>1832</v>
      </c>
      <c r="G137" s="2">
        <v>191</v>
      </c>
      <c r="AG137" s="2">
        <v>1832</v>
      </c>
    </row>
    <row r="138" spans="1:7" ht="15.75">
      <c r="A138" s="5" t="s">
        <v>160</v>
      </c>
      <c r="B138" s="2" t="s">
        <v>160</v>
      </c>
      <c r="C138" s="2">
        <v>0.272</v>
      </c>
      <c r="G138" s="2">
        <f>G137*0.272</f>
        <v>51.952000000000005</v>
      </c>
    </row>
    <row r="139" spans="1:33" ht="15.75">
      <c r="A139" s="5"/>
      <c r="B139" s="10" t="s">
        <v>210</v>
      </c>
      <c r="C139" s="10"/>
      <c r="D139" s="10"/>
      <c r="G139" s="8">
        <f>0.18*G138</f>
        <v>9.351360000000001</v>
      </c>
      <c r="AG139" s="10" t="s">
        <v>210</v>
      </c>
    </row>
    <row r="140" ht="15.75">
      <c r="A140" s="5"/>
    </row>
    <row r="141" spans="1:33" ht="15.75">
      <c r="A141" s="5">
        <v>1833</v>
      </c>
      <c r="B141" s="2" t="s">
        <v>69</v>
      </c>
      <c r="D141" s="2">
        <v>39.2</v>
      </c>
      <c r="E141" s="2">
        <v>160</v>
      </c>
      <c r="G141" s="2">
        <v>200</v>
      </c>
      <c r="H141" s="2">
        <v>90</v>
      </c>
      <c r="I141" s="2">
        <v>160</v>
      </c>
      <c r="J141" s="2">
        <v>136</v>
      </c>
      <c r="AG141" s="2">
        <v>1833</v>
      </c>
    </row>
    <row r="142" spans="1:10" ht="15.75">
      <c r="A142" s="5">
        <v>1833</v>
      </c>
      <c r="B142" s="2" t="s">
        <v>160</v>
      </c>
      <c r="C142" s="2">
        <v>0.273</v>
      </c>
      <c r="E142" s="2">
        <f>E141*0.273</f>
        <v>43.68000000000001</v>
      </c>
      <c r="G142" s="2">
        <f>G141*0.273</f>
        <v>54.6</v>
      </c>
      <c r="H142" s="2">
        <f>H141*0.273</f>
        <v>24.57</v>
      </c>
      <c r="I142" s="2">
        <f>I141*0.273</f>
        <v>43.68000000000001</v>
      </c>
      <c r="J142" s="2">
        <f>J141*0.273</f>
        <v>37.128</v>
      </c>
    </row>
    <row r="143" spans="1:33" ht="15.75">
      <c r="A143" s="5">
        <v>1833</v>
      </c>
      <c r="B143" s="10" t="s">
        <v>210</v>
      </c>
      <c r="C143" s="10"/>
      <c r="D143" s="10"/>
      <c r="E143" s="8">
        <f>0.18*E142</f>
        <v>7.862400000000001</v>
      </c>
      <c r="G143" s="8">
        <f>0.18*G142</f>
        <v>9.828</v>
      </c>
      <c r="H143" s="8">
        <f>0.18*H142</f>
        <v>4.4226</v>
      </c>
      <c r="I143" s="8">
        <f>0.18*I142</f>
        <v>7.862400000000001</v>
      </c>
      <c r="J143" s="8">
        <f>0.18*J142</f>
        <v>6.68304</v>
      </c>
      <c r="K143" s="8">
        <f>100*((G143/J143)-1)</f>
        <v>47.058823529411754</v>
      </c>
      <c r="AG143" s="10" t="s">
        <v>210</v>
      </c>
    </row>
    <row r="144" ht="15.75">
      <c r="A144" s="5"/>
    </row>
    <row r="145" spans="1:33" ht="15.75">
      <c r="A145" s="5"/>
      <c r="B145" s="2">
        <v>1834</v>
      </c>
      <c r="E145" s="2">
        <v>180</v>
      </c>
      <c r="F145" s="2">
        <v>400</v>
      </c>
      <c r="G145" s="2">
        <v>264</v>
      </c>
      <c r="J145" s="2">
        <v>250</v>
      </c>
      <c r="AG145" s="2">
        <v>1834</v>
      </c>
    </row>
    <row r="146" spans="1:10" ht="15.75">
      <c r="A146" s="5"/>
      <c r="B146" s="2" t="s">
        <v>160</v>
      </c>
      <c r="C146" s="2">
        <v>0.274</v>
      </c>
      <c r="E146" s="2">
        <f>E145*0.274</f>
        <v>49.32000000000001</v>
      </c>
      <c r="F146" s="2">
        <f>F145*0.274</f>
        <v>109.60000000000001</v>
      </c>
      <c r="G146" s="2">
        <f>G145*0.274</f>
        <v>72.33600000000001</v>
      </c>
      <c r="J146" s="2">
        <f>J145*0.274</f>
        <v>68.5</v>
      </c>
    </row>
    <row r="147" spans="1:33" ht="15.75">
      <c r="A147" s="5"/>
      <c r="B147" s="2">
        <v>1835</v>
      </c>
      <c r="G147" s="2">
        <v>550</v>
      </c>
      <c r="AG147" s="2">
        <v>1835</v>
      </c>
    </row>
    <row r="148" spans="1:7" ht="15.75">
      <c r="A148" s="5"/>
      <c r="B148" s="2" t="s">
        <v>160</v>
      </c>
      <c r="C148" s="2">
        <v>0.274</v>
      </c>
      <c r="G148" s="2">
        <f>G147*0.274</f>
        <v>150.70000000000002</v>
      </c>
    </row>
    <row r="149" spans="1:33" ht="15.75">
      <c r="A149" s="5"/>
      <c r="B149" s="2">
        <v>1839</v>
      </c>
      <c r="G149" s="2">
        <v>300</v>
      </c>
      <c r="AG149" s="2">
        <v>1839</v>
      </c>
    </row>
    <row r="150" spans="1:7" ht="15.75">
      <c r="A150" s="5"/>
      <c r="B150" s="2" t="s">
        <v>160</v>
      </c>
      <c r="C150" s="2">
        <v>0.286</v>
      </c>
      <c r="G150" s="2">
        <f>G149*0.286</f>
        <v>85.8</v>
      </c>
    </row>
    <row r="151" spans="1:33" ht="15.75">
      <c r="A151" s="5"/>
      <c r="B151" s="2">
        <v>1840</v>
      </c>
      <c r="G151" s="2">
        <v>85</v>
      </c>
      <c r="AG151" s="2">
        <v>1840</v>
      </c>
    </row>
    <row r="152" spans="1:7" ht="15.75">
      <c r="A152" s="5"/>
      <c r="B152" s="2" t="s">
        <v>160</v>
      </c>
      <c r="C152" s="2">
        <v>0.288</v>
      </c>
      <c r="G152" s="2">
        <f>G151*0.288</f>
        <v>24.479999999999997</v>
      </c>
    </row>
    <row r="153" spans="1:33" ht="15.75">
      <c r="A153" s="5"/>
      <c r="B153" s="2">
        <v>1843</v>
      </c>
      <c r="D153" s="2">
        <v>41.6</v>
      </c>
      <c r="AG153" s="2">
        <v>1843</v>
      </c>
    </row>
    <row r="154" spans="1:7" ht="15.75">
      <c r="A154" s="5"/>
      <c r="B154" s="2" t="s">
        <v>160</v>
      </c>
      <c r="C154" s="2">
        <v>0.973</v>
      </c>
      <c r="E154" s="2">
        <v>50</v>
      </c>
      <c r="F154" s="2">
        <v>139</v>
      </c>
      <c r="G154" s="2">
        <v>95</v>
      </c>
    </row>
    <row r="155" spans="1:33" ht="15.75">
      <c r="A155" s="5"/>
      <c r="B155" s="2">
        <v>1847</v>
      </c>
      <c r="E155" s="2">
        <v>50</v>
      </c>
      <c r="F155" s="2">
        <v>139</v>
      </c>
      <c r="AG155" s="2">
        <v>1847</v>
      </c>
    </row>
    <row r="156" spans="1:7" ht="15.75">
      <c r="A156" s="5"/>
      <c r="B156" s="2" t="s">
        <v>160</v>
      </c>
      <c r="C156" s="2">
        <v>0.995</v>
      </c>
      <c r="E156" s="2">
        <f>E155*0.995</f>
        <v>49.75</v>
      </c>
      <c r="F156" s="2">
        <f>F155*0.995</f>
        <v>138.305</v>
      </c>
      <c r="G156" s="2">
        <v>50</v>
      </c>
    </row>
    <row r="157" spans="1:33" ht="15.75">
      <c r="A157" s="5"/>
      <c r="B157" s="2">
        <v>1853</v>
      </c>
      <c r="D157" s="2">
        <v>46.6</v>
      </c>
      <c r="E157" s="2">
        <v>81</v>
      </c>
      <c r="F157" s="2">
        <v>138</v>
      </c>
      <c r="G157" s="2">
        <v>97</v>
      </c>
      <c r="J157" s="2">
        <v>50</v>
      </c>
      <c r="AG157" s="2">
        <v>1853</v>
      </c>
    </row>
    <row r="158" spans="1:10" ht="15.75">
      <c r="A158" s="5"/>
      <c r="B158" s="2" t="s">
        <v>160</v>
      </c>
      <c r="C158" s="2">
        <v>0.995</v>
      </c>
      <c r="E158" s="2">
        <f aca="true" t="shared" si="13" ref="E158:J158">E157*0.995</f>
        <v>80.595</v>
      </c>
      <c r="F158" s="2">
        <f t="shared" si="13"/>
        <v>137.31</v>
      </c>
      <c r="G158" s="2">
        <f t="shared" si="13"/>
        <v>96.515</v>
      </c>
      <c r="J158" s="2">
        <f t="shared" si="13"/>
        <v>49.75</v>
      </c>
    </row>
    <row r="159" spans="1:33" ht="15.75">
      <c r="A159" s="5"/>
      <c r="B159" s="2">
        <v>1854</v>
      </c>
      <c r="D159" s="2">
        <v>47.5</v>
      </c>
      <c r="E159" s="2">
        <v>87</v>
      </c>
      <c r="F159" s="2">
        <v>102</v>
      </c>
      <c r="G159" s="2">
        <v>91</v>
      </c>
      <c r="J159" s="2">
        <v>53</v>
      </c>
      <c r="AG159" s="2">
        <v>1854</v>
      </c>
    </row>
    <row r="160" spans="1:10" ht="15.75">
      <c r="A160" s="5"/>
      <c r="B160" s="2" t="s">
        <v>160</v>
      </c>
      <c r="C160" s="2">
        <v>0.942</v>
      </c>
      <c r="E160" s="2">
        <f aca="true" t="shared" si="14" ref="E160:J160">E159*0.942</f>
        <v>81.954</v>
      </c>
      <c r="F160" s="2">
        <f t="shared" si="14"/>
        <v>96.08399999999999</v>
      </c>
      <c r="G160" s="2">
        <f t="shared" si="14"/>
        <v>85.722</v>
      </c>
      <c r="J160" s="2">
        <f t="shared" si="14"/>
        <v>49.925999999999995</v>
      </c>
    </row>
    <row r="161" spans="1:33" ht="15.75">
      <c r="A161" s="5"/>
      <c r="B161" s="2">
        <v>1855</v>
      </c>
      <c r="D161" s="2">
        <v>47.8</v>
      </c>
      <c r="E161" s="2">
        <v>73</v>
      </c>
      <c r="F161" s="2">
        <v>100</v>
      </c>
      <c r="G161" s="2">
        <v>79</v>
      </c>
      <c r="J161" s="2">
        <v>49</v>
      </c>
      <c r="AG161" s="2">
        <v>1855</v>
      </c>
    </row>
    <row r="162" spans="1:10" ht="15.75">
      <c r="A162" s="5"/>
      <c r="B162" s="2" t="s">
        <v>160</v>
      </c>
      <c r="C162" s="2">
        <v>0.93</v>
      </c>
      <c r="E162" s="2">
        <f aca="true" t="shared" si="15" ref="E162:J162">E161*0.93</f>
        <v>67.89</v>
      </c>
      <c r="F162" s="2">
        <f t="shared" si="15"/>
        <v>93</v>
      </c>
      <c r="G162" s="2">
        <f t="shared" si="15"/>
        <v>73.47</v>
      </c>
      <c r="J162" s="2">
        <f t="shared" si="15"/>
        <v>45.57</v>
      </c>
    </row>
    <row r="163" spans="1:33" ht="15.75">
      <c r="A163" s="5"/>
      <c r="B163" s="2">
        <v>1856</v>
      </c>
      <c r="D163" s="2">
        <v>49.5</v>
      </c>
      <c r="E163" s="2">
        <v>71</v>
      </c>
      <c r="F163" s="2">
        <v>104</v>
      </c>
      <c r="G163" s="2">
        <v>85</v>
      </c>
      <c r="J163" s="2">
        <v>51</v>
      </c>
      <c r="AG163" s="2">
        <v>1856</v>
      </c>
    </row>
    <row r="164" spans="1:10" ht="15.75">
      <c r="A164" s="5"/>
      <c r="B164" s="2" t="s">
        <v>160</v>
      </c>
      <c r="C164" s="2">
        <v>0.984</v>
      </c>
      <c r="E164" s="2">
        <f aca="true" t="shared" si="16" ref="E164:J164">E163*0.984</f>
        <v>69.864</v>
      </c>
      <c r="F164" s="2">
        <f t="shared" si="16"/>
        <v>102.336</v>
      </c>
      <c r="G164" s="2">
        <f t="shared" si="16"/>
        <v>83.64</v>
      </c>
      <c r="J164" s="2">
        <f t="shared" si="16"/>
        <v>50.184</v>
      </c>
    </row>
    <row r="165" spans="1:33" ht="15.75">
      <c r="A165" s="5"/>
      <c r="B165" s="2">
        <v>1857</v>
      </c>
      <c r="D165" s="2">
        <v>51.5</v>
      </c>
      <c r="E165" s="2">
        <v>63</v>
      </c>
      <c r="F165" s="2">
        <v>102</v>
      </c>
      <c r="G165" s="2">
        <v>81</v>
      </c>
      <c r="J165" s="2">
        <v>45</v>
      </c>
      <c r="AG165" s="2">
        <v>1857</v>
      </c>
    </row>
    <row r="166" spans="1:10" ht="15.75">
      <c r="A166" s="5"/>
      <c r="B166" s="2" t="s">
        <v>160</v>
      </c>
      <c r="C166" s="2">
        <v>0.963</v>
      </c>
      <c r="E166" s="2">
        <f aca="true" t="shared" si="17" ref="E166:J166">E165*0.963</f>
        <v>60.669</v>
      </c>
      <c r="F166" s="2">
        <f t="shared" si="17"/>
        <v>98.226</v>
      </c>
      <c r="G166" s="2">
        <f t="shared" si="17"/>
        <v>78.003</v>
      </c>
      <c r="J166" s="2">
        <f t="shared" si="17"/>
        <v>43.335</v>
      </c>
    </row>
    <row r="167" spans="1:33" ht="15.75">
      <c r="A167" s="5"/>
      <c r="B167" s="2">
        <v>1858</v>
      </c>
      <c r="D167" s="2">
        <v>49.8</v>
      </c>
      <c r="E167" s="2">
        <v>60</v>
      </c>
      <c r="F167" s="2">
        <v>100</v>
      </c>
      <c r="G167" s="2">
        <v>73</v>
      </c>
      <c r="J167" s="2">
        <v>41</v>
      </c>
      <c r="AG167" s="2">
        <v>1858</v>
      </c>
    </row>
    <row r="168" spans="1:10" ht="15.75">
      <c r="A168" s="5"/>
      <c r="B168" s="2" t="s">
        <v>160</v>
      </c>
      <c r="C168" s="2">
        <v>0.946</v>
      </c>
      <c r="E168" s="2">
        <f aca="true" t="shared" si="18" ref="E168:J168">E167*0.946</f>
        <v>56.76</v>
      </c>
      <c r="F168" s="2">
        <f t="shared" si="18"/>
        <v>94.6</v>
      </c>
      <c r="G168" s="2">
        <f t="shared" si="18"/>
        <v>69.05799999999999</v>
      </c>
      <c r="J168" s="2">
        <f t="shared" si="18"/>
        <v>38.786</v>
      </c>
    </row>
    <row r="169" spans="1:33" ht="15.75">
      <c r="A169" s="5"/>
      <c r="B169" s="2">
        <v>1859</v>
      </c>
      <c r="D169" s="2">
        <v>49.5</v>
      </c>
      <c r="E169" s="2">
        <v>85</v>
      </c>
      <c r="F169" s="2">
        <v>112</v>
      </c>
      <c r="G169" s="2">
        <v>96</v>
      </c>
      <c r="J169" s="2">
        <v>62</v>
      </c>
      <c r="AG169" s="2">
        <v>1859</v>
      </c>
    </row>
    <row r="170" spans="1:10" ht="15.75">
      <c r="A170" s="5"/>
      <c r="B170" s="2" t="s">
        <v>160</v>
      </c>
      <c r="C170" s="2">
        <v>0.835</v>
      </c>
      <c r="E170" s="2">
        <f aca="true" t="shared" si="19" ref="E170:J170">E169*0.835</f>
        <v>70.975</v>
      </c>
      <c r="F170" s="2">
        <f t="shared" si="19"/>
        <v>93.52</v>
      </c>
      <c r="G170" s="2">
        <f t="shared" si="19"/>
        <v>80.16</v>
      </c>
      <c r="J170" s="2">
        <f t="shared" si="19"/>
        <v>51.769999999999996</v>
      </c>
    </row>
    <row r="171" spans="1:33" ht="15.75">
      <c r="A171" s="5"/>
      <c r="B171" s="2">
        <v>1860</v>
      </c>
      <c r="D171" s="2">
        <v>50.7</v>
      </c>
      <c r="E171" s="2">
        <v>101</v>
      </c>
      <c r="F171" s="2">
        <v>147</v>
      </c>
      <c r="G171" s="2">
        <v>128</v>
      </c>
      <c r="J171" s="2">
        <v>67</v>
      </c>
      <c r="AG171" s="2">
        <v>1860</v>
      </c>
    </row>
    <row r="172" spans="1:10" ht="15.75">
      <c r="A172" s="5"/>
      <c r="B172" s="2" t="s">
        <v>160</v>
      </c>
      <c r="C172" s="2">
        <v>0.944</v>
      </c>
      <c r="D172" s="2">
        <f>AVERAGE(D157:D171)</f>
        <v>49.1125</v>
      </c>
      <c r="E172" s="2">
        <f aca="true" t="shared" si="20" ref="E172:J172">E171*0.944</f>
        <v>95.344</v>
      </c>
      <c r="F172" s="2">
        <f t="shared" si="20"/>
        <v>138.768</v>
      </c>
      <c r="G172" s="2">
        <f t="shared" si="20"/>
        <v>120.832</v>
      </c>
      <c r="J172" s="2">
        <f t="shared" si="20"/>
        <v>63.248</v>
      </c>
    </row>
    <row r="173" spans="1:33" ht="15.75">
      <c r="A173" s="5"/>
      <c r="B173" s="2">
        <v>1861</v>
      </c>
      <c r="D173" s="2">
        <v>52.9</v>
      </c>
      <c r="E173" s="2">
        <v>102</v>
      </c>
      <c r="F173" s="2">
        <v>161</v>
      </c>
      <c r="G173" s="2">
        <v>129</v>
      </c>
      <c r="J173" s="2">
        <v>72</v>
      </c>
      <c r="AG173" s="2">
        <v>1861</v>
      </c>
    </row>
    <row r="174" spans="1:10" ht="15.75">
      <c r="A174" s="5"/>
      <c r="B174" s="2" t="s">
        <v>160</v>
      </c>
      <c r="C174" s="2">
        <v>0.887</v>
      </c>
      <c r="E174" s="2">
        <f aca="true" t="shared" si="21" ref="E174:J174">E173*0.887</f>
        <v>90.474</v>
      </c>
      <c r="F174" s="2">
        <f t="shared" si="21"/>
        <v>142.807</v>
      </c>
      <c r="G174" s="2">
        <f t="shared" si="21"/>
        <v>114.423</v>
      </c>
      <c r="J174" s="2">
        <f t="shared" si="21"/>
        <v>63.864000000000004</v>
      </c>
    </row>
    <row r="175" spans="1:33" ht="15.75">
      <c r="A175" s="5"/>
      <c r="B175" s="2">
        <v>1862</v>
      </c>
      <c r="D175" s="2">
        <v>55.3</v>
      </c>
      <c r="E175" s="2">
        <v>79</v>
      </c>
      <c r="F175" s="2">
        <v>95</v>
      </c>
      <c r="G175" s="2">
        <v>85</v>
      </c>
      <c r="J175" s="2">
        <v>62</v>
      </c>
      <c r="AG175" s="2">
        <v>1862</v>
      </c>
    </row>
    <row r="176" spans="1:10" ht="15.75">
      <c r="A176" s="5"/>
      <c r="B176" s="2" t="s">
        <v>160</v>
      </c>
      <c r="C176" s="2">
        <v>0.855</v>
      </c>
      <c r="E176" s="2">
        <f aca="true" t="shared" si="22" ref="E176:J176">E175*0.855</f>
        <v>67.545</v>
      </c>
      <c r="F176" s="2">
        <f t="shared" si="22"/>
        <v>81.225</v>
      </c>
      <c r="G176" s="2">
        <f t="shared" si="22"/>
        <v>72.675</v>
      </c>
      <c r="J176" s="2">
        <f t="shared" si="22"/>
        <v>53.01</v>
      </c>
    </row>
    <row r="177" spans="1:33" ht="15.75">
      <c r="A177" s="5"/>
      <c r="B177" s="2">
        <v>1863</v>
      </c>
      <c r="D177" s="2">
        <v>54.5</v>
      </c>
      <c r="E177" s="2">
        <v>86</v>
      </c>
      <c r="F177" s="2">
        <v>109</v>
      </c>
      <c r="G177" s="2">
        <v>95</v>
      </c>
      <c r="J177" s="2">
        <v>74</v>
      </c>
      <c r="AG177" s="2">
        <v>1863</v>
      </c>
    </row>
    <row r="178" spans="1:10" ht="15.75">
      <c r="A178" s="5"/>
      <c r="B178" s="2" t="s">
        <v>160</v>
      </c>
      <c r="C178" s="2">
        <v>0.982</v>
      </c>
      <c r="E178" s="2">
        <f aca="true" t="shared" si="23" ref="E178:J178">E177*0.982</f>
        <v>84.452</v>
      </c>
      <c r="F178" s="2">
        <f t="shared" si="23"/>
        <v>107.038</v>
      </c>
      <c r="G178" s="2">
        <f t="shared" si="23"/>
        <v>93.28999999999999</v>
      </c>
      <c r="J178" s="2">
        <f t="shared" si="23"/>
        <v>72.66799999999999</v>
      </c>
    </row>
    <row r="179" spans="1:33" ht="15.75">
      <c r="A179" s="5"/>
      <c r="B179" s="2">
        <v>1864</v>
      </c>
      <c r="D179" s="2">
        <v>53.1</v>
      </c>
      <c r="E179" s="2">
        <v>85</v>
      </c>
      <c r="F179" s="2">
        <v>101</v>
      </c>
      <c r="G179" s="2">
        <v>92</v>
      </c>
      <c r="J179" s="2">
        <v>66</v>
      </c>
      <c r="AG179" s="2">
        <v>1864</v>
      </c>
    </row>
    <row r="180" spans="1:10" ht="15.75">
      <c r="A180" s="5"/>
      <c r="B180" s="2" t="s">
        <v>160</v>
      </c>
      <c r="C180" s="2">
        <v>0.773</v>
      </c>
      <c r="E180" s="2">
        <f aca="true" t="shared" si="24" ref="E180:J180">E179*0.773</f>
        <v>65.705</v>
      </c>
      <c r="F180" s="2">
        <f t="shared" si="24"/>
        <v>78.07300000000001</v>
      </c>
      <c r="G180" s="2">
        <f t="shared" si="24"/>
        <v>71.116</v>
      </c>
      <c r="J180" s="2">
        <f t="shared" si="24"/>
        <v>51.018</v>
      </c>
    </row>
    <row r="181" spans="1:33" ht="15.75">
      <c r="A181" s="5"/>
      <c r="B181" s="2">
        <v>1865</v>
      </c>
      <c r="D181" s="2">
        <v>55.1</v>
      </c>
      <c r="E181" s="2">
        <v>85</v>
      </c>
      <c r="F181" s="2">
        <v>99</v>
      </c>
      <c r="G181" s="2">
        <v>90</v>
      </c>
      <c r="J181" s="2">
        <v>64</v>
      </c>
      <c r="AG181" s="2">
        <v>1865</v>
      </c>
    </row>
    <row r="182" spans="1:10" ht="15.75">
      <c r="A182" s="5"/>
      <c r="B182" s="2" t="s">
        <v>160</v>
      </c>
      <c r="C182" s="2">
        <v>0.818</v>
      </c>
      <c r="E182" s="2">
        <f aca="true" t="shared" si="25" ref="E182:J182">E181*0.818</f>
        <v>69.53</v>
      </c>
      <c r="F182" s="2">
        <f t="shared" si="25"/>
        <v>80.982</v>
      </c>
      <c r="G182" s="2">
        <f t="shared" si="25"/>
        <v>73.61999999999999</v>
      </c>
      <c r="J182" s="2">
        <f t="shared" si="25"/>
        <v>52.352</v>
      </c>
    </row>
    <row r="183" spans="1:33" ht="15.75">
      <c r="A183" s="5"/>
      <c r="B183" s="2" t="s">
        <v>36</v>
      </c>
      <c r="E183" s="2">
        <v>91</v>
      </c>
      <c r="F183" s="2">
        <v>107</v>
      </c>
      <c r="G183" s="2">
        <v>98.2</v>
      </c>
      <c r="J183" s="2">
        <v>68</v>
      </c>
      <c r="AG183" s="2" t="s">
        <v>36</v>
      </c>
    </row>
    <row r="184" spans="1:10" ht="15.75">
      <c r="A184" s="5"/>
      <c r="B184" s="2" t="s">
        <v>160</v>
      </c>
      <c r="C184" s="2">
        <v>0.863</v>
      </c>
      <c r="E184" s="2">
        <f aca="true" t="shared" si="26" ref="E184:J184">E183*0.863</f>
        <v>78.533</v>
      </c>
      <c r="F184" s="2">
        <f t="shared" si="26"/>
        <v>92.341</v>
      </c>
      <c r="G184" s="2">
        <f t="shared" si="26"/>
        <v>84.7466</v>
      </c>
      <c r="J184" s="2">
        <f t="shared" si="26"/>
        <v>58.684</v>
      </c>
    </row>
    <row r="185" spans="1:33" ht="15.75">
      <c r="A185" s="5">
        <v>1866</v>
      </c>
      <c r="B185" s="2" t="s">
        <v>69</v>
      </c>
      <c r="D185" s="2">
        <v>56</v>
      </c>
      <c r="E185" s="2">
        <v>76</v>
      </c>
      <c r="F185" s="2">
        <v>99</v>
      </c>
      <c r="G185" s="2">
        <v>86</v>
      </c>
      <c r="J185" s="2">
        <v>62</v>
      </c>
      <c r="AG185" s="2">
        <v>1866</v>
      </c>
    </row>
    <row r="186" spans="1:10" ht="15.75">
      <c r="A186" s="5">
        <v>1866</v>
      </c>
      <c r="B186" s="2" t="s">
        <v>160</v>
      </c>
      <c r="C186" s="2">
        <v>0.68</v>
      </c>
      <c r="E186" s="2">
        <f aca="true" t="shared" si="27" ref="E186:J186">E185*0.68</f>
        <v>51.68000000000001</v>
      </c>
      <c r="F186" s="2">
        <f t="shared" si="27"/>
        <v>67.32000000000001</v>
      </c>
      <c r="G186" s="2">
        <f t="shared" si="27"/>
        <v>58.480000000000004</v>
      </c>
      <c r="J186" s="2">
        <f t="shared" si="27"/>
        <v>42.160000000000004</v>
      </c>
    </row>
    <row r="187" spans="1:33" ht="15.75">
      <c r="A187" s="5">
        <v>1867</v>
      </c>
      <c r="B187" s="2" t="s">
        <v>69</v>
      </c>
      <c r="D187" s="2">
        <v>57.8</v>
      </c>
      <c r="E187" s="2">
        <v>83</v>
      </c>
      <c r="F187" s="2">
        <v>106</v>
      </c>
      <c r="G187" s="2">
        <v>93</v>
      </c>
      <c r="J187" s="2">
        <v>73</v>
      </c>
      <c r="AG187" s="2">
        <v>1867</v>
      </c>
    </row>
    <row r="188" spans="1:10" ht="15.75">
      <c r="A188" s="5">
        <v>1867</v>
      </c>
      <c r="B188" s="2" t="s">
        <v>160</v>
      </c>
      <c r="C188" s="2">
        <v>0.907</v>
      </c>
      <c r="E188" s="2">
        <f aca="true" t="shared" si="28" ref="E188:J188">E187*0.907</f>
        <v>75.281</v>
      </c>
      <c r="F188" s="2">
        <f t="shared" si="28"/>
        <v>96.142</v>
      </c>
      <c r="G188" s="2">
        <f t="shared" si="28"/>
        <v>84.351</v>
      </c>
      <c r="J188" s="2">
        <f t="shared" si="28"/>
        <v>66.211</v>
      </c>
    </row>
    <row r="189" spans="1:33" ht="15.75">
      <c r="A189" s="5">
        <v>1868</v>
      </c>
      <c r="B189" s="2" t="s">
        <v>69</v>
      </c>
      <c r="D189" s="2">
        <v>61.3</v>
      </c>
      <c r="E189" s="2">
        <v>81</v>
      </c>
      <c r="F189" s="2">
        <v>97</v>
      </c>
      <c r="G189" s="2">
        <v>90</v>
      </c>
      <c r="J189" s="2">
        <v>63</v>
      </c>
      <c r="AG189" s="2">
        <v>1868</v>
      </c>
    </row>
    <row r="190" spans="1:10" ht="15.75">
      <c r="A190" s="5">
        <v>1868</v>
      </c>
      <c r="B190" s="2" t="s">
        <v>160</v>
      </c>
      <c r="C190" s="2">
        <v>0.855</v>
      </c>
      <c r="E190" s="2">
        <f aca="true" t="shared" si="29" ref="E190:J190">E189*0.855</f>
        <v>69.255</v>
      </c>
      <c r="F190" s="2">
        <f t="shared" si="29"/>
        <v>82.935</v>
      </c>
      <c r="G190" s="2">
        <f t="shared" si="29"/>
        <v>76.95</v>
      </c>
      <c r="J190" s="2">
        <f t="shared" si="29"/>
        <v>53.865</v>
      </c>
    </row>
    <row r="191" spans="1:33" ht="15.75">
      <c r="A191" s="5">
        <v>1869</v>
      </c>
      <c r="B191" s="2" t="s">
        <v>69</v>
      </c>
      <c r="D191" s="2">
        <v>64.3</v>
      </c>
      <c r="E191" s="2">
        <v>91</v>
      </c>
      <c r="F191" s="2">
        <v>105</v>
      </c>
      <c r="G191" s="2">
        <v>100</v>
      </c>
      <c r="J191" s="2">
        <v>70</v>
      </c>
      <c r="AG191" s="2">
        <v>1869</v>
      </c>
    </row>
    <row r="192" spans="1:10" ht="15.75">
      <c r="A192" s="5">
        <v>1869</v>
      </c>
      <c r="B192" s="2" t="s">
        <v>160</v>
      </c>
      <c r="C192" s="2">
        <v>0.764</v>
      </c>
      <c r="E192" s="2">
        <f aca="true" t="shared" si="30" ref="E192:J192">E191*0.764</f>
        <v>69.524</v>
      </c>
      <c r="F192" s="2">
        <f t="shared" si="30"/>
        <v>80.22</v>
      </c>
      <c r="G192" s="2">
        <f t="shared" si="30"/>
        <v>76.4</v>
      </c>
      <c r="J192" s="2">
        <f t="shared" si="30"/>
        <v>53.480000000000004</v>
      </c>
    </row>
    <row r="193" spans="1:33" ht="15.75">
      <c r="A193" s="5">
        <v>1870</v>
      </c>
      <c r="B193" s="2" t="s">
        <v>69</v>
      </c>
      <c r="D193" s="2">
        <v>65</v>
      </c>
      <c r="E193" s="2">
        <v>95</v>
      </c>
      <c r="F193" s="2">
        <v>115</v>
      </c>
      <c r="G193" s="2">
        <v>105</v>
      </c>
      <c r="J193" s="2">
        <v>71</v>
      </c>
      <c r="AG193" s="2">
        <v>1870</v>
      </c>
    </row>
    <row r="194" spans="1:10" ht="15.75">
      <c r="A194" s="5">
        <v>1870</v>
      </c>
      <c r="B194" s="2" t="s">
        <v>160</v>
      </c>
      <c r="C194" s="2">
        <v>0.777</v>
      </c>
      <c r="E194" s="2">
        <f aca="true" t="shared" si="31" ref="E194:J194">E193*0.777</f>
        <v>73.815</v>
      </c>
      <c r="F194" s="2">
        <f t="shared" si="31"/>
        <v>89.355</v>
      </c>
      <c r="G194" s="2">
        <f t="shared" si="31"/>
        <v>81.58500000000001</v>
      </c>
      <c r="J194" s="2">
        <f t="shared" si="31"/>
        <v>55.167</v>
      </c>
    </row>
    <row r="195" spans="1:33" ht="15.75">
      <c r="A195" s="5">
        <v>1870</v>
      </c>
      <c r="B195" s="10" t="s">
        <v>210</v>
      </c>
      <c r="C195" s="10"/>
      <c r="D195" s="10"/>
      <c r="E195" s="8">
        <f>0.18*E194</f>
        <v>13.2867</v>
      </c>
      <c r="F195" s="8">
        <f>0.18*F194</f>
        <v>16.0839</v>
      </c>
      <c r="G195" s="8">
        <f>0.18*G194</f>
        <v>14.685300000000002</v>
      </c>
      <c r="J195" s="8">
        <f>0.18*J194</f>
        <v>9.93006</v>
      </c>
      <c r="K195" s="8"/>
      <c r="AG195" s="10" t="s">
        <v>210</v>
      </c>
    </row>
    <row r="196" ht="15.75">
      <c r="A196" s="5"/>
    </row>
    <row r="197" spans="1:33" ht="15.75">
      <c r="A197" s="5" t="s">
        <v>37</v>
      </c>
      <c r="B197" s="2" t="s">
        <v>69</v>
      </c>
      <c r="E197" s="2">
        <v>85</v>
      </c>
      <c r="F197" s="2">
        <v>104</v>
      </c>
      <c r="G197" s="2">
        <v>94.7</v>
      </c>
      <c r="J197" s="2">
        <v>68</v>
      </c>
      <c r="L197" s="2">
        <v>65</v>
      </c>
      <c r="M197" s="2">
        <v>125</v>
      </c>
      <c r="N197" s="2">
        <v>95</v>
      </c>
      <c r="AG197" s="2" t="s">
        <v>37</v>
      </c>
    </row>
    <row r="198" spans="1:14" ht="15.75">
      <c r="A198" s="5" t="s">
        <v>37</v>
      </c>
      <c r="B198" s="2" t="s">
        <v>160</v>
      </c>
      <c r="C198" s="2">
        <v>0.797</v>
      </c>
      <c r="E198" s="2">
        <f aca="true" t="shared" si="32" ref="E198:J198">E197*0.797</f>
        <v>67.745</v>
      </c>
      <c r="F198" s="2">
        <f t="shared" si="32"/>
        <v>82.888</v>
      </c>
      <c r="G198" s="2">
        <f t="shared" si="32"/>
        <v>75.47590000000001</v>
      </c>
      <c r="J198" s="2">
        <f t="shared" si="32"/>
        <v>54.196000000000005</v>
      </c>
      <c r="L198" s="2">
        <f>L197*0.797</f>
        <v>51.805</v>
      </c>
      <c r="M198" s="2">
        <f>M197*0.797</f>
        <v>99.625</v>
      </c>
      <c r="N198" s="2">
        <f>N197*0.797</f>
        <v>75.715</v>
      </c>
    </row>
    <row r="199" spans="1:33" ht="15.75">
      <c r="A199" s="5" t="s">
        <v>37</v>
      </c>
      <c r="B199" s="10" t="s">
        <v>210</v>
      </c>
      <c r="C199" s="10"/>
      <c r="D199" s="10"/>
      <c r="E199" s="8">
        <f>0.18*E198</f>
        <v>12.1941</v>
      </c>
      <c r="F199" s="8">
        <f>0.18*F198</f>
        <v>14.91984</v>
      </c>
      <c r="G199" s="8">
        <f>0.18*G198</f>
        <v>13.585662000000001</v>
      </c>
      <c r="J199" s="8">
        <f>0.18*J198</f>
        <v>9.75528</v>
      </c>
      <c r="K199" s="8">
        <f>100*((G199/J199)-1)</f>
        <v>39.264705882352935</v>
      </c>
      <c r="L199" s="8">
        <f>0.18*L198</f>
        <v>9.3249</v>
      </c>
      <c r="M199" s="8">
        <f>0.18*M198</f>
        <v>17.9325</v>
      </c>
      <c r="N199" s="8">
        <f>0.18*N198</f>
        <v>13.6287</v>
      </c>
      <c r="AG199" s="10" t="s">
        <v>210</v>
      </c>
    </row>
    <row r="200" ht="15.75">
      <c r="A200" s="5"/>
    </row>
    <row r="201" spans="1:33" ht="15.75">
      <c r="A201" s="5">
        <v>1871</v>
      </c>
      <c r="B201" s="2" t="s">
        <v>69</v>
      </c>
      <c r="D201" s="2">
        <v>66.2</v>
      </c>
      <c r="E201" s="2">
        <v>68</v>
      </c>
      <c r="F201" s="2">
        <v>100</v>
      </c>
      <c r="G201" s="2">
        <v>88</v>
      </c>
      <c r="J201" s="2">
        <v>63</v>
      </c>
      <c r="AG201" s="2">
        <v>1871</v>
      </c>
    </row>
    <row r="202" spans="1:11" ht="15.75">
      <c r="A202" s="5">
        <v>1871</v>
      </c>
      <c r="B202" s="2" t="s">
        <v>160</v>
      </c>
      <c r="C202" s="2">
        <v>0.852</v>
      </c>
      <c r="E202" s="2">
        <f aca="true" t="shared" si="33" ref="E202:J202">E201*0.852</f>
        <v>57.936</v>
      </c>
      <c r="F202" s="2">
        <f t="shared" si="33"/>
        <v>85.2</v>
      </c>
      <c r="G202" s="2">
        <f t="shared" si="33"/>
        <v>74.976</v>
      </c>
      <c r="J202" s="2">
        <f t="shared" si="33"/>
        <v>53.676</v>
      </c>
      <c r="K202" s="8">
        <f>100*((G202/J202)-1)</f>
        <v>39.68253968253968</v>
      </c>
    </row>
    <row r="203" spans="1:33" ht="15.75">
      <c r="A203" s="5">
        <v>1872</v>
      </c>
      <c r="B203" s="2" t="s">
        <v>69</v>
      </c>
      <c r="D203" s="2">
        <v>68.5</v>
      </c>
      <c r="E203" s="2">
        <v>68</v>
      </c>
      <c r="F203" s="2">
        <v>107</v>
      </c>
      <c r="G203" s="2">
        <v>91</v>
      </c>
      <c r="J203" s="2">
        <v>62</v>
      </c>
      <c r="AG203" s="2">
        <v>1872</v>
      </c>
    </row>
    <row r="204" spans="1:11" ht="15.75">
      <c r="A204" s="5">
        <v>1872</v>
      </c>
      <c r="B204" s="2" t="s">
        <v>160</v>
      </c>
      <c r="C204" s="2">
        <v>0.851</v>
      </c>
      <c r="E204" s="2">
        <f aca="true" t="shared" si="34" ref="E204:J204">E203*0.851</f>
        <v>57.867999999999995</v>
      </c>
      <c r="F204" s="2">
        <f t="shared" si="34"/>
        <v>91.057</v>
      </c>
      <c r="G204" s="2">
        <f t="shared" si="34"/>
        <v>77.441</v>
      </c>
      <c r="J204" s="2">
        <f t="shared" si="34"/>
        <v>52.762</v>
      </c>
      <c r="K204" s="8">
        <f>100*((G204/J204)-1)</f>
        <v>46.7741935483871</v>
      </c>
    </row>
    <row r="205" spans="1:33" ht="15.75">
      <c r="A205" s="5">
        <v>1873</v>
      </c>
      <c r="B205" s="2" t="s">
        <v>69</v>
      </c>
      <c r="D205" s="2">
        <v>67.5</v>
      </c>
      <c r="E205" s="2">
        <v>72</v>
      </c>
      <c r="F205" s="2">
        <v>112</v>
      </c>
      <c r="G205" s="2">
        <v>94</v>
      </c>
      <c r="J205" s="2">
        <v>68</v>
      </c>
      <c r="AG205" s="2">
        <v>1873</v>
      </c>
    </row>
    <row r="206" spans="1:11" ht="15.75">
      <c r="A206" s="5">
        <v>1873</v>
      </c>
      <c r="B206" s="2" t="s">
        <v>160</v>
      </c>
      <c r="C206" s="2">
        <v>0.844</v>
      </c>
      <c r="E206" s="2">
        <f aca="true" t="shared" si="35" ref="E206:J206">E205*0.844</f>
        <v>60.768</v>
      </c>
      <c r="F206" s="2">
        <f t="shared" si="35"/>
        <v>94.52799999999999</v>
      </c>
      <c r="G206" s="2">
        <f t="shared" si="35"/>
        <v>79.336</v>
      </c>
      <c r="J206" s="2">
        <f t="shared" si="35"/>
        <v>57.391999999999996</v>
      </c>
      <c r="K206" s="8">
        <f>100*((G206/J206)-1)</f>
        <v>38.23529411764706</v>
      </c>
    </row>
    <row r="207" spans="1:33" ht="15.75">
      <c r="A207" s="5">
        <v>1874</v>
      </c>
      <c r="B207" s="2" t="s">
        <v>69</v>
      </c>
      <c r="D207" s="2">
        <v>69.6</v>
      </c>
      <c r="E207" s="2">
        <v>96</v>
      </c>
      <c r="F207" s="2">
        <v>112</v>
      </c>
      <c r="G207" s="2">
        <v>101</v>
      </c>
      <c r="J207" s="2">
        <v>67</v>
      </c>
      <c r="AG207" s="2">
        <v>1874</v>
      </c>
    </row>
    <row r="208" spans="1:11" ht="15.75">
      <c r="A208" s="5">
        <v>1874</v>
      </c>
      <c r="B208" s="2" t="s">
        <v>160</v>
      </c>
      <c r="C208" s="2">
        <v>0.868</v>
      </c>
      <c r="E208" s="2">
        <f aca="true" t="shared" si="36" ref="E208:J208">E207*0.868</f>
        <v>83.328</v>
      </c>
      <c r="F208" s="2">
        <f t="shared" si="36"/>
        <v>97.216</v>
      </c>
      <c r="G208" s="2">
        <f t="shared" si="36"/>
        <v>87.668</v>
      </c>
      <c r="J208" s="2">
        <f t="shared" si="36"/>
        <v>58.156</v>
      </c>
      <c r="K208" s="8">
        <f>100*((G208/J208)-1)</f>
        <v>50.74626865671643</v>
      </c>
    </row>
    <row r="209" spans="1:33" ht="15.75">
      <c r="A209" s="5">
        <v>1875</v>
      </c>
      <c r="B209" s="2" t="s">
        <v>69</v>
      </c>
      <c r="D209" s="2">
        <v>69.7</v>
      </c>
      <c r="E209" s="2">
        <v>100</v>
      </c>
      <c r="F209" s="2">
        <v>109</v>
      </c>
      <c r="G209" s="2">
        <v>104</v>
      </c>
      <c r="J209" s="2">
        <v>70</v>
      </c>
      <c r="AG209" s="2">
        <v>1875</v>
      </c>
    </row>
    <row r="210" spans="1:11" ht="15.75">
      <c r="A210" s="5">
        <v>1875</v>
      </c>
      <c r="B210" s="2" t="s">
        <v>160</v>
      </c>
      <c r="C210" s="2">
        <v>0.858</v>
      </c>
      <c r="E210" s="2">
        <f aca="true" t="shared" si="37" ref="E210:J210">E209*0.858</f>
        <v>85.8</v>
      </c>
      <c r="F210" s="2">
        <f t="shared" si="37"/>
        <v>93.52199999999999</v>
      </c>
      <c r="G210" s="2">
        <f t="shared" si="37"/>
        <v>89.232</v>
      </c>
      <c r="J210" s="2">
        <f t="shared" si="37"/>
        <v>60.06</v>
      </c>
      <c r="K210" s="8">
        <f>100*((G210/J210)-1)</f>
        <v>48.571428571428555</v>
      </c>
    </row>
    <row r="211" ht="15.75">
      <c r="A211" s="5"/>
    </row>
    <row r="212" ht="15.75">
      <c r="A212" s="5"/>
    </row>
    <row r="213" spans="1:33" ht="15.75">
      <c r="A213" s="5" t="s">
        <v>38</v>
      </c>
      <c r="B213" s="2" t="s">
        <v>69</v>
      </c>
      <c r="E213" s="2">
        <v>93</v>
      </c>
      <c r="F213" s="2">
        <v>104</v>
      </c>
      <c r="G213" s="2">
        <v>95.7</v>
      </c>
      <c r="J213" s="2">
        <v>66</v>
      </c>
      <c r="AG213" s="2" t="s">
        <v>38</v>
      </c>
    </row>
    <row r="214" spans="1:10" ht="15.75">
      <c r="A214" s="5" t="s">
        <v>38</v>
      </c>
      <c r="B214" s="2" t="s">
        <v>160</v>
      </c>
      <c r="C214" s="2">
        <v>0.855</v>
      </c>
      <c r="E214" s="2">
        <f aca="true" t="shared" si="38" ref="E214:J214">E213*0.855</f>
        <v>79.515</v>
      </c>
      <c r="F214" s="2">
        <f t="shared" si="38"/>
        <v>88.92</v>
      </c>
      <c r="G214" s="2">
        <f t="shared" si="38"/>
        <v>81.8235</v>
      </c>
      <c r="J214" s="2">
        <f t="shared" si="38"/>
        <v>56.43</v>
      </c>
    </row>
    <row r="215" spans="1:33" ht="15.75">
      <c r="A215" s="5" t="s">
        <v>38</v>
      </c>
      <c r="B215" s="10" t="s">
        <v>210</v>
      </c>
      <c r="C215" s="10"/>
      <c r="D215" s="10"/>
      <c r="E215" s="8">
        <f>0.18*E214</f>
        <v>14.3127</v>
      </c>
      <c r="F215" s="8">
        <f>0.18*F214</f>
        <v>16.0056</v>
      </c>
      <c r="G215" s="8">
        <f>0.18*G214</f>
        <v>14.728229999999998</v>
      </c>
      <c r="J215" s="8">
        <f>0.18*J214</f>
        <v>10.157399999999999</v>
      </c>
      <c r="K215" s="8">
        <f>100*((G215/J215)-1)</f>
        <v>44.99999999999999</v>
      </c>
      <c r="AG215" s="10" t="s">
        <v>210</v>
      </c>
    </row>
    <row r="216" ht="15.75">
      <c r="A216" s="5"/>
    </row>
    <row r="217" spans="1:33" ht="15.75">
      <c r="A217" s="2">
        <v>1876</v>
      </c>
      <c r="B217" s="2">
        <v>1876</v>
      </c>
      <c r="D217" s="2">
        <v>71.7</v>
      </c>
      <c r="AG217" s="2">
        <v>1876</v>
      </c>
    </row>
    <row r="218" spans="2:3" ht="15.75">
      <c r="B218" s="2" t="s">
        <v>160</v>
      </c>
      <c r="C218" s="2">
        <v>0.806</v>
      </c>
    </row>
    <row r="219" spans="1:33" ht="15.75">
      <c r="A219" s="2">
        <v>1877</v>
      </c>
      <c r="B219" s="2">
        <v>1877</v>
      </c>
      <c r="D219" s="2">
        <v>71.8</v>
      </c>
      <c r="AG219" s="2">
        <v>1877</v>
      </c>
    </row>
    <row r="220" spans="2:3" ht="15.75">
      <c r="B220" s="2" t="s">
        <v>160</v>
      </c>
      <c r="C220" s="2">
        <v>0.674</v>
      </c>
    </row>
    <row r="221" spans="1:33" ht="15.75">
      <c r="A221" s="2">
        <v>1878</v>
      </c>
      <c r="B221" s="2">
        <v>1878</v>
      </c>
      <c r="D221" s="2">
        <v>73.2</v>
      </c>
      <c r="AG221" s="2">
        <v>1878</v>
      </c>
    </row>
    <row r="222" spans="2:3" ht="15.75">
      <c r="B222" s="2" t="s">
        <v>160</v>
      </c>
      <c r="C222" s="2">
        <v>0.646</v>
      </c>
    </row>
    <row r="223" spans="1:33" ht="15.75">
      <c r="A223" s="2">
        <v>1879</v>
      </c>
      <c r="B223" s="2">
        <v>1879</v>
      </c>
      <c r="D223" s="2">
        <v>76</v>
      </c>
      <c r="AG223" s="2">
        <v>1879</v>
      </c>
    </row>
    <row r="224" spans="2:3" ht="15.75">
      <c r="B224" s="2" t="s">
        <v>160</v>
      </c>
      <c r="C224" s="2">
        <v>0.631</v>
      </c>
    </row>
    <row r="225" spans="1:33" ht="15.75">
      <c r="A225" s="2">
        <v>1880</v>
      </c>
      <c r="B225" s="2">
        <v>1880</v>
      </c>
      <c r="D225" s="2">
        <v>78.5</v>
      </c>
      <c r="AG225" s="2">
        <v>1880</v>
      </c>
    </row>
    <row r="226" spans="2:3" ht="15.75">
      <c r="B226" s="2" t="s">
        <v>160</v>
      </c>
      <c r="C226" s="2">
        <v>0.644</v>
      </c>
    </row>
    <row r="227" spans="1:33" ht="15.75">
      <c r="A227" s="5" t="s">
        <v>39</v>
      </c>
      <c r="B227" s="2" t="s">
        <v>39</v>
      </c>
      <c r="E227" s="2">
        <v>104</v>
      </c>
      <c r="F227" s="2">
        <v>116</v>
      </c>
      <c r="G227" s="2">
        <v>107</v>
      </c>
      <c r="J227" s="2">
        <v>72</v>
      </c>
      <c r="L227" s="2">
        <v>60</v>
      </c>
      <c r="M227" s="2">
        <v>100</v>
      </c>
      <c r="N227" s="2">
        <v>70</v>
      </c>
      <c r="AG227" s="2" t="s">
        <v>39</v>
      </c>
    </row>
    <row r="228" spans="2:14" ht="15.75">
      <c r="B228" s="2" t="s">
        <v>160</v>
      </c>
      <c r="C228" s="2">
        <v>0.68</v>
      </c>
      <c r="E228" s="2">
        <f>E227*0.68</f>
        <v>70.72</v>
      </c>
      <c r="F228" s="2">
        <f>F227*0.68</f>
        <v>78.88000000000001</v>
      </c>
      <c r="G228" s="2">
        <f>G227*0.68</f>
        <v>72.76</v>
      </c>
      <c r="J228" s="2">
        <f>J227*C228/100</f>
        <v>0.48960000000000004</v>
      </c>
      <c r="L228" s="2">
        <f>L227*C228/100</f>
        <v>0.40800000000000003</v>
      </c>
      <c r="M228" s="2">
        <f>M227*C228/100</f>
        <v>0.68</v>
      </c>
      <c r="N228" s="2">
        <f>N227*C228/100</f>
        <v>0.47600000000000003</v>
      </c>
    </row>
    <row r="229" spans="1:33" ht="15.75">
      <c r="A229" s="2">
        <v>1881</v>
      </c>
      <c r="B229" s="2">
        <v>1881</v>
      </c>
      <c r="D229" s="2">
        <v>82.9</v>
      </c>
      <c r="AG229" s="2">
        <v>1881</v>
      </c>
    </row>
    <row r="230" spans="2:3" ht="15.75">
      <c r="B230" s="2" t="s">
        <v>160</v>
      </c>
      <c r="C230" s="2">
        <v>0.657</v>
      </c>
    </row>
    <row r="231" spans="1:33" ht="15.75">
      <c r="A231" s="2">
        <v>1882</v>
      </c>
      <c r="B231" s="2">
        <v>1882</v>
      </c>
      <c r="D231" s="2">
        <v>80.6</v>
      </c>
      <c r="AG231" s="2">
        <v>1882</v>
      </c>
    </row>
    <row r="232" spans="2:3" ht="15.75">
      <c r="B232" s="2" t="s">
        <v>160</v>
      </c>
      <c r="C232" s="2">
        <v>0.631</v>
      </c>
    </row>
    <row r="233" spans="1:33" ht="15.75">
      <c r="A233" s="2">
        <v>1883</v>
      </c>
      <c r="B233" s="2">
        <v>1883</v>
      </c>
      <c r="D233" s="2">
        <v>80.4</v>
      </c>
      <c r="AG233" s="2">
        <v>1883</v>
      </c>
    </row>
    <row r="234" spans="2:3" ht="15.75">
      <c r="B234" s="2" t="s">
        <v>160</v>
      </c>
      <c r="C234" s="2">
        <v>0.618</v>
      </c>
    </row>
    <row r="235" spans="1:33" ht="15.75">
      <c r="A235" s="2">
        <v>1884</v>
      </c>
      <c r="B235" s="2">
        <v>1884</v>
      </c>
      <c r="D235" s="2">
        <v>76.6</v>
      </c>
      <c r="AG235" s="2">
        <v>1884</v>
      </c>
    </row>
    <row r="236" spans="2:3" ht="15.75">
      <c r="B236" s="2" t="s">
        <v>160</v>
      </c>
      <c r="C236" s="2">
        <v>0.634</v>
      </c>
    </row>
    <row r="237" spans="1:33" ht="15.75">
      <c r="A237" s="2">
        <v>1885</v>
      </c>
      <c r="B237" s="2">
        <v>1885</v>
      </c>
      <c r="D237" s="2">
        <v>74.3</v>
      </c>
      <c r="AG237" s="2">
        <v>1885</v>
      </c>
    </row>
    <row r="238" spans="2:3" ht="15.75">
      <c r="B238" s="2" t="s">
        <v>160</v>
      </c>
      <c r="C238" s="2">
        <v>0.633</v>
      </c>
    </row>
    <row r="239" spans="1:33" ht="15.75">
      <c r="A239" s="5" t="s">
        <v>40</v>
      </c>
      <c r="E239" s="2">
        <v>114</v>
      </c>
      <c r="F239" s="2">
        <v>128</v>
      </c>
      <c r="G239" s="2">
        <v>118.5</v>
      </c>
      <c r="J239" s="2">
        <v>67</v>
      </c>
      <c r="K239" s="8">
        <f>100*((G239/J239)-1)</f>
        <v>76.86567164179105</v>
      </c>
      <c r="AG239" s="2" t="s">
        <v>40</v>
      </c>
    </row>
    <row r="240" spans="2:3" ht="15.75">
      <c r="B240" s="2" t="s">
        <v>160</v>
      </c>
      <c r="C240" s="2">
        <v>0.635</v>
      </c>
    </row>
    <row r="241" spans="1:33" ht="15.75">
      <c r="A241" s="2">
        <v>1886</v>
      </c>
      <c r="B241" s="2">
        <v>1886</v>
      </c>
      <c r="D241" s="2">
        <v>71.2</v>
      </c>
      <c r="L241" s="2">
        <v>60</v>
      </c>
      <c r="M241" s="2">
        <v>90</v>
      </c>
      <c r="N241" s="2">
        <v>73</v>
      </c>
      <c r="AG241" s="2">
        <v>1886</v>
      </c>
    </row>
    <row r="242" spans="2:14" ht="15.75">
      <c r="B242" s="2" t="s">
        <v>160</v>
      </c>
      <c r="C242" s="2">
        <v>0.607</v>
      </c>
      <c r="L242" s="2">
        <f>L241*C242/100</f>
        <v>0.3642</v>
      </c>
      <c r="M242" s="2">
        <f>M241*C242/100</f>
        <v>0.5463</v>
      </c>
      <c r="N242" s="2">
        <f>N241*C242/100</f>
        <v>0.44311</v>
      </c>
    </row>
    <row r="243" spans="1:33" ht="15.75">
      <c r="A243" s="2">
        <v>1887</v>
      </c>
      <c r="B243" s="2">
        <v>1887</v>
      </c>
      <c r="D243" s="2">
        <v>66.9</v>
      </c>
      <c r="AG243" s="2">
        <v>1887</v>
      </c>
    </row>
    <row r="244" spans="2:3" ht="15.75">
      <c r="B244" s="2" t="s">
        <v>160</v>
      </c>
      <c r="C244" s="2">
        <v>0.557</v>
      </c>
    </row>
    <row r="245" spans="1:33" ht="15.75">
      <c r="A245" s="2">
        <v>1888</v>
      </c>
      <c r="B245" s="2">
        <v>1888</v>
      </c>
      <c r="D245" s="2">
        <v>68</v>
      </c>
      <c r="AG245" s="2">
        <v>1888</v>
      </c>
    </row>
    <row r="246" spans="2:3" ht="15.75">
      <c r="B246" s="2" t="s">
        <v>160</v>
      </c>
      <c r="C246" s="2">
        <v>0.595</v>
      </c>
    </row>
    <row r="247" spans="1:33" ht="15.75">
      <c r="A247" s="2">
        <v>1889</v>
      </c>
      <c r="B247" s="2">
        <v>1889</v>
      </c>
      <c r="D247" s="2">
        <v>70.2</v>
      </c>
      <c r="AG247" s="2">
        <v>1889</v>
      </c>
    </row>
    <row r="248" spans="2:3" ht="15.75">
      <c r="B248" s="2" t="s">
        <v>160</v>
      </c>
      <c r="C248" s="2">
        <v>0.659</v>
      </c>
    </row>
    <row r="249" spans="1:33" ht="15.75">
      <c r="A249" s="2">
        <v>1890</v>
      </c>
      <c r="B249" s="2">
        <v>1890</v>
      </c>
      <c r="D249" s="2">
        <v>67.5</v>
      </c>
      <c r="AD249" s="2">
        <v>21</v>
      </c>
      <c r="AE249" s="2">
        <v>17</v>
      </c>
      <c r="AF249" s="2">
        <v>14</v>
      </c>
      <c r="AG249" s="2">
        <v>1890</v>
      </c>
    </row>
    <row r="250" spans="2:3" ht="15.75">
      <c r="B250" s="2" t="s">
        <v>160</v>
      </c>
      <c r="C250" s="2">
        <v>0.726</v>
      </c>
    </row>
    <row r="251" spans="1:33" ht="15.75">
      <c r="A251" s="2" t="s">
        <v>41</v>
      </c>
      <c r="B251" s="2" t="s">
        <v>41</v>
      </c>
      <c r="E251" s="2">
        <v>103</v>
      </c>
      <c r="F251" s="2">
        <v>125</v>
      </c>
      <c r="G251" s="2">
        <v>112.5</v>
      </c>
      <c r="J251" s="2">
        <v>72</v>
      </c>
      <c r="K251" s="8">
        <f>100*((G251/J251)-1)</f>
        <v>56.25</v>
      </c>
      <c r="AG251" s="2" t="s">
        <v>41</v>
      </c>
    </row>
    <row r="252" spans="2:3" ht="15.75">
      <c r="B252" s="2" t="s">
        <v>160</v>
      </c>
      <c r="C252" s="2">
        <v>0.635</v>
      </c>
    </row>
    <row r="253" spans="1:33" ht="15.75">
      <c r="A253" s="2">
        <v>1891</v>
      </c>
      <c r="B253" s="2">
        <v>1891</v>
      </c>
      <c r="D253" s="2">
        <v>71.1</v>
      </c>
      <c r="AG253" s="2">
        <v>1891</v>
      </c>
    </row>
    <row r="254" spans="2:3" ht="15.75">
      <c r="B254" s="2" t="s">
        <v>160</v>
      </c>
      <c r="C254" s="2">
        <v>0.668</v>
      </c>
    </row>
    <row r="255" spans="1:33" ht="15.75">
      <c r="A255" s="2">
        <v>1892</v>
      </c>
      <c r="B255" s="2">
        <v>1892</v>
      </c>
      <c r="D255" s="2">
        <v>74.4</v>
      </c>
      <c r="AG255" s="2">
        <v>1892</v>
      </c>
    </row>
    <row r="256" spans="2:3" ht="15.75">
      <c r="B256" s="2" t="s">
        <v>160</v>
      </c>
      <c r="C256" s="2">
        <v>0.631</v>
      </c>
    </row>
    <row r="257" spans="1:33" ht="15.75">
      <c r="A257" s="2">
        <v>1893</v>
      </c>
      <c r="B257" s="2">
        <v>1893</v>
      </c>
      <c r="D257" s="2">
        <v>74.7</v>
      </c>
      <c r="AG257" s="2">
        <v>1893</v>
      </c>
    </row>
    <row r="258" spans="2:3" ht="15.75">
      <c r="B258" s="2" t="s">
        <v>160</v>
      </c>
      <c r="C258" s="2">
        <v>0.653</v>
      </c>
    </row>
    <row r="259" spans="1:33" ht="15.75">
      <c r="A259" s="2">
        <v>1894</v>
      </c>
      <c r="B259" s="2">
        <v>1894</v>
      </c>
      <c r="D259" s="2">
        <v>72.2</v>
      </c>
      <c r="AG259" s="2">
        <v>1894</v>
      </c>
    </row>
    <row r="260" spans="2:3" ht="15.75">
      <c r="B260" s="2" t="s">
        <v>160</v>
      </c>
      <c r="C260" s="2">
        <v>0.67</v>
      </c>
    </row>
    <row r="261" spans="1:33" ht="15.75">
      <c r="A261" s="2">
        <v>1895</v>
      </c>
      <c r="B261" s="2">
        <v>1895</v>
      </c>
      <c r="D261" s="2">
        <v>72.5</v>
      </c>
      <c r="AG261" s="2">
        <v>1895</v>
      </c>
    </row>
    <row r="262" spans="2:3" ht="15.75">
      <c r="B262" s="2" t="s">
        <v>160</v>
      </c>
      <c r="C262" s="2">
        <v>0.675</v>
      </c>
    </row>
    <row r="263" spans="1:33" ht="15.75">
      <c r="A263" s="2" t="s">
        <v>102</v>
      </c>
      <c r="B263" s="2" t="s">
        <v>102</v>
      </c>
      <c r="E263" s="2">
        <v>121</v>
      </c>
      <c r="F263" s="2">
        <v>137</v>
      </c>
      <c r="G263" s="2">
        <v>129.8</v>
      </c>
      <c r="J263" s="2">
        <v>78</v>
      </c>
      <c r="K263" s="8">
        <f>100*((G263/J263)-1)</f>
        <v>66.41025641025642</v>
      </c>
      <c r="L263" s="2">
        <v>80</v>
      </c>
      <c r="M263" s="2">
        <v>150</v>
      </c>
      <c r="N263" s="2">
        <v>100</v>
      </c>
      <c r="AG263" s="2" t="s">
        <v>102</v>
      </c>
    </row>
    <row r="264" spans="2:3" ht="15.75">
      <c r="B264" s="2" t="s">
        <v>160</v>
      </c>
      <c r="C264" s="2">
        <v>0.659</v>
      </c>
    </row>
    <row r="265" spans="1:33" ht="15.75">
      <c r="A265" s="2">
        <v>1896</v>
      </c>
      <c r="B265" s="2">
        <v>1896</v>
      </c>
      <c r="D265" s="2">
        <v>72.7</v>
      </c>
      <c r="AG265" s="2">
        <v>1896</v>
      </c>
    </row>
    <row r="266" spans="2:3" ht="15.75">
      <c r="B266" s="2" t="s">
        <v>160</v>
      </c>
      <c r="C266" s="2">
        <v>0.667</v>
      </c>
    </row>
    <row r="267" spans="1:33" ht="15.75">
      <c r="A267" s="2">
        <v>1897</v>
      </c>
      <c r="B267" s="2">
        <v>1897</v>
      </c>
      <c r="D267" s="2">
        <v>72.9</v>
      </c>
      <c r="AG267" s="2">
        <v>1897</v>
      </c>
    </row>
    <row r="268" spans="2:3" ht="15.75">
      <c r="B268" s="2" t="s">
        <v>160</v>
      </c>
      <c r="C268" s="2">
        <v>0.667</v>
      </c>
    </row>
    <row r="269" spans="1:33" ht="15.75">
      <c r="A269" s="2">
        <v>1898</v>
      </c>
      <c r="B269" s="2">
        <v>1898</v>
      </c>
      <c r="D269" s="2">
        <v>78</v>
      </c>
      <c r="AG269" s="2">
        <v>1898</v>
      </c>
    </row>
    <row r="270" spans="2:3" ht="15.75">
      <c r="B270" s="2" t="s">
        <v>160</v>
      </c>
      <c r="C270" s="2">
        <v>0.667</v>
      </c>
    </row>
    <row r="271" spans="1:33" ht="15.75">
      <c r="A271" s="2">
        <v>1899</v>
      </c>
      <c r="B271" s="2">
        <v>1899</v>
      </c>
      <c r="D271" s="2">
        <v>79.3</v>
      </c>
      <c r="AG271" s="2">
        <v>1899</v>
      </c>
    </row>
    <row r="272" spans="2:3" ht="15.75">
      <c r="B272" s="2" t="s">
        <v>160</v>
      </c>
      <c r="C272" s="2">
        <v>0.667</v>
      </c>
    </row>
    <row r="273" spans="1:33" ht="15">
      <c r="A273" s="2">
        <v>1900</v>
      </c>
      <c r="B273" s="2">
        <v>1900</v>
      </c>
      <c r="D273" s="2">
        <v>77.8</v>
      </c>
      <c r="AG273" s="2">
        <v>1900</v>
      </c>
    </row>
    <row r="274" spans="2:3" ht="15">
      <c r="B274" s="2" t="s">
        <v>160</v>
      </c>
      <c r="C274" s="2">
        <v>0.667</v>
      </c>
    </row>
    <row r="275" spans="1:33" ht="15">
      <c r="A275" s="2" t="s">
        <v>103</v>
      </c>
      <c r="B275" s="2" t="s">
        <v>103</v>
      </c>
      <c r="E275" s="2">
        <v>127</v>
      </c>
      <c r="F275" s="2">
        <v>153</v>
      </c>
      <c r="G275" s="2">
        <v>141.8</v>
      </c>
      <c r="J275" s="2">
        <v>78</v>
      </c>
      <c r="K275" s="8">
        <f>100*((G275/J275)-1)</f>
        <v>81.79487179487181</v>
      </c>
      <c r="AG275" s="2" t="s">
        <v>103</v>
      </c>
    </row>
    <row r="276" spans="2:3" ht="15">
      <c r="B276" s="2" t="s">
        <v>160</v>
      </c>
      <c r="C276" s="2">
        <v>0.667</v>
      </c>
    </row>
    <row r="277" spans="1:33" ht="15">
      <c r="A277" s="2">
        <v>1901</v>
      </c>
      <c r="B277" s="2">
        <v>1901</v>
      </c>
      <c r="D277" s="2">
        <v>79.1</v>
      </c>
      <c r="AG277" s="2">
        <v>1901</v>
      </c>
    </row>
    <row r="278" spans="2:3" ht="15">
      <c r="B278" s="2" t="s">
        <v>160</v>
      </c>
      <c r="C278" s="2">
        <v>0.667</v>
      </c>
    </row>
    <row r="279" spans="1:33" ht="15">
      <c r="A279" s="2">
        <v>1902</v>
      </c>
      <c r="B279" s="2">
        <v>1902</v>
      </c>
      <c r="D279" s="2">
        <v>80.3</v>
      </c>
      <c r="AG279" s="2">
        <v>1902</v>
      </c>
    </row>
    <row r="280" spans="2:3" ht="15">
      <c r="B280" s="2" t="s">
        <v>160</v>
      </c>
      <c r="C280" s="2">
        <v>0.667</v>
      </c>
    </row>
    <row r="281" spans="1:33" ht="15">
      <c r="A281" s="2">
        <v>1903</v>
      </c>
      <c r="B281" s="2">
        <v>1903</v>
      </c>
      <c r="D281" s="2">
        <v>80.8</v>
      </c>
      <c r="AG281" s="2">
        <v>1903</v>
      </c>
    </row>
    <row r="282" spans="2:3" ht="15">
      <c r="B282" s="2" t="s">
        <v>160</v>
      </c>
      <c r="C282" s="2">
        <v>0.667</v>
      </c>
    </row>
    <row r="283" spans="1:33" ht="15">
      <c r="A283" s="2">
        <v>1904</v>
      </c>
      <c r="B283" s="2">
        <v>1904</v>
      </c>
      <c r="D283" s="2">
        <v>80</v>
      </c>
      <c r="AG283" s="2">
        <v>1904</v>
      </c>
    </row>
    <row r="284" spans="2:3" ht="15">
      <c r="B284" s="2" t="s">
        <v>160</v>
      </c>
      <c r="C284" s="2">
        <v>0.667</v>
      </c>
    </row>
    <row r="285" spans="1:33" ht="15">
      <c r="A285" s="2">
        <v>1905</v>
      </c>
      <c r="B285" s="2">
        <v>1905</v>
      </c>
      <c r="D285" s="2">
        <v>80.9</v>
      </c>
      <c r="AG285" s="2">
        <v>1905</v>
      </c>
    </row>
    <row r="286" spans="2:3" ht="15">
      <c r="B286" s="2" t="s">
        <v>160</v>
      </c>
      <c r="C286" s="2">
        <v>0.667</v>
      </c>
    </row>
    <row r="287" spans="1:33" ht="15">
      <c r="A287" s="2" t="s">
        <v>104</v>
      </c>
      <c r="B287" s="2" t="s">
        <v>104</v>
      </c>
      <c r="E287" s="2">
        <v>135</v>
      </c>
      <c r="F287" s="2">
        <v>180</v>
      </c>
      <c r="G287" s="2">
        <v>153.7</v>
      </c>
      <c r="J287" s="2">
        <v>90</v>
      </c>
      <c r="K287" s="8">
        <f>100*((G287/J287)-1)</f>
        <v>70.77777777777776</v>
      </c>
      <c r="AG287" s="2" t="s">
        <v>104</v>
      </c>
    </row>
    <row r="288" spans="2:3" ht="15">
      <c r="B288" s="2" t="s">
        <v>160</v>
      </c>
      <c r="C288" s="2">
        <v>0.667</v>
      </c>
    </row>
    <row r="289" spans="1:33" ht="15">
      <c r="A289" s="2">
        <v>1906</v>
      </c>
      <c r="B289" s="2">
        <v>1906</v>
      </c>
      <c r="D289" s="2">
        <v>82.8</v>
      </c>
      <c r="AG289" s="2">
        <v>1906</v>
      </c>
    </row>
    <row r="290" spans="2:3" ht="15">
      <c r="B290" s="2" t="s">
        <v>160</v>
      </c>
      <c r="C290" s="2">
        <v>0.667</v>
      </c>
    </row>
    <row r="291" spans="1:33" ht="15">
      <c r="A291" s="2">
        <v>1907</v>
      </c>
      <c r="B291" s="2">
        <v>1907</v>
      </c>
      <c r="D291" s="2">
        <v>86.1</v>
      </c>
      <c r="AG291" s="2">
        <v>1907</v>
      </c>
    </row>
    <row r="292" spans="2:3" ht="15">
      <c r="B292" s="2" t="s">
        <v>160</v>
      </c>
      <c r="C292" s="2">
        <v>0.667</v>
      </c>
    </row>
    <row r="293" spans="1:33" ht="15">
      <c r="A293" s="2">
        <v>1908</v>
      </c>
      <c r="B293" s="2">
        <v>1908</v>
      </c>
      <c r="D293" s="2">
        <v>90</v>
      </c>
      <c r="AG293" s="2">
        <v>1908</v>
      </c>
    </row>
    <row r="294" spans="2:3" ht="15">
      <c r="B294" s="2" t="s">
        <v>160</v>
      </c>
      <c r="C294" s="2">
        <v>0.667</v>
      </c>
    </row>
    <row r="295" spans="1:33" ht="15">
      <c r="A295" s="2">
        <v>1909</v>
      </c>
      <c r="B295" s="2">
        <v>1909</v>
      </c>
      <c r="D295" s="2">
        <v>90.5</v>
      </c>
      <c r="AG295" s="2">
        <v>1909</v>
      </c>
    </row>
    <row r="296" spans="2:3" ht="15">
      <c r="B296" s="2" t="s">
        <v>160</v>
      </c>
      <c r="C296" s="2">
        <v>0.667</v>
      </c>
    </row>
    <row r="297" spans="1:33" ht="15">
      <c r="A297" s="2">
        <v>1910</v>
      </c>
      <c r="B297" s="2">
        <v>1910</v>
      </c>
      <c r="D297" s="2">
        <v>89</v>
      </c>
      <c r="H297" s="2">
        <v>80</v>
      </c>
      <c r="L297" s="2">
        <v>80</v>
      </c>
      <c r="AG297" s="2">
        <v>1910</v>
      </c>
    </row>
    <row r="298" spans="2:3" ht="15">
      <c r="B298" s="2" t="s">
        <v>160</v>
      </c>
      <c r="C298" s="2">
        <v>0.667</v>
      </c>
    </row>
    <row r="299" spans="1:33" ht="15">
      <c r="A299" s="2" t="s">
        <v>105</v>
      </c>
      <c r="B299" s="2" t="s">
        <v>105</v>
      </c>
      <c r="E299" s="2">
        <v>139</v>
      </c>
      <c r="F299" s="2">
        <v>198</v>
      </c>
      <c r="G299" s="2">
        <v>163.3</v>
      </c>
      <c r="J299" s="2">
        <v>92</v>
      </c>
      <c r="K299" s="8">
        <f>100*((G299/J299)-1)</f>
        <v>77.50000000000001</v>
      </c>
      <c r="AG299" s="2" t="s">
        <v>105</v>
      </c>
    </row>
    <row r="300" spans="1:3" ht="15">
      <c r="A300" s="5"/>
      <c r="B300" s="2" t="s">
        <v>160</v>
      </c>
      <c r="C300" s="2">
        <v>0.667</v>
      </c>
    </row>
    <row r="301" spans="1:33" ht="15">
      <c r="A301" s="5">
        <v>1911</v>
      </c>
      <c r="D301" s="2">
        <v>91.1</v>
      </c>
      <c r="H301" s="2">
        <v>80</v>
      </c>
      <c r="L301" s="2">
        <v>80</v>
      </c>
      <c r="AG301" s="2">
        <v>1911</v>
      </c>
    </row>
    <row r="302" spans="1:3" ht="15">
      <c r="A302" s="5"/>
      <c r="B302" s="2" t="s">
        <v>160</v>
      </c>
      <c r="C302" s="2">
        <v>0.667</v>
      </c>
    </row>
    <row r="303" spans="1:33" ht="15">
      <c r="A303" s="5">
        <v>1912</v>
      </c>
      <c r="D303" s="2">
        <v>97.1</v>
      </c>
      <c r="H303" s="2">
        <v>80</v>
      </c>
      <c r="L303" s="2">
        <v>80</v>
      </c>
      <c r="AG303" s="2">
        <v>1912</v>
      </c>
    </row>
    <row r="304" spans="1:3" ht="15">
      <c r="A304" s="5"/>
      <c r="B304" s="2" t="s">
        <v>160</v>
      </c>
      <c r="C304" s="2">
        <v>0.667</v>
      </c>
    </row>
    <row r="305" spans="1:33" ht="15">
      <c r="A305" s="5">
        <v>1913</v>
      </c>
      <c r="B305" s="2" t="s">
        <v>69</v>
      </c>
      <c r="D305" s="2">
        <v>100</v>
      </c>
      <c r="AG305" s="2">
        <v>1913</v>
      </c>
    </row>
    <row r="306" spans="1:3" ht="15">
      <c r="A306" s="5">
        <v>1913</v>
      </c>
      <c r="B306" s="2" t="s">
        <v>160</v>
      </c>
      <c r="C306" s="2">
        <v>0.667</v>
      </c>
    </row>
    <row r="307" ht="15">
      <c r="A307" s="5"/>
    </row>
    <row r="308" spans="1:33" ht="15">
      <c r="A308" s="5" t="s">
        <v>106</v>
      </c>
      <c r="B308" s="2" t="s">
        <v>69</v>
      </c>
      <c r="E308" s="2">
        <v>177</v>
      </c>
      <c r="F308" s="2">
        <v>215</v>
      </c>
      <c r="G308" s="2">
        <v>201</v>
      </c>
      <c r="H308" s="2">
        <v>80</v>
      </c>
      <c r="J308" s="2">
        <v>115</v>
      </c>
      <c r="O308" s="2">
        <v>1925</v>
      </c>
      <c r="P308" s="2">
        <v>4300</v>
      </c>
      <c r="Q308" s="2">
        <v>3120</v>
      </c>
      <c r="AG308" s="2" t="s">
        <v>106</v>
      </c>
    </row>
    <row r="309" spans="1:3" ht="15">
      <c r="A309" s="5" t="s">
        <v>106</v>
      </c>
      <c r="B309" s="2" t="s">
        <v>160</v>
      </c>
      <c r="C309" s="2">
        <v>0.667</v>
      </c>
    </row>
    <row r="310" spans="2:4" ht="15">
      <c r="B310" s="10" t="s">
        <v>210</v>
      </c>
      <c r="C310" s="10"/>
      <c r="D310" s="10"/>
    </row>
    <row r="311" spans="3:30" ht="15">
      <c r="C311" s="2" t="s">
        <v>116</v>
      </c>
      <c r="D311" s="2" t="s">
        <v>117</v>
      </c>
      <c r="E311" s="2" t="s">
        <v>204</v>
      </c>
      <c r="L311" s="2" t="s">
        <v>46</v>
      </c>
      <c r="O311" s="2" t="s">
        <v>205</v>
      </c>
      <c r="U311" s="2" t="s">
        <v>25</v>
      </c>
      <c r="X311" s="2" t="s">
        <v>60</v>
      </c>
      <c r="AA311" s="2" t="s">
        <v>61</v>
      </c>
      <c r="AD311" s="2" t="s">
        <v>63</v>
      </c>
    </row>
    <row r="312" spans="3:30" ht="15">
      <c r="C312" s="2" t="s">
        <v>118</v>
      </c>
      <c r="D312" s="2" t="s">
        <v>119</v>
      </c>
      <c r="E312" s="2" t="s">
        <v>108</v>
      </c>
      <c r="H312" s="2" t="s">
        <v>109</v>
      </c>
      <c r="L312" s="2" t="s">
        <v>29</v>
      </c>
      <c r="O312" s="2" t="s">
        <v>108</v>
      </c>
      <c r="R312" s="2" t="s">
        <v>109</v>
      </c>
      <c r="U312" s="2" t="s">
        <v>47</v>
      </c>
      <c r="X312" s="2" t="s">
        <v>59</v>
      </c>
      <c r="AA312" s="2" t="s">
        <v>62</v>
      </c>
      <c r="AD312" s="2" t="s">
        <v>62</v>
      </c>
    </row>
    <row r="313" spans="4:32" ht="15">
      <c r="D313" s="2" t="s">
        <v>120</v>
      </c>
      <c r="E313" s="2" t="s">
        <v>249</v>
      </c>
      <c r="F313" s="2" t="s">
        <v>250</v>
      </c>
      <c r="G313" s="2" t="s">
        <v>251</v>
      </c>
      <c r="H313" s="2" t="s">
        <v>249</v>
      </c>
      <c r="I313" s="2" t="s">
        <v>250</v>
      </c>
      <c r="J313" s="2" t="s">
        <v>251</v>
      </c>
      <c r="L313" s="2" t="s">
        <v>249</v>
      </c>
      <c r="M313" s="2" t="s">
        <v>250</v>
      </c>
      <c r="N313" s="2" t="s">
        <v>251</v>
      </c>
      <c r="O313" s="2" t="s">
        <v>249</v>
      </c>
      <c r="P313" s="2" t="s">
        <v>250</v>
      </c>
      <c r="Q313" s="2" t="s">
        <v>251</v>
      </c>
      <c r="R313" s="2" t="s">
        <v>249</v>
      </c>
      <c r="S313" s="2" t="s">
        <v>250</v>
      </c>
      <c r="T313" s="2" t="s">
        <v>251</v>
      </c>
      <c r="U313" s="2" t="s">
        <v>249</v>
      </c>
      <c r="V313" s="2" t="s">
        <v>250</v>
      </c>
      <c r="W313" s="2" t="s">
        <v>251</v>
      </c>
      <c r="X313" s="2" t="s">
        <v>121</v>
      </c>
      <c r="Y313" s="2" t="s">
        <v>122</v>
      </c>
      <c r="Z313" s="2" t="s">
        <v>251</v>
      </c>
      <c r="AA313" s="2" t="s">
        <v>249</v>
      </c>
      <c r="AB313" s="2" t="s">
        <v>250</v>
      </c>
      <c r="AC313" s="2" t="s">
        <v>251</v>
      </c>
      <c r="AD313" s="2" t="s">
        <v>123</v>
      </c>
      <c r="AE313" s="2" t="s">
        <v>152</v>
      </c>
      <c r="AF313" s="2" t="s">
        <v>153</v>
      </c>
    </row>
  </sheetData>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EM221"/>
  <sheetViews>
    <sheetView workbookViewId="0" topLeftCell="A1">
      <pane xSplit="7540" ySplit="3580" topLeftCell="AJ62" activePane="bottomRight" state="split"/>
      <selection pane="topLeft" activeCell="BO69" sqref="BO69"/>
      <selection pane="topRight" activeCell="BU10" sqref="BU10"/>
      <selection pane="bottomLeft" activeCell="B78" sqref="B78"/>
      <selection pane="bottomRight" activeCell="AP68" sqref="AP68"/>
    </sheetView>
  </sheetViews>
  <sheetFormatPr defaultColWidth="11.00390625" defaultRowHeight="12.75"/>
  <cols>
    <col min="1" max="1" width="8.75390625" style="2" customWidth="1"/>
    <col min="2" max="2" width="10.875" style="2" customWidth="1"/>
    <col min="3" max="3" width="15.75390625" style="2" customWidth="1"/>
    <col min="4" max="4" width="15.00390625" style="2" customWidth="1"/>
    <col min="5" max="5" width="9.125" style="2" customWidth="1"/>
    <col min="6" max="6" width="8.75390625" style="2" customWidth="1"/>
    <col min="7" max="9" width="6.875" style="2" customWidth="1"/>
    <col min="10" max="12" width="6.25390625" style="2" customWidth="1"/>
    <col min="13" max="15" width="5.875" style="2" customWidth="1"/>
    <col min="16" max="18" width="6.875" style="2" customWidth="1"/>
    <col min="19" max="24" width="6.00390625" style="2" customWidth="1"/>
    <col min="25" max="25" width="8.625" style="2" customWidth="1"/>
    <col min="26" max="26" width="8.375" style="2" customWidth="1"/>
    <col min="27" max="27" width="9.125" style="2" customWidth="1"/>
    <col min="28" max="30" width="7.00390625" style="2" customWidth="1"/>
    <col min="31" max="31" width="19.625" style="2" customWidth="1"/>
    <col min="32" max="32" width="5.75390625" style="2" customWidth="1"/>
    <col min="33" max="33" width="5.875" style="2" customWidth="1"/>
    <col min="34" max="34" width="6.375" style="2" customWidth="1"/>
    <col min="35" max="37" width="6.875" style="2" customWidth="1"/>
    <col min="38" max="40" width="6.375" style="2" customWidth="1"/>
    <col min="41" max="43" width="5.375" style="2" customWidth="1"/>
    <col min="44" max="46" width="6.875" style="2" customWidth="1"/>
    <col min="47" max="47" width="7.625" style="2" customWidth="1"/>
    <col min="48" max="48" width="6.00390625" style="2" customWidth="1"/>
    <col min="49" max="49" width="5.375" style="2" customWidth="1"/>
    <col min="50" max="51" width="6.75390625" style="2" customWidth="1"/>
    <col min="52" max="52" width="7.875" style="2" customWidth="1"/>
    <col min="53" max="53" width="10.00390625" style="2" customWidth="1"/>
    <col min="54" max="54" width="6.75390625" style="2" customWidth="1"/>
    <col min="55" max="55" width="7.75390625" style="2" customWidth="1"/>
    <col min="56" max="61" width="8.625" style="2" customWidth="1"/>
    <col min="62" max="62" width="8.375" style="2" customWidth="1"/>
    <col min="63" max="65" width="6.75390625" style="2" customWidth="1"/>
    <col min="66" max="71" width="6.375" style="2" customWidth="1"/>
    <col min="72" max="72" width="7.00390625" style="2" customWidth="1"/>
    <col min="73" max="73" width="7.25390625" style="2" customWidth="1"/>
    <col min="74" max="74" width="7.75390625" style="2" customWidth="1"/>
    <col min="75" max="77" width="7.375" style="2" customWidth="1"/>
    <col min="78" max="80" width="6.875" style="2" customWidth="1"/>
    <col min="81" max="81" width="6.625" style="2" customWidth="1"/>
    <col min="82" max="83" width="6.75390625" style="2" customWidth="1"/>
    <col min="84" max="86" width="6.25390625" style="2" customWidth="1"/>
    <col min="87" max="87" width="6.75390625" style="2" customWidth="1"/>
    <col min="88" max="88" width="6.875" style="2" customWidth="1"/>
    <col min="89" max="89" width="4.875" style="2" customWidth="1"/>
    <col min="90" max="90" width="6.00390625" style="2" customWidth="1"/>
    <col min="91" max="91" width="6.375" style="2" customWidth="1"/>
    <col min="92" max="92" width="4.875" style="2" customWidth="1"/>
    <col min="93" max="94" width="6.875" style="2" customWidth="1"/>
    <col min="95" max="95" width="5.125" style="2" customWidth="1"/>
    <col min="96" max="96" width="6.375" style="2" customWidth="1"/>
    <col min="97" max="97" width="7.375" style="2" customWidth="1"/>
    <col min="98" max="98" width="6.125" style="2" customWidth="1"/>
    <col min="99" max="102" width="6.25390625" style="2" customWidth="1"/>
    <col min="103" max="103" width="7.125" style="2" customWidth="1"/>
    <col min="104" max="104" width="6.125" style="2" customWidth="1"/>
    <col min="105" max="105" width="5.875" style="2" customWidth="1"/>
    <col min="106" max="106" width="6.875" style="2" customWidth="1"/>
    <col min="107" max="107" width="6.75390625" style="2" customWidth="1"/>
    <col min="108" max="108" width="6.00390625" style="2" customWidth="1"/>
    <col min="109" max="115" width="6.875" style="2" customWidth="1"/>
    <col min="116" max="116" width="6.25390625" style="2" customWidth="1"/>
    <col min="117" max="119" width="6.875" style="2" customWidth="1"/>
    <col min="120" max="120" width="5.125" style="2" customWidth="1"/>
    <col min="121" max="122" width="6.375" style="2" customWidth="1"/>
    <col min="123" max="123" width="4.875" style="2" customWidth="1"/>
    <col min="124" max="125" width="5.75390625" style="2" customWidth="1"/>
    <col min="126" max="126" width="4.875" style="2" customWidth="1"/>
    <col min="127" max="136" width="5.375" style="2" customWidth="1"/>
    <col min="137" max="137" width="6.875" style="2" customWidth="1"/>
    <col min="138" max="138" width="4.875" style="2" customWidth="1"/>
    <col min="139" max="139" width="7.00390625" style="2" customWidth="1"/>
    <col min="140" max="140" width="6.875" style="2" customWidth="1"/>
    <col min="141" max="141" width="4.875" style="2" customWidth="1"/>
    <col min="142" max="142" width="6.375" style="2" customWidth="1"/>
    <col min="143" max="16384" width="8.75390625" style="2" customWidth="1"/>
  </cols>
  <sheetData>
    <row r="1" ht="18.75">
      <c r="A1" s="3" t="s">
        <v>403</v>
      </c>
    </row>
    <row r="2" ht="15.75">
      <c r="A2" s="10"/>
    </row>
    <row r="3" spans="1:86" ht="15.75">
      <c r="A3" s="10" t="s">
        <v>402</v>
      </c>
      <c r="G3" s="2">
        <v>4.319</v>
      </c>
      <c r="H3" s="2">
        <v>4.319</v>
      </c>
      <c r="I3" s="2">
        <v>4.319</v>
      </c>
      <c r="J3" s="2">
        <v>3.752</v>
      </c>
      <c r="K3" s="2">
        <v>3.752</v>
      </c>
      <c r="L3" s="2">
        <v>3.752</v>
      </c>
      <c r="M3" s="2">
        <v>3.752</v>
      </c>
      <c r="N3" s="2">
        <v>3.752</v>
      </c>
      <c r="O3" s="2">
        <v>3.752</v>
      </c>
      <c r="P3" s="2">
        <v>2.412</v>
      </c>
      <c r="Q3" s="2">
        <v>2.412</v>
      </c>
      <c r="R3" s="2">
        <v>2.412</v>
      </c>
      <c r="S3" s="2">
        <v>2.412</v>
      </c>
      <c r="T3" s="2">
        <v>2.412</v>
      </c>
      <c r="U3" s="2">
        <v>2.412</v>
      </c>
      <c r="V3" s="2">
        <v>1.641</v>
      </c>
      <c r="W3" s="2">
        <v>1.641</v>
      </c>
      <c r="X3" s="2">
        <v>1.641</v>
      </c>
      <c r="Y3" s="2">
        <v>1.144</v>
      </c>
      <c r="Z3" s="2">
        <v>1.144</v>
      </c>
      <c r="AA3" s="2">
        <v>1.144</v>
      </c>
      <c r="AB3" s="2">
        <v>1.144</v>
      </c>
      <c r="AC3" s="2">
        <v>1.144</v>
      </c>
      <c r="AD3" s="2">
        <v>1.144</v>
      </c>
      <c r="AF3" s="2">
        <v>1.152</v>
      </c>
      <c r="AG3" s="2">
        <v>1.152</v>
      </c>
      <c r="AH3" s="2">
        <v>1.152</v>
      </c>
      <c r="AI3" s="2">
        <v>1.152</v>
      </c>
      <c r="AJ3" s="2">
        <v>1.152</v>
      </c>
      <c r="AK3" s="2">
        <v>1.152</v>
      </c>
      <c r="AL3" s="2">
        <v>1.152</v>
      </c>
      <c r="AM3" s="2">
        <v>1.152</v>
      </c>
      <c r="AN3" s="2">
        <v>1.152</v>
      </c>
      <c r="AO3" s="2">
        <v>1.0436</v>
      </c>
      <c r="AP3" s="2">
        <v>1.0436</v>
      </c>
      <c r="AQ3" s="2">
        <v>1.0436</v>
      </c>
      <c r="AR3" s="2">
        <v>0.985</v>
      </c>
      <c r="AS3" s="2">
        <v>0.985</v>
      </c>
      <c r="AT3" s="2">
        <v>0.985</v>
      </c>
      <c r="AU3" s="2">
        <v>0.955</v>
      </c>
      <c r="AV3" s="2">
        <v>0.955</v>
      </c>
      <c r="AW3" s="2">
        <v>0.955</v>
      </c>
      <c r="AX3" s="2">
        <v>0.718</v>
      </c>
      <c r="AY3" s="2">
        <v>0.718</v>
      </c>
      <c r="AZ3" s="2">
        <v>0.718</v>
      </c>
      <c r="BB3" s="2">
        <v>0.846</v>
      </c>
      <c r="BC3" s="2">
        <v>0.846</v>
      </c>
      <c r="BD3" s="2">
        <v>0.846</v>
      </c>
      <c r="BE3" s="2">
        <v>0.259</v>
      </c>
      <c r="BF3" s="2">
        <v>0.259</v>
      </c>
      <c r="BG3" s="2">
        <v>0.259</v>
      </c>
      <c r="BH3" s="2">
        <v>0.822</v>
      </c>
      <c r="BI3" s="2">
        <v>0.822</v>
      </c>
      <c r="BJ3" s="2">
        <v>0.822</v>
      </c>
      <c r="BK3" s="2">
        <v>0.6157</v>
      </c>
      <c r="BL3" s="2">
        <v>0.6157</v>
      </c>
      <c r="BM3" s="2">
        <v>0.6157</v>
      </c>
      <c r="BN3" s="2">
        <v>0.2451</v>
      </c>
      <c r="BO3" s="2">
        <v>0.2451</v>
      </c>
      <c r="BP3" s="2">
        <v>0.2451</v>
      </c>
      <c r="BQ3" s="2">
        <v>0.265</v>
      </c>
      <c r="BR3" s="2">
        <v>0.265</v>
      </c>
      <c r="BS3" s="2">
        <v>0.265</v>
      </c>
      <c r="BT3" s="2">
        <v>0.2753</v>
      </c>
      <c r="BU3" s="2">
        <v>0.2753</v>
      </c>
      <c r="BV3" s="2">
        <v>0.2753</v>
      </c>
      <c r="BW3" s="2">
        <v>0.9808</v>
      </c>
      <c r="BX3" s="2">
        <v>0.9808</v>
      </c>
      <c r="BY3" s="2">
        <v>0.9808</v>
      </c>
      <c r="BZ3" s="2">
        <v>0.9506</v>
      </c>
      <c r="CA3" s="2">
        <v>0.9506</v>
      </c>
      <c r="CB3" s="2">
        <v>0.9506</v>
      </c>
      <c r="CC3" s="2">
        <v>0.8298</v>
      </c>
      <c r="CD3" s="2">
        <v>0.8298</v>
      </c>
      <c r="CE3" s="2">
        <v>0.8298</v>
      </c>
      <c r="CF3" s="2">
        <v>0.7674</v>
      </c>
      <c r="CG3" s="2">
        <v>0.7674</v>
      </c>
      <c r="CH3" s="2">
        <v>0.7674</v>
      </c>
    </row>
    <row r="4" spans="7:86" ht="15.75">
      <c r="G4" s="11" t="s">
        <v>317</v>
      </c>
      <c r="H4" s="11" t="s">
        <v>317</v>
      </c>
      <c r="I4" s="11" t="s">
        <v>317</v>
      </c>
      <c r="J4" s="11" t="s">
        <v>181</v>
      </c>
      <c r="K4" s="11" t="s">
        <v>181</v>
      </c>
      <c r="L4" s="11" t="s">
        <v>181</v>
      </c>
      <c r="M4" s="11" t="s">
        <v>259</v>
      </c>
      <c r="N4" s="11" t="s">
        <v>259</v>
      </c>
      <c r="O4" s="11" t="s">
        <v>259</v>
      </c>
      <c r="P4" s="11" t="s">
        <v>182</v>
      </c>
      <c r="Q4" s="11" t="s">
        <v>182</v>
      </c>
      <c r="R4" s="11" t="s">
        <v>182</v>
      </c>
      <c r="S4" s="11" t="s">
        <v>183</v>
      </c>
      <c r="T4" s="11" t="s">
        <v>183</v>
      </c>
      <c r="U4" s="11" t="s">
        <v>183</v>
      </c>
      <c r="V4" s="11" t="s">
        <v>184</v>
      </c>
      <c r="W4" s="11" t="s">
        <v>184</v>
      </c>
      <c r="X4" s="11" t="s">
        <v>184</v>
      </c>
      <c r="Y4" s="11" t="s">
        <v>185</v>
      </c>
      <c r="Z4" s="11" t="s">
        <v>185</v>
      </c>
      <c r="AA4" s="11" t="s">
        <v>185</v>
      </c>
      <c r="AB4" s="11" t="s">
        <v>186</v>
      </c>
      <c r="AC4" s="11" t="s">
        <v>186</v>
      </c>
      <c r="AD4" s="11" t="s">
        <v>186</v>
      </c>
      <c r="AE4" s="11"/>
      <c r="AF4" s="11" t="s">
        <v>196</v>
      </c>
      <c r="AG4" s="11" t="s">
        <v>196</v>
      </c>
      <c r="AH4" s="11" t="s">
        <v>196</v>
      </c>
      <c r="AI4" s="11" t="s">
        <v>197</v>
      </c>
      <c r="AJ4" s="11" t="s">
        <v>197</v>
      </c>
      <c r="AK4" s="11" t="s">
        <v>197</v>
      </c>
      <c r="AL4" s="11" t="s">
        <v>198</v>
      </c>
      <c r="AM4" s="11" t="s">
        <v>198</v>
      </c>
      <c r="AN4" s="11" t="s">
        <v>198</v>
      </c>
      <c r="AO4" s="11" t="s">
        <v>199</v>
      </c>
      <c r="AP4" s="11" t="s">
        <v>199</v>
      </c>
      <c r="AQ4" s="11" t="s">
        <v>199</v>
      </c>
      <c r="AR4" s="11" t="s">
        <v>200</v>
      </c>
      <c r="AS4" s="11" t="s">
        <v>200</v>
      </c>
      <c r="AT4" s="11" t="s">
        <v>200</v>
      </c>
      <c r="AU4" s="11" t="s">
        <v>201</v>
      </c>
      <c r="AV4" s="11" t="s">
        <v>201</v>
      </c>
      <c r="AW4" s="11" t="s">
        <v>201</v>
      </c>
      <c r="AX4" s="11" t="s">
        <v>266</v>
      </c>
      <c r="AY4" s="11" t="s">
        <v>266</v>
      </c>
      <c r="AZ4" s="11" t="s">
        <v>266</v>
      </c>
      <c r="BA4" s="11"/>
      <c r="BB4" s="11" t="s">
        <v>261</v>
      </c>
      <c r="BC4" s="11" t="s">
        <v>261</v>
      </c>
      <c r="BD4" s="11" t="s">
        <v>261</v>
      </c>
      <c r="BE4" s="11" t="s">
        <v>390</v>
      </c>
      <c r="BF4" s="11" t="s">
        <v>390</v>
      </c>
      <c r="BG4" s="11" t="s">
        <v>390</v>
      </c>
      <c r="BH4" s="11" t="s">
        <v>391</v>
      </c>
      <c r="BI4" s="11" t="s">
        <v>391</v>
      </c>
      <c r="BJ4" s="11" t="s">
        <v>391</v>
      </c>
      <c r="BK4" s="11" t="s">
        <v>267</v>
      </c>
      <c r="BL4" s="11" t="s">
        <v>267</v>
      </c>
      <c r="BM4" s="11" t="s">
        <v>267</v>
      </c>
      <c r="BN4" s="11" t="s">
        <v>268</v>
      </c>
      <c r="BO4" s="11" t="s">
        <v>268</v>
      </c>
      <c r="BP4" s="11" t="s">
        <v>268</v>
      </c>
      <c r="BQ4" s="11" t="s">
        <v>269</v>
      </c>
      <c r="BR4" s="11" t="s">
        <v>269</v>
      </c>
      <c r="BS4" s="11" t="s">
        <v>269</v>
      </c>
      <c r="BT4" s="11" t="s">
        <v>270</v>
      </c>
      <c r="BU4" s="11" t="s">
        <v>270</v>
      </c>
      <c r="BV4" s="11" t="s">
        <v>270</v>
      </c>
      <c r="BW4" s="11" t="s">
        <v>271</v>
      </c>
      <c r="BX4" s="11" t="s">
        <v>271</v>
      </c>
      <c r="BY4" s="11" t="s">
        <v>271</v>
      </c>
      <c r="BZ4" s="11" t="s">
        <v>272</v>
      </c>
      <c r="CA4" s="11" t="s">
        <v>272</v>
      </c>
      <c r="CB4" s="11" t="s">
        <v>272</v>
      </c>
      <c r="CC4" s="11" t="s">
        <v>273</v>
      </c>
      <c r="CD4" s="11" t="s">
        <v>273</v>
      </c>
      <c r="CE4" s="11" t="s">
        <v>273</v>
      </c>
      <c r="CF4" s="11" t="s">
        <v>274</v>
      </c>
      <c r="CG4" s="11" t="s">
        <v>274</v>
      </c>
      <c r="CH4" s="11" t="s">
        <v>274</v>
      </c>
    </row>
    <row r="5" spans="7:86" ht="15.75">
      <c r="G5" s="10" t="s">
        <v>249</v>
      </c>
      <c r="H5" s="10" t="s">
        <v>250</v>
      </c>
      <c r="I5" s="10" t="s">
        <v>251</v>
      </c>
      <c r="J5" s="10" t="s">
        <v>249</v>
      </c>
      <c r="K5" s="10" t="s">
        <v>250</v>
      </c>
      <c r="L5" s="10" t="s">
        <v>251</v>
      </c>
      <c r="M5" s="10" t="s">
        <v>249</v>
      </c>
      <c r="N5" s="10" t="s">
        <v>250</v>
      </c>
      <c r="O5" s="10" t="s">
        <v>251</v>
      </c>
      <c r="P5" s="10" t="s">
        <v>249</v>
      </c>
      <c r="Q5" s="10" t="s">
        <v>250</v>
      </c>
      <c r="R5" s="10" t="s">
        <v>251</v>
      </c>
      <c r="S5" s="10" t="s">
        <v>249</v>
      </c>
      <c r="T5" s="10" t="s">
        <v>250</v>
      </c>
      <c r="U5" s="10" t="s">
        <v>251</v>
      </c>
      <c r="V5" s="10" t="s">
        <v>249</v>
      </c>
      <c r="W5" s="10" t="s">
        <v>250</v>
      </c>
      <c r="X5" s="10" t="s">
        <v>251</v>
      </c>
      <c r="Y5" s="10" t="s">
        <v>249</v>
      </c>
      <c r="Z5" s="10" t="s">
        <v>250</v>
      </c>
      <c r="AA5" s="10" t="s">
        <v>251</v>
      </c>
      <c r="AB5" s="10" t="s">
        <v>249</v>
      </c>
      <c r="AC5" s="10" t="s">
        <v>250</v>
      </c>
      <c r="AD5" s="10" t="s">
        <v>251</v>
      </c>
      <c r="AE5" s="10"/>
      <c r="AF5" s="10" t="s">
        <v>249</v>
      </c>
      <c r="AG5" s="10" t="s">
        <v>250</v>
      </c>
      <c r="AH5" s="10" t="s">
        <v>251</v>
      </c>
      <c r="AI5" s="10" t="s">
        <v>249</v>
      </c>
      <c r="AJ5" s="10" t="s">
        <v>250</v>
      </c>
      <c r="AK5" s="10" t="s">
        <v>251</v>
      </c>
      <c r="AL5" s="10" t="s">
        <v>249</v>
      </c>
      <c r="AM5" s="10" t="s">
        <v>250</v>
      </c>
      <c r="AN5" s="10" t="s">
        <v>251</v>
      </c>
      <c r="AO5" s="10" t="s">
        <v>249</v>
      </c>
      <c r="AP5" s="10" t="s">
        <v>250</v>
      </c>
      <c r="AQ5" s="10" t="s">
        <v>251</v>
      </c>
      <c r="AR5" s="10" t="s">
        <v>249</v>
      </c>
      <c r="AS5" s="10" t="s">
        <v>250</v>
      </c>
      <c r="AT5" s="10" t="s">
        <v>251</v>
      </c>
      <c r="AU5" s="10" t="s">
        <v>249</v>
      </c>
      <c r="AV5" s="10" t="s">
        <v>250</v>
      </c>
      <c r="AW5" s="10" t="s">
        <v>251</v>
      </c>
      <c r="AX5" s="10" t="s">
        <v>249</v>
      </c>
      <c r="AY5" s="10" t="s">
        <v>250</v>
      </c>
      <c r="AZ5" s="10" t="s">
        <v>251</v>
      </c>
      <c r="BA5" s="10"/>
      <c r="BB5" s="10" t="s">
        <v>249</v>
      </c>
      <c r="BC5" s="10" t="s">
        <v>250</v>
      </c>
      <c r="BD5" s="10" t="s">
        <v>251</v>
      </c>
      <c r="BE5" s="10" t="s">
        <v>249</v>
      </c>
      <c r="BF5" s="10" t="s">
        <v>250</v>
      </c>
      <c r="BG5" s="10" t="s">
        <v>251</v>
      </c>
      <c r="BH5" s="10" t="s">
        <v>249</v>
      </c>
      <c r="BI5" s="10" t="s">
        <v>250</v>
      </c>
      <c r="BJ5" s="10" t="s">
        <v>251</v>
      </c>
      <c r="BK5" s="10" t="s">
        <v>249</v>
      </c>
      <c r="BL5" s="10" t="s">
        <v>250</v>
      </c>
      <c r="BM5" s="10" t="s">
        <v>251</v>
      </c>
      <c r="BN5" s="10" t="s">
        <v>249</v>
      </c>
      <c r="BO5" s="10" t="s">
        <v>250</v>
      </c>
      <c r="BP5" s="10" t="s">
        <v>251</v>
      </c>
      <c r="BQ5" s="10" t="s">
        <v>249</v>
      </c>
      <c r="BR5" s="10" t="s">
        <v>250</v>
      </c>
      <c r="BS5" s="10" t="s">
        <v>251</v>
      </c>
      <c r="BT5" s="10" t="s">
        <v>249</v>
      </c>
      <c r="BU5" s="10" t="s">
        <v>250</v>
      </c>
      <c r="BV5" s="10" t="s">
        <v>251</v>
      </c>
      <c r="BW5" s="10" t="s">
        <v>249</v>
      </c>
      <c r="BX5" s="10" t="s">
        <v>250</v>
      </c>
      <c r="BY5" s="10" t="s">
        <v>251</v>
      </c>
      <c r="BZ5" s="10" t="s">
        <v>249</v>
      </c>
      <c r="CA5" s="10" t="s">
        <v>250</v>
      </c>
      <c r="CB5" s="10" t="s">
        <v>251</v>
      </c>
      <c r="CC5" s="10" t="s">
        <v>249</v>
      </c>
      <c r="CD5" s="10" t="s">
        <v>250</v>
      </c>
      <c r="CE5" s="10" t="s">
        <v>251</v>
      </c>
      <c r="CF5" s="10" t="s">
        <v>249</v>
      </c>
      <c r="CG5" s="10" t="s">
        <v>250</v>
      </c>
      <c r="CH5" s="10" t="s">
        <v>251</v>
      </c>
    </row>
    <row r="6" spans="1:140" ht="15.75">
      <c r="A6" s="10" t="s">
        <v>275</v>
      </c>
      <c r="C6" s="2" t="s">
        <v>276</v>
      </c>
      <c r="D6" s="2" t="s">
        <v>67</v>
      </c>
      <c r="E6" s="2" t="s">
        <v>68</v>
      </c>
      <c r="F6" s="2" t="s">
        <v>69</v>
      </c>
      <c r="M6" s="2">
        <v>24</v>
      </c>
      <c r="N6" s="2">
        <v>45</v>
      </c>
      <c r="O6" s="2">
        <v>31.8</v>
      </c>
      <c r="S6" s="2">
        <v>40</v>
      </c>
      <c r="T6" s="2">
        <v>45</v>
      </c>
      <c r="U6" s="2">
        <f>(T6+S6)/2</f>
        <v>42.5</v>
      </c>
      <c r="AE6" s="10" t="s">
        <v>275</v>
      </c>
      <c r="AU6" s="2">
        <v>80</v>
      </c>
      <c r="AV6" s="2">
        <v>125</v>
      </c>
      <c r="AW6" s="2">
        <f>(AV6+AU6)/2</f>
        <v>102.5</v>
      </c>
      <c r="BA6" s="10" t="s">
        <v>275</v>
      </c>
      <c r="BB6" s="10"/>
      <c r="BC6" s="10"/>
      <c r="BD6" s="10"/>
      <c r="BE6" s="10"/>
      <c r="BF6" s="10"/>
      <c r="BG6" s="10"/>
      <c r="BH6" s="10"/>
      <c r="BI6" s="10"/>
      <c r="BJ6" s="10"/>
      <c r="BK6" s="2">
        <v>325</v>
      </c>
      <c r="BL6" s="2">
        <v>400</v>
      </c>
      <c r="BM6" s="2">
        <f>(BL6+BK6)/2</f>
        <v>362.5</v>
      </c>
      <c r="CF6" s="10"/>
      <c r="CG6" s="10"/>
      <c r="CH6" s="10"/>
      <c r="CI6" s="10" t="s">
        <v>275</v>
      </c>
      <c r="CJ6" s="10"/>
      <c r="CM6" s="10"/>
      <c r="CP6" s="10"/>
      <c r="CS6" s="10"/>
      <c r="CV6" s="10"/>
      <c r="CY6" s="10"/>
      <c r="DB6" s="10"/>
      <c r="DF6" s="10"/>
      <c r="DI6" s="10"/>
      <c r="DL6" s="10"/>
      <c r="DO6" s="10"/>
      <c r="DR6" s="10"/>
      <c r="DU6" s="10"/>
      <c r="DX6" s="10"/>
      <c r="EA6" s="10"/>
      <c r="ED6" s="10"/>
      <c r="EG6" s="10"/>
      <c r="EJ6" s="10"/>
    </row>
    <row r="7" spans="1:87" ht="15.75">
      <c r="A7" s="10"/>
      <c r="F7" s="2" t="s">
        <v>160</v>
      </c>
      <c r="M7" s="2">
        <f>M6*M3</f>
        <v>90.048</v>
      </c>
      <c r="N7" s="2">
        <f>N6*N3</f>
        <v>168.84</v>
      </c>
      <c r="O7" s="2">
        <f>O6*O3</f>
        <v>119.3136</v>
      </c>
      <c r="S7" s="2">
        <f>S6*S3</f>
        <v>96.47999999999999</v>
      </c>
      <c r="T7" s="2">
        <f>T6*T3</f>
        <v>108.53999999999999</v>
      </c>
      <c r="U7" s="2">
        <f>U6*U3</f>
        <v>102.50999999999999</v>
      </c>
      <c r="AE7" s="2" t="s">
        <v>160</v>
      </c>
      <c r="AU7" s="2">
        <f>AU6*AU3</f>
        <v>76.39999999999999</v>
      </c>
      <c r="AV7" s="2">
        <f>AV6*AV3</f>
        <v>119.375</v>
      </c>
      <c r="AW7" s="2">
        <f>AW6*AW3</f>
        <v>97.8875</v>
      </c>
      <c r="BA7" s="2" t="s">
        <v>160</v>
      </c>
      <c r="BB7" s="10"/>
      <c r="BC7" s="10"/>
      <c r="BD7" s="10"/>
      <c r="BE7" s="10"/>
      <c r="BF7" s="10"/>
      <c r="BG7" s="10"/>
      <c r="BH7" s="10"/>
      <c r="BI7" s="10"/>
      <c r="BJ7" s="10"/>
      <c r="BK7" s="7">
        <f>BK6*BK3</f>
        <v>200.10250000000002</v>
      </c>
      <c r="BL7" s="7">
        <f>BL6*BL3</f>
        <v>246.28</v>
      </c>
      <c r="BM7" s="7">
        <f>BM6*BM3</f>
        <v>223.19125</v>
      </c>
      <c r="CF7" s="10"/>
      <c r="CG7" s="10"/>
      <c r="CH7" s="10"/>
      <c r="CI7" s="2" t="s">
        <v>160</v>
      </c>
    </row>
    <row r="8" spans="1:142" ht="15.75">
      <c r="A8" s="10" t="s">
        <v>70</v>
      </c>
      <c r="B8" s="2" t="s">
        <v>71</v>
      </c>
      <c r="C8" s="2" t="s">
        <v>72</v>
      </c>
      <c r="D8" s="2" t="s">
        <v>67</v>
      </c>
      <c r="E8" s="2" t="s">
        <v>68</v>
      </c>
      <c r="F8" s="2" t="s">
        <v>69</v>
      </c>
      <c r="AD8" s="2">
        <v>200</v>
      </c>
      <c r="AE8" s="10" t="s">
        <v>70</v>
      </c>
      <c r="BA8" s="10" t="s">
        <v>70</v>
      </c>
      <c r="BB8" s="10"/>
      <c r="BC8" s="10"/>
      <c r="BD8" s="10"/>
      <c r="BE8" s="10"/>
      <c r="BF8" s="10"/>
      <c r="BG8" s="10"/>
      <c r="BH8" s="10"/>
      <c r="BI8" s="10"/>
      <c r="BJ8" s="10"/>
      <c r="CF8" s="10"/>
      <c r="CG8" s="10"/>
      <c r="CH8" s="10"/>
      <c r="CI8" s="10" t="s">
        <v>70</v>
      </c>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row>
    <row r="9" spans="1:87" ht="15.75">
      <c r="A9" s="10"/>
      <c r="F9" s="2" t="s">
        <v>160</v>
      </c>
      <c r="G9" s="2">
        <f aca="true" t="shared" si="0" ref="G9:O9">G8*G3</f>
        <v>0</v>
      </c>
      <c r="H9" s="2">
        <f t="shared" si="0"/>
        <v>0</v>
      </c>
      <c r="I9" s="2">
        <f t="shared" si="0"/>
        <v>0</v>
      </c>
      <c r="J9" s="2">
        <f t="shared" si="0"/>
        <v>0</v>
      </c>
      <c r="K9" s="2">
        <f t="shared" si="0"/>
        <v>0</v>
      </c>
      <c r="L9" s="2">
        <f t="shared" si="0"/>
        <v>0</v>
      </c>
      <c r="M9" s="2">
        <f t="shared" si="0"/>
        <v>0</v>
      </c>
      <c r="N9" s="2">
        <f t="shared" si="0"/>
        <v>0</v>
      </c>
      <c r="O9" s="2">
        <f t="shared" si="0"/>
        <v>0</v>
      </c>
      <c r="AA9" s="2">
        <f>AA8*AA3</f>
        <v>0</v>
      </c>
      <c r="AB9" s="2">
        <f>AB8*AB3</f>
        <v>0</v>
      </c>
      <c r="AC9" s="2">
        <f>AC8*AC3</f>
        <v>0</v>
      </c>
      <c r="AD9" s="2">
        <f>AD8*AD3</f>
        <v>228.79999999999998</v>
      </c>
      <c r="AE9" s="2" t="s">
        <v>160</v>
      </c>
      <c r="BA9" s="2" t="s">
        <v>160</v>
      </c>
      <c r="BB9" s="10"/>
      <c r="BC9" s="10"/>
      <c r="BD9" s="10"/>
      <c r="BE9" s="10"/>
      <c r="BF9" s="10"/>
      <c r="BG9" s="10"/>
      <c r="BH9" s="10"/>
      <c r="BI9" s="10"/>
      <c r="BJ9" s="10"/>
      <c r="CF9" s="10"/>
      <c r="CG9" s="10"/>
      <c r="CH9" s="10"/>
      <c r="CI9" s="2" t="s">
        <v>160</v>
      </c>
    </row>
    <row r="10" spans="1:143" ht="15.75">
      <c r="A10" s="10" t="s">
        <v>73</v>
      </c>
      <c r="B10" s="2" t="s">
        <v>74</v>
      </c>
      <c r="C10" s="2" t="s">
        <v>75</v>
      </c>
      <c r="D10" s="2" t="s">
        <v>67</v>
      </c>
      <c r="E10" s="2" t="s">
        <v>68</v>
      </c>
      <c r="F10" s="2" t="s">
        <v>69</v>
      </c>
      <c r="J10" s="2">
        <v>80</v>
      </c>
      <c r="K10" s="2">
        <v>300</v>
      </c>
      <c r="L10" s="2">
        <v>208</v>
      </c>
      <c r="O10" s="2">
        <v>580</v>
      </c>
      <c r="AA10" s="10">
        <v>720</v>
      </c>
      <c r="AB10" s="2">
        <v>700</v>
      </c>
      <c r="AC10" s="2">
        <v>1000</v>
      </c>
      <c r="AD10" s="2">
        <f>(AC10+AB10)/2</f>
        <v>850</v>
      </c>
      <c r="AE10" s="10" t="s">
        <v>73</v>
      </c>
      <c r="BA10" s="10" t="s">
        <v>73</v>
      </c>
      <c r="BB10" s="10"/>
      <c r="BC10" s="10"/>
      <c r="BD10" s="10"/>
      <c r="BE10" s="10"/>
      <c r="BF10" s="10"/>
      <c r="BG10" s="10"/>
      <c r="BH10" s="10"/>
      <c r="BI10" s="10"/>
      <c r="BJ10" s="10"/>
      <c r="CF10" s="10"/>
      <c r="CG10" s="10"/>
      <c r="CH10" s="10"/>
      <c r="CI10" s="10" t="s">
        <v>73</v>
      </c>
      <c r="DE10" s="10"/>
      <c r="DP10" s="10"/>
      <c r="DQ10" s="10"/>
      <c r="DR10" s="10"/>
      <c r="DS10" s="10"/>
      <c r="DT10" s="10"/>
      <c r="DU10" s="10"/>
      <c r="EM10" s="10"/>
    </row>
    <row r="11" spans="1:87" ht="15.75">
      <c r="A11" s="10"/>
      <c r="F11" s="2" t="s">
        <v>160</v>
      </c>
      <c r="G11" s="2">
        <f aca="true" t="shared" si="1" ref="G11:O11">G10*G3</f>
        <v>0</v>
      </c>
      <c r="H11" s="2">
        <f t="shared" si="1"/>
        <v>0</v>
      </c>
      <c r="I11" s="2">
        <f t="shared" si="1"/>
        <v>0</v>
      </c>
      <c r="J11" s="2">
        <f t="shared" si="1"/>
        <v>300.15999999999997</v>
      </c>
      <c r="K11" s="2">
        <f t="shared" si="1"/>
        <v>1125.6</v>
      </c>
      <c r="L11" s="2">
        <f t="shared" si="1"/>
        <v>780.4159999999999</v>
      </c>
      <c r="M11" s="2">
        <f t="shared" si="1"/>
        <v>0</v>
      </c>
      <c r="N11" s="2">
        <f t="shared" si="1"/>
        <v>0</v>
      </c>
      <c r="O11" s="2">
        <f t="shared" si="1"/>
        <v>2176.16</v>
      </c>
      <c r="AA11" s="2">
        <f>AA10*AA3</f>
        <v>823.68</v>
      </c>
      <c r="AB11" s="2">
        <f>AB10*AB3</f>
        <v>800.8</v>
      </c>
      <c r="AC11" s="2">
        <f>AC10*AC3</f>
        <v>1144</v>
      </c>
      <c r="AD11" s="2">
        <f>AD10*AD3</f>
        <v>972.3999999999999</v>
      </c>
      <c r="AE11" s="2" t="s">
        <v>160</v>
      </c>
      <c r="BA11" s="2" t="s">
        <v>160</v>
      </c>
      <c r="BB11" s="10"/>
      <c r="BC11" s="10"/>
      <c r="BD11" s="10"/>
      <c r="BE11" s="10"/>
      <c r="BF11" s="10"/>
      <c r="BG11" s="10"/>
      <c r="BH11" s="10"/>
      <c r="BI11" s="10"/>
      <c r="BJ11" s="10"/>
      <c r="CF11" s="10"/>
      <c r="CG11" s="10"/>
      <c r="CH11" s="10"/>
      <c r="CI11" s="2" t="s">
        <v>160</v>
      </c>
    </row>
    <row r="12" spans="1:87" ht="15.75">
      <c r="A12" s="10" t="s">
        <v>76</v>
      </c>
      <c r="C12" s="2" t="s">
        <v>77</v>
      </c>
      <c r="D12" s="2" t="s">
        <v>67</v>
      </c>
      <c r="E12" s="2" t="s">
        <v>68</v>
      </c>
      <c r="F12" s="2" t="s">
        <v>69</v>
      </c>
      <c r="AE12" s="10" t="s">
        <v>76</v>
      </c>
      <c r="BA12" s="10" t="s">
        <v>76</v>
      </c>
      <c r="BB12" s="10"/>
      <c r="BC12" s="10"/>
      <c r="BD12" s="10"/>
      <c r="BE12" s="10"/>
      <c r="BF12" s="10"/>
      <c r="BG12" s="10"/>
      <c r="BH12" s="10"/>
      <c r="BI12" s="10"/>
      <c r="BJ12" s="10"/>
      <c r="CF12" s="10"/>
      <c r="CG12" s="10"/>
      <c r="CH12" s="10"/>
      <c r="CI12" s="10" t="s">
        <v>76</v>
      </c>
    </row>
    <row r="13" spans="1:87" ht="15.75">
      <c r="A13" s="10"/>
      <c r="F13" s="2" t="s">
        <v>160</v>
      </c>
      <c r="G13" s="2">
        <f aca="true" t="shared" si="2" ref="G13:O13">G12*G3</f>
        <v>0</v>
      </c>
      <c r="H13" s="2">
        <f t="shared" si="2"/>
        <v>0</v>
      </c>
      <c r="I13" s="2">
        <f t="shared" si="2"/>
        <v>0</v>
      </c>
      <c r="J13" s="2">
        <f t="shared" si="2"/>
        <v>0</v>
      </c>
      <c r="K13" s="2">
        <f t="shared" si="2"/>
        <v>0</v>
      </c>
      <c r="L13" s="2">
        <f t="shared" si="2"/>
        <v>0</v>
      </c>
      <c r="M13" s="2">
        <f t="shared" si="2"/>
        <v>0</v>
      </c>
      <c r="N13" s="2">
        <f t="shared" si="2"/>
        <v>0</v>
      </c>
      <c r="O13" s="2">
        <f t="shared" si="2"/>
        <v>0</v>
      </c>
      <c r="AA13" s="2">
        <f>AA12*AA3</f>
        <v>0</v>
      </c>
      <c r="AB13" s="2">
        <f>AB12*AB3</f>
        <v>0</v>
      </c>
      <c r="AC13" s="2">
        <f>AC12*AC3</f>
        <v>0</v>
      </c>
      <c r="AD13" s="2">
        <f>AD12*AD3</f>
        <v>0</v>
      </c>
      <c r="AE13" s="2" t="s">
        <v>160</v>
      </c>
      <c r="BA13" s="2" t="s">
        <v>160</v>
      </c>
      <c r="BB13" s="10"/>
      <c r="BC13" s="10"/>
      <c r="BD13" s="10"/>
      <c r="BE13" s="10"/>
      <c r="BF13" s="10"/>
      <c r="BG13" s="10"/>
      <c r="BH13" s="10"/>
      <c r="BI13" s="10"/>
      <c r="BJ13" s="10"/>
      <c r="CF13" s="10"/>
      <c r="CG13" s="10"/>
      <c r="CH13" s="10"/>
      <c r="CI13" s="2" t="s">
        <v>160</v>
      </c>
    </row>
    <row r="14" spans="1:143" ht="15.75">
      <c r="A14" s="10" t="s">
        <v>192</v>
      </c>
      <c r="C14" s="2" t="s">
        <v>193</v>
      </c>
      <c r="D14" s="2" t="s">
        <v>67</v>
      </c>
      <c r="E14" s="2" t="s">
        <v>68</v>
      </c>
      <c r="F14" s="2" t="s">
        <v>69</v>
      </c>
      <c r="U14" s="2">
        <v>55</v>
      </c>
      <c r="AA14" s="2">
        <v>60</v>
      </c>
      <c r="AD14" s="2">
        <v>120</v>
      </c>
      <c r="AE14" s="10" t="s">
        <v>192</v>
      </c>
      <c r="AU14" s="2">
        <v>200</v>
      </c>
      <c r="AV14" s="2">
        <v>400</v>
      </c>
      <c r="AW14" s="2">
        <f>(AV14+AU14)/2</f>
        <v>300</v>
      </c>
      <c r="BA14" s="10" t="s">
        <v>192</v>
      </c>
      <c r="BB14" s="10"/>
      <c r="BC14" s="10"/>
      <c r="BD14" s="10"/>
      <c r="BE14" s="10"/>
      <c r="BF14" s="10"/>
      <c r="BG14" s="10"/>
      <c r="BH14" s="10"/>
      <c r="BI14" s="10"/>
      <c r="BJ14" s="10"/>
      <c r="CF14" s="10"/>
      <c r="CG14" s="10"/>
      <c r="CH14" s="10"/>
      <c r="CI14" s="10" t="s">
        <v>192</v>
      </c>
      <c r="CJ14" s="10"/>
      <c r="CK14" s="10"/>
      <c r="DE14" s="10"/>
      <c r="EM14" s="10"/>
    </row>
    <row r="15" spans="1:87" ht="15.75">
      <c r="A15" s="10"/>
      <c r="F15" s="2" t="s">
        <v>160</v>
      </c>
      <c r="G15" s="2">
        <f aca="true" t="shared" si="3" ref="G15:N15">G14*G3</f>
        <v>0</v>
      </c>
      <c r="H15" s="2">
        <f t="shared" si="3"/>
        <v>0</v>
      </c>
      <c r="I15" s="2">
        <f t="shared" si="3"/>
        <v>0</v>
      </c>
      <c r="J15" s="2">
        <f t="shared" si="3"/>
        <v>0</v>
      </c>
      <c r="K15" s="2">
        <f t="shared" si="3"/>
        <v>0</v>
      </c>
      <c r="L15" s="2">
        <f t="shared" si="3"/>
        <v>0</v>
      </c>
      <c r="M15" s="2">
        <f t="shared" si="3"/>
        <v>0</v>
      </c>
      <c r="N15" s="2">
        <f t="shared" si="3"/>
        <v>0</v>
      </c>
      <c r="O15" s="2">
        <f>O14*O3</f>
        <v>0</v>
      </c>
      <c r="S15" s="2">
        <f>S14*S3</f>
        <v>0</v>
      </c>
      <c r="T15" s="2">
        <f>T14*T3</f>
        <v>0</v>
      </c>
      <c r="U15" s="2">
        <f>U14*U3</f>
        <v>132.66</v>
      </c>
      <c r="AA15" s="2">
        <f>AA14*AA3</f>
        <v>68.64</v>
      </c>
      <c r="AB15" s="2">
        <f>AB14*AB3</f>
        <v>0</v>
      </c>
      <c r="AC15" s="2">
        <f>AC14*AC3</f>
        <v>0</v>
      </c>
      <c r="AD15" s="2">
        <f>AD14*AD3</f>
        <v>137.28</v>
      </c>
      <c r="AE15" s="2" t="s">
        <v>160</v>
      </c>
      <c r="AU15" s="2">
        <f>AU14*AU3</f>
        <v>191</v>
      </c>
      <c r="AV15" s="2">
        <f>AV14*AV3</f>
        <v>382</v>
      </c>
      <c r="AW15" s="2">
        <f>AW14*AW3</f>
        <v>286.5</v>
      </c>
      <c r="BA15" s="2" t="s">
        <v>160</v>
      </c>
      <c r="BB15" s="10"/>
      <c r="BC15" s="10"/>
      <c r="BD15" s="10"/>
      <c r="BE15" s="10"/>
      <c r="BF15" s="10"/>
      <c r="BG15" s="10"/>
      <c r="BH15" s="10"/>
      <c r="BI15" s="10"/>
      <c r="BJ15" s="10"/>
      <c r="CF15" s="10"/>
      <c r="CG15" s="10"/>
      <c r="CH15" s="10"/>
      <c r="CI15" s="2" t="s">
        <v>160</v>
      </c>
    </row>
    <row r="16" spans="1:87" ht="15.75">
      <c r="A16" s="10" t="s">
        <v>194</v>
      </c>
      <c r="C16" s="2" t="s">
        <v>389</v>
      </c>
      <c r="D16" s="2" t="s">
        <v>67</v>
      </c>
      <c r="E16" s="2" t="s">
        <v>68</v>
      </c>
      <c r="F16" s="2" t="s">
        <v>69</v>
      </c>
      <c r="AA16" s="2">
        <v>600</v>
      </c>
      <c r="AD16" s="2">
        <v>400</v>
      </c>
      <c r="AE16" s="10" t="s">
        <v>194</v>
      </c>
      <c r="AU16" s="2">
        <v>200</v>
      </c>
      <c r="AV16" s="2">
        <v>1000</v>
      </c>
      <c r="AW16" s="2">
        <f>(AV16+AU16)/2</f>
        <v>600</v>
      </c>
      <c r="BA16" s="10" t="s">
        <v>194</v>
      </c>
      <c r="BB16" s="10"/>
      <c r="BC16" s="10"/>
      <c r="BD16" s="10"/>
      <c r="BE16" s="10"/>
      <c r="BF16" s="10"/>
      <c r="BG16" s="10"/>
      <c r="BH16" s="10"/>
      <c r="BI16" s="10"/>
      <c r="BJ16" s="10"/>
      <c r="CF16" s="10"/>
      <c r="CG16" s="10"/>
      <c r="CH16" s="10"/>
      <c r="CI16" s="10" t="s">
        <v>194</v>
      </c>
    </row>
    <row r="17" spans="1:87" ht="15.75">
      <c r="A17" s="10"/>
      <c r="F17" s="2" t="s">
        <v>160</v>
      </c>
      <c r="G17" s="2">
        <f aca="true" t="shared" si="4" ref="G17:O17">G16*G3</f>
        <v>0</v>
      </c>
      <c r="H17" s="2">
        <f t="shared" si="4"/>
        <v>0</v>
      </c>
      <c r="I17" s="2">
        <f t="shared" si="4"/>
        <v>0</v>
      </c>
      <c r="J17" s="2">
        <f t="shared" si="4"/>
        <v>0</v>
      </c>
      <c r="K17" s="2">
        <f t="shared" si="4"/>
        <v>0</v>
      </c>
      <c r="L17" s="2">
        <f t="shared" si="4"/>
        <v>0</v>
      </c>
      <c r="M17" s="2">
        <f t="shared" si="4"/>
        <v>0</v>
      </c>
      <c r="N17" s="2">
        <f t="shared" si="4"/>
        <v>0</v>
      </c>
      <c r="O17" s="2">
        <f t="shared" si="4"/>
        <v>0</v>
      </c>
      <c r="S17" s="2">
        <f>S16*S3</f>
        <v>0</v>
      </c>
      <c r="T17" s="2">
        <f>T16*T3</f>
        <v>0</v>
      </c>
      <c r="U17" s="2">
        <f>U16*U3</f>
        <v>0</v>
      </c>
      <c r="AA17" s="2">
        <f>AA16*AA3</f>
        <v>686.4</v>
      </c>
      <c r="AB17" s="2">
        <f>AB16*AB3</f>
        <v>0</v>
      </c>
      <c r="AC17" s="2">
        <f>AC16*AC3</f>
        <v>0</v>
      </c>
      <c r="AD17" s="2">
        <f>AD16*AD3</f>
        <v>457.59999999999997</v>
      </c>
      <c r="AE17" s="2" t="s">
        <v>160</v>
      </c>
      <c r="AU17" s="2">
        <f>AU16*AU3</f>
        <v>191</v>
      </c>
      <c r="AV17" s="2">
        <f>AV16*AV3</f>
        <v>955</v>
      </c>
      <c r="AW17" s="2">
        <f>AW16*AW3</f>
        <v>573</v>
      </c>
      <c r="BA17" s="2" t="s">
        <v>160</v>
      </c>
      <c r="BB17" s="10"/>
      <c r="BC17" s="10"/>
      <c r="BD17" s="10"/>
      <c r="BE17" s="10"/>
      <c r="BF17" s="10"/>
      <c r="BG17" s="10"/>
      <c r="BH17" s="10"/>
      <c r="BI17" s="10"/>
      <c r="BJ17" s="10"/>
      <c r="CF17" s="10"/>
      <c r="CG17" s="10"/>
      <c r="CH17" s="10"/>
      <c r="CI17" s="2" t="s">
        <v>160</v>
      </c>
    </row>
    <row r="18" spans="1:143" ht="15.75">
      <c r="A18" s="10" t="s">
        <v>414</v>
      </c>
      <c r="B18" s="2" t="s">
        <v>415</v>
      </c>
      <c r="C18" s="2" t="s">
        <v>416</v>
      </c>
      <c r="D18" s="2">
        <v>100</v>
      </c>
      <c r="E18" s="2" t="s">
        <v>417</v>
      </c>
      <c r="F18" s="2" t="s">
        <v>69</v>
      </c>
      <c r="M18" s="2">
        <v>60</v>
      </c>
      <c r="N18" s="2">
        <v>150</v>
      </c>
      <c r="O18" s="2">
        <v>120</v>
      </c>
      <c r="S18" s="2">
        <v>9</v>
      </c>
      <c r="T18" s="2">
        <v>10</v>
      </c>
      <c r="U18" s="2">
        <f>(T18+S18)/2</f>
        <v>9.5</v>
      </c>
      <c r="AD18" s="2">
        <v>12</v>
      </c>
      <c r="AE18" s="10" t="s">
        <v>414</v>
      </c>
      <c r="BA18" s="10" t="s">
        <v>414</v>
      </c>
      <c r="BB18" s="10"/>
      <c r="BC18" s="10"/>
      <c r="BD18" s="10"/>
      <c r="BE18" s="10"/>
      <c r="BF18" s="10"/>
      <c r="BG18" s="10"/>
      <c r="BH18" s="10"/>
      <c r="BI18" s="10"/>
      <c r="BJ18" s="10"/>
      <c r="CF18" s="10"/>
      <c r="CG18" s="10"/>
      <c r="CH18" s="10"/>
      <c r="CI18" s="10" t="s">
        <v>414</v>
      </c>
      <c r="CK18" s="10"/>
      <c r="DE18" s="10"/>
      <c r="DF18" s="10"/>
      <c r="DG18" s="10"/>
      <c r="DH18" s="10"/>
      <c r="DI18" s="10"/>
      <c r="DJ18" s="10"/>
      <c r="DK18" s="10"/>
      <c r="DL18" s="10"/>
      <c r="DM18" s="10"/>
      <c r="DN18" s="10"/>
      <c r="DO18" s="10"/>
      <c r="DP18" s="10"/>
      <c r="DQ18" s="10"/>
      <c r="DR18" s="10"/>
      <c r="DS18" s="10"/>
      <c r="DT18" s="10"/>
      <c r="DU18" s="10"/>
      <c r="EM18" s="10"/>
    </row>
    <row r="19" spans="1:87" ht="15.75">
      <c r="A19" s="10" t="s">
        <v>414</v>
      </c>
      <c r="B19" s="2" t="s">
        <v>415</v>
      </c>
      <c r="C19" s="2" t="s">
        <v>416</v>
      </c>
      <c r="F19" s="2" t="s">
        <v>160</v>
      </c>
      <c r="G19" s="2">
        <f aca="true" t="shared" si="5" ref="G19:O19">G18*G3</f>
        <v>0</v>
      </c>
      <c r="H19" s="2">
        <f t="shared" si="5"/>
        <v>0</v>
      </c>
      <c r="I19" s="2">
        <f t="shared" si="5"/>
        <v>0</v>
      </c>
      <c r="J19" s="2">
        <f t="shared" si="5"/>
        <v>0</v>
      </c>
      <c r="K19" s="2">
        <f t="shared" si="5"/>
        <v>0</v>
      </c>
      <c r="L19" s="2">
        <f t="shared" si="5"/>
        <v>0</v>
      </c>
      <c r="M19" s="2">
        <f t="shared" si="5"/>
        <v>225.11999999999998</v>
      </c>
      <c r="N19" s="2">
        <f t="shared" si="5"/>
        <v>562.8</v>
      </c>
      <c r="O19" s="2">
        <f t="shared" si="5"/>
        <v>450.23999999999995</v>
      </c>
      <c r="S19" s="2">
        <f>S18*S3</f>
        <v>21.708</v>
      </c>
      <c r="T19" s="2">
        <f>T18*T3</f>
        <v>24.119999999999997</v>
      </c>
      <c r="U19" s="2">
        <f>U18*U3</f>
        <v>22.913999999999998</v>
      </c>
      <c r="AA19" s="2">
        <f>AA18*AA3</f>
        <v>0</v>
      </c>
      <c r="AB19" s="2">
        <f>AB18*AB3</f>
        <v>0</v>
      </c>
      <c r="AC19" s="2">
        <f>AC18*AC3</f>
        <v>0</v>
      </c>
      <c r="AD19" s="2">
        <f>AD18*AD3</f>
        <v>13.727999999999998</v>
      </c>
      <c r="AE19" s="2" t="s">
        <v>160</v>
      </c>
      <c r="BA19" s="2" t="s">
        <v>160</v>
      </c>
      <c r="BB19" s="10"/>
      <c r="BC19" s="10"/>
      <c r="BD19" s="10"/>
      <c r="BE19" s="10"/>
      <c r="BF19" s="10"/>
      <c r="BG19" s="10"/>
      <c r="BH19" s="10"/>
      <c r="BI19" s="10"/>
      <c r="BJ19" s="10"/>
      <c r="CF19" s="10"/>
      <c r="CG19" s="10"/>
      <c r="CH19" s="10"/>
      <c r="CI19" s="2" t="s">
        <v>160</v>
      </c>
    </row>
    <row r="20" spans="1:86" ht="15.75">
      <c r="A20" s="10" t="s">
        <v>414</v>
      </c>
      <c r="B20" s="2" t="s">
        <v>415</v>
      </c>
      <c r="C20" s="2" t="s">
        <v>416</v>
      </c>
      <c r="D20" s="2" t="s">
        <v>82</v>
      </c>
      <c r="F20" s="2" t="s">
        <v>140</v>
      </c>
      <c r="M20" s="14">
        <f>(1300/100)*M19*0.18/16.38</f>
        <v>32.16</v>
      </c>
      <c r="N20" s="14">
        <f>(1300/100)*N19*0.18/16.38</f>
        <v>80.4</v>
      </c>
      <c r="O20" s="13">
        <f>(1300/100)*O19*0.18/16.38</f>
        <v>64.32</v>
      </c>
      <c r="S20" s="14">
        <f>(1300/100)*S19*0.18/16.38</f>
        <v>3.1011428571428565</v>
      </c>
      <c r="T20" s="14">
        <f>(1300/100)*T19*0.18/16.38</f>
        <v>3.4457142857142853</v>
      </c>
      <c r="U20" s="13">
        <f>(1300/100)*U19*0.18/16.38</f>
        <v>3.2734285714285707</v>
      </c>
      <c r="AD20" s="13">
        <f>(1300/100)*AD19*0.18/16.38</f>
        <v>1.9611428571428569</v>
      </c>
      <c r="AE20" s="2" t="s">
        <v>140</v>
      </c>
      <c r="BA20" s="2" t="s">
        <v>140</v>
      </c>
      <c r="BB20" s="10"/>
      <c r="BC20" s="10"/>
      <c r="BD20" s="10"/>
      <c r="BE20" s="10"/>
      <c r="BF20" s="10"/>
      <c r="BG20" s="10"/>
      <c r="BH20" s="10"/>
      <c r="BI20" s="10"/>
      <c r="BJ20" s="10"/>
      <c r="CF20" s="10"/>
      <c r="CG20" s="10"/>
      <c r="CH20" s="10"/>
    </row>
    <row r="21" spans="1:86" ht="15.75">
      <c r="A21" s="10" t="s">
        <v>414</v>
      </c>
      <c r="B21" s="2" t="s">
        <v>415</v>
      </c>
      <c r="C21" s="2" t="s">
        <v>416</v>
      </c>
      <c r="D21" s="2">
        <v>100</v>
      </c>
      <c r="F21" s="2" t="s">
        <v>319</v>
      </c>
      <c r="M21" s="14">
        <f>M20*1.17</f>
        <v>37.627199999999995</v>
      </c>
      <c r="N21" s="14">
        <f>N20*1.17</f>
        <v>94.068</v>
      </c>
      <c r="O21" s="13">
        <f>O20*1.17</f>
        <v>75.25439999999999</v>
      </c>
      <c r="S21" s="14">
        <f>S20*1.17</f>
        <v>3.628337142857142</v>
      </c>
      <c r="T21" s="14">
        <f>T20*1.17</f>
        <v>4.031485714285713</v>
      </c>
      <c r="U21" s="13">
        <f>U20*1.17</f>
        <v>3.8299114285714273</v>
      </c>
      <c r="AB21" s="14"/>
      <c r="AC21" s="14"/>
      <c r="AD21" s="13">
        <f>AD20*1.17</f>
        <v>2.294537142857142</v>
      </c>
      <c r="AE21" s="2" t="s">
        <v>319</v>
      </c>
      <c r="BA21" s="2" t="s">
        <v>319</v>
      </c>
      <c r="BB21" s="10"/>
      <c r="BC21" s="10"/>
      <c r="BD21" s="10"/>
      <c r="BE21" s="10"/>
      <c r="BF21" s="10"/>
      <c r="BG21" s="10"/>
      <c r="BH21" s="10"/>
      <c r="BI21" s="10"/>
      <c r="BJ21" s="10"/>
      <c r="CF21" s="10"/>
      <c r="CG21" s="10"/>
      <c r="CH21" s="10"/>
    </row>
    <row r="22" spans="1:86" ht="15.75">
      <c r="A22" s="10"/>
      <c r="BB22" s="10"/>
      <c r="BC22" s="10"/>
      <c r="BD22" s="10"/>
      <c r="BE22" s="10"/>
      <c r="BF22" s="10"/>
      <c r="BG22" s="10"/>
      <c r="BH22" s="10"/>
      <c r="BI22" s="10"/>
      <c r="BJ22" s="10"/>
      <c r="CF22" s="10"/>
      <c r="CG22" s="10"/>
      <c r="CH22" s="10"/>
    </row>
    <row r="23" spans="1:87" ht="15.75">
      <c r="A23" s="10" t="s">
        <v>418</v>
      </c>
      <c r="B23" s="2" t="s">
        <v>419</v>
      </c>
      <c r="C23" s="2" t="s">
        <v>51</v>
      </c>
      <c r="D23" s="2">
        <v>1000</v>
      </c>
      <c r="F23" s="2" t="s">
        <v>69</v>
      </c>
      <c r="AE23" s="10" t="s">
        <v>418</v>
      </c>
      <c r="BA23" s="10" t="s">
        <v>418</v>
      </c>
      <c r="BB23" s="10"/>
      <c r="BC23" s="10"/>
      <c r="BD23" s="10"/>
      <c r="BE23" s="10"/>
      <c r="BF23" s="10"/>
      <c r="BG23" s="10"/>
      <c r="BH23" s="10"/>
      <c r="BI23" s="10"/>
      <c r="BJ23" s="10"/>
      <c r="CF23" s="10"/>
      <c r="CG23" s="10"/>
      <c r="CH23" s="10"/>
      <c r="CI23" s="10" t="s">
        <v>418</v>
      </c>
    </row>
    <row r="24" spans="1:87" ht="15.75">
      <c r="A24" s="10"/>
      <c r="F24" s="2" t="s">
        <v>160</v>
      </c>
      <c r="AE24" s="2" t="s">
        <v>160</v>
      </c>
      <c r="BA24" s="2" t="s">
        <v>160</v>
      </c>
      <c r="BB24" s="10"/>
      <c r="BC24" s="10"/>
      <c r="BD24" s="10"/>
      <c r="BE24" s="10"/>
      <c r="BF24" s="10"/>
      <c r="BG24" s="10"/>
      <c r="BH24" s="10"/>
      <c r="BI24" s="10"/>
      <c r="BJ24" s="10"/>
      <c r="CF24" s="10"/>
      <c r="CG24" s="10"/>
      <c r="CH24" s="10"/>
      <c r="CI24" s="2" t="s">
        <v>160</v>
      </c>
    </row>
    <row r="25" spans="1:143" ht="15.75">
      <c r="A25" s="10" t="s">
        <v>420</v>
      </c>
      <c r="B25" s="2" t="s">
        <v>421</v>
      </c>
      <c r="C25" s="2" t="s">
        <v>422</v>
      </c>
      <c r="D25" s="2" t="s">
        <v>423</v>
      </c>
      <c r="E25" s="2" t="s">
        <v>424</v>
      </c>
      <c r="F25" s="2" t="s">
        <v>69</v>
      </c>
      <c r="M25" s="2">
        <v>9.6</v>
      </c>
      <c r="N25" s="2">
        <v>18.5</v>
      </c>
      <c r="O25" s="2">
        <v>15.3</v>
      </c>
      <c r="P25" s="2">
        <v>40</v>
      </c>
      <c r="Q25" s="2">
        <v>50</v>
      </c>
      <c r="S25" s="2">
        <v>40</v>
      </c>
      <c r="T25" s="2">
        <v>50</v>
      </c>
      <c r="U25" s="2">
        <f>(T25+S25)/2</f>
        <v>45</v>
      </c>
      <c r="Y25" s="2">
        <v>30</v>
      </c>
      <c r="Z25" s="2">
        <v>35</v>
      </c>
      <c r="AA25" s="2">
        <f>(Z25+Y25)/2</f>
        <v>32.5</v>
      </c>
      <c r="AB25" s="2">
        <v>30</v>
      </c>
      <c r="AC25" s="2">
        <v>40</v>
      </c>
      <c r="AD25" s="2">
        <f>(AC25+AB25)/2</f>
        <v>35</v>
      </c>
      <c r="AE25" s="10" t="s">
        <v>420</v>
      </c>
      <c r="AU25" s="2">
        <v>40</v>
      </c>
      <c r="AV25" s="2">
        <v>100</v>
      </c>
      <c r="AW25" s="2">
        <f>(AV25+AU25)/2</f>
        <v>70</v>
      </c>
      <c r="BA25" s="10" t="s">
        <v>420</v>
      </c>
      <c r="BB25" s="10"/>
      <c r="BC25" s="10"/>
      <c r="BD25" s="10"/>
      <c r="BE25" s="10"/>
      <c r="BF25" s="10"/>
      <c r="BG25" s="10"/>
      <c r="BH25" s="10"/>
      <c r="BI25" s="10"/>
      <c r="BJ25" s="10"/>
      <c r="CF25" s="10"/>
      <c r="CG25" s="10"/>
      <c r="CH25" s="10"/>
      <c r="CI25" s="10" t="s">
        <v>420</v>
      </c>
      <c r="CK25" s="10"/>
      <c r="DE25" s="10"/>
      <c r="DF25" s="10"/>
      <c r="DG25" s="10"/>
      <c r="DH25" s="10"/>
      <c r="DI25" s="10"/>
      <c r="DJ25" s="10"/>
      <c r="DK25" s="10"/>
      <c r="DL25" s="10"/>
      <c r="DM25" s="10"/>
      <c r="DN25" s="10"/>
      <c r="DO25" s="10"/>
      <c r="DP25" s="10"/>
      <c r="DQ25" s="10"/>
      <c r="DR25" s="10"/>
      <c r="DS25" s="10"/>
      <c r="DT25" s="10"/>
      <c r="DU25" s="10"/>
      <c r="EM25" s="10"/>
    </row>
    <row r="26" spans="1:87" ht="15.75">
      <c r="A26" s="10"/>
      <c r="F26" s="2" t="s">
        <v>160</v>
      </c>
      <c r="M26" s="2">
        <f aca="true" t="shared" si="6" ref="M26:AD26">M25*M3</f>
        <v>36.0192</v>
      </c>
      <c r="N26" s="2">
        <f t="shared" si="6"/>
        <v>69.41199999999999</v>
      </c>
      <c r="O26" s="2">
        <f t="shared" si="6"/>
        <v>57.4056</v>
      </c>
      <c r="P26" s="2">
        <f t="shared" si="6"/>
        <v>96.47999999999999</v>
      </c>
      <c r="Q26" s="2">
        <f t="shared" si="6"/>
        <v>120.6</v>
      </c>
      <c r="S26" s="2">
        <f t="shared" si="6"/>
        <v>96.47999999999999</v>
      </c>
      <c r="T26" s="2">
        <f t="shared" si="6"/>
        <v>120.6</v>
      </c>
      <c r="U26" s="2">
        <f t="shared" si="6"/>
        <v>108.53999999999999</v>
      </c>
      <c r="Y26" s="2">
        <f t="shared" si="6"/>
        <v>34.32</v>
      </c>
      <c r="Z26" s="2">
        <f t="shared" si="6"/>
        <v>40.04</v>
      </c>
      <c r="AA26" s="2">
        <f t="shared" si="6"/>
        <v>37.18</v>
      </c>
      <c r="AB26" s="2">
        <f t="shared" si="6"/>
        <v>34.32</v>
      </c>
      <c r="AC26" s="2">
        <f t="shared" si="6"/>
        <v>45.76</v>
      </c>
      <c r="AD26" s="2">
        <f t="shared" si="6"/>
        <v>40.04</v>
      </c>
      <c r="AE26" s="2" t="s">
        <v>160</v>
      </c>
      <c r="AU26" s="2">
        <f>AU25*AU3</f>
        <v>38.199999999999996</v>
      </c>
      <c r="AV26" s="2">
        <f>AV25*AV3</f>
        <v>95.5</v>
      </c>
      <c r="AW26" s="2">
        <f>AW25*AW3</f>
        <v>66.85</v>
      </c>
      <c r="BA26" s="2" t="s">
        <v>160</v>
      </c>
      <c r="BB26" s="10"/>
      <c r="BC26" s="10"/>
      <c r="BD26" s="10"/>
      <c r="BE26" s="10"/>
      <c r="BF26" s="10"/>
      <c r="BG26" s="10"/>
      <c r="BH26" s="10"/>
      <c r="BI26" s="10"/>
      <c r="BJ26" s="10"/>
      <c r="CF26" s="10"/>
      <c r="CG26" s="10"/>
      <c r="CH26" s="10"/>
      <c r="CI26" s="2" t="s">
        <v>160</v>
      </c>
    </row>
    <row r="27" spans="1:87" ht="15.75">
      <c r="A27" s="10" t="s">
        <v>420</v>
      </c>
      <c r="B27" s="2" t="s">
        <v>282</v>
      </c>
      <c r="C27" s="2" t="s">
        <v>422</v>
      </c>
      <c r="D27" s="2" t="s">
        <v>423</v>
      </c>
      <c r="E27" s="2" t="s">
        <v>424</v>
      </c>
      <c r="F27" s="2" t="s">
        <v>69</v>
      </c>
      <c r="J27" s="2">
        <v>4.5</v>
      </c>
      <c r="K27" s="2">
        <v>5.2</v>
      </c>
      <c r="L27" s="2">
        <v>4.8</v>
      </c>
      <c r="M27" s="2">
        <v>6.7</v>
      </c>
      <c r="N27" s="2">
        <v>10.4</v>
      </c>
      <c r="O27" s="2">
        <v>7.9</v>
      </c>
      <c r="Y27" s="2">
        <v>14</v>
      </c>
      <c r="Z27" s="2">
        <v>15</v>
      </c>
      <c r="AA27" s="2">
        <f>(Z27+Y27)/2</f>
        <v>14.5</v>
      </c>
      <c r="AE27" s="10" t="s">
        <v>420</v>
      </c>
      <c r="AU27" s="2">
        <v>20</v>
      </c>
      <c r="AV27" s="2">
        <v>30</v>
      </c>
      <c r="AW27" s="2">
        <f>(AV27+AU27)/2</f>
        <v>25</v>
      </c>
      <c r="BA27" s="10" t="s">
        <v>420</v>
      </c>
      <c r="BB27" s="10"/>
      <c r="BC27" s="10"/>
      <c r="BD27" s="10"/>
      <c r="BE27" s="10"/>
      <c r="BF27" s="10"/>
      <c r="BG27" s="10"/>
      <c r="BH27" s="10"/>
      <c r="BI27" s="10"/>
      <c r="BJ27" s="10"/>
      <c r="CF27" s="10"/>
      <c r="CG27" s="10"/>
      <c r="CH27" s="10"/>
      <c r="CI27" s="10" t="s">
        <v>420</v>
      </c>
    </row>
    <row r="28" spans="1:87" ht="15.75">
      <c r="A28" s="10"/>
      <c r="F28" s="2" t="s">
        <v>160</v>
      </c>
      <c r="J28" s="2">
        <f aca="true" t="shared" si="7" ref="J28:O28">J27*J3</f>
        <v>16.884</v>
      </c>
      <c r="K28" s="2">
        <f t="shared" si="7"/>
        <v>19.5104</v>
      </c>
      <c r="L28" s="2">
        <f t="shared" si="7"/>
        <v>18.0096</v>
      </c>
      <c r="M28" s="2">
        <f t="shared" si="7"/>
        <v>25.1384</v>
      </c>
      <c r="N28" s="2">
        <f t="shared" si="7"/>
        <v>39.0208</v>
      </c>
      <c r="O28" s="2">
        <f t="shared" si="7"/>
        <v>29.6408</v>
      </c>
      <c r="Y28" s="2">
        <f>Y27*Y3</f>
        <v>16.016</v>
      </c>
      <c r="Z28" s="2">
        <f>Z27*Z3</f>
        <v>17.16</v>
      </c>
      <c r="AA28" s="2">
        <f>AA27*AA3</f>
        <v>16.587999999999997</v>
      </c>
      <c r="AE28" s="2" t="s">
        <v>160</v>
      </c>
      <c r="AU28" s="2">
        <f>AU27*AU3</f>
        <v>19.099999999999998</v>
      </c>
      <c r="AV28" s="2">
        <f>AV27*AV3</f>
        <v>28.65</v>
      </c>
      <c r="AW28" s="2">
        <f>AW27*AW3</f>
        <v>23.875</v>
      </c>
      <c r="BA28" s="2" t="s">
        <v>160</v>
      </c>
      <c r="BB28" s="10"/>
      <c r="BC28" s="10"/>
      <c r="BD28" s="10"/>
      <c r="BE28" s="10"/>
      <c r="BF28" s="10"/>
      <c r="BG28" s="10"/>
      <c r="BH28" s="10"/>
      <c r="BI28" s="10"/>
      <c r="BJ28" s="10"/>
      <c r="CF28" s="10"/>
      <c r="CG28" s="10"/>
      <c r="CH28" s="10"/>
      <c r="CI28" s="2" t="s">
        <v>160</v>
      </c>
    </row>
    <row r="29" spans="1:143" ht="15.75">
      <c r="A29" s="10" t="s">
        <v>420</v>
      </c>
      <c r="B29" s="2" t="s">
        <v>283</v>
      </c>
      <c r="C29" s="2" t="s">
        <v>284</v>
      </c>
      <c r="D29" s="2" t="s">
        <v>423</v>
      </c>
      <c r="E29" s="2" t="s">
        <v>424</v>
      </c>
      <c r="F29" s="2" t="s">
        <v>69</v>
      </c>
      <c r="L29" s="2">
        <v>17.5</v>
      </c>
      <c r="M29" s="2">
        <v>21.5</v>
      </c>
      <c r="N29" s="2">
        <v>30</v>
      </c>
      <c r="O29" s="2">
        <v>27.3</v>
      </c>
      <c r="AA29" s="2">
        <v>30</v>
      </c>
      <c r="AE29" s="10" t="s">
        <v>420</v>
      </c>
      <c r="AU29" s="2">
        <v>100</v>
      </c>
      <c r="AV29" s="2">
        <v>120</v>
      </c>
      <c r="AW29" s="2">
        <f>(AV29+AU29)/2</f>
        <v>110</v>
      </c>
      <c r="BA29" s="10" t="s">
        <v>420</v>
      </c>
      <c r="BB29" s="10"/>
      <c r="BC29" s="10"/>
      <c r="BD29" s="10"/>
      <c r="BE29" s="10"/>
      <c r="BF29" s="10"/>
      <c r="BG29" s="10"/>
      <c r="BH29" s="10"/>
      <c r="BI29" s="10"/>
      <c r="BJ29" s="10"/>
      <c r="CF29" s="10"/>
      <c r="CG29" s="10"/>
      <c r="CH29" s="10"/>
      <c r="CI29" s="10" t="s">
        <v>420</v>
      </c>
      <c r="DE29" s="10"/>
      <c r="DF29" s="10"/>
      <c r="DG29" s="10"/>
      <c r="DH29" s="10"/>
      <c r="DI29" s="10"/>
      <c r="DJ29" s="10"/>
      <c r="DK29" s="10"/>
      <c r="DL29" s="10"/>
      <c r="DM29" s="10"/>
      <c r="DN29" s="10"/>
      <c r="DO29" s="10"/>
      <c r="DP29" s="10"/>
      <c r="DQ29" s="10"/>
      <c r="DR29" s="10"/>
      <c r="DS29" s="10"/>
      <c r="DT29" s="10"/>
      <c r="DU29" s="10"/>
      <c r="EM29" s="10"/>
    </row>
    <row r="30" spans="1:87" ht="15.75">
      <c r="A30" s="10"/>
      <c r="F30" s="2" t="s">
        <v>160</v>
      </c>
      <c r="L30" s="2">
        <f>L29*L3</f>
        <v>65.66</v>
      </c>
      <c r="M30" s="2">
        <f>M29*M3</f>
        <v>80.66799999999999</v>
      </c>
      <c r="N30" s="2">
        <f>N29*N3</f>
        <v>112.55999999999999</v>
      </c>
      <c r="O30" s="2">
        <f>O29*O3</f>
        <v>102.4296</v>
      </c>
      <c r="AE30" s="2" t="s">
        <v>160</v>
      </c>
      <c r="AU30" s="2">
        <f>AU29*AU3</f>
        <v>95.5</v>
      </c>
      <c r="AV30" s="2">
        <f>AV29*AV3</f>
        <v>114.6</v>
      </c>
      <c r="AW30" s="2">
        <f>AW29*AW3</f>
        <v>105.05</v>
      </c>
      <c r="BA30" s="2" t="s">
        <v>160</v>
      </c>
      <c r="BB30" s="10"/>
      <c r="BC30" s="10"/>
      <c r="BD30" s="10"/>
      <c r="BE30" s="10"/>
      <c r="BF30" s="10"/>
      <c r="BG30" s="10"/>
      <c r="BH30" s="10"/>
      <c r="BI30" s="10"/>
      <c r="BJ30" s="10"/>
      <c r="CF30" s="10"/>
      <c r="CG30" s="10"/>
      <c r="CH30" s="10"/>
      <c r="CI30" s="2" t="s">
        <v>160</v>
      </c>
    </row>
    <row r="31" spans="1:87" ht="15.75">
      <c r="A31" s="10" t="s">
        <v>285</v>
      </c>
      <c r="B31" s="2" t="s">
        <v>286</v>
      </c>
      <c r="C31" s="2" t="s">
        <v>287</v>
      </c>
      <c r="D31" s="2" t="s">
        <v>423</v>
      </c>
      <c r="E31" s="2" t="s">
        <v>424</v>
      </c>
      <c r="F31" s="2" t="s">
        <v>69</v>
      </c>
      <c r="J31" s="2">
        <v>11.1</v>
      </c>
      <c r="K31" s="2">
        <v>24.4</v>
      </c>
      <c r="L31" s="2">
        <v>19</v>
      </c>
      <c r="M31" s="2">
        <v>29.6</v>
      </c>
      <c r="N31" s="2">
        <v>62.9</v>
      </c>
      <c r="O31" s="2">
        <v>38.6</v>
      </c>
      <c r="P31" s="2">
        <v>40</v>
      </c>
      <c r="Q31" s="2">
        <v>50</v>
      </c>
      <c r="S31" s="2">
        <v>40</v>
      </c>
      <c r="T31" s="2">
        <v>50</v>
      </c>
      <c r="U31" s="2">
        <v>45</v>
      </c>
      <c r="Y31" s="10">
        <v>40</v>
      </c>
      <c r="Z31" s="10">
        <v>50</v>
      </c>
      <c r="AA31" s="10">
        <v>45</v>
      </c>
      <c r="AE31" s="10" t="s">
        <v>285</v>
      </c>
      <c r="AU31" s="2">
        <v>200</v>
      </c>
      <c r="AV31" s="2">
        <v>250</v>
      </c>
      <c r="AW31" s="2">
        <f>(AV31+AU31)/2</f>
        <v>225</v>
      </c>
      <c r="BA31" s="10" t="s">
        <v>285</v>
      </c>
      <c r="BB31" s="10"/>
      <c r="BC31" s="10"/>
      <c r="BD31" s="10"/>
      <c r="BE31" s="10"/>
      <c r="BF31" s="10"/>
      <c r="BG31" s="10"/>
      <c r="BH31" s="10"/>
      <c r="BI31" s="10"/>
      <c r="BJ31" s="10"/>
      <c r="CF31" s="10"/>
      <c r="CG31" s="10"/>
      <c r="CH31" s="10"/>
      <c r="CI31" s="10" t="s">
        <v>285</v>
      </c>
    </row>
    <row r="32" spans="1:87" ht="15.75">
      <c r="A32" s="10"/>
      <c r="F32" s="2" t="s">
        <v>160</v>
      </c>
      <c r="J32" s="2">
        <f aca="true" t="shared" si="8" ref="J32:Q32">J31*J3</f>
        <v>41.6472</v>
      </c>
      <c r="K32" s="2">
        <f t="shared" si="8"/>
        <v>91.54879999999999</v>
      </c>
      <c r="L32" s="2">
        <f t="shared" si="8"/>
        <v>71.288</v>
      </c>
      <c r="M32" s="2">
        <f t="shared" si="8"/>
        <v>111.0592</v>
      </c>
      <c r="N32" s="2">
        <f t="shared" si="8"/>
        <v>236.00079999999997</v>
      </c>
      <c r="O32" s="2">
        <f t="shared" si="8"/>
        <v>144.8272</v>
      </c>
      <c r="P32" s="2">
        <f t="shared" si="8"/>
        <v>96.47999999999999</v>
      </c>
      <c r="Q32" s="2">
        <f t="shared" si="8"/>
        <v>120.6</v>
      </c>
      <c r="S32" s="2">
        <f>S31*S3</f>
        <v>96.47999999999999</v>
      </c>
      <c r="T32" s="2">
        <f>T31*T3</f>
        <v>120.6</v>
      </c>
      <c r="U32" s="2">
        <f>U31*U3</f>
        <v>108.53999999999999</v>
      </c>
      <c r="Y32" s="2">
        <f>Y31*Y3</f>
        <v>45.76</v>
      </c>
      <c r="Z32" s="2">
        <f>Z31*Z3</f>
        <v>57.199999999999996</v>
      </c>
      <c r="AA32" s="2">
        <f>AA31*AA3</f>
        <v>51.48</v>
      </c>
      <c r="AE32" s="2" t="s">
        <v>160</v>
      </c>
      <c r="AU32" s="2">
        <f>AU31*AU3</f>
        <v>191</v>
      </c>
      <c r="AV32" s="2">
        <f>AV31*AV3</f>
        <v>238.75</v>
      </c>
      <c r="AW32" s="2">
        <f>AW31*AW3</f>
        <v>214.875</v>
      </c>
      <c r="BA32" s="2" t="s">
        <v>160</v>
      </c>
      <c r="BB32" s="10"/>
      <c r="BC32" s="10"/>
      <c r="BD32" s="10"/>
      <c r="BE32" s="10"/>
      <c r="BF32" s="10"/>
      <c r="BG32" s="10"/>
      <c r="BH32" s="10"/>
      <c r="BI32" s="10"/>
      <c r="BJ32" s="10"/>
      <c r="CF32" s="10"/>
      <c r="CG32" s="10"/>
      <c r="CH32" s="10"/>
      <c r="CI32" s="2" t="s">
        <v>160</v>
      </c>
    </row>
    <row r="33" spans="1:143" ht="15.75">
      <c r="A33" s="10" t="s">
        <v>285</v>
      </c>
      <c r="B33" s="2" t="s">
        <v>288</v>
      </c>
      <c r="C33" s="2" t="s">
        <v>287</v>
      </c>
      <c r="D33" s="2" t="s">
        <v>289</v>
      </c>
      <c r="E33" s="2" t="s">
        <v>290</v>
      </c>
      <c r="F33" s="2" t="s">
        <v>69</v>
      </c>
      <c r="Y33" s="2">
        <v>70</v>
      </c>
      <c r="Z33" s="2">
        <v>120</v>
      </c>
      <c r="AA33" s="2">
        <f>(Z33+Y33)/2</f>
        <v>95</v>
      </c>
      <c r="AB33" s="2">
        <v>80</v>
      </c>
      <c r="AC33" s="2">
        <v>120</v>
      </c>
      <c r="AD33" s="2">
        <f>(AC33+AB33)/2</f>
        <v>100</v>
      </c>
      <c r="AE33" s="2" t="s">
        <v>288</v>
      </c>
      <c r="AU33" s="2">
        <v>100</v>
      </c>
      <c r="AV33" s="2">
        <v>200</v>
      </c>
      <c r="AW33" s="2">
        <f>(AV33+AU33)/2</f>
        <v>150</v>
      </c>
      <c r="BA33" s="2" t="s">
        <v>288</v>
      </c>
      <c r="BB33" s="10"/>
      <c r="BC33" s="10"/>
      <c r="BD33" s="10"/>
      <c r="BE33" s="10"/>
      <c r="BF33" s="10"/>
      <c r="BG33" s="10"/>
      <c r="BH33" s="10"/>
      <c r="BI33" s="10"/>
      <c r="BJ33" s="10"/>
      <c r="CF33" s="10"/>
      <c r="CG33" s="10"/>
      <c r="CH33" s="10"/>
      <c r="CI33" s="2" t="s">
        <v>288</v>
      </c>
      <c r="DE33" s="10"/>
      <c r="DF33" s="10"/>
      <c r="DG33" s="10"/>
      <c r="DH33" s="10"/>
      <c r="DI33" s="10"/>
      <c r="DJ33" s="10"/>
      <c r="DK33" s="10"/>
      <c r="DL33" s="10"/>
      <c r="DM33" s="10"/>
      <c r="DN33" s="10"/>
      <c r="DO33" s="10"/>
      <c r="DP33" s="10"/>
      <c r="DQ33" s="10"/>
      <c r="DR33" s="10"/>
      <c r="DS33" s="10"/>
      <c r="DT33" s="10"/>
      <c r="DU33" s="10"/>
      <c r="EM33" s="10"/>
    </row>
    <row r="34" spans="1:87" ht="15.75">
      <c r="A34" s="10"/>
      <c r="F34" s="2" t="s">
        <v>160</v>
      </c>
      <c r="Y34" s="2">
        <f aca="true" t="shared" si="9" ref="Y34:AD34">Y33*Y3</f>
        <v>80.08</v>
      </c>
      <c r="Z34" s="2">
        <f t="shared" si="9"/>
        <v>137.28</v>
      </c>
      <c r="AA34" s="2">
        <f t="shared" si="9"/>
        <v>108.67999999999999</v>
      </c>
      <c r="AB34" s="2">
        <f t="shared" si="9"/>
        <v>91.52</v>
      </c>
      <c r="AC34" s="2">
        <f t="shared" si="9"/>
        <v>137.28</v>
      </c>
      <c r="AD34" s="2">
        <f t="shared" si="9"/>
        <v>114.39999999999999</v>
      </c>
      <c r="AE34" s="2" t="s">
        <v>160</v>
      </c>
      <c r="AU34" s="2">
        <f>AU33*AU3</f>
        <v>95.5</v>
      </c>
      <c r="AV34" s="2">
        <f>AV33*AV3</f>
        <v>191</v>
      </c>
      <c r="AW34" s="2">
        <f>AW33*AW3</f>
        <v>143.25</v>
      </c>
      <c r="BA34" s="2" t="s">
        <v>160</v>
      </c>
      <c r="BB34" s="10"/>
      <c r="BC34" s="10"/>
      <c r="BD34" s="10"/>
      <c r="BE34" s="10"/>
      <c r="BF34" s="10"/>
      <c r="BG34" s="10"/>
      <c r="BH34" s="10"/>
      <c r="BI34" s="10"/>
      <c r="BJ34" s="10"/>
      <c r="CF34" s="10"/>
      <c r="CG34" s="10"/>
      <c r="CH34" s="10"/>
      <c r="CI34" s="2" t="s">
        <v>160</v>
      </c>
    </row>
    <row r="35" spans="1:87" ht="15.75">
      <c r="A35" s="10" t="s">
        <v>291</v>
      </c>
      <c r="C35" s="2" t="s">
        <v>292</v>
      </c>
      <c r="D35" s="2" t="s">
        <v>293</v>
      </c>
      <c r="E35" s="2" t="s">
        <v>294</v>
      </c>
      <c r="F35" s="2" t="s">
        <v>69</v>
      </c>
      <c r="P35" s="2">
        <v>4500</v>
      </c>
      <c r="S35" s="2">
        <v>4500</v>
      </c>
      <c r="AE35" s="10" t="s">
        <v>291</v>
      </c>
      <c r="BA35" s="10" t="s">
        <v>291</v>
      </c>
      <c r="BB35" s="10"/>
      <c r="BC35" s="10"/>
      <c r="BD35" s="10"/>
      <c r="BE35" s="10"/>
      <c r="BF35" s="10"/>
      <c r="BG35" s="10"/>
      <c r="BH35" s="10"/>
      <c r="BI35" s="10"/>
      <c r="BJ35" s="10"/>
      <c r="CF35" s="10"/>
      <c r="CG35" s="10"/>
      <c r="CH35" s="10"/>
      <c r="CI35" s="10" t="s">
        <v>291</v>
      </c>
    </row>
    <row r="36" spans="1:87" ht="15.75">
      <c r="A36" s="10"/>
      <c r="F36" s="2" t="s">
        <v>160</v>
      </c>
      <c r="P36" s="2">
        <f>P35*P3</f>
        <v>10854</v>
      </c>
      <c r="S36" s="2">
        <f>S35*S3</f>
        <v>10854</v>
      </c>
      <c r="AE36" s="2" t="s">
        <v>160</v>
      </c>
      <c r="BA36" s="2" t="s">
        <v>160</v>
      </c>
      <c r="BB36" s="10"/>
      <c r="BC36" s="10"/>
      <c r="BD36" s="10"/>
      <c r="BE36" s="10"/>
      <c r="BF36" s="10"/>
      <c r="BG36" s="10"/>
      <c r="BH36" s="10"/>
      <c r="BI36" s="10"/>
      <c r="BJ36" s="10"/>
      <c r="CF36" s="10"/>
      <c r="CG36" s="10"/>
      <c r="CH36" s="10"/>
      <c r="CI36" s="2" t="s">
        <v>160</v>
      </c>
    </row>
    <row r="37" spans="1:143" ht="15.75">
      <c r="A37" s="10" t="s">
        <v>295</v>
      </c>
      <c r="C37" s="2" t="s">
        <v>296</v>
      </c>
      <c r="D37" s="2" t="s">
        <v>67</v>
      </c>
      <c r="E37" s="2" t="s">
        <v>68</v>
      </c>
      <c r="F37" s="2" t="s">
        <v>69</v>
      </c>
      <c r="AA37" s="2">
        <v>300</v>
      </c>
      <c r="AE37" s="10" t="s">
        <v>295</v>
      </c>
      <c r="BA37" s="10" t="s">
        <v>295</v>
      </c>
      <c r="BB37" s="10"/>
      <c r="BC37" s="10"/>
      <c r="BD37" s="10"/>
      <c r="BE37" s="10"/>
      <c r="BF37" s="10"/>
      <c r="BG37" s="10"/>
      <c r="BH37" s="10"/>
      <c r="BI37" s="10"/>
      <c r="BJ37" s="10"/>
      <c r="CF37" s="10"/>
      <c r="CG37" s="10"/>
      <c r="CH37" s="10"/>
      <c r="CI37" s="10" t="s">
        <v>295</v>
      </c>
      <c r="DE37" s="10"/>
      <c r="DQ37" s="10"/>
      <c r="DR37" s="10"/>
      <c r="DS37" s="10"/>
      <c r="DT37" s="10"/>
      <c r="DU37" s="10"/>
      <c r="EM37" s="10"/>
    </row>
    <row r="38" spans="1:87" ht="15.75">
      <c r="A38" s="10"/>
      <c r="F38" s="2" t="s">
        <v>160</v>
      </c>
      <c r="AA38" s="2">
        <f>AA37*AA3</f>
        <v>343.2</v>
      </c>
      <c r="AE38" s="2" t="s">
        <v>160</v>
      </c>
      <c r="BA38" s="2" t="s">
        <v>160</v>
      </c>
      <c r="BB38" s="10"/>
      <c r="BC38" s="10"/>
      <c r="BD38" s="10"/>
      <c r="BE38" s="10"/>
      <c r="BF38" s="10"/>
      <c r="BG38" s="10"/>
      <c r="BH38" s="10"/>
      <c r="BI38" s="10"/>
      <c r="BJ38" s="10"/>
      <c r="CF38" s="10"/>
      <c r="CG38" s="10"/>
      <c r="CH38" s="10"/>
      <c r="CI38" s="2" t="s">
        <v>160</v>
      </c>
    </row>
    <row r="39" spans="1:87" ht="15.75">
      <c r="A39" s="10" t="s">
        <v>297</v>
      </c>
      <c r="B39" s="2" t="s">
        <v>298</v>
      </c>
      <c r="C39" s="2" t="s">
        <v>299</v>
      </c>
      <c r="D39" s="2" t="s">
        <v>67</v>
      </c>
      <c r="E39" s="2" t="s">
        <v>68</v>
      </c>
      <c r="F39" s="2" t="s">
        <v>69</v>
      </c>
      <c r="AE39" s="10" t="s">
        <v>297</v>
      </c>
      <c r="BA39" s="10" t="s">
        <v>297</v>
      </c>
      <c r="BB39" s="10"/>
      <c r="BC39" s="10"/>
      <c r="BD39" s="10"/>
      <c r="BE39" s="10"/>
      <c r="BF39" s="10"/>
      <c r="BG39" s="10"/>
      <c r="BH39" s="10"/>
      <c r="BI39" s="10"/>
      <c r="BJ39" s="10"/>
      <c r="CF39" s="10"/>
      <c r="CG39" s="10"/>
      <c r="CH39" s="10"/>
      <c r="CI39" s="10" t="s">
        <v>297</v>
      </c>
    </row>
    <row r="40" spans="1:87" ht="15.75">
      <c r="A40" s="10"/>
      <c r="F40" s="2" t="s">
        <v>160</v>
      </c>
      <c r="AE40" s="2" t="s">
        <v>160</v>
      </c>
      <c r="BA40" s="2" t="s">
        <v>160</v>
      </c>
      <c r="BB40" s="10"/>
      <c r="BC40" s="10"/>
      <c r="BD40" s="10"/>
      <c r="BE40" s="10"/>
      <c r="BF40" s="10"/>
      <c r="BG40" s="10"/>
      <c r="BH40" s="10"/>
      <c r="BI40" s="10"/>
      <c r="BJ40" s="10"/>
      <c r="CF40" s="10"/>
      <c r="CG40" s="10"/>
      <c r="CH40" s="10"/>
      <c r="CI40" s="2" t="s">
        <v>160</v>
      </c>
    </row>
    <row r="41" spans="1:143" ht="15.75">
      <c r="A41" s="10" t="s">
        <v>300</v>
      </c>
      <c r="C41" s="2" t="s">
        <v>301</v>
      </c>
      <c r="D41" s="2">
        <v>10</v>
      </c>
      <c r="F41" s="2" t="s">
        <v>69</v>
      </c>
      <c r="J41" s="2">
        <v>20</v>
      </c>
      <c r="K41" s="2">
        <v>35</v>
      </c>
      <c r="L41" s="2">
        <v>28.3</v>
      </c>
      <c r="M41" s="2">
        <v>30</v>
      </c>
      <c r="N41" s="2">
        <v>40</v>
      </c>
      <c r="O41" s="2">
        <v>35.6</v>
      </c>
      <c r="Y41" s="10">
        <v>60</v>
      </c>
      <c r="Z41" s="10">
        <v>80</v>
      </c>
      <c r="AA41" s="10">
        <v>70</v>
      </c>
      <c r="AB41" s="2">
        <v>100</v>
      </c>
      <c r="AC41" s="2">
        <v>110</v>
      </c>
      <c r="AD41" s="2">
        <f>(AC41+AB41)/2</f>
        <v>105</v>
      </c>
      <c r="AE41" s="10" t="s">
        <v>300</v>
      </c>
      <c r="AX41" s="2">
        <v>800</v>
      </c>
      <c r="AY41" s="2">
        <v>1800</v>
      </c>
      <c r="AZ41" s="2">
        <f>(AY41+AX41)/2</f>
        <v>1300</v>
      </c>
      <c r="BA41" s="10" t="s">
        <v>300</v>
      </c>
      <c r="BB41" s="10"/>
      <c r="BC41" s="10"/>
      <c r="BD41" s="10"/>
      <c r="BE41" s="10"/>
      <c r="BF41" s="10"/>
      <c r="BG41" s="10"/>
      <c r="BH41" s="10"/>
      <c r="BI41" s="10"/>
      <c r="BJ41" s="10"/>
      <c r="CF41" s="10"/>
      <c r="CG41" s="10"/>
      <c r="CH41" s="10"/>
      <c r="CI41" s="10" t="s">
        <v>300</v>
      </c>
      <c r="CJ41" s="10"/>
      <c r="CK41" s="10"/>
      <c r="DE41" s="10"/>
      <c r="DI41" s="10"/>
      <c r="DJ41" s="10"/>
      <c r="DK41" s="10"/>
      <c r="DL41" s="10"/>
      <c r="DM41" s="10"/>
      <c r="DN41" s="10"/>
      <c r="DO41" s="10"/>
      <c r="DP41" s="10"/>
      <c r="DQ41" s="10"/>
      <c r="DR41" s="10"/>
      <c r="DS41" s="10"/>
      <c r="DT41" s="10"/>
      <c r="DU41" s="10"/>
      <c r="EM41" s="10"/>
    </row>
    <row r="42" spans="1:87" ht="15.75">
      <c r="A42" s="10"/>
      <c r="F42" s="2" t="s">
        <v>160</v>
      </c>
      <c r="J42" s="2">
        <f aca="true" t="shared" si="10" ref="J42:O42">J41*J3</f>
        <v>75.03999999999999</v>
      </c>
      <c r="K42" s="2">
        <f t="shared" si="10"/>
        <v>131.32</v>
      </c>
      <c r="L42" s="2">
        <f t="shared" si="10"/>
        <v>106.1816</v>
      </c>
      <c r="M42" s="2">
        <f t="shared" si="10"/>
        <v>112.55999999999999</v>
      </c>
      <c r="N42" s="2">
        <f t="shared" si="10"/>
        <v>150.07999999999998</v>
      </c>
      <c r="O42" s="2">
        <f t="shared" si="10"/>
        <v>133.5712</v>
      </c>
      <c r="Y42" s="2">
        <f aca="true" t="shared" si="11" ref="Y42:AD42">Y41*Y3</f>
        <v>68.64</v>
      </c>
      <c r="Z42" s="2">
        <f t="shared" si="11"/>
        <v>91.52</v>
      </c>
      <c r="AA42" s="2">
        <f t="shared" si="11"/>
        <v>80.08</v>
      </c>
      <c r="AB42" s="2">
        <f t="shared" si="11"/>
        <v>114.39999999999999</v>
      </c>
      <c r="AC42" s="2">
        <f t="shared" si="11"/>
        <v>125.83999999999999</v>
      </c>
      <c r="AD42" s="2">
        <f t="shared" si="11"/>
        <v>120.11999999999999</v>
      </c>
      <c r="AE42" s="2" t="s">
        <v>160</v>
      </c>
      <c r="AX42" s="2">
        <f>AX41*AX3</f>
        <v>574.4</v>
      </c>
      <c r="AY42" s="2">
        <f>AY41*AY3</f>
        <v>1292.3999999999999</v>
      </c>
      <c r="AZ42" s="2">
        <f>AZ41*AZ3</f>
        <v>933.4</v>
      </c>
      <c r="BA42" s="2" t="s">
        <v>160</v>
      </c>
      <c r="BB42" s="10"/>
      <c r="BC42" s="10"/>
      <c r="BD42" s="10"/>
      <c r="BE42" s="10"/>
      <c r="BF42" s="10"/>
      <c r="BG42" s="10"/>
      <c r="BH42" s="10"/>
      <c r="BI42" s="10"/>
      <c r="BJ42" s="10"/>
      <c r="CF42" s="10"/>
      <c r="CG42" s="10"/>
      <c r="CH42" s="10"/>
      <c r="CI42" s="2" t="s">
        <v>160</v>
      </c>
    </row>
    <row r="43" spans="1:87" ht="15.75">
      <c r="A43" s="10" t="s">
        <v>302</v>
      </c>
      <c r="C43" s="2" t="s">
        <v>303</v>
      </c>
      <c r="D43" s="2" t="s">
        <v>67</v>
      </c>
      <c r="E43" s="2" t="s">
        <v>68</v>
      </c>
      <c r="F43" s="2" t="s">
        <v>69</v>
      </c>
      <c r="U43" s="2">
        <v>450</v>
      </c>
      <c r="X43" s="2">
        <v>450</v>
      </c>
      <c r="AA43" s="2">
        <v>560</v>
      </c>
      <c r="AB43" s="2">
        <v>600</v>
      </c>
      <c r="AC43" s="2">
        <v>800</v>
      </c>
      <c r="AD43" s="2">
        <f>(AC43+AB43)/2</f>
        <v>700</v>
      </c>
      <c r="AE43" s="10" t="s">
        <v>302</v>
      </c>
      <c r="AU43" s="2">
        <v>1600</v>
      </c>
      <c r="AV43" s="2">
        <v>2000</v>
      </c>
      <c r="AW43" s="2">
        <f>(AV43+AU43)/2</f>
        <v>1800</v>
      </c>
      <c r="BA43" s="10" t="s">
        <v>302</v>
      </c>
      <c r="BB43" s="10"/>
      <c r="BC43" s="10"/>
      <c r="BD43" s="10"/>
      <c r="BE43" s="10"/>
      <c r="BF43" s="10"/>
      <c r="BG43" s="10"/>
      <c r="BH43" s="10"/>
      <c r="BI43" s="10"/>
      <c r="BJ43" s="10"/>
      <c r="CF43" s="10"/>
      <c r="CG43" s="10"/>
      <c r="CH43" s="10"/>
      <c r="CI43" s="10" t="s">
        <v>302</v>
      </c>
    </row>
    <row r="44" spans="1:87" ht="15.75">
      <c r="A44" s="10"/>
      <c r="F44" s="2" t="s">
        <v>160</v>
      </c>
      <c r="U44" s="2">
        <f>U43*U3</f>
        <v>1085.3999999999999</v>
      </c>
      <c r="X44" s="2">
        <f>X43*X3</f>
        <v>738.45</v>
      </c>
      <c r="AA44" s="2">
        <f>AA43*AA3</f>
        <v>640.64</v>
      </c>
      <c r="AB44" s="2">
        <f>AB43*AB3</f>
        <v>686.4</v>
      </c>
      <c r="AC44" s="2">
        <f>AC43*AC3</f>
        <v>915.1999999999999</v>
      </c>
      <c r="AD44" s="2">
        <f>AD43*AD3</f>
        <v>800.8</v>
      </c>
      <c r="AE44" s="2" t="s">
        <v>160</v>
      </c>
      <c r="AU44" s="2">
        <f>AU43*AU3</f>
        <v>1528</v>
      </c>
      <c r="AV44" s="2">
        <f>AV43*AV3</f>
        <v>1910</v>
      </c>
      <c r="AW44" s="2">
        <f>AW43*AW3</f>
        <v>1719</v>
      </c>
      <c r="BA44" s="2" t="s">
        <v>160</v>
      </c>
      <c r="BB44" s="10"/>
      <c r="BC44" s="10"/>
      <c r="BD44" s="10"/>
      <c r="BE44" s="10"/>
      <c r="BF44" s="10"/>
      <c r="BG44" s="10"/>
      <c r="BH44" s="10"/>
      <c r="BI44" s="10"/>
      <c r="BJ44" s="10"/>
      <c r="CF44" s="10"/>
      <c r="CG44" s="10"/>
      <c r="CH44" s="10"/>
      <c r="CI44" s="2" t="s">
        <v>160</v>
      </c>
    </row>
    <row r="45" spans="1:143" ht="15.75">
      <c r="A45" s="10" t="s">
        <v>304</v>
      </c>
      <c r="B45" s="2" t="s">
        <v>305</v>
      </c>
      <c r="C45" s="2" t="s">
        <v>306</v>
      </c>
      <c r="D45" s="2" t="s">
        <v>67</v>
      </c>
      <c r="E45" s="2" t="s">
        <v>68</v>
      </c>
      <c r="F45" s="2" t="s">
        <v>69</v>
      </c>
      <c r="Y45" s="2">
        <v>140</v>
      </c>
      <c r="Z45" s="2">
        <v>160</v>
      </c>
      <c r="AA45" s="2">
        <f>(Z45+Y45)/2</f>
        <v>150</v>
      </c>
      <c r="AB45" s="2">
        <v>140</v>
      </c>
      <c r="AC45" s="2">
        <v>160</v>
      </c>
      <c r="AD45" s="2">
        <f>(AC45+AB45)/2</f>
        <v>150</v>
      </c>
      <c r="AE45" s="10" t="s">
        <v>304</v>
      </c>
      <c r="AU45" s="2">
        <v>270</v>
      </c>
      <c r="AV45" s="2">
        <v>290</v>
      </c>
      <c r="AW45" s="2">
        <f>(AV45+AU45)/2</f>
        <v>280</v>
      </c>
      <c r="AX45" s="2">
        <v>270</v>
      </c>
      <c r="AY45" s="2">
        <v>400</v>
      </c>
      <c r="AZ45" s="2">
        <f>(AY45+AX45)/2</f>
        <v>335</v>
      </c>
      <c r="BA45" s="10" t="s">
        <v>304</v>
      </c>
      <c r="BB45" s="10"/>
      <c r="BC45" s="10"/>
      <c r="BD45" s="10"/>
      <c r="BE45" s="10"/>
      <c r="BF45" s="10"/>
      <c r="BG45" s="10"/>
      <c r="BH45" s="10"/>
      <c r="BI45" s="10"/>
      <c r="BJ45" s="10"/>
      <c r="BM45" s="2">
        <v>650</v>
      </c>
      <c r="BO45" s="10"/>
      <c r="BP45" s="10"/>
      <c r="BQ45" s="10"/>
      <c r="BR45" s="10"/>
      <c r="BS45" s="10"/>
      <c r="BT45" s="10"/>
      <c r="BU45" s="10"/>
      <c r="BV45" s="10"/>
      <c r="BW45" s="10"/>
      <c r="BX45" s="10"/>
      <c r="BY45" s="10"/>
      <c r="CF45" s="10"/>
      <c r="CG45" s="10"/>
      <c r="CH45" s="10"/>
      <c r="CI45" s="10" t="s">
        <v>304</v>
      </c>
      <c r="DE45" s="10"/>
      <c r="DP45" s="10"/>
      <c r="DQ45" s="10"/>
      <c r="DR45" s="10"/>
      <c r="DS45" s="10"/>
      <c r="DT45" s="10"/>
      <c r="DU45" s="10"/>
      <c r="EM45" s="10"/>
    </row>
    <row r="46" spans="1:87" ht="15.75">
      <c r="A46" s="10" t="s">
        <v>304</v>
      </c>
      <c r="B46" s="2" t="s">
        <v>305</v>
      </c>
      <c r="F46" s="2" t="s">
        <v>160</v>
      </c>
      <c r="Y46" s="2">
        <f aca="true" t="shared" si="12" ref="Y46:AD46">Y45*Y3</f>
        <v>160.16</v>
      </c>
      <c r="Z46" s="2">
        <f t="shared" si="12"/>
        <v>183.04</v>
      </c>
      <c r="AA46" s="2">
        <f t="shared" si="12"/>
        <v>171.6</v>
      </c>
      <c r="AB46" s="2">
        <f t="shared" si="12"/>
        <v>160.16</v>
      </c>
      <c r="AC46" s="2">
        <f t="shared" si="12"/>
        <v>183.04</v>
      </c>
      <c r="AD46" s="2">
        <f t="shared" si="12"/>
        <v>171.6</v>
      </c>
      <c r="AE46" s="2" t="s">
        <v>160</v>
      </c>
      <c r="AU46" s="2">
        <f aca="true" t="shared" si="13" ref="AU46:AZ46">AU45*AU3</f>
        <v>257.84999999999997</v>
      </c>
      <c r="AV46" s="2">
        <f t="shared" si="13"/>
        <v>276.95</v>
      </c>
      <c r="AW46" s="2">
        <f t="shared" si="13"/>
        <v>267.4</v>
      </c>
      <c r="AX46" s="2">
        <f t="shared" si="13"/>
        <v>193.85999999999999</v>
      </c>
      <c r="AY46" s="2">
        <f t="shared" si="13"/>
        <v>287.2</v>
      </c>
      <c r="AZ46" s="2">
        <f t="shared" si="13"/>
        <v>240.53</v>
      </c>
      <c r="BA46" s="2" t="s">
        <v>160</v>
      </c>
      <c r="BB46" s="10"/>
      <c r="BC46" s="10"/>
      <c r="BD46" s="10"/>
      <c r="BE46" s="10"/>
      <c r="BF46" s="10"/>
      <c r="BG46" s="10"/>
      <c r="BH46" s="10"/>
      <c r="BI46" s="10"/>
      <c r="BJ46" s="10"/>
      <c r="BM46" s="2">
        <f>BM45*BM3</f>
        <v>400.20500000000004</v>
      </c>
      <c r="BO46" s="10"/>
      <c r="BP46" s="10"/>
      <c r="BQ46" s="10"/>
      <c r="BR46" s="10"/>
      <c r="BS46" s="10"/>
      <c r="BT46" s="10"/>
      <c r="BU46" s="10"/>
      <c r="BV46" s="10"/>
      <c r="BW46" s="10"/>
      <c r="BX46" s="10"/>
      <c r="BY46" s="10"/>
      <c r="CF46" s="10"/>
      <c r="CG46" s="10"/>
      <c r="CH46" s="10"/>
      <c r="CI46" s="2" t="s">
        <v>160</v>
      </c>
    </row>
    <row r="47" spans="1:62" ht="15.75">
      <c r="A47" s="10" t="s">
        <v>304</v>
      </c>
      <c r="B47" s="2" t="s">
        <v>305</v>
      </c>
      <c r="F47" s="2" t="s">
        <v>140</v>
      </c>
      <c r="Y47" s="7">
        <f aca="true" t="shared" si="14" ref="Y47:AD47">0.18*Y46/16.38</f>
        <v>1.76</v>
      </c>
      <c r="Z47" s="7">
        <f t="shared" si="14"/>
        <v>2.011428571428571</v>
      </c>
      <c r="AA47" s="8">
        <f t="shared" si="14"/>
        <v>1.8857142857142857</v>
      </c>
      <c r="AB47" s="7">
        <f t="shared" si="14"/>
        <v>1.76</v>
      </c>
      <c r="AC47" s="7">
        <f t="shared" si="14"/>
        <v>2.011428571428571</v>
      </c>
      <c r="AD47" s="7">
        <f t="shared" si="14"/>
        <v>1.8857142857142857</v>
      </c>
      <c r="AU47" s="7">
        <f aca="true" t="shared" si="15" ref="AU47:AZ47">0.18*AU46/16.38</f>
        <v>2.833516483516483</v>
      </c>
      <c r="AV47" s="7">
        <f t="shared" si="15"/>
        <v>3.0434065934065937</v>
      </c>
      <c r="AW47" s="7">
        <f t="shared" si="15"/>
        <v>2.9384615384615382</v>
      </c>
      <c r="AX47" s="7">
        <f t="shared" si="15"/>
        <v>2.13032967032967</v>
      </c>
      <c r="AY47" s="7">
        <f t="shared" si="15"/>
        <v>3.156043956043956</v>
      </c>
      <c r="AZ47" s="8">
        <f t="shared" si="15"/>
        <v>2.6431868131868135</v>
      </c>
      <c r="BA47" s="2" t="s">
        <v>140</v>
      </c>
      <c r="BB47" s="10"/>
      <c r="BC47" s="10"/>
      <c r="BD47" s="10"/>
      <c r="BE47" s="10"/>
      <c r="BF47" s="10"/>
      <c r="BG47" s="10"/>
      <c r="BH47" s="10"/>
      <c r="BI47" s="10"/>
      <c r="BJ47" s="10"/>
    </row>
    <row r="48" ht="15.75">
      <c r="A48" s="10"/>
    </row>
    <row r="49" spans="1:86" ht="15.75">
      <c r="A49" s="10"/>
      <c r="G49" s="11" t="s">
        <v>317</v>
      </c>
      <c r="H49" s="11" t="s">
        <v>317</v>
      </c>
      <c r="I49" s="11" t="s">
        <v>317</v>
      </c>
      <c r="J49" s="11" t="s">
        <v>181</v>
      </c>
      <c r="K49" s="11" t="s">
        <v>181</v>
      </c>
      <c r="L49" s="11" t="s">
        <v>181</v>
      </c>
      <c r="M49" s="11" t="s">
        <v>259</v>
      </c>
      <c r="N49" s="11" t="s">
        <v>259</v>
      </c>
      <c r="O49" s="11" t="s">
        <v>259</v>
      </c>
      <c r="P49" s="11" t="s">
        <v>182</v>
      </c>
      <c r="Q49" s="11" t="s">
        <v>182</v>
      </c>
      <c r="R49" s="11" t="s">
        <v>182</v>
      </c>
      <c r="S49" s="11" t="s">
        <v>183</v>
      </c>
      <c r="T49" s="11" t="s">
        <v>183</v>
      </c>
      <c r="U49" s="11" t="s">
        <v>183</v>
      </c>
      <c r="V49" s="11" t="s">
        <v>184</v>
      </c>
      <c r="W49" s="11" t="s">
        <v>184</v>
      </c>
      <c r="X49" s="11" t="s">
        <v>184</v>
      </c>
      <c r="Y49" s="11" t="s">
        <v>185</v>
      </c>
      <c r="Z49" s="11" t="s">
        <v>185</v>
      </c>
      <c r="AA49" s="11" t="s">
        <v>185</v>
      </c>
      <c r="AB49" s="11" t="s">
        <v>186</v>
      </c>
      <c r="AC49" s="11" t="s">
        <v>186</v>
      </c>
      <c r="AD49" s="11" t="s">
        <v>186</v>
      </c>
      <c r="AE49" s="11"/>
      <c r="AF49" s="11" t="s">
        <v>196</v>
      </c>
      <c r="AG49" s="11" t="s">
        <v>196</v>
      </c>
      <c r="AH49" s="11" t="s">
        <v>196</v>
      </c>
      <c r="AI49" s="11" t="s">
        <v>197</v>
      </c>
      <c r="AJ49" s="11" t="s">
        <v>197</v>
      </c>
      <c r="AK49" s="11" t="s">
        <v>197</v>
      </c>
      <c r="AL49" s="11" t="s">
        <v>198</v>
      </c>
      <c r="AM49" s="11" t="s">
        <v>198</v>
      </c>
      <c r="AN49" s="11" t="s">
        <v>198</v>
      </c>
      <c r="AO49" s="11" t="s">
        <v>199</v>
      </c>
      <c r="AP49" s="11" t="s">
        <v>199</v>
      </c>
      <c r="AQ49" s="11" t="s">
        <v>199</v>
      </c>
      <c r="AR49" s="11" t="s">
        <v>200</v>
      </c>
      <c r="AS49" s="11" t="s">
        <v>200</v>
      </c>
      <c r="AT49" s="11" t="s">
        <v>200</v>
      </c>
      <c r="AU49" s="11" t="s">
        <v>201</v>
      </c>
      <c r="AV49" s="11" t="s">
        <v>201</v>
      </c>
      <c r="AW49" s="11" t="s">
        <v>201</v>
      </c>
      <c r="AX49" s="11" t="s">
        <v>266</v>
      </c>
      <c r="AY49" s="11" t="s">
        <v>266</v>
      </c>
      <c r="AZ49" s="11" t="s">
        <v>266</v>
      </c>
      <c r="BA49" s="11"/>
      <c r="BB49" s="11" t="s">
        <v>261</v>
      </c>
      <c r="BC49" s="11" t="s">
        <v>261</v>
      </c>
      <c r="BD49" s="11" t="s">
        <v>261</v>
      </c>
      <c r="BE49" s="11" t="s">
        <v>390</v>
      </c>
      <c r="BF49" s="11" t="s">
        <v>390</v>
      </c>
      <c r="BG49" s="11" t="s">
        <v>390</v>
      </c>
      <c r="BH49" s="11" t="s">
        <v>391</v>
      </c>
      <c r="BI49" s="11" t="s">
        <v>391</v>
      </c>
      <c r="BJ49" s="11" t="s">
        <v>391</v>
      </c>
      <c r="BK49" s="11" t="s">
        <v>267</v>
      </c>
      <c r="BL49" s="11" t="s">
        <v>267</v>
      </c>
      <c r="BM49" s="11" t="s">
        <v>267</v>
      </c>
      <c r="BN49" s="11" t="s">
        <v>268</v>
      </c>
      <c r="BO49" s="11" t="s">
        <v>268</v>
      </c>
      <c r="BP49" s="11" t="s">
        <v>268</v>
      </c>
      <c r="BQ49" s="11" t="s">
        <v>269</v>
      </c>
      <c r="BR49" s="11" t="s">
        <v>269</v>
      </c>
      <c r="BS49" s="11" t="s">
        <v>269</v>
      </c>
      <c r="BT49" s="11" t="s">
        <v>270</v>
      </c>
      <c r="BU49" s="11" t="s">
        <v>270</v>
      </c>
      <c r="BV49" s="11" t="s">
        <v>270</v>
      </c>
      <c r="BW49" s="11" t="s">
        <v>271</v>
      </c>
      <c r="BX49" s="11" t="s">
        <v>271</v>
      </c>
      <c r="BY49" s="11" t="s">
        <v>271</v>
      </c>
      <c r="BZ49" s="11" t="s">
        <v>272</v>
      </c>
      <c r="CA49" s="11" t="s">
        <v>272</v>
      </c>
      <c r="CB49" s="11" t="s">
        <v>272</v>
      </c>
      <c r="CC49" s="11" t="s">
        <v>273</v>
      </c>
      <c r="CD49" s="11" t="s">
        <v>273</v>
      </c>
      <c r="CE49" s="11" t="s">
        <v>273</v>
      </c>
      <c r="CF49" s="11" t="s">
        <v>274</v>
      </c>
      <c r="CG49" s="11" t="s">
        <v>274</v>
      </c>
      <c r="CH49" s="11" t="s">
        <v>274</v>
      </c>
    </row>
    <row r="50" spans="1:143" ht="15.75">
      <c r="A50" s="10" t="s">
        <v>307</v>
      </c>
      <c r="C50" s="2" t="s">
        <v>308</v>
      </c>
      <c r="D50" s="2" t="s">
        <v>67</v>
      </c>
      <c r="E50" s="2" t="s">
        <v>68</v>
      </c>
      <c r="F50" s="2" t="s">
        <v>69</v>
      </c>
      <c r="AB50" s="2">
        <v>50</v>
      </c>
      <c r="AC50" s="2">
        <v>90</v>
      </c>
      <c r="AD50" s="2">
        <f>(AC50+AB50)/2</f>
        <v>70</v>
      </c>
      <c r="AE50" s="10" t="s">
        <v>307</v>
      </c>
      <c r="AX50" s="2">
        <v>120</v>
      </c>
      <c r="AY50" s="2">
        <v>330</v>
      </c>
      <c r="AZ50" s="2">
        <f>(AY50+AX50)/2</f>
        <v>225</v>
      </c>
      <c r="BA50" s="10" t="s">
        <v>307</v>
      </c>
      <c r="BB50" s="10"/>
      <c r="BC50" s="10"/>
      <c r="BD50" s="10"/>
      <c r="BE50" s="10"/>
      <c r="BF50" s="10"/>
      <c r="BG50" s="10"/>
      <c r="BH50" s="10"/>
      <c r="BI50" s="10"/>
      <c r="BJ50" s="10"/>
      <c r="CF50" s="10"/>
      <c r="CG50" s="10"/>
      <c r="CH50" s="10"/>
      <c r="CI50" s="10" t="s">
        <v>307</v>
      </c>
      <c r="DE50" s="10"/>
      <c r="DI50" s="10"/>
      <c r="DJ50" s="10"/>
      <c r="DK50" s="10"/>
      <c r="DL50" s="10"/>
      <c r="DM50" s="10"/>
      <c r="DN50" s="10"/>
      <c r="DO50" s="10"/>
      <c r="DP50" s="10"/>
      <c r="DQ50" s="10"/>
      <c r="DR50" s="10"/>
      <c r="DS50" s="10"/>
      <c r="DT50" s="10"/>
      <c r="DU50" s="10"/>
      <c r="EM50" s="10"/>
    </row>
    <row r="51" spans="1:87" ht="15.75">
      <c r="A51" s="10"/>
      <c r="F51" s="2" t="s">
        <v>160</v>
      </c>
      <c r="AB51" s="2">
        <f>AB50*AB3</f>
        <v>57.199999999999996</v>
      </c>
      <c r="AC51" s="2">
        <f>AC50*AC3</f>
        <v>102.96</v>
      </c>
      <c r="AD51" s="2">
        <f>AD50*AD3</f>
        <v>80.08</v>
      </c>
      <c r="AE51" s="2" t="s">
        <v>160</v>
      </c>
      <c r="AX51" s="2">
        <f>AX50*AX3</f>
        <v>86.16</v>
      </c>
      <c r="AY51" s="2">
        <f>AY50*AY3</f>
        <v>236.94</v>
      </c>
      <c r="AZ51" s="2">
        <f>AZ50*AZ3</f>
        <v>161.54999999999998</v>
      </c>
      <c r="BA51" s="2" t="s">
        <v>160</v>
      </c>
      <c r="BB51" s="10"/>
      <c r="BC51" s="10"/>
      <c r="BD51" s="10"/>
      <c r="BE51" s="10"/>
      <c r="BF51" s="10"/>
      <c r="BG51" s="10"/>
      <c r="BH51" s="10"/>
      <c r="BI51" s="10"/>
      <c r="BJ51" s="10"/>
      <c r="CF51" s="10"/>
      <c r="CG51" s="10"/>
      <c r="CH51" s="10"/>
      <c r="CI51" s="2" t="s">
        <v>160</v>
      </c>
    </row>
    <row r="52" spans="1:87" ht="15.75">
      <c r="A52" s="10"/>
      <c r="C52" s="2" t="s">
        <v>308</v>
      </c>
      <c r="D52" s="2" t="s">
        <v>309</v>
      </c>
      <c r="F52" s="2" t="s">
        <v>69</v>
      </c>
      <c r="J52" s="2">
        <v>15</v>
      </c>
      <c r="K52" s="2">
        <v>30</v>
      </c>
      <c r="L52" s="2">
        <v>23.8</v>
      </c>
      <c r="M52" s="2">
        <v>20</v>
      </c>
      <c r="N52" s="2">
        <v>27</v>
      </c>
      <c r="O52" s="2">
        <v>23.5</v>
      </c>
      <c r="R52" s="2">
        <v>100</v>
      </c>
      <c r="U52" s="2">
        <v>100</v>
      </c>
      <c r="AE52" s="10"/>
      <c r="AT52" s="2">
        <v>80</v>
      </c>
      <c r="BA52" s="10"/>
      <c r="BB52" s="10"/>
      <c r="BC52" s="10"/>
      <c r="BD52" s="10"/>
      <c r="BE52" s="10"/>
      <c r="BF52" s="10"/>
      <c r="BG52" s="10"/>
      <c r="BH52" s="10"/>
      <c r="BI52" s="10"/>
      <c r="BJ52" s="10"/>
      <c r="CF52" s="10"/>
      <c r="CG52" s="10"/>
      <c r="CH52" s="10"/>
      <c r="CI52" s="10"/>
    </row>
    <row r="53" spans="1:87" ht="15.75">
      <c r="A53" s="10"/>
      <c r="F53" s="2" t="s">
        <v>160</v>
      </c>
      <c r="G53" s="2">
        <f aca="true" t="shared" si="16" ref="G53:O53">G52*G3</f>
        <v>0</v>
      </c>
      <c r="H53" s="2">
        <f t="shared" si="16"/>
        <v>0</v>
      </c>
      <c r="I53" s="2">
        <f t="shared" si="16"/>
        <v>0</v>
      </c>
      <c r="J53" s="2">
        <f t="shared" si="16"/>
        <v>56.279999999999994</v>
      </c>
      <c r="K53" s="2">
        <f t="shared" si="16"/>
        <v>112.55999999999999</v>
      </c>
      <c r="L53" s="2">
        <f t="shared" si="16"/>
        <v>89.2976</v>
      </c>
      <c r="M53" s="2">
        <f t="shared" si="16"/>
        <v>75.03999999999999</v>
      </c>
      <c r="N53" s="2">
        <f t="shared" si="16"/>
        <v>101.30399999999999</v>
      </c>
      <c r="O53" s="2">
        <f t="shared" si="16"/>
        <v>88.172</v>
      </c>
      <c r="R53" s="2">
        <f>R52*R3</f>
        <v>241.2</v>
      </c>
      <c r="S53" s="2">
        <f>S52*S3</f>
        <v>0</v>
      </c>
      <c r="T53" s="2">
        <f>T52*T3</f>
        <v>0</v>
      </c>
      <c r="U53" s="2">
        <f>U52*U3</f>
        <v>241.2</v>
      </c>
      <c r="AE53" s="2" t="s">
        <v>160</v>
      </c>
      <c r="AT53" s="2">
        <f>AT52*AT3</f>
        <v>78.8</v>
      </c>
      <c r="BA53" s="10"/>
      <c r="BB53" s="10"/>
      <c r="BC53" s="10"/>
      <c r="BD53" s="10"/>
      <c r="BE53" s="10"/>
      <c r="BF53" s="10"/>
      <c r="BG53" s="10"/>
      <c r="BH53" s="10"/>
      <c r="BI53" s="10"/>
      <c r="BJ53" s="10"/>
      <c r="CF53" s="10"/>
      <c r="CG53" s="10"/>
      <c r="CH53" s="10"/>
      <c r="CI53" s="2" t="s">
        <v>160</v>
      </c>
    </row>
    <row r="54" spans="1:143" ht="15.75">
      <c r="A54" s="10" t="s">
        <v>310</v>
      </c>
      <c r="B54" s="2" t="s">
        <v>311</v>
      </c>
      <c r="C54" s="2" t="s">
        <v>281</v>
      </c>
      <c r="D54" s="2" t="s">
        <v>52</v>
      </c>
      <c r="F54" s="2" t="s">
        <v>69</v>
      </c>
      <c r="AD54" s="2">
        <v>70</v>
      </c>
      <c r="AE54" s="10" t="s">
        <v>310</v>
      </c>
      <c r="AU54" s="2">
        <v>180</v>
      </c>
      <c r="AV54" s="2">
        <v>200</v>
      </c>
      <c r="AW54" s="2">
        <f>(AV54+AU54)/2</f>
        <v>190</v>
      </c>
      <c r="BA54" s="10" t="s">
        <v>310</v>
      </c>
      <c r="BB54" s="10"/>
      <c r="BC54" s="10"/>
      <c r="BD54" s="10"/>
      <c r="BE54" s="10"/>
      <c r="BF54" s="10"/>
      <c r="BG54" s="10"/>
      <c r="BH54" s="10"/>
      <c r="BI54" s="10"/>
      <c r="BJ54" s="10"/>
      <c r="CF54" s="10"/>
      <c r="CG54" s="10"/>
      <c r="CH54" s="10"/>
      <c r="CI54" s="10" t="s">
        <v>310</v>
      </c>
      <c r="DE54" s="10"/>
      <c r="DQ54" s="10"/>
      <c r="DR54" s="10"/>
      <c r="DS54" s="10"/>
      <c r="DT54" s="10"/>
      <c r="DU54" s="10"/>
      <c r="EM54" s="10"/>
    </row>
    <row r="55" spans="1:87" ht="15.75">
      <c r="A55" s="10"/>
      <c r="F55" s="2" t="s">
        <v>160</v>
      </c>
      <c r="AD55" s="2">
        <f>AD54*AD3</f>
        <v>80.08</v>
      </c>
      <c r="AE55" s="2" t="s">
        <v>160</v>
      </c>
      <c r="AU55" s="2">
        <f>AU54*AU3</f>
        <v>171.9</v>
      </c>
      <c r="AV55" s="2">
        <f>AV54*AV3</f>
        <v>191</v>
      </c>
      <c r="AW55" s="2">
        <f>AW54*AW3</f>
        <v>181.45</v>
      </c>
      <c r="BA55" s="2" t="s">
        <v>160</v>
      </c>
      <c r="BB55" s="10"/>
      <c r="BC55" s="10"/>
      <c r="BD55" s="10"/>
      <c r="BE55" s="10"/>
      <c r="BF55" s="10"/>
      <c r="BG55" s="10"/>
      <c r="BH55" s="10"/>
      <c r="BI55" s="10"/>
      <c r="BJ55" s="10"/>
      <c r="CF55" s="10"/>
      <c r="CG55" s="10"/>
      <c r="CH55" s="10"/>
      <c r="CI55" s="2" t="s">
        <v>160</v>
      </c>
    </row>
    <row r="56" spans="1:86" ht="15.75">
      <c r="A56" s="10"/>
      <c r="B56" s="10" t="s">
        <v>129</v>
      </c>
      <c r="F56" s="2" t="s">
        <v>140</v>
      </c>
      <c r="AD56" s="2">
        <f>0.18*AD55/16.38</f>
        <v>0.88</v>
      </c>
      <c r="AE56" s="2" t="s">
        <v>140</v>
      </c>
      <c r="AU56" s="7">
        <f>0.18*AU55/16.38</f>
        <v>1.8890109890109892</v>
      </c>
      <c r="AV56" s="7">
        <f>0.18*AV55/16.38</f>
        <v>2.0989010989010985</v>
      </c>
      <c r="AW56" s="7">
        <f>0.18*AW55/16.38</f>
        <v>1.9939560439560438</v>
      </c>
      <c r="BA56" s="2" t="s">
        <v>140</v>
      </c>
      <c r="BB56" s="10"/>
      <c r="BC56" s="10"/>
      <c r="BD56" s="10"/>
      <c r="BE56" s="10"/>
      <c r="BF56" s="10"/>
      <c r="BG56" s="10"/>
      <c r="BH56" s="10"/>
      <c r="BI56" s="10"/>
      <c r="BJ56" s="10"/>
      <c r="CF56" s="10"/>
      <c r="CG56" s="10"/>
      <c r="CH56" s="10"/>
    </row>
    <row r="57" spans="1:86" ht="15.75">
      <c r="A57" s="10"/>
      <c r="BB57" s="10"/>
      <c r="BC57" s="10"/>
      <c r="BD57" s="10"/>
      <c r="BE57" s="10"/>
      <c r="BF57" s="10"/>
      <c r="BG57" s="10"/>
      <c r="BH57" s="10"/>
      <c r="BI57" s="10"/>
      <c r="BJ57" s="10"/>
      <c r="CF57" s="10"/>
      <c r="CG57" s="10"/>
      <c r="CH57" s="10"/>
    </row>
    <row r="58" spans="1:87" ht="15.75">
      <c r="A58" s="10"/>
      <c r="B58" s="2" t="s">
        <v>311</v>
      </c>
      <c r="C58" s="2" t="s">
        <v>281</v>
      </c>
      <c r="D58" s="2" t="s">
        <v>195</v>
      </c>
      <c r="F58" s="2" t="s">
        <v>69</v>
      </c>
      <c r="AE58" s="10" t="s">
        <v>252</v>
      </c>
      <c r="BA58" s="10" t="s">
        <v>252</v>
      </c>
      <c r="BB58" s="10"/>
      <c r="BC58" s="10"/>
      <c r="BD58" s="10"/>
      <c r="BE58" s="10"/>
      <c r="BF58" s="10"/>
      <c r="BG58" s="10"/>
      <c r="BH58" s="10"/>
      <c r="BI58" s="10"/>
      <c r="BJ58" s="10"/>
      <c r="CF58" s="10"/>
      <c r="CG58" s="10"/>
      <c r="CH58" s="10"/>
      <c r="CI58" s="10" t="s">
        <v>252</v>
      </c>
    </row>
    <row r="59" spans="1:87" ht="15.75">
      <c r="A59" s="10"/>
      <c r="F59" s="2" t="s">
        <v>160</v>
      </c>
      <c r="AE59" s="2" t="s">
        <v>160</v>
      </c>
      <c r="BA59" s="2" t="s">
        <v>160</v>
      </c>
      <c r="BB59" s="10"/>
      <c r="BC59" s="10"/>
      <c r="BD59" s="10"/>
      <c r="BE59" s="10"/>
      <c r="BF59" s="10"/>
      <c r="BG59" s="10"/>
      <c r="BH59" s="10"/>
      <c r="BI59" s="10"/>
      <c r="BJ59" s="10"/>
      <c r="CF59" s="10"/>
      <c r="CG59" s="10"/>
      <c r="CH59" s="10"/>
      <c r="CI59" s="2" t="s">
        <v>160</v>
      </c>
    </row>
    <row r="60" spans="1:143" ht="15.75">
      <c r="A60" s="10"/>
      <c r="B60" s="2" t="s">
        <v>217</v>
      </c>
      <c r="C60" s="2" t="s">
        <v>218</v>
      </c>
      <c r="D60" s="2" t="s">
        <v>195</v>
      </c>
      <c r="F60" s="2" t="s">
        <v>69</v>
      </c>
      <c r="AE60" s="10" t="s">
        <v>253</v>
      </c>
      <c r="BA60" s="10" t="s">
        <v>253</v>
      </c>
      <c r="BB60" s="10"/>
      <c r="BC60" s="10"/>
      <c r="BD60" s="10"/>
      <c r="BE60" s="10"/>
      <c r="BF60" s="10"/>
      <c r="BG60" s="10"/>
      <c r="BH60" s="10"/>
      <c r="BI60" s="10"/>
      <c r="BJ60" s="10"/>
      <c r="CF60" s="10"/>
      <c r="CG60" s="10"/>
      <c r="CH60" s="10"/>
      <c r="CI60" s="10" t="s">
        <v>253</v>
      </c>
      <c r="DE60" s="10"/>
      <c r="DI60" s="10"/>
      <c r="DJ60" s="10"/>
      <c r="DK60" s="10"/>
      <c r="DL60" s="10"/>
      <c r="DM60" s="10"/>
      <c r="DN60" s="10"/>
      <c r="DO60" s="10"/>
      <c r="DP60" s="10"/>
      <c r="DQ60" s="10"/>
      <c r="DR60" s="10"/>
      <c r="DS60" s="10"/>
      <c r="DT60" s="10"/>
      <c r="DU60" s="10"/>
      <c r="EM60" s="10"/>
    </row>
    <row r="61" spans="1:87" ht="15.75">
      <c r="A61" s="10"/>
      <c r="F61" s="2" t="s">
        <v>160</v>
      </c>
      <c r="AE61" s="2" t="s">
        <v>160</v>
      </c>
      <c r="BA61" s="2" t="s">
        <v>160</v>
      </c>
      <c r="BB61" s="10"/>
      <c r="BC61" s="10"/>
      <c r="BD61" s="10"/>
      <c r="BE61" s="10"/>
      <c r="BF61" s="10"/>
      <c r="BG61" s="10"/>
      <c r="BH61" s="10"/>
      <c r="BI61" s="10"/>
      <c r="BJ61" s="10"/>
      <c r="CF61" s="10"/>
      <c r="CG61" s="10"/>
      <c r="CH61" s="10"/>
      <c r="CI61" s="2" t="s">
        <v>160</v>
      </c>
    </row>
    <row r="62" spans="1:87" ht="15.75">
      <c r="A62" s="10" t="s">
        <v>219</v>
      </c>
      <c r="B62" s="2" t="s">
        <v>220</v>
      </c>
      <c r="C62" s="2" t="s">
        <v>221</v>
      </c>
      <c r="D62" s="2" t="s">
        <v>67</v>
      </c>
      <c r="E62" s="2" t="s">
        <v>68</v>
      </c>
      <c r="F62" s="2" t="s">
        <v>69</v>
      </c>
      <c r="G62" s="10"/>
      <c r="H62" s="10"/>
      <c r="I62" s="10"/>
      <c r="AA62" s="2">
        <v>120</v>
      </c>
      <c r="AB62" s="2">
        <v>100</v>
      </c>
      <c r="AC62" s="2">
        <v>150</v>
      </c>
      <c r="AD62" s="2">
        <f>(AC62+AB62)/2</f>
        <v>125</v>
      </c>
      <c r="AE62" s="10" t="s">
        <v>219</v>
      </c>
      <c r="BA62" s="10" t="s">
        <v>219</v>
      </c>
      <c r="BB62" s="10"/>
      <c r="BC62" s="10"/>
      <c r="BD62" s="10"/>
      <c r="BE62" s="10"/>
      <c r="BF62" s="10"/>
      <c r="BG62" s="10"/>
      <c r="BH62" s="10"/>
      <c r="BI62" s="10"/>
      <c r="BJ62" s="10"/>
      <c r="CF62" s="10"/>
      <c r="CG62" s="10"/>
      <c r="CH62" s="10"/>
      <c r="CI62" s="10" t="s">
        <v>219</v>
      </c>
    </row>
    <row r="63" spans="1:87" ht="15.75">
      <c r="A63" s="10"/>
      <c r="F63" s="2" t="s">
        <v>160</v>
      </c>
      <c r="G63" s="10"/>
      <c r="H63" s="10"/>
      <c r="I63" s="10"/>
      <c r="AA63" s="2">
        <f>AA62*AA3</f>
        <v>137.28</v>
      </c>
      <c r="AB63" s="2">
        <f>AB62*AB3</f>
        <v>114.39999999999999</v>
      </c>
      <c r="AC63" s="2">
        <f>AC62*AC3</f>
        <v>171.6</v>
      </c>
      <c r="AD63" s="2">
        <f>AD62*AD3</f>
        <v>143</v>
      </c>
      <c r="AE63" s="2" t="s">
        <v>160</v>
      </c>
      <c r="BA63" s="2" t="s">
        <v>160</v>
      </c>
      <c r="BB63" s="10"/>
      <c r="BC63" s="10"/>
      <c r="BD63" s="10"/>
      <c r="BE63" s="10"/>
      <c r="BF63" s="10"/>
      <c r="BG63" s="10"/>
      <c r="BH63" s="10"/>
      <c r="BI63" s="10"/>
      <c r="BJ63" s="10"/>
      <c r="CF63" s="10"/>
      <c r="CG63" s="10"/>
      <c r="CH63" s="10"/>
      <c r="CI63" s="10" t="s">
        <v>160</v>
      </c>
    </row>
    <row r="64" spans="1:143" ht="15.75">
      <c r="A64" s="10" t="s">
        <v>227</v>
      </c>
      <c r="B64" s="2" t="s">
        <v>228</v>
      </c>
      <c r="C64" s="2" t="s">
        <v>229</v>
      </c>
      <c r="D64" s="2" t="s">
        <v>230</v>
      </c>
      <c r="E64" s="2">
        <v>2</v>
      </c>
      <c r="F64" s="2" t="s">
        <v>69</v>
      </c>
      <c r="G64" s="10"/>
      <c r="H64" s="10"/>
      <c r="I64" s="10"/>
      <c r="AA64" s="10"/>
      <c r="AB64" s="10"/>
      <c r="AC64" s="10"/>
      <c r="AD64" s="10"/>
      <c r="AE64" s="10" t="s">
        <v>227</v>
      </c>
      <c r="BA64" s="10" t="s">
        <v>227</v>
      </c>
      <c r="BB64" s="10"/>
      <c r="BC64" s="10"/>
      <c r="BD64" s="10"/>
      <c r="BE64" s="10"/>
      <c r="BF64" s="10"/>
      <c r="BG64" s="10"/>
      <c r="BH64" s="10"/>
      <c r="BI64" s="10"/>
      <c r="BJ64" s="10"/>
      <c r="CF64" s="10"/>
      <c r="CG64" s="10"/>
      <c r="CH64" s="10"/>
      <c r="CI64" s="10" t="s">
        <v>227</v>
      </c>
      <c r="CJ64" s="10"/>
      <c r="CK64" s="10"/>
      <c r="DE64" s="10"/>
      <c r="DO64" s="10"/>
      <c r="DP64" s="10"/>
      <c r="DQ64" s="10"/>
      <c r="DR64" s="10"/>
      <c r="DS64" s="10"/>
      <c r="DT64" s="10"/>
      <c r="DU64" s="10"/>
      <c r="EM64" s="10"/>
    </row>
    <row r="65" spans="1:87" ht="15.75">
      <c r="A65" s="10"/>
      <c r="F65" s="2" t="s">
        <v>160</v>
      </c>
      <c r="G65" s="10"/>
      <c r="H65" s="10"/>
      <c r="I65" s="10"/>
      <c r="AA65" s="10"/>
      <c r="AB65" s="10"/>
      <c r="AC65" s="10"/>
      <c r="AD65" s="10"/>
      <c r="AE65" s="2" t="s">
        <v>160</v>
      </c>
      <c r="BA65" s="2" t="s">
        <v>160</v>
      </c>
      <c r="BB65" s="10"/>
      <c r="BC65" s="10"/>
      <c r="BD65" s="10"/>
      <c r="BE65" s="10"/>
      <c r="BF65" s="10"/>
      <c r="BG65" s="10"/>
      <c r="BH65" s="10"/>
      <c r="BI65" s="10"/>
      <c r="BJ65" s="10"/>
      <c r="CF65" s="10"/>
      <c r="CG65" s="10"/>
      <c r="CH65" s="10"/>
      <c r="CI65" s="10" t="s">
        <v>160</v>
      </c>
    </row>
    <row r="66" spans="1:87" ht="15.75">
      <c r="A66" s="10" t="s">
        <v>227</v>
      </c>
      <c r="B66" s="2" t="s">
        <v>231</v>
      </c>
      <c r="C66" s="2" t="s">
        <v>232</v>
      </c>
      <c r="D66" s="2" t="s">
        <v>230</v>
      </c>
      <c r="E66" s="2">
        <v>2</v>
      </c>
      <c r="F66" s="2" t="s">
        <v>69</v>
      </c>
      <c r="G66" s="10"/>
      <c r="H66" s="10"/>
      <c r="I66" s="10"/>
      <c r="J66" s="2">
        <v>6</v>
      </c>
      <c r="K66" s="2">
        <v>13.5</v>
      </c>
      <c r="L66" s="2">
        <v>9.7</v>
      </c>
      <c r="M66" s="2">
        <v>20</v>
      </c>
      <c r="N66" s="2">
        <v>35.5</v>
      </c>
      <c r="O66" s="2">
        <v>25.8</v>
      </c>
      <c r="AD66" s="2">
        <v>60</v>
      </c>
      <c r="AE66" s="10" t="s">
        <v>227</v>
      </c>
      <c r="BA66" s="10" t="s">
        <v>227</v>
      </c>
      <c r="BB66" s="10"/>
      <c r="BC66" s="10"/>
      <c r="BD66" s="10"/>
      <c r="BE66" s="10"/>
      <c r="BF66" s="10"/>
      <c r="BG66" s="10"/>
      <c r="BH66" s="10"/>
      <c r="BI66" s="10"/>
      <c r="BJ66" s="10"/>
      <c r="CF66" s="10"/>
      <c r="CG66" s="10"/>
      <c r="CH66" s="10"/>
      <c r="CI66" s="10" t="s">
        <v>227</v>
      </c>
    </row>
    <row r="67" spans="1:87" ht="15.75">
      <c r="A67" s="10"/>
      <c r="F67" s="2" t="s">
        <v>160</v>
      </c>
      <c r="G67" s="10"/>
      <c r="H67" s="10"/>
      <c r="I67" s="10"/>
      <c r="J67" s="2">
        <f aca="true" t="shared" si="17" ref="J67:O67">J66*J3</f>
        <v>22.512</v>
      </c>
      <c r="K67" s="2">
        <f t="shared" si="17"/>
        <v>50.651999999999994</v>
      </c>
      <c r="L67" s="2">
        <f t="shared" si="17"/>
        <v>36.3944</v>
      </c>
      <c r="M67" s="2">
        <f t="shared" si="17"/>
        <v>75.03999999999999</v>
      </c>
      <c r="N67" s="2">
        <f t="shared" si="17"/>
        <v>133.196</v>
      </c>
      <c r="O67" s="2">
        <f t="shared" si="17"/>
        <v>96.8016</v>
      </c>
      <c r="AD67" s="2">
        <f>AD66*AD3</f>
        <v>68.64</v>
      </c>
      <c r="AE67" s="2" t="s">
        <v>160</v>
      </c>
      <c r="BA67" s="2" t="s">
        <v>160</v>
      </c>
      <c r="BB67" s="10"/>
      <c r="BC67" s="10"/>
      <c r="BD67" s="10"/>
      <c r="BE67" s="10"/>
      <c r="BF67" s="10"/>
      <c r="BG67" s="10"/>
      <c r="BH67" s="10"/>
      <c r="BI67" s="10"/>
      <c r="BJ67" s="10"/>
      <c r="CF67" s="10"/>
      <c r="CG67" s="10"/>
      <c r="CH67" s="10"/>
      <c r="CI67" s="10" t="s">
        <v>160</v>
      </c>
    </row>
    <row r="68" spans="1:143" ht="15.75">
      <c r="A68" s="10" t="s">
        <v>233</v>
      </c>
      <c r="C68" s="2" t="s">
        <v>234</v>
      </c>
      <c r="D68" s="2" t="s">
        <v>230</v>
      </c>
      <c r="E68" s="2">
        <v>2</v>
      </c>
      <c r="F68" s="2" t="s">
        <v>69</v>
      </c>
      <c r="G68" s="10"/>
      <c r="H68" s="10"/>
      <c r="I68" s="10"/>
      <c r="AD68" s="2">
        <v>35</v>
      </c>
      <c r="AE68" s="10" t="s">
        <v>233</v>
      </c>
      <c r="BA68" s="10" t="s">
        <v>233</v>
      </c>
      <c r="BB68" s="10"/>
      <c r="BC68" s="10"/>
      <c r="BD68" s="10"/>
      <c r="BE68" s="10"/>
      <c r="BF68" s="10"/>
      <c r="BG68" s="10"/>
      <c r="BH68" s="10"/>
      <c r="BI68" s="10"/>
      <c r="BJ68" s="10"/>
      <c r="CF68" s="10"/>
      <c r="CG68" s="10"/>
      <c r="CH68" s="10"/>
      <c r="CI68" s="10" t="s">
        <v>233</v>
      </c>
      <c r="CJ68" s="10"/>
      <c r="CK68" s="10"/>
      <c r="DE68" s="10"/>
      <c r="DQ68" s="10"/>
      <c r="DR68" s="10"/>
      <c r="DS68" s="10"/>
      <c r="DT68" s="10"/>
      <c r="DU68" s="10"/>
      <c r="EM68" s="10"/>
    </row>
    <row r="69" spans="1:87" ht="15.75">
      <c r="A69" s="10"/>
      <c r="F69" s="2" t="s">
        <v>160</v>
      </c>
      <c r="G69" s="10"/>
      <c r="H69" s="10"/>
      <c r="I69" s="10"/>
      <c r="J69" s="10"/>
      <c r="K69" s="10"/>
      <c r="L69" s="10"/>
      <c r="M69" s="10"/>
      <c r="N69" s="10"/>
      <c r="O69" s="10"/>
      <c r="AD69" s="2">
        <f>AD68*AD3</f>
        <v>40.04</v>
      </c>
      <c r="AE69" s="2" t="s">
        <v>160</v>
      </c>
      <c r="BA69" s="2" t="s">
        <v>160</v>
      </c>
      <c r="BB69" s="10"/>
      <c r="BC69" s="10"/>
      <c r="BD69" s="10"/>
      <c r="BE69" s="10"/>
      <c r="BF69" s="10"/>
      <c r="BG69" s="10"/>
      <c r="BH69" s="10"/>
      <c r="BI69" s="10"/>
      <c r="BJ69" s="10"/>
      <c r="CF69" s="10"/>
      <c r="CG69" s="10"/>
      <c r="CH69" s="10"/>
      <c r="CI69" s="10" t="s">
        <v>160</v>
      </c>
    </row>
    <row r="70" spans="1:87" ht="15.75">
      <c r="A70" s="10" t="s">
        <v>235</v>
      </c>
      <c r="C70" s="2" t="s">
        <v>236</v>
      </c>
      <c r="D70" s="2" t="s">
        <v>67</v>
      </c>
      <c r="E70" s="2" t="s">
        <v>68</v>
      </c>
      <c r="F70" s="2" t="s">
        <v>69</v>
      </c>
      <c r="G70" s="10"/>
      <c r="H70" s="10"/>
      <c r="I70" s="10"/>
      <c r="J70" s="10"/>
      <c r="K70" s="10"/>
      <c r="L70" s="10"/>
      <c r="M70" s="10"/>
      <c r="N70" s="10"/>
      <c r="O70" s="10"/>
      <c r="R70" s="2">
        <v>350</v>
      </c>
      <c r="U70" s="2">
        <v>350</v>
      </c>
      <c r="Y70" s="2">
        <v>250</v>
      </c>
      <c r="Z70" s="2">
        <v>300</v>
      </c>
      <c r="AA70" s="2">
        <f>(Z70+Y70)/2</f>
        <v>275</v>
      </c>
      <c r="AB70" s="2">
        <v>400</v>
      </c>
      <c r="AC70" s="2">
        <v>430</v>
      </c>
      <c r="AD70" s="2">
        <f>(AC70+AB70)/2</f>
        <v>415</v>
      </c>
      <c r="AE70" s="10" t="s">
        <v>235</v>
      </c>
      <c r="AU70" s="2">
        <v>600</v>
      </c>
      <c r="AV70" s="2">
        <v>990</v>
      </c>
      <c r="AW70" s="2">
        <f>(AV70+AU70)/2</f>
        <v>795</v>
      </c>
      <c r="BA70" s="10" t="s">
        <v>235</v>
      </c>
      <c r="BB70" s="10"/>
      <c r="BC70" s="10"/>
      <c r="BD70" s="10"/>
      <c r="BE70" s="10"/>
      <c r="BF70" s="10"/>
      <c r="BG70" s="10"/>
      <c r="BH70" s="10"/>
      <c r="BI70" s="10"/>
      <c r="BJ70" s="10"/>
      <c r="CF70" s="10"/>
      <c r="CG70" s="10"/>
      <c r="CH70" s="10"/>
      <c r="CI70" s="10" t="s">
        <v>235</v>
      </c>
    </row>
    <row r="71" spans="1:87" ht="15.75">
      <c r="A71" s="10"/>
      <c r="F71" s="2" t="s">
        <v>160</v>
      </c>
      <c r="G71" s="10"/>
      <c r="H71" s="10"/>
      <c r="I71" s="10"/>
      <c r="J71" s="10"/>
      <c r="K71" s="10"/>
      <c r="L71" s="10"/>
      <c r="M71" s="10"/>
      <c r="N71" s="10"/>
      <c r="O71" s="10"/>
      <c r="R71" s="2">
        <f>R70*R3</f>
        <v>844.1999999999999</v>
      </c>
      <c r="U71" s="2">
        <f>U70*U3</f>
        <v>844.1999999999999</v>
      </c>
      <c r="Y71" s="2">
        <f aca="true" t="shared" si="18" ref="Y71:AD71">Y70*Y3</f>
        <v>286</v>
      </c>
      <c r="Z71" s="2">
        <f t="shared" si="18"/>
        <v>343.2</v>
      </c>
      <c r="AA71" s="2">
        <f t="shared" si="18"/>
        <v>314.59999999999997</v>
      </c>
      <c r="AB71" s="2">
        <f t="shared" si="18"/>
        <v>457.59999999999997</v>
      </c>
      <c r="AC71" s="2">
        <f t="shared" si="18"/>
        <v>491.91999999999996</v>
      </c>
      <c r="AD71" s="2">
        <f t="shared" si="18"/>
        <v>474.75999999999993</v>
      </c>
      <c r="AE71" s="2" t="s">
        <v>160</v>
      </c>
      <c r="AU71" s="2">
        <f>AU70*AU3</f>
        <v>573</v>
      </c>
      <c r="AV71" s="2">
        <f>AV70*AV3</f>
        <v>945.4499999999999</v>
      </c>
      <c r="AW71" s="2">
        <f>AW70*AW3</f>
        <v>759.225</v>
      </c>
      <c r="BA71" s="2" t="s">
        <v>160</v>
      </c>
      <c r="BB71" s="10"/>
      <c r="BC71" s="10"/>
      <c r="BD71" s="10"/>
      <c r="BE71" s="10"/>
      <c r="BF71" s="10"/>
      <c r="BG71" s="10"/>
      <c r="BH71" s="10"/>
      <c r="BI71" s="10"/>
      <c r="BJ71" s="10"/>
      <c r="CF71" s="10"/>
      <c r="CG71" s="10"/>
      <c r="CH71" s="10"/>
      <c r="CI71" s="10" t="s">
        <v>160</v>
      </c>
    </row>
    <row r="72" spans="1:143" ht="15.75">
      <c r="A72" s="10" t="s">
        <v>237</v>
      </c>
      <c r="B72" s="2" t="s">
        <v>238</v>
      </c>
      <c r="C72" s="2" t="s">
        <v>223</v>
      </c>
      <c r="D72" s="2" t="s">
        <v>67</v>
      </c>
      <c r="E72" s="2" t="s">
        <v>68</v>
      </c>
      <c r="F72" s="2" t="s">
        <v>69</v>
      </c>
      <c r="G72" s="10"/>
      <c r="H72" s="10"/>
      <c r="I72" s="10"/>
      <c r="J72" s="10"/>
      <c r="K72" s="10"/>
      <c r="L72" s="10"/>
      <c r="M72" s="10"/>
      <c r="N72" s="10"/>
      <c r="O72" s="10"/>
      <c r="P72" s="2">
        <v>55</v>
      </c>
      <c r="Q72" s="2">
        <v>58</v>
      </c>
      <c r="R72" s="2">
        <f>(Q72+P72)/2</f>
        <v>56.5</v>
      </c>
      <c r="S72" s="2">
        <v>55</v>
      </c>
      <c r="T72" s="2">
        <v>58</v>
      </c>
      <c r="U72" s="2">
        <f>(T72+S72)/2</f>
        <v>56.5</v>
      </c>
      <c r="Y72" s="2">
        <v>60</v>
      </c>
      <c r="Z72" s="2">
        <v>70</v>
      </c>
      <c r="AA72" s="2">
        <f>(Z72+Y72)/2</f>
        <v>65</v>
      </c>
      <c r="AE72" s="10" t="s">
        <v>237</v>
      </c>
      <c r="AF72" s="2">
        <v>60</v>
      </c>
      <c r="AG72" s="2">
        <v>85</v>
      </c>
      <c r="AH72" s="2">
        <v>73</v>
      </c>
      <c r="AR72" s="2">
        <v>130</v>
      </c>
      <c r="AS72" s="2">
        <v>170</v>
      </c>
      <c r="AT72" s="2">
        <f>(AS72+AR72)/2</f>
        <v>150</v>
      </c>
      <c r="AU72" s="2">
        <v>200</v>
      </c>
      <c r="AV72" s="2">
        <v>300</v>
      </c>
      <c r="AW72" s="2">
        <f>(AV72+AU72)/2</f>
        <v>250</v>
      </c>
      <c r="BA72" s="10" t="s">
        <v>237</v>
      </c>
      <c r="BB72" s="10"/>
      <c r="BC72" s="10"/>
      <c r="BD72" s="10"/>
      <c r="BE72" s="10"/>
      <c r="BF72" s="10"/>
      <c r="BG72" s="10"/>
      <c r="BH72" s="10"/>
      <c r="BI72" s="10"/>
      <c r="BJ72" s="10"/>
      <c r="BM72" s="2">
        <v>400</v>
      </c>
      <c r="CF72" s="10"/>
      <c r="CG72" s="10"/>
      <c r="CH72" s="10"/>
      <c r="CI72" s="10" t="s">
        <v>237</v>
      </c>
      <c r="CJ72" s="10"/>
      <c r="CK72" s="10"/>
      <c r="DE72" s="10"/>
      <c r="DF72" s="10"/>
      <c r="DG72" s="10"/>
      <c r="DH72" s="10"/>
      <c r="DI72" s="10"/>
      <c r="DJ72" s="10"/>
      <c r="DK72" s="10"/>
      <c r="DL72" s="10"/>
      <c r="DM72" s="10"/>
      <c r="DN72" s="10"/>
      <c r="DO72" s="10"/>
      <c r="DP72" s="10"/>
      <c r="DQ72" s="10"/>
      <c r="DR72" s="10"/>
      <c r="DS72" s="10"/>
      <c r="DT72" s="10"/>
      <c r="DU72" s="10"/>
      <c r="EM72" s="10"/>
    </row>
    <row r="73" spans="1:87" ht="15.75">
      <c r="A73" s="10"/>
      <c r="F73" s="2" t="s">
        <v>160</v>
      </c>
      <c r="G73" s="10"/>
      <c r="H73" s="10"/>
      <c r="I73" s="10"/>
      <c r="J73" s="10"/>
      <c r="K73" s="10"/>
      <c r="L73" s="10"/>
      <c r="M73" s="10"/>
      <c r="N73" s="10"/>
      <c r="O73" s="10"/>
      <c r="P73" s="2">
        <f aca="true" t="shared" si="19" ref="P73:U73">P72*P3</f>
        <v>132.66</v>
      </c>
      <c r="Q73" s="2">
        <f t="shared" si="19"/>
        <v>139.896</v>
      </c>
      <c r="R73" s="2">
        <f t="shared" si="19"/>
        <v>136.278</v>
      </c>
      <c r="S73" s="2">
        <f t="shared" si="19"/>
        <v>132.66</v>
      </c>
      <c r="T73" s="2">
        <f t="shared" si="19"/>
        <v>139.896</v>
      </c>
      <c r="U73" s="2">
        <f t="shared" si="19"/>
        <v>136.278</v>
      </c>
      <c r="Y73" s="2">
        <f>Y72*Y3</f>
        <v>68.64</v>
      </c>
      <c r="Z73" s="2">
        <f>Z72*Z3</f>
        <v>80.08</v>
      </c>
      <c r="AA73" s="2">
        <f>AA72*AA3</f>
        <v>74.36</v>
      </c>
      <c r="AE73" s="2" t="s">
        <v>160</v>
      </c>
      <c r="AF73" s="2">
        <f>AF72*AF3</f>
        <v>69.11999999999999</v>
      </c>
      <c r="AG73" s="2">
        <f>AG72*AG3</f>
        <v>97.91999999999999</v>
      </c>
      <c r="AH73" s="2">
        <f>AH72*AH3</f>
        <v>84.09599999999999</v>
      </c>
      <c r="AR73" s="2">
        <f aca="true" t="shared" si="20" ref="AR73:AW73">AR72*AR3</f>
        <v>128.05</v>
      </c>
      <c r="AS73" s="2">
        <f t="shared" si="20"/>
        <v>167.45</v>
      </c>
      <c r="AT73" s="2">
        <f t="shared" si="20"/>
        <v>147.75</v>
      </c>
      <c r="AU73" s="2">
        <f t="shared" si="20"/>
        <v>191</v>
      </c>
      <c r="AV73" s="2">
        <f t="shared" si="20"/>
        <v>286.5</v>
      </c>
      <c r="AW73" s="2">
        <f t="shared" si="20"/>
        <v>238.75</v>
      </c>
      <c r="BA73" s="2" t="s">
        <v>160</v>
      </c>
      <c r="BB73" s="10"/>
      <c r="BC73" s="10"/>
      <c r="BD73" s="10"/>
      <c r="BE73" s="10"/>
      <c r="BF73" s="10"/>
      <c r="BG73" s="10"/>
      <c r="BH73" s="10"/>
      <c r="BI73" s="10"/>
      <c r="BJ73" s="10"/>
      <c r="BM73" s="2">
        <f>BM72*BM3</f>
        <v>246.28</v>
      </c>
      <c r="CF73" s="10"/>
      <c r="CG73" s="10"/>
      <c r="CH73" s="10"/>
      <c r="CI73" s="10" t="s">
        <v>160</v>
      </c>
    </row>
    <row r="74" spans="1:87" ht="15.75">
      <c r="A74" s="10" t="s">
        <v>237</v>
      </c>
      <c r="B74" s="2" t="s">
        <v>224</v>
      </c>
      <c r="C74" s="2" t="s">
        <v>223</v>
      </c>
      <c r="D74" s="2" t="s">
        <v>67</v>
      </c>
      <c r="E74" s="2" t="s">
        <v>68</v>
      </c>
      <c r="F74" s="2" t="s">
        <v>69</v>
      </c>
      <c r="G74" s="10"/>
      <c r="H74" s="10"/>
      <c r="I74" s="10"/>
      <c r="J74" s="10"/>
      <c r="K74" s="10"/>
      <c r="L74" s="10"/>
      <c r="M74" s="10"/>
      <c r="N74" s="10"/>
      <c r="O74" s="10"/>
      <c r="P74" s="2">
        <v>20</v>
      </c>
      <c r="Q74" s="2">
        <v>21</v>
      </c>
      <c r="R74" s="2">
        <f>(Q74+P74)/2</f>
        <v>20.5</v>
      </c>
      <c r="S74" s="2">
        <v>20</v>
      </c>
      <c r="T74" s="2">
        <v>21</v>
      </c>
      <c r="U74" s="2">
        <f>(T74+S74)/2</f>
        <v>20.5</v>
      </c>
      <c r="AA74" s="10">
        <v>40</v>
      </c>
      <c r="AE74" s="10" t="s">
        <v>237</v>
      </c>
      <c r="AU74" s="2">
        <v>170</v>
      </c>
      <c r="AV74" s="2">
        <v>260</v>
      </c>
      <c r="AW74" s="2">
        <f>(AV74+AU74)/2</f>
        <v>215</v>
      </c>
      <c r="BA74" s="10" t="s">
        <v>237</v>
      </c>
      <c r="BB74" s="10"/>
      <c r="BC74" s="10"/>
      <c r="BD74" s="10"/>
      <c r="BE74" s="10"/>
      <c r="BF74" s="10"/>
      <c r="BG74" s="10"/>
      <c r="BH74" s="10"/>
      <c r="BI74" s="10"/>
      <c r="BJ74" s="10"/>
      <c r="CF74" s="10"/>
      <c r="CG74" s="10"/>
      <c r="CH74" s="10"/>
      <c r="CI74" s="10" t="s">
        <v>237</v>
      </c>
    </row>
    <row r="75" spans="1:87" ht="15.75">
      <c r="A75" s="10"/>
      <c r="F75" s="2" t="s">
        <v>160</v>
      </c>
      <c r="G75" s="10"/>
      <c r="H75" s="10"/>
      <c r="I75" s="10"/>
      <c r="J75" s="10"/>
      <c r="K75" s="10"/>
      <c r="L75" s="10"/>
      <c r="M75" s="10"/>
      <c r="N75" s="10"/>
      <c r="O75" s="10"/>
      <c r="P75" s="2">
        <f aca="true" t="shared" si="21" ref="P75:U75">P74*P3</f>
        <v>48.239999999999995</v>
      </c>
      <c r="Q75" s="2">
        <f t="shared" si="21"/>
        <v>50.652</v>
      </c>
      <c r="R75" s="2">
        <f t="shared" si="21"/>
        <v>49.446</v>
      </c>
      <c r="S75" s="2">
        <f t="shared" si="21"/>
        <v>48.239999999999995</v>
      </c>
      <c r="T75" s="2">
        <f t="shared" si="21"/>
        <v>50.652</v>
      </c>
      <c r="U75" s="2">
        <f t="shared" si="21"/>
        <v>49.446</v>
      </c>
      <c r="AA75" s="2">
        <f>AA74*AA3</f>
        <v>45.76</v>
      </c>
      <c r="AE75" s="2" t="s">
        <v>160</v>
      </c>
      <c r="AU75" s="2">
        <f>AU74*AU3</f>
        <v>162.35</v>
      </c>
      <c r="AV75" s="2">
        <f>AV74*AV3</f>
        <v>248.29999999999998</v>
      </c>
      <c r="AW75" s="2">
        <f>AW74*AW3</f>
        <v>205.325</v>
      </c>
      <c r="BA75" s="2" t="s">
        <v>160</v>
      </c>
      <c r="BB75" s="10"/>
      <c r="BC75" s="10"/>
      <c r="BD75" s="10"/>
      <c r="BE75" s="10"/>
      <c r="BF75" s="10"/>
      <c r="BG75" s="10"/>
      <c r="BH75" s="10"/>
      <c r="BI75" s="10"/>
      <c r="BJ75" s="10"/>
      <c r="CF75" s="10"/>
      <c r="CG75" s="10"/>
      <c r="CH75" s="10"/>
      <c r="CI75" s="10" t="s">
        <v>160</v>
      </c>
    </row>
    <row r="76" spans="1:143" ht="15.75">
      <c r="A76" s="10" t="s">
        <v>225</v>
      </c>
      <c r="B76" s="2" t="s">
        <v>412</v>
      </c>
      <c r="C76" s="2" t="s">
        <v>338</v>
      </c>
      <c r="D76" s="2" t="s">
        <v>67</v>
      </c>
      <c r="E76" s="2" t="s">
        <v>68</v>
      </c>
      <c r="F76" s="2" t="s">
        <v>69</v>
      </c>
      <c r="G76" s="10"/>
      <c r="H76" s="10"/>
      <c r="I76" s="10"/>
      <c r="M76" s="2">
        <v>82</v>
      </c>
      <c r="N76" s="2">
        <v>84</v>
      </c>
      <c r="O76" s="2">
        <v>83</v>
      </c>
      <c r="R76" s="2">
        <v>70</v>
      </c>
      <c r="U76" s="2">
        <v>70</v>
      </c>
      <c r="AB76" s="2">
        <v>70</v>
      </c>
      <c r="AC76" s="2">
        <v>90</v>
      </c>
      <c r="AD76" s="2">
        <f>(AC76+AB76)/2</f>
        <v>80</v>
      </c>
      <c r="AE76" s="10" t="s">
        <v>225</v>
      </c>
      <c r="AF76" s="2">
        <v>60</v>
      </c>
      <c r="AG76" s="2">
        <v>85</v>
      </c>
      <c r="AH76" s="2">
        <v>72</v>
      </c>
      <c r="AR76" s="2">
        <v>200</v>
      </c>
      <c r="AS76" s="2">
        <v>240</v>
      </c>
      <c r="AT76" s="2">
        <f>(AS76+AR76)/2</f>
        <v>220</v>
      </c>
      <c r="AU76" s="2">
        <v>200</v>
      </c>
      <c r="AV76" s="2">
        <v>360</v>
      </c>
      <c r="AW76" s="2">
        <f>(AV76+AU76)/2</f>
        <v>280</v>
      </c>
      <c r="AX76" s="2">
        <v>300</v>
      </c>
      <c r="AY76" s="2">
        <v>500</v>
      </c>
      <c r="AZ76" s="2">
        <v>400</v>
      </c>
      <c r="BA76" s="10" t="s">
        <v>225</v>
      </c>
      <c r="BB76" s="10"/>
      <c r="BC76" s="10"/>
      <c r="BD76" s="10"/>
      <c r="BE76" s="10"/>
      <c r="BF76" s="10"/>
      <c r="BG76" s="10"/>
      <c r="BH76" s="10"/>
      <c r="BI76" s="10"/>
      <c r="BJ76" s="10"/>
      <c r="BK76" s="2">
        <v>600</v>
      </c>
      <c r="BL76" s="2">
        <v>650</v>
      </c>
      <c r="BM76" s="2">
        <f>(BL76+BK76)/2</f>
        <v>625</v>
      </c>
      <c r="CF76" s="10"/>
      <c r="CG76" s="10"/>
      <c r="CH76" s="10"/>
      <c r="CI76" s="10" t="s">
        <v>225</v>
      </c>
      <c r="DE76" s="10"/>
      <c r="DI76" s="10"/>
      <c r="DJ76" s="10"/>
      <c r="DK76" s="10"/>
      <c r="DL76" s="10"/>
      <c r="DM76" s="10"/>
      <c r="DN76" s="10"/>
      <c r="DO76" s="10"/>
      <c r="DP76" s="10"/>
      <c r="DQ76" s="10"/>
      <c r="DR76" s="10"/>
      <c r="DS76" s="10"/>
      <c r="DT76" s="10"/>
      <c r="DU76" s="10"/>
      <c r="EM76" s="10"/>
    </row>
    <row r="77" spans="1:87" ht="15.75">
      <c r="A77" s="10"/>
      <c r="F77" s="2" t="s">
        <v>160</v>
      </c>
      <c r="G77" s="10"/>
      <c r="H77" s="10"/>
      <c r="I77" s="10"/>
      <c r="M77" s="2">
        <f>M76*M3</f>
        <v>307.664</v>
      </c>
      <c r="N77" s="2">
        <f>N76*N3</f>
        <v>315.168</v>
      </c>
      <c r="O77" s="2">
        <f>O76*O3</f>
        <v>311.416</v>
      </c>
      <c r="R77" s="2">
        <f>R76*R3</f>
        <v>168.84</v>
      </c>
      <c r="U77" s="2">
        <f>U76*U3</f>
        <v>168.84</v>
      </c>
      <c r="AB77" s="2">
        <f>AB76*AB3</f>
        <v>80.08</v>
      </c>
      <c r="AC77" s="2">
        <f>AC76*AC3</f>
        <v>102.96</v>
      </c>
      <c r="AD77" s="2">
        <f>AD76*AD3</f>
        <v>91.52</v>
      </c>
      <c r="AE77" s="10" t="s">
        <v>225</v>
      </c>
      <c r="AF77" s="2">
        <f aca="true" t="shared" si="22" ref="AF77:AZ77">AF76*AF3</f>
        <v>69.11999999999999</v>
      </c>
      <c r="AG77" s="2">
        <f t="shared" si="22"/>
        <v>97.91999999999999</v>
      </c>
      <c r="AH77" s="2">
        <f t="shared" si="22"/>
        <v>82.94399999999999</v>
      </c>
      <c r="AR77" s="2">
        <f t="shared" si="22"/>
        <v>197</v>
      </c>
      <c r="AS77" s="2">
        <f t="shared" si="22"/>
        <v>236.4</v>
      </c>
      <c r="AT77" s="2">
        <f t="shared" si="22"/>
        <v>216.7</v>
      </c>
      <c r="AU77" s="2">
        <f t="shared" si="22"/>
        <v>191</v>
      </c>
      <c r="AV77" s="2">
        <f t="shared" si="22"/>
        <v>343.8</v>
      </c>
      <c r="AW77" s="2">
        <f t="shared" si="22"/>
        <v>267.4</v>
      </c>
      <c r="AX77" s="2">
        <f t="shared" si="22"/>
        <v>215.39999999999998</v>
      </c>
      <c r="AY77" s="2">
        <f t="shared" si="22"/>
        <v>359</v>
      </c>
      <c r="AZ77" s="2">
        <f t="shared" si="22"/>
        <v>287.2</v>
      </c>
      <c r="BA77" s="10" t="s">
        <v>225</v>
      </c>
      <c r="BB77" s="10"/>
      <c r="BC77" s="10"/>
      <c r="BD77" s="10"/>
      <c r="BE77" s="10"/>
      <c r="BF77" s="10"/>
      <c r="BG77" s="10"/>
      <c r="BH77" s="10"/>
      <c r="BI77" s="10"/>
      <c r="BJ77" s="10"/>
      <c r="BK77" s="2">
        <f>BK76*BK3</f>
        <v>369.42</v>
      </c>
      <c r="BL77" s="2">
        <f>BL76*BL3</f>
        <v>400.20500000000004</v>
      </c>
      <c r="BM77" s="2">
        <f>BM76*BM3</f>
        <v>384.8125</v>
      </c>
      <c r="CF77" s="10"/>
      <c r="CG77" s="10"/>
      <c r="CH77" s="10"/>
      <c r="CI77" s="10" t="s">
        <v>225</v>
      </c>
    </row>
    <row r="78" spans="1:87" ht="15.75">
      <c r="A78" s="10" t="s">
        <v>339</v>
      </c>
      <c r="B78" s="2" t="s">
        <v>340</v>
      </c>
      <c r="C78" s="2" t="s">
        <v>341</v>
      </c>
      <c r="D78" s="2" t="s">
        <v>342</v>
      </c>
      <c r="E78" s="2" t="s">
        <v>343</v>
      </c>
      <c r="F78" s="2" t="s">
        <v>69</v>
      </c>
      <c r="J78" s="2">
        <v>40</v>
      </c>
      <c r="K78" s="2">
        <v>90</v>
      </c>
      <c r="L78" s="2">
        <v>62</v>
      </c>
      <c r="M78" s="2">
        <v>50</v>
      </c>
      <c r="N78" s="2">
        <v>60</v>
      </c>
      <c r="O78" s="2">
        <v>56</v>
      </c>
      <c r="S78" s="2">
        <v>60</v>
      </c>
      <c r="T78" s="2">
        <v>80</v>
      </c>
      <c r="U78" s="2">
        <f>(T78+S78)/2</f>
        <v>70</v>
      </c>
      <c r="AA78" s="2">
        <v>100</v>
      </c>
      <c r="AB78" s="2">
        <v>80</v>
      </c>
      <c r="AC78" s="2">
        <v>130</v>
      </c>
      <c r="AD78" s="2">
        <f>(AC78+AB78)/2</f>
        <v>105</v>
      </c>
      <c r="AE78" s="10" t="s">
        <v>339</v>
      </c>
      <c r="AU78" s="2">
        <v>150</v>
      </c>
      <c r="AV78" s="2">
        <v>250</v>
      </c>
      <c r="AW78" s="2">
        <f>(AV78+AU78)/2</f>
        <v>200</v>
      </c>
      <c r="AX78" s="2">
        <v>180</v>
      </c>
      <c r="AY78" s="2">
        <v>300</v>
      </c>
      <c r="AZ78" s="2">
        <v>240</v>
      </c>
      <c r="BA78" s="10" t="s">
        <v>339</v>
      </c>
      <c r="BB78" s="10"/>
      <c r="BC78" s="10"/>
      <c r="BD78" s="10"/>
      <c r="BE78" s="10"/>
      <c r="BF78" s="10"/>
      <c r="BG78" s="10"/>
      <c r="BH78" s="10"/>
      <c r="BI78" s="10"/>
      <c r="BJ78" s="10"/>
      <c r="CF78" s="10"/>
      <c r="CG78" s="10"/>
      <c r="CH78" s="10"/>
      <c r="CI78" s="10" t="s">
        <v>339</v>
      </c>
    </row>
    <row r="79" spans="1:87" ht="15.75">
      <c r="A79" s="10" t="s">
        <v>339</v>
      </c>
      <c r="B79" s="2" t="s">
        <v>340</v>
      </c>
      <c r="F79" s="2" t="s">
        <v>160</v>
      </c>
      <c r="J79" s="2">
        <f aca="true" t="shared" si="23" ref="J79:O79">J78*J3</f>
        <v>150.07999999999998</v>
      </c>
      <c r="K79" s="2">
        <f t="shared" si="23"/>
        <v>337.68</v>
      </c>
      <c r="L79" s="2">
        <f t="shared" si="23"/>
        <v>232.624</v>
      </c>
      <c r="M79" s="2">
        <f t="shared" si="23"/>
        <v>187.6</v>
      </c>
      <c r="N79" s="2">
        <f t="shared" si="23"/>
        <v>225.11999999999998</v>
      </c>
      <c r="O79" s="2">
        <f t="shared" si="23"/>
        <v>210.112</v>
      </c>
      <c r="S79" s="2">
        <f>S78*S3</f>
        <v>144.72</v>
      </c>
      <c r="T79" s="2">
        <f>T78*T3</f>
        <v>192.95999999999998</v>
      </c>
      <c r="U79" s="2">
        <f>U78*U3</f>
        <v>168.84</v>
      </c>
      <c r="AA79" s="2">
        <f>AA78*AA3</f>
        <v>114.39999999999999</v>
      </c>
      <c r="AB79" s="2">
        <f>AB78*AB3</f>
        <v>91.52</v>
      </c>
      <c r="AC79" s="2">
        <f>AC78*AC3</f>
        <v>148.72</v>
      </c>
      <c r="AD79" s="2">
        <f>AD78*AD3</f>
        <v>120.11999999999999</v>
      </c>
      <c r="AE79" s="2" t="s">
        <v>160</v>
      </c>
      <c r="AU79" s="2">
        <f aca="true" t="shared" si="24" ref="AU79:AZ79">AU78*AU3</f>
        <v>143.25</v>
      </c>
      <c r="AV79" s="2">
        <f t="shared" si="24"/>
        <v>238.75</v>
      </c>
      <c r="AW79" s="2">
        <f t="shared" si="24"/>
        <v>191</v>
      </c>
      <c r="AX79" s="2">
        <f t="shared" si="24"/>
        <v>129.24</v>
      </c>
      <c r="AY79" s="2">
        <f t="shared" si="24"/>
        <v>215.39999999999998</v>
      </c>
      <c r="AZ79" s="2">
        <f t="shared" si="24"/>
        <v>172.32</v>
      </c>
      <c r="BA79" s="2" t="s">
        <v>160</v>
      </c>
      <c r="BB79" s="10"/>
      <c r="BC79" s="10"/>
      <c r="BD79" s="10"/>
      <c r="BE79" s="10"/>
      <c r="BF79" s="10"/>
      <c r="BG79" s="10"/>
      <c r="BH79" s="10"/>
      <c r="BI79" s="10"/>
      <c r="BJ79" s="10"/>
      <c r="CF79" s="10"/>
      <c r="CG79" s="10"/>
      <c r="CH79" s="10"/>
      <c r="CI79" s="10" t="s">
        <v>160</v>
      </c>
    </row>
    <row r="80" spans="1:87" ht="15.75">
      <c r="A80" s="10" t="s">
        <v>339</v>
      </c>
      <c r="B80" s="2" t="s">
        <v>340</v>
      </c>
      <c r="F80" s="2" t="s">
        <v>128</v>
      </c>
      <c r="J80" s="7">
        <f>0.18*J79</f>
        <v>27.014399999999995</v>
      </c>
      <c r="K80" s="7">
        <f aca="true" t="shared" si="25" ref="K80:U80">0.18*K79</f>
        <v>60.782399999999996</v>
      </c>
      <c r="L80" s="8">
        <f t="shared" si="25"/>
        <v>41.872319999999995</v>
      </c>
      <c r="M80" s="7">
        <f t="shared" si="25"/>
        <v>33.768</v>
      </c>
      <c r="N80" s="7">
        <f t="shared" si="25"/>
        <v>40.52159999999999</v>
      </c>
      <c r="O80" s="8">
        <f t="shared" si="25"/>
        <v>37.820159999999994</v>
      </c>
      <c r="S80" s="7">
        <f t="shared" si="25"/>
        <v>26.049599999999998</v>
      </c>
      <c r="T80" s="7">
        <f t="shared" si="25"/>
        <v>34.7328</v>
      </c>
      <c r="U80" s="7">
        <f t="shared" si="25"/>
        <v>30.391199999999998</v>
      </c>
      <c r="AA80" s="7">
        <f>0.18*AA79</f>
        <v>20.592</v>
      </c>
      <c r="AB80" s="7">
        <f>0.18*AB79</f>
        <v>16.473599999999998</v>
      </c>
      <c r="AC80" s="7">
        <f>0.18*AC79</f>
        <v>26.7696</v>
      </c>
      <c r="AD80" s="7">
        <f>0.18*AD79</f>
        <v>21.621599999999997</v>
      </c>
      <c r="AE80" s="2" t="s">
        <v>128</v>
      </c>
      <c r="AU80" s="7">
        <f aca="true" t="shared" si="26" ref="AU80:AZ80">0.18*AU79</f>
        <v>25.785</v>
      </c>
      <c r="AV80" s="7">
        <f t="shared" si="26"/>
        <v>42.975</v>
      </c>
      <c r="AW80" s="7">
        <f t="shared" si="26"/>
        <v>34.379999999999995</v>
      </c>
      <c r="AX80" s="7">
        <f t="shared" si="26"/>
        <v>23.2632</v>
      </c>
      <c r="AY80" s="7">
        <f t="shared" si="26"/>
        <v>38.77199999999999</v>
      </c>
      <c r="AZ80" s="8">
        <f t="shared" si="26"/>
        <v>31.017599999999998</v>
      </c>
      <c r="BB80" s="10"/>
      <c r="BC80" s="10"/>
      <c r="BD80" s="10"/>
      <c r="BE80" s="10"/>
      <c r="BF80" s="10"/>
      <c r="BG80" s="10"/>
      <c r="BH80" s="10"/>
      <c r="BI80" s="10"/>
      <c r="BJ80" s="10"/>
      <c r="CF80" s="10"/>
      <c r="CG80" s="10"/>
      <c r="CH80" s="10"/>
      <c r="CI80" s="10"/>
    </row>
    <row r="81" spans="1:87" ht="15.75">
      <c r="A81" s="10"/>
      <c r="BB81" s="10"/>
      <c r="BC81" s="10"/>
      <c r="BD81" s="10"/>
      <c r="BE81" s="10"/>
      <c r="BF81" s="10"/>
      <c r="BG81" s="10"/>
      <c r="BH81" s="10"/>
      <c r="BI81" s="10"/>
      <c r="BJ81" s="10"/>
      <c r="CF81" s="10"/>
      <c r="CG81" s="10"/>
      <c r="CH81" s="10"/>
      <c r="CI81" s="10"/>
    </row>
    <row r="82" spans="1:143" ht="15.75">
      <c r="A82" s="10" t="s">
        <v>344</v>
      </c>
      <c r="C82" s="2" t="s">
        <v>345</v>
      </c>
      <c r="D82" s="2" t="s">
        <v>293</v>
      </c>
      <c r="E82" s="2" t="s">
        <v>294</v>
      </c>
      <c r="F82" s="2" t="s">
        <v>69</v>
      </c>
      <c r="AE82" s="10" t="s">
        <v>344</v>
      </c>
      <c r="BA82" s="10" t="s">
        <v>344</v>
      </c>
      <c r="BB82" s="10"/>
      <c r="BC82" s="10"/>
      <c r="BD82" s="10"/>
      <c r="BE82" s="10"/>
      <c r="BF82" s="10"/>
      <c r="BG82" s="10"/>
      <c r="BH82" s="10"/>
      <c r="BI82" s="10"/>
      <c r="BJ82" s="10"/>
      <c r="CF82" s="10"/>
      <c r="CG82" s="10"/>
      <c r="CH82" s="10"/>
      <c r="CI82" s="10" t="s">
        <v>344</v>
      </c>
      <c r="DE82" s="10"/>
      <c r="DQ82" s="10"/>
      <c r="DR82" s="10"/>
      <c r="DS82" s="10"/>
      <c r="DT82" s="10"/>
      <c r="DU82" s="10"/>
      <c r="EM82" s="10"/>
    </row>
    <row r="83" spans="1:87" ht="15.75">
      <c r="A83" s="10"/>
      <c r="F83" s="2" t="s">
        <v>160</v>
      </c>
      <c r="AE83" s="2" t="s">
        <v>160</v>
      </c>
      <c r="BA83" s="2" t="s">
        <v>160</v>
      </c>
      <c r="BB83" s="10"/>
      <c r="BC83" s="10"/>
      <c r="BD83" s="10"/>
      <c r="BE83" s="10"/>
      <c r="BF83" s="10"/>
      <c r="BG83" s="10"/>
      <c r="BH83" s="10"/>
      <c r="BI83" s="10"/>
      <c r="BJ83" s="10"/>
      <c r="CF83" s="10"/>
      <c r="CG83" s="10"/>
      <c r="CH83" s="10"/>
      <c r="CI83" s="10" t="s">
        <v>160</v>
      </c>
    </row>
    <row r="84" spans="1:87" ht="15.75">
      <c r="A84" s="10" t="s">
        <v>346</v>
      </c>
      <c r="C84" s="2" t="s">
        <v>347</v>
      </c>
      <c r="E84" s="2">
        <v>1000</v>
      </c>
      <c r="F84" s="2" t="s">
        <v>69</v>
      </c>
      <c r="AE84" s="10" t="s">
        <v>346</v>
      </c>
      <c r="AH84" s="10">
        <v>200</v>
      </c>
      <c r="AU84" s="2">
        <v>300</v>
      </c>
      <c r="AV84" s="2">
        <v>350</v>
      </c>
      <c r="AW84" s="2">
        <f>(AV84+AU84)/2</f>
        <v>325</v>
      </c>
      <c r="BA84" s="10" t="s">
        <v>346</v>
      </c>
      <c r="BB84" s="10"/>
      <c r="BC84" s="10"/>
      <c r="BD84" s="10"/>
      <c r="BE84" s="10"/>
      <c r="BF84" s="10"/>
      <c r="BG84" s="10"/>
      <c r="BH84" s="10"/>
      <c r="BI84" s="10"/>
      <c r="BJ84" s="10"/>
      <c r="CF84" s="10"/>
      <c r="CG84" s="10"/>
      <c r="CH84" s="10"/>
      <c r="CI84" s="10" t="s">
        <v>346</v>
      </c>
    </row>
    <row r="85" spans="1:87" ht="15.75">
      <c r="A85" s="10"/>
      <c r="F85" s="2" t="s">
        <v>160</v>
      </c>
      <c r="AE85" s="2" t="s">
        <v>160</v>
      </c>
      <c r="AH85" s="2">
        <f>AH84*AH3</f>
        <v>230.39999999999998</v>
      </c>
      <c r="AU85" s="2">
        <f>AU84*AU3</f>
        <v>286.5</v>
      </c>
      <c r="AV85" s="2">
        <f>AV84*AV3</f>
        <v>334.25</v>
      </c>
      <c r="AW85" s="2">
        <f>AW84*AW3</f>
        <v>310.375</v>
      </c>
      <c r="BA85" s="2" t="s">
        <v>160</v>
      </c>
      <c r="BB85" s="10"/>
      <c r="BC85" s="10"/>
      <c r="BD85" s="10"/>
      <c r="BE85" s="10"/>
      <c r="BF85" s="10"/>
      <c r="BG85" s="10"/>
      <c r="BH85" s="10"/>
      <c r="BI85" s="10"/>
      <c r="BJ85" s="10"/>
      <c r="CF85" s="10"/>
      <c r="CG85" s="10"/>
      <c r="CH85" s="10"/>
      <c r="CI85" s="10" t="s">
        <v>160</v>
      </c>
    </row>
    <row r="86" spans="1:143" ht="15.75">
      <c r="A86" s="10" t="s">
        <v>348</v>
      </c>
      <c r="B86" s="2" t="s">
        <v>349</v>
      </c>
      <c r="C86" s="2" t="s">
        <v>350</v>
      </c>
      <c r="D86" s="2" t="s">
        <v>351</v>
      </c>
      <c r="E86" s="2" t="s">
        <v>352</v>
      </c>
      <c r="F86" s="2" t="s">
        <v>69</v>
      </c>
      <c r="S86" s="2">
        <v>20</v>
      </c>
      <c r="T86" s="2">
        <v>25</v>
      </c>
      <c r="U86" s="2">
        <f>(T86+S86)/2</f>
        <v>22.5</v>
      </c>
      <c r="AE86" s="10" t="s">
        <v>348</v>
      </c>
      <c r="BA86" s="10" t="s">
        <v>348</v>
      </c>
      <c r="BB86" s="10"/>
      <c r="BC86" s="10"/>
      <c r="BD86" s="10"/>
      <c r="BE86" s="10"/>
      <c r="BF86" s="10"/>
      <c r="BG86" s="10"/>
      <c r="BH86" s="10"/>
      <c r="BI86" s="10"/>
      <c r="BJ86" s="10"/>
      <c r="CF86" s="10"/>
      <c r="CG86" s="10"/>
      <c r="CH86" s="10"/>
      <c r="CI86" s="10" t="s">
        <v>348</v>
      </c>
      <c r="DE86" s="10"/>
      <c r="DI86" s="10"/>
      <c r="DJ86" s="10"/>
      <c r="DK86" s="10"/>
      <c r="DL86" s="10"/>
      <c r="DM86" s="10"/>
      <c r="DN86" s="10"/>
      <c r="DO86" s="10"/>
      <c r="DP86" s="10"/>
      <c r="DQ86" s="10"/>
      <c r="DR86" s="10"/>
      <c r="DS86" s="10"/>
      <c r="DT86" s="10"/>
      <c r="DU86" s="10"/>
      <c r="EM86" s="10"/>
    </row>
    <row r="87" spans="1:87" ht="15.75">
      <c r="A87" s="10"/>
      <c r="B87" s="10" t="s">
        <v>114</v>
      </c>
      <c r="F87" s="2" t="s">
        <v>160</v>
      </c>
      <c r="S87" s="2">
        <f>S86*S3</f>
        <v>48.239999999999995</v>
      </c>
      <c r="T87" s="2">
        <f>T86*T3</f>
        <v>60.3</v>
      </c>
      <c r="U87" s="2">
        <f>U86*U3</f>
        <v>54.269999999999996</v>
      </c>
      <c r="AE87" s="2" t="s">
        <v>160</v>
      </c>
      <c r="BA87" s="2" t="s">
        <v>160</v>
      </c>
      <c r="BB87" s="10"/>
      <c r="BC87" s="10"/>
      <c r="BD87" s="10"/>
      <c r="BE87" s="10"/>
      <c r="BF87" s="10"/>
      <c r="BG87" s="10"/>
      <c r="BH87" s="10"/>
      <c r="BI87" s="10"/>
      <c r="BJ87" s="10"/>
      <c r="CF87" s="10"/>
      <c r="CG87" s="10"/>
      <c r="CH87" s="10"/>
      <c r="CI87" s="10" t="s">
        <v>160</v>
      </c>
    </row>
    <row r="88" spans="1:87" ht="15.75">
      <c r="A88" s="10" t="s">
        <v>348</v>
      </c>
      <c r="B88" s="2" t="s">
        <v>349</v>
      </c>
      <c r="C88" s="2" t="s">
        <v>350</v>
      </c>
      <c r="D88" s="2" t="s">
        <v>353</v>
      </c>
      <c r="F88" s="2" t="s">
        <v>69</v>
      </c>
      <c r="AE88" s="10" t="s">
        <v>348</v>
      </c>
      <c r="BA88" s="10" t="s">
        <v>348</v>
      </c>
      <c r="BB88" s="10"/>
      <c r="BC88" s="10"/>
      <c r="BD88" s="10"/>
      <c r="BE88" s="10"/>
      <c r="BF88" s="10"/>
      <c r="BG88" s="10"/>
      <c r="BH88" s="10"/>
      <c r="BI88" s="10"/>
      <c r="BJ88" s="10"/>
      <c r="CF88" s="10"/>
      <c r="CG88" s="10"/>
      <c r="CH88" s="10"/>
      <c r="CI88" s="10" t="s">
        <v>348</v>
      </c>
    </row>
    <row r="89" spans="1:87" ht="15.75">
      <c r="A89" s="10"/>
      <c r="B89" s="10" t="s">
        <v>114</v>
      </c>
      <c r="F89" s="2" t="s">
        <v>160</v>
      </c>
      <c r="AE89" s="2" t="s">
        <v>160</v>
      </c>
      <c r="BA89" s="2" t="s">
        <v>160</v>
      </c>
      <c r="BB89" s="10"/>
      <c r="BC89" s="10"/>
      <c r="BD89" s="10"/>
      <c r="BE89" s="10"/>
      <c r="BF89" s="10"/>
      <c r="BG89" s="10"/>
      <c r="BH89" s="10"/>
      <c r="BI89" s="10"/>
      <c r="BJ89" s="10"/>
      <c r="CF89" s="10"/>
      <c r="CG89" s="10"/>
      <c r="CH89" s="10"/>
      <c r="CI89" s="10" t="s">
        <v>160</v>
      </c>
    </row>
    <row r="90" spans="1:143" ht="15.75">
      <c r="A90" s="10" t="s">
        <v>354</v>
      </c>
      <c r="C90" s="2" t="s">
        <v>355</v>
      </c>
      <c r="D90" s="2" t="s">
        <v>67</v>
      </c>
      <c r="E90" s="2" t="s">
        <v>68</v>
      </c>
      <c r="F90" s="2" t="s">
        <v>69</v>
      </c>
      <c r="AE90" s="10" t="s">
        <v>354</v>
      </c>
      <c r="BA90" s="10" t="s">
        <v>354</v>
      </c>
      <c r="BB90" s="10"/>
      <c r="BC90" s="10"/>
      <c r="BD90" s="10"/>
      <c r="BE90" s="10"/>
      <c r="BF90" s="10"/>
      <c r="BG90" s="10"/>
      <c r="BH90" s="10"/>
      <c r="BI90" s="10"/>
      <c r="BJ90" s="10"/>
      <c r="CF90" s="10"/>
      <c r="CG90" s="10"/>
      <c r="CH90" s="10"/>
      <c r="CI90" s="10" t="s">
        <v>354</v>
      </c>
      <c r="CJ90" s="10"/>
      <c r="CK90" s="10"/>
      <c r="DE90" s="10"/>
      <c r="DI90" s="10"/>
      <c r="DJ90" s="10"/>
      <c r="DK90" s="10"/>
      <c r="DL90" s="10"/>
      <c r="DM90" s="10"/>
      <c r="DN90" s="10"/>
      <c r="DO90" s="10"/>
      <c r="DP90" s="10"/>
      <c r="DQ90" s="10"/>
      <c r="DR90" s="10"/>
      <c r="DS90" s="10"/>
      <c r="DT90" s="10"/>
      <c r="DU90" s="10"/>
      <c r="EM90" s="10"/>
    </row>
    <row r="91" spans="1:87" ht="15.75">
      <c r="A91" s="10"/>
      <c r="F91" s="2" t="s">
        <v>160</v>
      </c>
      <c r="AE91" s="2" t="s">
        <v>160</v>
      </c>
      <c r="BA91" s="2" t="s">
        <v>160</v>
      </c>
      <c r="BB91" s="10"/>
      <c r="BC91" s="10"/>
      <c r="BD91" s="10"/>
      <c r="BE91" s="10"/>
      <c r="BF91" s="10"/>
      <c r="BG91" s="10"/>
      <c r="BH91" s="10"/>
      <c r="BI91" s="10"/>
      <c r="BJ91" s="10"/>
      <c r="CF91" s="10"/>
      <c r="CG91" s="10"/>
      <c r="CH91" s="10"/>
      <c r="CI91" s="10" t="s">
        <v>160</v>
      </c>
    </row>
    <row r="92" spans="1:87" ht="15.75">
      <c r="A92" s="10" t="s">
        <v>356</v>
      </c>
      <c r="C92" s="2" t="s">
        <v>357</v>
      </c>
      <c r="D92" s="2" t="s">
        <v>358</v>
      </c>
      <c r="E92" s="2" t="s">
        <v>359</v>
      </c>
      <c r="F92" s="2" t="s">
        <v>69</v>
      </c>
      <c r="AE92" s="10" t="s">
        <v>356</v>
      </c>
      <c r="BA92" s="10" t="s">
        <v>356</v>
      </c>
      <c r="BB92" s="10"/>
      <c r="BC92" s="10"/>
      <c r="BD92" s="10"/>
      <c r="BE92" s="10"/>
      <c r="BF92" s="10"/>
      <c r="BG92" s="10"/>
      <c r="BH92" s="10"/>
      <c r="BI92" s="10"/>
      <c r="BJ92" s="10"/>
      <c r="CF92" s="10"/>
      <c r="CG92" s="10"/>
      <c r="CH92" s="10"/>
      <c r="CI92" s="10" t="s">
        <v>356</v>
      </c>
    </row>
    <row r="93" spans="1:87" ht="15.75">
      <c r="A93" s="10"/>
      <c r="B93" s="10" t="s">
        <v>114</v>
      </c>
      <c r="F93" s="2" t="s">
        <v>160</v>
      </c>
      <c r="AE93" s="2" t="s">
        <v>160</v>
      </c>
      <c r="BA93" s="2" t="s">
        <v>160</v>
      </c>
      <c r="BB93" s="10"/>
      <c r="BC93" s="10"/>
      <c r="BD93" s="10"/>
      <c r="BE93" s="10"/>
      <c r="BF93" s="10"/>
      <c r="BG93" s="10"/>
      <c r="BH93" s="10"/>
      <c r="BI93" s="10"/>
      <c r="BJ93" s="10"/>
      <c r="CF93" s="10"/>
      <c r="CG93" s="10"/>
      <c r="CH93" s="10"/>
      <c r="CI93" s="10" t="s">
        <v>160</v>
      </c>
    </row>
    <row r="94" spans="1:140" ht="15.75">
      <c r="A94" s="10" t="s">
        <v>356</v>
      </c>
      <c r="C94" s="2" t="s">
        <v>357</v>
      </c>
      <c r="D94" s="2" t="s">
        <v>353</v>
      </c>
      <c r="F94" s="2" t="s">
        <v>69</v>
      </c>
      <c r="AE94" s="10" t="s">
        <v>356</v>
      </c>
      <c r="BA94" s="10" t="s">
        <v>356</v>
      </c>
      <c r="BB94" s="10"/>
      <c r="BC94" s="10"/>
      <c r="BD94" s="10"/>
      <c r="BE94" s="10"/>
      <c r="BF94" s="10"/>
      <c r="BG94" s="10"/>
      <c r="BH94" s="10"/>
      <c r="BI94" s="10"/>
      <c r="BJ94" s="10"/>
      <c r="CF94" s="10"/>
      <c r="CG94" s="10"/>
      <c r="CH94" s="10"/>
      <c r="CI94" s="10" t="s">
        <v>356</v>
      </c>
      <c r="CJ94" s="10"/>
      <c r="CM94" s="10"/>
      <c r="CP94" s="10"/>
      <c r="CS94" s="10"/>
      <c r="CV94" s="10"/>
      <c r="CY94" s="10"/>
      <c r="DB94" s="10"/>
      <c r="DF94" s="10"/>
      <c r="DI94" s="10"/>
      <c r="DL94" s="10"/>
      <c r="DO94" s="10"/>
      <c r="DR94" s="10"/>
      <c r="DU94" s="10"/>
      <c r="DX94" s="10"/>
      <c r="EA94" s="10"/>
      <c r="ED94" s="10"/>
      <c r="EG94" s="10"/>
      <c r="EJ94" s="10"/>
    </row>
    <row r="95" spans="1:87" ht="15.75">
      <c r="A95" s="10"/>
      <c r="B95" s="10" t="s">
        <v>114</v>
      </c>
      <c r="F95" s="2" t="s">
        <v>160</v>
      </c>
      <c r="AE95" s="2" t="s">
        <v>160</v>
      </c>
      <c r="BA95" s="2" t="s">
        <v>160</v>
      </c>
      <c r="BB95" s="10"/>
      <c r="BC95" s="10"/>
      <c r="BD95" s="10"/>
      <c r="BE95" s="10"/>
      <c r="BF95" s="10"/>
      <c r="BG95" s="10"/>
      <c r="BH95" s="10"/>
      <c r="BI95" s="10"/>
      <c r="BJ95" s="10"/>
      <c r="CF95" s="10"/>
      <c r="CG95" s="10"/>
      <c r="CH95" s="10"/>
      <c r="CI95" s="2" t="s">
        <v>160</v>
      </c>
    </row>
    <row r="96" spans="1:143" ht="15.75">
      <c r="A96" s="10"/>
      <c r="G96" s="11" t="s">
        <v>317</v>
      </c>
      <c r="H96" s="11" t="s">
        <v>317</v>
      </c>
      <c r="I96" s="11" t="s">
        <v>317</v>
      </c>
      <c r="J96" s="11" t="s">
        <v>181</v>
      </c>
      <c r="K96" s="11" t="s">
        <v>181</v>
      </c>
      <c r="L96" s="11" t="s">
        <v>181</v>
      </c>
      <c r="M96" s="11" t="s">
        <v>259</v>
      </c>
      <c r="N96" s="11" t="s">
        <v>259</v>
      </c>
      <c r="O96" s="11" t="s">
        <v>259</v>
      </c>
      <c r="P96" s="11" t="s">
        <v>182</v>
      </c>
      <c r="Q96" s="11" t="s">
        <v>182</v>
      </c>
      <c r="R96" s="11" t="s">
        <v>182</v>
      </c>
      <c r="S96" s="11" t="s">
        <v>183</v>
      </c>
      <c r="T96" s="11" t="s">
        <v>183</v>
      </c>
      <c r="U96" s="11" t="s">
        <v>183</v>
      </c>
      <c r="V96" s="11" t="s">
        <v>184</v>
      </c>
      <c r="W96" s="11" t="s">
        <v>184</v>
      </c>
      <c r="X96" s="11" t="s">
        <v>184</v>
      </c>
      <c r="Y96" s="11" t="s">
        <v>185</v>
      </c>
      <c r="Z96" s="11" t="s">
        <v>185</v>
      </c>
      <c r="AA96" s="11" t="s">
        <v>185</v>
      </c>
      <c r="AB96" s="11" t="s">
        <v>186</v>
      </c>
      <c r="AC96" s="11" t="s">
        <v>186</v>
      </c>
      <c r="AD96" s="11" t="s">
        <v>186</v>
      </c>
      <c r="AE96" s="11"/>
      <c r="AF96" s="11" t="s">
        <v>196</v>
      </c>
      <c r="AG96" s="11" t="s">
        <v>196</v>
      </c>
      <c r="AH96" s="11" t="s">
        <v>196</v>
      </c>
      <c r="AI96" s="11" t="s">
        <v>197</v>
      </c>
      <c r="AJ96" s="11" t="s">
        <v>197</v>
      </c>
      <c r="AK96" s="11" t="s">
        <v>197</v>
      </c>
      <c r="AL96" s="11" t="s">
        <v>198</v>
      </c>
      <c r="AM96" s="11" t="s">
        <v>198</v>
      </c>
      <c r="AN96" s="11" t="s">
        <v>198</v>
      </c>
      <c r="AO96" s="11" t="s">
        <v>199</v>
      </c>
      <c r="AP96" s="11" t="s">
        <v>199</v>
      </c>
      <c r="AQ96" s="11" t="s">
        <v>199</v>
      </c>
      <c r="AR96" s="11" t="s">
        <v>200</v>
      </c>
      <c r="AS96" s="11" t="s">
        <v>200</v>
      </c>
      <c r="AT96" s="11" t="s">
        <v>200</v>
      </c>
      <c r="AU96" s="11" t="s">
        <v>201</v>
      </c>
      <c r="AV96" s="11" t="s">
        <v>201</v>
      </c>
      <c r="AW96" s="11" t="s">
        <v>201</v>
      </c>
      <c r="AX96" s="11" t="s">
        <v>266</v>
      </c>
      <c r="AY96" s="11" t="s">
        <v>266</v>
      </c>
      <c r="AZ96" s="11" t="s">
        <v>266</v>
      </c>
      <c r="BA96" s="11"/>
      <c r="BB96" s="11" t="s">
        <v>261</v>
      </c>
      <c r="BC96" s="11" t="s">
        <v>261</v>
      </c>
      <c r="BD96" s="11" t="s">
        <v>261</v>
      </c>
      <c r="BE96" s="11" t="s">
        <v>390</v>
      </c>
      <c r="BF96" s="11" t="s">
        <v>390</v>
      </c>
      <c r="BG96" s="11" t="s">
        <v>390</v>
      </c>
      <c r="BH96" s="11" t="s">
        <v>391</v>
      </c>
      <c r="BI96" s="11" t="s">
        <v>391</v>
      </c>
      <c r="BJ96" s="11" t="s">
        <v>391</v>
      </c>
      <c r="BK96" s="11" t="s">
        <v>267</v>
      </c>
      <c r="BL96" s="11" t="s">
        <v>267</v>
      </c>
      <c r="BM96" s="11" t="s">
        <v>267</v>
      </c>
      <c r="BN96" s="11" t="s">
        <v>268</v>
      </c>
      <c r="BO96" s="11" t="s">
        <v>268</v>
      </c>
      <c r="BP96" s="11" t="s">
        <v>268</v>
      </c>
      <c r="BQ96" s="11" t="s">
        <v>269</v>
      </c>
      <c r="BR96" s="11" t="s">
        <v>269</v>
      </c>
      <c r="BS96" s="11" t="s">
        <v>269</v>
      </c>
      <c r="BT96" s="11" t="s">
        <v>270</v>
      </c>
      <c r="BU96" s="11" t="s">
        <v>270</v>
      </c>
      <c r="BV96" s="11" t="s">
        <v>270</v>
      </c>
      <c r="BW96" s="11" t="s">
        <v>271</v>
      </c>
      <c r="BX96" s="11" t="s">
        <v>271</v>
      </c>
      <c r="BY96" s="11" t="s">
        <v>271</v>
      </c>
      <c r="BZ96" s="11" t="s">
        <v>272</v>
      </c>
      <c r="CA96" s="11" t="s">
        <v>272</v>
      </c>
      <c r="CB96" s="11" t="s">
        <v>272</v>
      </c>
      <c r="CC96" s="11" t="s">
        <v>273</v>
      </c>
      <c r="CD96" s="11" t="s">
        <v>273</v>
      </c>
      <c r="CE96" s="11" t="s">
        <v>273</v>
      </c>
      <c r="CF96" s="11" t="s">
        <v>274</v>
      </c>
      <c r="CG96" s="11" t="s">
        <v>274</v>
      </c>
      <c r="CH96" s="11" t="s">
        <v>274</v>
      </c>
      <c r="CJ96" s="10"/>
      <c r="CK96" s="10"/>
      <c r="DE96" s="10"/>
      <c r="EM96" s="10"/>
    </row>
    <row r="97" spans="1:87" ht="15.75">
      <c r="A97" s="10" t="s">
        <v>361</v>
      </c>
      <c r="C97" s="2" t="s">
        <v>362</v>
      </c>
      <c r="D97" s="2" t="s">
        <v>385</v>
      </c>
      <c r="E97" s="2" t="s">
        <v>54</v>
      </c>
      <c r="F97" s="2" t="s">
        <v>69</v>
      </c>
      <c r="H97" s="5" t="s">
        <v>401</v>
      </c>
      <c r="I97" s="21">
        <v>2</v>
      </c>
      <c r="J97" s="2">
        <v>16</v>
      </c>
      <c r="K97" s="2">
        <v>57</v>
      </c>
      <c r="L97" s="2">
        <v>34</v>
      </c>
      <c r="M97" s="2">
        <v>13</v>
      </c>
      <c r="N97" s="2">
        <v>38</v>
      </c>
      <c r="O97" s="2">
        <v>25.2</v>
      </c>
      <c r="Y97" s="2">
        <v>70</v>
      </c>
      <c r="Z97" s="2">
        <v>141</v>
      </c>
      <c r="AA97" s="2">
        <v>109</v>
      </c>
      <c r="AB97" s="2">
        <v>66</v>
      </c>
      <c r="AC97" s="2">
        <v>180</v>
      </c>
      <c r="AD97" s="2">
        <v>134</v>
      </c>
      <c r="AE97" s="10" t="s">
        <v>254</v>
      </c>
      <c r="AF97" s="2">
        <v>66</v>
      </c>
      <c r="AG97" s="2">
        <v>125</v>
      </c>
      <c r="AH97" s="2">
        <v>111</v>
      </c>
      <c r="AI97" s="2">
        <v>105</v>
      </c>
      <c r="AJ97" s="2">
        <v>158</v>
      </c>
      <c r="AK97" s="2">
        <v>133</v>
      </c>
      <c r="AL97" s="2">
        <v>70</v>
      </c>
      <c r="AM97" s="2">
        <v>100</v>
      </c>
      <c r="AN97" s="2">
        <v>82</v>
      </c>
      <c r="AO97" s="2">
        <v>90</v>
      </c>
      <c r="AP97" s="2">
        <v>250</v>
      </c>
      <c r="AQ97" s="2">
        <v>189</v>
      </c>
      <c r="AR97" s="2">
        <v>168</v>
      </c>
      <c r="AS97" s="2">
        <v>280</v>
      </c>
      <c r="AT97" s="2">
        <v>215</v>
      </c>
      <c r="AU97" s="2">
        <v>157</v>
      </c>
      <c r="AV97" s="2">
        <v>372</v>
      </c>
      <c r="AW97" s="2">
        <v>262</v>
      </c>
      <c r="AX97" s="2">
        <v>220</v>
      </c>
      <c r="AY97" s="2">
        <v>667</v>
      </c>
      <c r="AZ97" s="2">
        <v>552</v>
      </c>
      <c r="BA97" s="10" t="s">
        <v>254</v>
      </c>
      <c r="BB97" s="2">
        <v>275</v>
      </c>
      <c r="BC97" s="2">
        <v>372</v>
      </c>
      <c r="BD97" s="2">
        <v>285</v>
      </c>
      <c r="CI97" s="10" t="s">
        <v>254</v>
      </c>
    </row>
    <row r="98" spans="1:87" ht="15.75">
      <c r="A98" s="10"/>
      <c r="C98" s="2" t="s">
        <v>362</v>
      </c>
      <c r="D98" s="2" t="s">
        <v>385</v>
      </c>
      <c r="E98" s="2" t="s">
        <v>54</v>
      </c>
      <c r="F98" s="2" t="s">
        <v>160</v>
      </c>
      <c r="I98" s="7">
        <f aca="true" t="shared" si="27" ref="I98:N98">I97*I3</f>
        <v>8.638</v>
      </c>
      <c r="J98" s="7">
        <f t="shared" si="27"/>
        <v>60.032</v>
      </c>
      <c r="K98" s="7">
        <f t="shared" si="27"/>
        <v>213.86399999999998</v>
      </c>
      <c r="L98" s="7">
        <f t="shared" si="27"/>
        <v>127.568</v>
      </c>
      <c r="M98" s="7">
        <f t="shared" si="27"/>
        <v>48.775999999999996</v>
      </c>
      <c r="N98" s="7">
        <f t="shared" si="27"/>
        <v>142.576</v>
      </c>
      <c r="O98" s="7">
        <f>O97*O3</f>
        <v>94.5504</v>
      </c>
      <c r="Y98" s="17">
        <f aca="true" t="shared" si="28" ref="Y98:BD98">Y97*Y3</f>
        <v>80.08</v>
      </c>
      <c r="Z98" s="17">
        <f t="shared" si="28"/>
        <v>161.30399999999997</v>
      </c>
      <c r="AA98" s="17">
        <f t="shared" si="28"/>
        <v>124.69599999999998</v>
      </c>
      <c r="AB98" s="17">
        <f t="shared" si="28"/>
        <v>75.50399999999999</v>
      </c>
      <c r="AC98" s="17">
        <f t="shared" si="28"/>
        <v>205.92</v>
      </c>
      <c r="AD98" s="17">
        <f t="shared" si="28"/>
        <v>153.296</v>
      </c>
      <c r="AE98" s="2" t="s">
        <v>160</v>
      </c>
      <c r="AF98" s="2">
        <f t="shared" si="28"/>
        <v>76.032</v>
      </c>
      <c r="AG98" s="2">
        <f t="shared" si="28"/>
        <v>144</v>
      </c>
      <c r="AH98" s="2">
        <f t="shared" si="28"/>
        <v>127.87199999999999</v>
      </c>
      <c r="AI98" s="2">
        <f t="shared" si="28"/>
        <v>120.96</v>
      </c>
      <c r="AJ98" s="2">
        <f t="shared" si="28"/>
        <v>182.016</v>
      </c>
      <c r="AK98" s="2">
        <f t="shared" si="28"/>
        <v>153.21599999999998</v>
      </c>
      <c r="AL98" s="2">
        <f t="shared" si="28"/>
        <v>80.64</v>
      </c>
      <c r="AM98" s="2">
        <f t="shared" si="28"/>
        <v>115.19999999999999</v>
      </c>
      <c r="AN98" s="2">
        <f t="shared" si="28"/>
        <v>94.464</v>
      </c>
      <c r="AO98" s="2">
        <f t="shared" si="28"/>
        <v>93.924</v>
      </c>
      <c r="AP98" s="2">
        <f t="shared" si="28"/>
        <v>260.90000000000003</v>
      </c>
      <c r="AQ98" s="2">
        <f t="shared" si="28"/>
        <v>197.24040000000002</v>
      </c>
      <c r="AR98" s="2">
        <f t="shared" si="28"/>
        <v>165.48</v>
      </c>
      <c r="AS98" s="2">
        <f t="shared" si="28"/>
        <v>275.8</v>
      </c>
      <c r="AT98" s="2">
        <f t="shared" si="28"/>
        <v>211.775</v>
      </c>
      <c r="AU98" s="2">
        <f t="shared" si="28"/>
        <v>149.935</v>
      </c>
      <c r="AV98" s="2">
        <f t="shared" si="28"/>
        <v>355.26</v>
      </c>
      <c r="AW98" s="2">
        <f t="shared" si="28"/>
        <v>250.20999999999998</v>
      </c>
      <c r="AX98" s="2">
        <f t="shared" si="28"/>
        <v>157.95999999999998</v>
      </c>
      <c r="AY98" s="2">
        <f t="shared" si="28"/>
        <v>478.906</v>
      </c>
      <c r="AZ98" s="2">
        <f t="shared" si="28"/>
        <v>396.336</v>
      </c>
      <c r="BA98" s="2" t="s">
        <v>160</v>
      </c>
      <c r="BB98" s="2">
        <f t="shared" si="28"/>
        <v>232.65</v>
      </c>
      <c r="BC98" s="2">
        <f t="shared" si="28"/>
        <v>314.712</v>
      </c>
      <c r="BD98" s="2">
        <f t="shared" si="28"/>
        <v>241.10999999999999</v>
      </c>
      <c r="CI98" s="2" t="s">
        <v>160</v>
      </c>
    </row>
    <row r="99" spans="1:143" ht="15.75">
      <c r="A99" s="10"/>
      <c r="C99" s="2" t="s">
        <v>362</v>
      </c>
      <c r="D99" s="2" t="s">
        <v>67</v>
      </c>
      <c r="E99" s="2" t="s">
        <v>68</v>
      </c>
      <c r="F99" s="2" t="s">
        <v>160</v>
      </c>
      <c r="I99" s="7">
        <f aca="true" t="shared" si="29" ref="I99:O99">I98/8</f>
        <v>1.07975</v>
      </c>
      <c r="J99" s="7">
        <f t="shared" si="29"/>
        <v>7.504</v>
      </c>
      <c r="K99" s="7">
        <f t="shared" si="29"/>
        <v>26.732999999999997</v>
      </c>
      <c r="L99" s="7">
        <f t="shared" si="29"/>
        <v>15.946</v>
      </c>
      <c r="M99" s="7">
        <f t="shared" si="29"/>
        <v>6.0969999999999995</v>
      </c>
      <c r="N99" s="7">
        <f t="shared" si="29"/>
        <v>17.822</v>
      </c>
      <c r="O99" s="7">
        <f t="shared" si="29"/>
        <v>11.8188</v>
      </c>
      <c r="Y99" s="17">
        <f aca="true" t="shared" si="30" ref="Y99:AD99">Y98/8</f>
        <v>10.01</v>
      </c>
      <c r="Z99" s="17">
        <f t="shared" si="30"/>
        <v>20.162999999999997</v>
      </c>
      <c r="AA99" s="17">
        <f t="shared" si="30"/>
        <v>15.586999999999998</v>
      </c>
      <c r="AB99" s="17">
        <f t="shared" si="30"/>
        <v>9.437999999999999</v>
      </c>
      <c r="AC99" s="17">
        <f t="shared" si="30"/>
        <v>25.74</v>
      </c>
      <c r="AD99" s="17">
        <f t="shared" si="30"/>
        <v>19.162</v>
      </c>
      <c r="AE99" s="2" t="s">
        <v>160</v>
      </c>
      <c r="AF99" s="2">
        <f>AF98/8</f>
        <v>9.504</v>
      </c>
      <c r="AG99" s="2">
        <f aca="true" t="shared" si="31" ref="AG99:AZ99">AG98/8</f>
        <v>18</v>
      </c>
      <c r="AH99" s="2">
        <f t="shared" si="31"/>
        <v>15.983999999999998</v>
      </c>
      <c r="AI99" s="2">
        <f t="shared" si="31"/>
        <v>15.12</v>
      </c>
      <c r="AJ99" s="2">
        <f t="shared" si="31"/>
        <v>22.752</v>
      </c>
      <c r="AK99" s="2">
        <f t="shared" si="31"/>
        <v>19.151999999999997</v>
      </c>
      <c r="AL99" s="2">
        <f t="shared" si="31"/>
        <v>10.08</v>
      </c>
      <c r="AM99" s="2">
        <f t="shared" si="31"/>
        <v>14.399999999999999</v>
      </c>
      <c r="AN99" s="2">
        <f t="shared" si="31"/>
        <v>11.808</v>
      </c>
      <c r="AO99" s="2">
        <f t="shared" si="31"/>
        <v>11.7405</v>
      </c>
      <c r="AP99" s="2">
        <f t="shared" si="31"/>
        <v>32.612500000000004</v>
      </c>
      <c r="AQ99" s="2">
        <f t="shared" si="31"/>
        <v>24.655050000000003</v>
      </c>
      <c r="AR99" s="2">
        <f t="shared" si="31"/>
        <v>20.685</v>
      </c>
      <c r="AS99" s="2">
        <f t="shared" si="31"/>
        <v>34.475</v>
      </c>
      <c r="AT99" s="2">
        <f t="shared" si="31"/>
        <v>26.471875</v>
      </c>
      <c r="AU99" s="2">
        <f t="shared" si="31"/>
        <v>18.741875</v>
      </c>
      <c r="AV99" s="2">
        <f t="shared" si="31"/>
        <v>44.4075</v>
      </c>
      <c r="AW99" s="2">
        <f t="shared" si="31"/>
        <v>31.276249999999997</v>
      </c>
      <c r="AX99" s="2">
        <f t="shared" si="31"/>
        <v>19.744999999999997</v>
      </c>
      <c r="AY99" s="2">
        <f t="shared" si="31"/>
        <v>59.86325</v>
      </c>
      <c r="AZ99" s="2">
        <f t="shared" si="31"/>
        <v>49.542</v>
      </c>
      <c r="BA99" s="2" t="s">
        <v>160</v>
      </c>
      <c r="BB99" s="2">
        <f>BB98/8</f>
        <v>29.08125</v>
      </c>
      <c r="BC99" s="2">
        <f>BC98/8</f>
        <v>39.339</v>
      </c>
      <c r="BD99" s="2">
        <f>BD98/8</f>
        <v>30.138749999999998</v>
      </c>
      <c r="BE99" s="2">
        <v>35</v>
      </c>
      <c r="BF99" s="2">
        <v>65</v>
      </c>
      <c r="BG99" s="2">
        <v>48.4</v>
      </c>
      <c r="BH99" s="2">
        <v>59.2</v>
      </c>
      <c r="BI99" s="2">
        <v>78.1</v>
      </c>
      <c r="BJ99" s="2">
        <v>68.7</v>
      </c>
      <c r="BK99" s="2">
        <v>38</v>
      </c>
      <c r="BL99" s="2">
        <v>68</v>
      </c>
      <c r="BM99" s="2">
        <v>54.5</v>
      </c>
      <c r="BN99" s="2">
        <v>44</v>
      </c>
      <c r="BO99" s="2">
        <v>65</v>
      </c>
      <c r="BP99" s="2">
        <v>53.4</v>
      </c>
      <c r="BQ99" s="2">
        <v>26</v>
      </c>
      <c r="BR99" s="2">
        <v>41</v>
      </c>
      <c r="BS99" s="2">
        <v>34.9</v>
      </c>
      <c r="BT99" s="2">
        <v>37</v>
      </c>
      <c r="BU99" s="2">
        <v>64</v>
      </c>
      <c r="BV99" s="2">
        <v>46.7</v>
      </c>
      <c r="BW99" s="2">
        <v>43</v>
      </c>
      <c r="BX99" s="2">
        <v>66</v>
      </c>
      <c r="BY99" s="2">
        <v>55.1</v>
      </c>
      <c r="BZ99" s="2">
        <v>44</v>
      </c>
      <c r="CA99" s="2">
        <v>73</v>
      </c>
      <c r="CB99" s="2">
        <v>56</v>
      </c>
      <c r="CC99" s="2">
        <v>54.766799999999996</v>
      </c>
      <c r="CD99" s="2">
        <v>78.831</v>
      </c>
      <c r="CE99" s="2">
        <v>68.62446</v>
      </c>
      <c r="CF99" s="2">
        <v>55.2528</v>
      </c>
      <c r="CG99" s="2">
        <v>97.4598</v>
      </c>
      <c r="CH99" s="2">
        <v>73.44018</v>
      </c>
      <c r="CI99" s="2" t="s">
        <v>160</v>
      </c>
      <c r="CJ99" s="10"/>
      <c r="CK99" s="10"/>
      <c r="DE99" s="10"/>
      <c r="DF99" s="10"/>
      <c r="DG99" s="10"/>
      <c r="DH99" s="10"/>
      <c r="DI99" s="10"/>
      <c r="DJ99" s="10"/>
      <c r="DK99" s="10"/>
      <c r="DL99" s="10"/>
      <c r="DM99" s="10"/>
      <c r="DN99" s="10"/>
      <c r="DO99" s="10"/>
      <c r="DP99" s="10"/>
      <c r="EM99" s="10"/>
    </row>
    <row r="100" spans="1:143" ht="15.75">
      <c r="A100" s="10"/>
      <c r="C100" s="2" t="s">
        <v>362</v>
      </c>
      <c r="D100" s="2" t="s">
        <v>142</v>
      </c>
      <c r="F100" s="2" t="s">
        <v>130</v>
      </c>
      <c r="I100" s="16">
        <f aca="true" t="shared" si="32" ref="I100:O100">I97/(4*100*16.38)</f>
        <v>0.00030525030525030525</v>
      </c>
      <c r="J100" s="16">
        <f t="shared" si="32"/>
        <v>0.002442002442002442</v>
      </c>
      <c r="K100" s="7">
        <f t="shared" si="32"/>
        <v>0.0086996336996337</v>
      </c>
      <c r="L100" s="7">
        <f t="shared" si="32"/>
        <v>0.005189255189255189</v>
      </c>
      <c r="M100" s="16">
        <f t="shared" si="32"/>
        <v>0.001984126984126984</v>
      </c>
      <c r="N100" s="7">
        <f t="shared" si="32"/>
        <v>0.0057997557997558</v>
      </c>
      <c r="O100" s="16">
        <f t="shared" si="32"/>
        <v>0.003846153846153846</v>
      </c>
      <c r="Y100" s="16">
        <f aca="true" t="shared" si="33" ref="Y100:AD100">Y97/(8*100*16.38)</f>
        <v>0.005341880341880342</v>
      </c>
      <c r="Z100" s="16">
        <f t="shared" si="33"/>
        <v>0.01076007326007326</v>
      </c>
      <c r="AA100" s="16">
        <f t="shared" si="33"/>
        <v>0.008318070818070818</v>
      </c>
      <c r="AB100" s="16">
        <f t="shared" si="33"/>
        <v>0.005036630036630037</v>
      </c>
      <c r="AC100" s="16">
        <f t="shared" si="33"/>
        <v>0.013736263736263736</v>
      </c>
      <c r="AD100" s="16">
        <f t="shared" si="33"/>
        <v>0.010225885225885226</v>
      </c>
      <c r="AE100" s="7"/>
      <c r="AF100" s="16">
        <f>AF97/(8*100*16.38)</f>
        <v>0.005036630036630037</v>
      </c>
      <c r="AG100" s="16">
        <f aca="true" t="shared" si="34" ref="AG100:BD100">AG97/(8*100*16.38)</f>
        <v>0.00953907203907204</v>
      </c>
      <c r="AH100" s="16">
        <f t="shared" si="34"/>
        <v>0.00847069597069597</v>
      </c>
      <c r="AI100" s="16">
        <f t="shared" si="34"/>
        <v>0.008012820512820512</v>
      </c>
      <c r="AJ100" s="16">
        <f t="shared" si="34"/>
        <v>0.012057387057387058</v>
      </c>
      <c r="AK100" s="16">
        <f t="shared" si="34"/>
        <v>0.01014957264957265</v>
      </c>
      <c r="AL100" s="16">
        <f t="shared" si="34"/>
        <v>0.005341880341880342</v>
      </c>
      <c r="AM100" s="16">
        <f t="shared" si="34"/>
        <v>0.007631257631257631</v>
      </c>
      <c r="AN100" s="16">
        <f t="shared" si="34"/>
        <v>0.006257631257631258</v>
      </c>
      <c r="AO100" s="16">
        <f t="shared" si="34"/>
        <v>0.006868131868131868</v>
      </c>
      <c r="AP100" s="16">
        <f t="shared" si="34"/>
        <v>0.01907814407814408</v>
      </c>
      <c r="AQ100" s="16">
        <f t="shared" si="34"/>
        <v>0.014423076923076924</v>
      </c>
      <c r="AR100" s="16">
        <f t="shared" si="34"/>
        <v>0.01282051282051282</v>
      </c>
      <c r="AS100" s="16">
        <f t="shared" si="34"/>
        <v>0.021367521367521368</v>
      </c>
      <c r="AT100" s="16">
        <f t="shared" si="34"/>
        <v>0.016407203907203908</v>
      </c>
      <c r="AU100" s="16">
        <f t="shared" si="34"/>
        <v>0.011981074481074482</v>
      </c>
      <c r="AV100" s="16">
        <f t="shared" si="34"/>
        <v>0.028388278388278388</v>
      </c>
      <c r="AW100" s="16">
        <f t="shared" si="34"/>
        <v>0.019993894993894992</v>
      </c>
      <c r="AX100" s="16">
        <f t="shared" si="34"/>
        <v>0.016788766788766788</v>
      </c>
      <c r="AY100" s="16">
        <f t="shared" si="34"/>
        <v>0.0509004884004884</v>
      </c>
      <c r="AZ100" s="16">
        <f t="shared" si="34"/>
        <v>0.04212454212454213</v>
      </c>
      <c r="BA100" s="16"/>
      <c r="BB100" s="16">
        <f t="shared" si="34"/>
        <v>0.020985958485958484</v>
      </c>
      <c r="BC100" s="16">
        <f t="shared" si="34"/>
        <v>0.028388278388278388</v>
      </c>
      <c r="BD100" s="16">
        <f t="shared" si="34"/>
        <v>0.021749084249084248</v>
      </c>
      <c r="BE100" s="16">
        <f>BE99/(100*16.38)</f>
        <v>0.021367521367521368</v>
      </c>
      <c r="BF100" s="16">
        <f aca="true" t="shared" si="35" ref="BF100:CH100">BF99/(100*16.38)</f>
        <v>0.03968253968253968</v>
      </c>
      <c r="BG100" s="16">
        <f t="shared" si="35"/>
        <v>0.029548229548229547</v>
      </c>
      <c r="BH100" s="16">
        <f t="shared" si="35"/>
        <v>0.036141636141636145</v>
      </c>
      <c r="BI100" s="16">
        <f t="shared" si="35"/>
        <v>0.04768009768009768</v>
      </c>
      <c r="BJ100" s="16">
        <f t="shared" si="35"/>
        <v>0.041941391941391945</v>
      </c>
      <c r="BK100" s="16">
        <f t="shared" si="35"/>
        <v>0.0231990231990232</v>
      </c>
      <c r="BL100" s="16">
        <f t="shared" si="35"/>
        <v>0.04151404151404151</v>
      </c>
      <c r="BM100" s="16">
        <f t="shared" si="35"/>
        <v>0.03327228327228327</v>
      </c>
      <c r="BN100" s="16">
        <f t="shared" si="35"/>
        <v>0.026862026862026864</v>
      </c>
      <c r="BO100" s="16">
        <f t="shared" si="35"/>
        <v>0.03968253968253968</v>
      </c>
      <c r="BP100" s="16">
        <f t="shared" si="35"/>
        <v>0.0326007326007326</v>
      </c>
      <c r="BQ100" s="16">
        <f t="shared" si="35"/>
        <v>0.015873015873015872</v>
      </c>
      <c r="BR100" s="16">
        <f t="shared" si="35"/>
        <v>0.025030525030525032</v>
      </c>
      <c r="BS100" s="16">
        <f t="shared" si="35"/>
        <v>0.021306471306471307</v>
      </c>
      <c r="BT100" s="16">
        <f t="shared" si="35"/>
        <v>0.022588522588522588</v>
      </c>
      <c r="BU100" s="16">
        <f t="shared" si="35"/>
        <v>0.03907203907203907</v>
      </c>
      <c r="BV100" s="16">
        <f t="shared" si="35"/>
        <v>0.028510378510378513</v>
      </c>
      <c r="BW100" s="16">
        <f t="shared" si="35"/>
        <v>0.026251526251526252</v>
      </c>
      <c r="BX100" s="16">
        <f t="shared" si="35"/>
        <v>0.040293040293040296</v>
      </c>
      <c r="BY100" s="16">
        <f t="shared" si="35"/>
        <v>0.03363858363858364</v>
      </c>
      <c r="BZ100" s="16">
        <f t="shared" si="35"/>
        <v>0.026862026862026864</v>
      </c>
      <c r="CA100" s="16">
        <f t="shared" si="35"/>
        <v>0.04456654456654457</v>
      </c>
      <c r="CB100" s="16">
        <f t="shared" si="35"/>
        <v>0.03418803418803419</v>
      </c>
      <c r="CC100" s="16">
        <f t="shared" si="35"/>
        <v>0.03343516483516483</v>
      </c>
      <c r="CD100" s="16">
        <f t="shared" si="35"/>
        <v>0.04812637362637363</v>
      </c>
      <c r="CE100" s="16">
        <f t="shared" si="35"/>
        <v>0.041895274725274725</v>
      </c>
      <c r="CF100" s="16">
        <f t="shared" si="35"/>
        <v>0.03373186813186813</v>
      </c>
      <c r="CG100" s="16">
        <f t="shared" si="35"/>
        <v>0.0594992673992674</v>
      </c>
      <c r="CH100" s="16">
        <f t="shared" si="35"/>
        <v>0.044835274725274724</v>
      </c>
      <c r="CI100" s="2" t="s">
        <v>130</v>
      </c>
      <c r="CJ100" s="10"/>
      <c r="CK100" s="10"/>
      <c r="DE100" s="10"/>
      <c r="DF100" s="10"/>
      <c r="DG100" s="10"/>
      <c r="DH100" s="10"/>
      <c r="DI100" s="10"/>
      <c r="DJ100" s="10"/>
      <c r="DK100" s="10"/>
      <c r="DL100" s="10"/>
      <c r="DM100" s="10"/>
      <c r="DN100" s="10"/>
      <c r="DO100" s="10"/>
      <c r="DP100" s="10"/>
      <c r="EM100" s="10"/>
    </row>
    <row r="101" spans="1:143" ht="15.75">
      <c r="A101" s="10"/>
      <c r="C101" s="2" t="s">
        <v>362</v>
      </c>
      <c r="D101" s="2" t="s">
        <v>142</v>
      </c>
      <c r="F101" s="2" t="s">
        <v>140</v>
      </c>
      <c r="I101" s="7">
        <f aca="true" t="shared" si="36" ref="I101:O101">I100*67.54</f>
        <v>0.020616605616605617</v>
      </c>
      <c r="J101" s="7">
        <f t="shared" si="36"/>
        <v>0.16493284493284494</v>
      </c>
      <c r="K101" s="7">
        <f t="shared" si="36"/>
        <v>0.5875732600732602</v>
      </c>
      <c r="L101" s="8">
        <f t="shared" si="36"/>
        <v>0.3504822954822955</v>
      </c>
      <c r="M101" s="7">
        <f t="shared" si="36"/>
        <v>0.13400793650793652</v>
      </c>
      <c r="N101" s="7">
        <f t="shared" si="36"/>
        <v>0.39171550671550676</v>
      </c>
      <c r="O101" s="8">
        <f t="shared" si="36"/>
        <v>0.25976923076923075</v>
      </c>
      <c r="Y101" s="14">
        <f aca="true" t="shared" si="37" ref="Y101:AD101">Y100*21.416</f>
        <v>0.1144017094017094</v>
      </c>
      <c r="Z101" s="14">
        <f t="shared" si="37"/>
        <v>0.23043772893772893</v>
      </c>
      <c r="AA101" s="13">
        <f t="shared" si="37"/>
        <v>0.17813980463980464</v>
      </c>
      <c r="AB101" s="14">
        <f t="shared" si="37"/>
        <v>0.10786446886446888</v>
      </c>
      <c r="AC101" s="14">
        <f t="shared" si="37"/>
        <v>0.29417582417582416</v>
      </c>
      <c r="AD101" s="13">
        <f t="shared" si="37"/>
        <v>0.218997557997558</v>
      </c>
      <c r="AE101" s="7"/>
      <c r="AF101" s="14">
        <f>AF100*20.74</f>
        <v>0.10445970695970695</v>
      </c>
      <c r="AG101" s="14">
        <f aca="true" t="shared" si="38" ref="AG101:AN101">AG100*20.74</f>
        <v>0.19784035409035408</v>
      </c>
      <c r="AH101" s="14">
        <f t="shared" si="38"/>
        <v>0.1756822344322344</v>
      </c>
      <c r="AI101" s="14">
        <f t="shared" si="38"/>
        <v>0.1661858974358974</v>
      </c>
      <c r="AJ101" s="14">
        <f t="shared" si="38"/>
        <v>0.25007020757020754</v>
      </c>
      <c r="AK101" s="14">
        <f t="shared" si="38"/>
        <v>0.21050213675213675</v>
      </c>
      <c r="AL101" s="14">
        <f t="shared" si="38"/>
        <v>0.11079059829059829</v>
      </c>
      <c r="AM101" s="14">
        <f t="shared" si="38"/>
        <v>0.15827228327228327</v>
      </c>
      <c r="AN101" s="13">
        <f t="shared" si="38"/>
        <v>0.12978327228327227</v>
      </c>
      <c r="AO101" s="14">
        <f>AO100*18.822</f>
        <v>0.129271978021978</v>
      </c>
      <c r="AP101" s="14">
        <f>AP100*18.822</f>
        <v>0.35908882783882784</v>
      </c>
      <c r="AQ101" s="14">
        <f>AQ100*18.822</f>
        <v>0.27147115384615383</v>
      </c>
      <c r="AR101" s="14">
        <f>AR100*18</f>
        <v>0.23076923076923075</v>
      </c>
      <c r="AS101" s="14">
        <f aca="true" t="shared" si="39" ref="AS101:CH101">AS100*18</f>
        <v>0.38461538461538464</v>
      </c>
      <c r="AT101" s="14">
        <f t="shared" si="39"/>
        <v>0.29532967032967034</v>
      </c>
      <c r="AU101" s="14">
        <f t="shared" si="39"/>
        <v>0.21565934065934067</v>
      </c>
      <c r="AV101" s="14">
        <f t="shared" si="39"/>
        <v>0.510989010989011</v>
      </c>
      <c r="AW101" s="14">
        <f t="shared" si="39"/>
        <v>0.35989010989010983</v>
      </c>
      <c r="AX101" s="14">
        <f t="shared" si="39"/>
        <v>0.3021978021978022</v>
      </c>
      <c r="AY101" s="14">
        <f t="shared" si="39"/>
        <v>0.9162087912087912</v>
      </c>
      <c r="AZ101" s="13">
        <f t="shared" si="39"/>
        <v>0.7582417582417583</v>
      </c>
      <c r="BA101" s="14"/>
      <c r="BB101" s="14">
        <f t="shared" si="39"/>
        <v>0.37774725274725274</v>
      </c>
      <c r="BC101" s="14">
        <f t="shared" si="39"/>
        <v>0.510989010989011</v>
      </c>
      <c r="BD101" s="13">
        <f t="shared" si="39"/>
        <v>0.3914835164835165</v>
      </c>
      <c r="BE101" s="14">
        <f t="shared" si="39"/>
        <v>0.38461538461538464</v>
      </c>
      <c r="BF101" s="14">
        <f t="shared" si="39"/>
        <v>0.7142857142857142</v>
      </c>
      <c r="BG101" s="14">
        <f t="shared" si="39"/>
        <v>0.5318681318681319</v>
      </c>
      <c r="BH101" s="14">
        <f t="shared" si="39"/>
        <v>0.6505494505494506</v>
      </c>
      <c r="BI101" s="14">
        <f t="shared" si="39"/>
        <v>0.8582417582417582</v>
      </c>
      <c r="BJ101" s="13">
        <f t="shared" si="39"/>
        <v>0.754945054945055</v>
      </c>
      <c r="BK101" s="14">
        <f t="shared" si="39"/>
        <v>0.4175824175824176</v>
      </c>
      <c r="BL101" s="14">
        <f t="shared" si="39"/>
        <v>0.7472527472527473</v>
      </c>
      <c r="BM101" s="14">
        <f t="shared" si="39"/>
        <v>0.5989010989010989</v>
      </c>
      <c r="BN101" s="14">
        <f t="shared" si="39"/>
        <v>0.4835164835164836</v>
      </c>
      <c r="BO101" s="14">
        <f t="shared" si="39"/>
        <v>0.7142857142857142</v>
      </c>
      <c r="BP101" s="14">
        <f t="shared" si="39"/>
        <v>0.5868131868131868</v>
      </c>
      <c r="BQ101" s="14">
        <f t="shared" si="39"/>
        <v>0.2857142857142857</v>
      </c>
      <c r="BR101" s="14">
        <f t="shared" si="39"/>
        <v>0.45054945054945056</v>
      </c>
      <c r="BS101" s="14">
        <f t="shared" si="39"/>
        <v>0.38351648351648354</v>
      </c>
      <c r="BT101" s="14">
        <f t="shared" si="39"/>
        <v>0.4065934065934066</v>
      </c>
      <c r="BU101" s="14">
        <f t="shared" si="39"/>
        <v>0.7032967032967032</v>
      </c>
      <c r="BV101" s="14">
        <f t="shared" si="39"/>
        <v>0.5131868131868133</v>
      </c>
      <c r="BW101" s="14">
        <f t="shared" si="39"/>
        <v>0.4725274725274725</v>
      </c>
      <c r="BX101" s="14">
        <f t="shared" si="39"/>
        <v>0.7252747252747254</v>
      </c>
      <c r="BY101" s="14">
        <f t="shared" si="39"/>
        <v>0.6054945054945055</v>
      </c>
      <c r="BZ101" s="14">
        <f t="shared" si="39"/>
        <v>0.4835164835164836</v>
      </c>
      <c r="CA101" s="14">
        <f t="shared" si="39"/>
        <v>0.8021978021978022</v>
      </c>
      <c r="CB101" s="14">
        <f t="shared" si="39"/>
        <v>0.6153846153846154</v>
      </c>
      <c r="CC101" s="14">
        <f t="shared" si="39"/>
        <v>0.601832967032967</v>
      </c>
      <c r="CD101" s="14">
        <f t="shared" si="39"/>
        <v>0.8662747252747253</v>
      </c>
      <c r="CE101" s="14">
        <f t="shared" si="39"/>
        <v>0.754114945054945</v>
      </c>
      <c r="CF101" s="14">
        <f t="shared" si="39"/>
        <v>0.6071736263736264</v>
      </c>
      <c r="CG101" s="14">
        <f t="shared" si="39"/>
        <v>1.0709868131868132</v>
      </c>
      <c r="CH101" s="14">
        <f t="shared" si="39"/>
        <v>0.807034945054945</v>
      </c>
      <c r="CI101" s="2" t="s">
        <v>140</v>
      </c>
      <c r="CJ101" s="10"/>
      <c r="CK101" s="10"/>
      <c r="DE101" s="10"/>
      <c r="DF101" s="10"/>
      <c r="DG101" s="10"/>
      <c r="DH101" s="10"/>
      <c r="DI101" s="10"/>
      <c r="DJ101" s="10"/>
      <c r="DK101" s="10"/>
      <c r="DL101" s="10"/>
      <c r="DM101" s="10"/>
      <c r="DN101" s="10"/>
      <c r="DO101" s="10"/>
      <c r="DP101" s="10"/>
      <c r="EM101" s="10"/>
    </row>
    <row r="102" spans="1:143" ht="15.75">
      <c r="A102" s="10"/>
      <c r="F102" s="2" t="s">
        <v>337</v>
      </c>
      <c r="I102" s="5" t="s">
        <v>101</v>
      </c>
      <c r="J102" s="14"/>
      <c r="K102" s="14"/>
      <c r="L102" s="14"/>
      <c r="M102" s="14"/>
      <c r="N102" s="14"/>
      <c r="O102" s="14">
        <f>O101/O111</f>
        <v>0.6720398009950249</v>
      </c>
      <c r="Y102" s="14"/>
      <c r="Z102" s="14"/>
      <c r="AA102" s="14">
        <f>AA101/AA111</f>
        <v>0.5898911671536107</v>
      </c>
      <c r="AB102" s="14"/>
      <c r="AC102" s="14"/>
      <c r="AD102" s="14"/>
      <c r="AE102" s="7"/>
      <c r="AF102" s="14"/>
      <c r="AG102" s="14"/>
      <c r="AH102" s="14"/>
      <c r="AI102" s="14"/>
      <c r="AJ102" s="14"/>
      <c r="AK102" s="14" t="e">
        <f>AK101/AK111</f>
        <v>#DIV/0!</v>
      </c>
      <c r="AL102" s="14"/>
      <c r="AM102" s="14"/>
      <c r="AN102" s="14">
        <f>AN101/AN111</f>
        <v>0.4188041765169424</v>
      </c>
      <c r="AO102" s="14"/>
      <c r="AP102" s="14"/>
      <c r="AQ102" s="14"/>
      <c r="AR102" s="14"/>
      <c r="AS102" s="14"/>
      <c r="AT102" s="14"/>
      <c r="AU102" s="14"/>
      <c r="AV102" s="14"/>
      <c r="AW102" s="14"/>
      <c r="AX102" s="14"/>
      <c r="AY102" s="14"/>
      <c r="AZ102" s="14">
        <f>AZ101/AZ111</f>
        <v>1.3601885579601456</v>
      </c>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J102" s="10"/>
      <c r="CK102" s="10"/>
      <c r="DE102" s="10"/>
      <c r="DF102" s="10"/>
      <c r="DG102" s="10"/>
      <c r="DH102" s="10"/>
      <c r="DI102" s="10"/>
      <c r="DJ102" s="10"/>
      <c r="DK102" s="10"/>
      <c r="DL102" s="10"/>
      <c r="DM102" s="10"/>
      <c r="DN102" s="10"/>
      <c r="DO102" s="10"/>
      <c r="DP102" s="10"/>
      <c r="EM102" s="10"/>
    </row>
    <row r="103" spans="1:143" ht="15.75">
      <c r="A103" s="10"/>
      <c r="I103" s="5"/>
      <c r="J103" s="14"/>
      <c r="K103" s="14"/>
      <c r="L103" s="14"/>
      <c r="M103" s="14"/>
      <c r="N103" s="14"/>
      <c r="O103" s="14"/>
      <c r="Y103" s="14"/>
      <c r="Z103" s="14"/>
      <c r="AA103" s="14"/>
      <c r="AB103" s="14"/>
      <c r="AC103" s="14"/>
      <c r="AD103" s="14"/>
      <c r="AE103" s="7"/>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J103" s="10"/>
      <c r="CK103" s="10"/>
      <c r="DE103" s="10"/>
      <c r="DF103" s="10"/>
      <c r="DG103" s="10"/>
      <c r="DH103" s="10"/>
      <c r="DI103" s="10"/>
      <c r="DJ103" s="10"/>
      <c r="DK103" s="10"/>
      <c r="DL103" s="10"/>
      <c r="DM103" s="10"/>
      <c r="DN103" s="10"/>
      <c r="DO103" s="10"/>
      <c r="DP103" s="10"/>
      <c r="EM103" s="10"/>
    </row>
    <row r="104" spans="1:87" ht="15.75">
      <c r="A104" s="10" t="s">
        <v>363</v>
      </c>
      <c r="C104" s="2" t="s">
        <v>364</v>
      </c>
      <c r="D104" s="2" t="s">
        <v>385</v>
      </c>
      <c r="E104" s="2" t="s">
        <v>55</v>
      </c>
      <c r="F104" s="2" t="s">
        <v>69</v>
      </c>
      <c r="I104" s="2">
        <v>1</v>
      </c>
      <c r="J104" s="2">
        <v>7</v>
      </c>
      <c r="K104" s="2">
        <v>26</v>
      </c>
      <c r="L104" s="2">
        <v>16.1</v>
      </c>
      <c r="M104" s="2">
        <v>10</v>
      </c>
      <c r="N104" s="2">
        <v>17</v>
      </c>
      <c r="O104" s="2">
        <v>13.3</v>
      </c>
      <c r="Y104" s="2">
        <v>35</v>
      </c>
      <c r="Z104" s="2">
        <v>63</v>
      </c>
      <c r="AA104" s="2">
        <v>47</v>
      </c>
      <c r="AB104" s="2">
        <v>41</v>
      </c>
      <c r="AC104" s="2">
        <v>69</v>
      </c>
      <c r="AD104" s="2">
        <v>60</v>
      </c>
      <c r="AE104" s="10" t="s">
        <v>363</v>
      </c>
      <c r="AF104" s="2">
        <v>39</v>
      </c>
      <c r="AG104" s="2">
        <v>54</v>
      </c>
      <c r="AH104" s="2">
        <v>47</v>
      </c>
      <c r="AI104" s="2">
        <v>60</v>
      </c>
      <c r="AJ104" s="2">
        <v>78</v>
      </c>
      <c r="AK104" s="2">
        <v>71</v>
      </c>
      <c r="AL104" s="2">
        <v>98</v>
      </c>
      <c r="AM104" s="2">
        <v>114</v>
      </c>
      <c r="AN104" s="2">
        <v>104</v>
      </c>
      <c r="AO104" s="2">
        <v>70</v>
      </c>
      <c r="AP104" s="2">
        <v>143</v>
      </c>
      <c r="AQ104" s="2">
        <v>111</v>
      </c>
      <c r="AR104" s="14"/>
      <c r="AS104" s="14"/>
      <c r="AT104" s="14"/>
      <c r="AU104" s="2">
        <v>165</v>
      </c>
      <c r="AV104" s="2">
        <v>190</v>
      </c>
      <c r="AW104" s="2">
        <v>180</v>
      </c>
      <c r="AX104" s="2">
        <v>152</v>
      </c>
      <c r="AY104" s="2">
        <v>280</v>
      </c>
      <c r="AZ104" s="2">
        <v>228</v>
      </c>
      <c r="BA104" s="10" t="s">
        <v>363</v>
      </c>
      <c r="BB104" s="14"/>
      <c r="BC104" s="14"/>
      <c r="BD104" s="14"/>
      <c r="CI104" s="10" t="s">
        <v>363</v>
      </c>
    </row>
    <row r="105" spans="1:87" ht="15.75">
      <c r="A105" s="10"/>
      <c r="C105" s="2" t="s">
        <v>364</v>
      </c>
      <c r="D105" s="2" t="s">
        <v>385</v>
      </c>
      <c r="E105" s="2" t="s">
        <v>55</v>
      </c>
      <c r="F105" s="2" t="s">
        <v>160</v>
      </c>
      <c r="I105" s="2">
        <f aca="true" t="shared" si="40" ref="I105:AZ105">I104*I3</f>
        <v>4.319</v>
      </c>
      <c r="J105" s="2">
        <f t="shared" si="40"/>
        <v>26.264</v>
      </c>
      <c r="K105" s="2">
        <f t="shared" si="40"/>
        <v>97.55199999999999</v>
      </c>
      <c r="L105" s="2">
        <f t="shared" si="40"/>
        <v>60.4072</v>
      </c>
      <c r="M105" s="2">
        <f t="shared" si="40"/>
        <v>37.519999999999996</v>
      </c>
      <c r="N105" s="2">
        <f t="shared" si="40"/>
        <v>63.784</v>
      </c>
      <c r="O105" s="2">
        <f t="shared" si="40"/>
        <v>49.9016</v>
      </c>
      <c r="Y105" s="17">
        <f t="shared" si="40"/>
        <v>40.04</v>
      </c>
      <c r="Z105" s="17">
        <f t="shared" si="40"/>
        <v>72.07199999999999</v>
      </c>
      <c r="AA105" s="17">
        <f t="shared" si="40"/>
        <v>53.767999999999994</v>
      </c>
      <c r="AB105" s="17">
        <f t="shared" si="40"/>
        <v>46.903999999999996</v>
      </c>
      <c r="AC105" s="17">
        <f t="shared" si="40"/>
        <v>78.93599999999999</v>
      </c>
      <c r="AD105" s="17">
        <f t="shared" si="40"/>
        <v>68.64</v>
      </c>
      <c r="AE105" s="2" t="s">
        <v>160</v>
      </c>
      <c r="AF105" s="2">
        <f t="shared" si="40"/>
        <v>44.928</v>
      </c>
      <c r="AG105" s="2">
        <f t="shared" si="40"/>
        <v>62.208</v>
      </c>
      <c r="AH105" s="2">
        <f t="shared" si="40"/>
        <v>54.144</v>
      </c>
      <c r="AI105" s="2">
        <f t="shared" si="40"/>
        <v>69.11999999999999</v>
      </c>
      <c r="AJ105" s="2">
        <f t="shared" si="40"/>
        <v>89.856</v>
      </c>
      <c r="AK105" s="2">
        <f t="shared" si="40"/>
        <v>81.79199999999999</v>
      </c>
      <c r="AL105" s="2">
        <f t="shared" si="40"/>
        <v>112.89599999999999</v>
      </c>
      <c r="AM105" s="2">
        <f t="shared" si="40"/>
        <v>131.328</v>
      </c>
      <c r="AN105" s="2">
        <f t="shared" si="40"/>
        <v>119.80799999999999</v>
      </c>
      <c r="AO105" s="2">
        <f t="shared" si="40"/>
        <v>73.052</v>
      </c>
      <c r="AP105" s="2">
        <f t="shared" si="40"/>
        <v>149.2348</v>
      </c>
      <c r="AQ105" s="2">
        <f t="shared" si="40"/>
        <v>115.8396</v>
      </c>
      <c r="AR105" s="14"/>
      <c r="AS105" s="14"/>
      <c r="AT105" s="14"/>
      <c r="AU105" s="2">
        <f t="shared" si="40"/>
        <v>157.575</v>
      </c>
      <c r="AV105" s="2">
        <f t="shared" si="40"/>
        <v>181.45</v>
      </c>
      <c r="AW105" s="2">
        <f t="shared" si="40"/>
        <v>171.9</v>
      </c>
      <c r="AX105" s="2">
        <f t="shared" si="40"/>
        <v>109.136</v>
      </c>
      <c r="AY105" s="2">
        <f t="shared" si="40"/>
        <v>201.04</v>
      </c>
      <c r="AZ105" s="2">
        <f t="shared" si="40"/>
        <v>163.704</v>
      </c>
      <c r="BA105" s="2" t="s">
        <v>160</v>
      </c>
      <c r="BB105" s="14"/>
      <c r="BC105" s="14"/>
      <c r="BD105" s="14"/>
      <c r="CI105" s="2" t="s">
        <v>160</v>
      </c>
    </row>
    <row r="106" spans="1:143" ht="15.75">
      <c r="A106" s="10"/>
      <c r="C106" s="2" t="s">
        <v>364</v>
      </c>
      <c r="D106" s="2" t="s">
        <v>67</v>
      </c>
      <c r="E106" s="2" t="s">
        <v>68</v>
      </c>
      <c r="F106" s="2" t="s">
        <v>160</v>
      </c>
      <c r="Y106" s="17">
        <f aca="true" t="shared" si="41" ref="Y106:AD106">Y105/5.4</f>
        <v>7.4148148148148145</v>
      </c>
      <c r="Z106" s="17">
        <f t="shared" si="41"/>
        <v>13.346666666666664</v>
      </c>
      <c r="AA106" s="17">
        <f t="shared" si="41"/>
        <v>9.957037037037034</v>
      </c>
      <c r="AB106" s="17">
        <f t="shared" si="41"/>
        <v>8.685925925925925</v>
      </c>
      <c r="AC106" s="17">
        <f t="shared" si="41"/>
        <v>14.617777777777775</v>
      </c>
      <c r="AD106" s="17">
        <f t="shared" si="41"/>
        <v>12.71111111111111</v>
      </c>
      <c r="AE106" s="2" t="s">
        <v>160</v>
      </c>
      <c r="AF106" s="2">
        <f aca="true" t="shared" si="42" ref="AF106:AZ106">AF105/5.4</f>
        <v>8.319999999999999</v>
      </c>
      <c r="AG106" s="2">
        <f t="shared" si="42"/>
        <v>11.52</v>
      </c>
      <c r="AH106" s="2">
        <f t="shared" si="42"/>
        <v>10.026666666666666</v>
      </c>
      <c r="AI106" s="2">
        <f t="shared" si="42"/>
        <v>12.799999999999997</v>
      </c>
      <c r="AJ106" s="2">
        <f t="shared" si="42"/>
        <v>16.639999999999997</v>
      </c>
      <c r="AK106" s="2">
        <f t="shared" si="42"/>
        <v>15.146666666666663</v>
      </c>
      <c r="AL106" s="2">
        <f t="shared" si="42"/>
        <v>20.906666666666663</v>
      </c>
      <c r="AM106" s="2">
        <f t="shared" si="42"/>
        <v>24.32</v>
      </c>
      <c r="AN106" s="2">
        <f t="shared" si="42"/>
        <v>22.186666666666664</v>
      </c>
      <c r="AO106" s="2">
        <f t="shared" si="42"/>
        <v>13.528148148148148</v>
      </c>
      <c r="AP106" s="2">
        <f t="shared" si="42"/>
        <v>27.636074074074074</v>
      </c>
      <c r="AQ106" s="2">
        <f t="shared" si="42"/>
        <v>21.451777777777778</v>
      </c>
      <c r="AR106" s="14"/>
      <c r="AS106" s="14"/>
      <c r="AT106" s="14"/>
      <c r="AU106" s="2">
        <f t="shared" si="42"/>
        <v>29.18055555555555</v>
      </c>
      <c r="AV106" s="2">
        <f t="shared" si="42"/>
        <v>33.60185185185185</v>
      </c>
      <c r="AW106" s="2">
        <f t="shared" si="42"/>
        <v>31.833333333333332</v>
      </c>
      <c r="AX106" s="2">
        <f t="shared" si="42"/>
        <v>20.210370370370367</v>
      </c>
      <c r="AY106" s="2">
        <f t="shared" si="42"/>
        <v>37.22962962962963</v>
      </c>
      <c r="AZ106" s="2">
        <f t="shared" si="42"/>
        <v>30.315555555555555</v>
      </c>
      <c r="BA106" s="2" t="s">
        <v>160</v>
      </c>
      <c r="BB106" s="14"/>
      <c r="BC106" s="14"/>
      <c r="BD106" s="14"/>
      <c r="BE106" s="2">
        <v>27</v>
      </c>
      <c r="BF106" s="2">
        <v>53</v>
      </c>
      <c r="BG106" s="2">
        <v>39.7</v>
      </c>
      <c r="BH106" s="2">
        <v>55.1</v>
      </c>
      <c r="BI106" s="2">
        <v>73.2</v>
      </c>
      <c r="BJ106" s="2">
        <v>64.1</v>
      </c>
      <c r="BK106" s="2">
        <v>32</v>
      </c>
      <c r="BL106" s="2">
        <v>67</v>
      </c>
      <c r="BM106" s="2">
        <v>47</v>
      </c>
      <c r="BN106" s="2">
        <v>40</v>
      </c>
      <c r="BO106" s="2">
        <v>53</v>
      </c>
      <c r="BP106" s="2">
        <v>44.8</v>
      </c>
      <c r="BQ106" s="2">
        <v>42</v>
      </c>
      <c r="BR106" s="2">
        <v>67</v>
      </c>
      <c r="BS106" s="2">
        <v>51.9</v>
      </c>
      <c r="BT106" s="2">
        <v>32</v>
      </c>
      <c r="BU106" s="2">
        <v>65</v>
      </c>
      <c r="BV106" s="2">
        <v>49.6</v>
      </c>
      <c r="BW106" s="2">
        <v>44</v>
      </c>
      <c r="BX106" s="2">
        <v>80</v>
      </c>
      <c r="BY106" s="2">
        <v>55.6</v>
      </c>
      <c r="BZ106" s="2">
        <v>54</v>
      </c>
      <c r="CA106" s="2">
        <v>82</v>
      </c>
      <c r="CB106" s="2">
        <v>57.8</v>
      </c>
      <c r="CC106" s="2">
        <v>52.2774</v>
      </c>
      <c r="CD106" s="2">
        <v>73.8522</v>
      </c>
      <c r="CE106" s="2">
        <v>54.60084</v>
      </c>
      <c r="CF106" s="2">
        <v>59.8572</v>
      </c>
      <c r="CG106" s="2">
        <v>81.3444</v>
      </c>
      <c r="CH106" s="2">
        <v>71.75189999999999</v>
      </c>
      <c r="CI106" s="2" t="s">
        <v>160</v>
      </c>
      <c r="DE106" s="10"/>
      <c r="DI106" s="10"/>
      <c r="DJ106" s="10"/>
      <c r="DK106" s="10"/>
      <c r="DL106" s="10"/>
      <c r="DM106" s="10"/>
      <c r="DN106" s="10"/>
      <c r="DO106" s="10"/>
      <c r="DP106" s="10"/>
      <c r="EM106" s="10"/>
    </row>
    <row r="107" spans="1:143" ht="15.75">
      <c r="A107" s="10"/>
      <c r="AR107" s="14"/>
      <c r="AS107" s="14"/>
      <c r="AT107" s="14"/>
      <c r="BB107" s="14"/>
      <c r="BC107" s="14"/>
      <c r="BD107" s="14"/>
      <c r="DE107" s="10"/>
      <c r="DI107" s="10"/>
      <c r="DJ107" s="10"/>
      <c r="DK107" s="10"/>
      <c r="DL107" s="10"/>
      <c r="DM107" s="10"/>
      <c r="DN107" s="10"/>
      <c r="DO107" s="10"/>
      <c r="DP107" s="10"/>
      <c r="EM107" s="10"/>
    </row>
    <row r="108" spans="1:87" ht="15.75">
      <c r="A108" s="10" t="s">
        <v>158</v>
      </c>
      <c r="C108" s="2" t="s">
        <v>365</v>
      </c>
      <c r="D108" s="2" t="s">
        <v>385</v>
      </c>
      <c r="E108" s="2" t="s">
        <v>56</v>
      </c>
      <c r="F108" s="2" t="s">
        <v>69</v>
      </c>
      <c r="I108" s="2">
        <v>3</v>
      </c>
      <c r="L108" s="2">
        <v>16.5</v>
      </c>
      <c r="M108" s="2">
        <v>21</v>
      </c>
      <c r="N108" s="2">
        <v>54</v>
      </c>
      <c r="O108" s="2">
        <v>37.5</v>
      </c>
      <c r="Y108" s="2">
        <v>190</v>
      </c>
      <c r="Z108" s="2">
        <v>243</v>
      </c>
      <c r="AA108" s="2">
        <v>221</v>
      </c>
      <c r="AB108" s="2">
        <v>250</v>
      </c>
      <c r="AC108" s="2">
        <v>300</v>
      </c>
      <c r="AD108" s="2">
        <v>275</v>
      </c>
      <c r="AE108" s="10" t="s">
        <v>158</v>
      </c>
      <c r="AR108" s="2">
        <v>325</v>
      </c>
      <c r="AS108" s="2">
        <v>380</v>
      </c>
      <c r="AT108" s="2">
        <f>(AS108+AR108)/2</f>
        <v>352.5</v>
      </c>
      <c r="AU108" s="2">
        <v>350</v>
      </c>
      <c r="AV108" s="2">
        <v>500</v>
      </c>
      <c r="AW108" s="2">
        <f>(AV108+AU108)/2</f>
        <v>425</v>
      </c>
      <c r="AX108" s="2">
        <v>500</v>
      </c>
      <c r="AY108" s="2">
        <v>800</v>
      </c>
      <c r="AZ108" s="2">
        <f>(AY108+AX108)/2</f>
        <v>650</v>
      </c>
      <c r="BA108" s="10" t="s">
        <v>158</v>
      </c>
      <c r="BB108" s="14"/>
      <c r="BC108" s="14"/>
      <c r="BD108" s="14"/>
      <c r="BE108" s="10"/>
      <c r="BF108" s="10"/>
      <c r="BG108" s="10"/>
      <c r="BH108" s="10"/>
      <c r="BI108" s="10"/>
      <c r="BJ108" s="10"/>
      <c r="BM108" s="2">
        <v>800</v>
      </c>
      <c r="CF108" s="10"/>
      <c r="CG108" s="10"/>
      <c r="CH108" s="10"/>
      <c r="CI108" s="10" t="s">
        <v>158</v>
      </c>
    </row>
    <row r="109" spans="1:87" ht="15.75">
      <c r="A109" s="10"/>
      <c r="C109" s="2" t="s">
        <v>365</v>
      </c>
      <c r="D109" s="2" t="s">
        <v>385</v>
      </c>
      <c r="E109" s="2" t="s">
        <v>56</v>
      </c>
      <c r="F109" s="2" t="s">
        <v>160</v>
      </c>
      <c r="I109" s="2">
        <f>I108*I3</f>
        <v>12.957</v>
      </c>
      <c r="L109" s="2">
        <f>L108*L3</f>
        <v>61.907999999999994</v>
      </c>
      <c r="M109" s="2">
        <f>M108*M3</f>
        <v>78.792</v>
      </c>
      <c r="N109" s="2">
        <f>N108*N3</f>
        <v>202.60799999999998</v>
      </c>
      <c r="O109" s="2">
        <f>O108*O3</f>
        <v>140.7</v>
      </c>
      <c r="Y109" s="17">
        <f aca="true" t="shared" si="43" ref="Y109:AD109">Y108*Y3</f>
        <v>217.35999999999999</v>
      </c>
      <c r="Z109" s="17">
        <f t="shared" si="43"/>
        <v>277.99199999999996</v>
      </c>
      <c r="AA109" s="17">
        <f t="shared" si="43"/>
        <v>252.82399999999998</v>
      </c>
      <c r="AB109" s="17">
        <f t="shared" si="43"/>
        <v>286</v>
      </c>
      <c r="AC109" s="17">
        <f t="shared" si="43"/>
        <v>343.2</v>
      </c>
      <c r="AD109" s="17">
        <f t="shared" si="43"/>
        <v>314.59999999999997</v>
      </c>
      <c r="AE109" s="2" t="s">
        <v>160</v>
      </c>
      <c r="AR109" s="2">
        <f aca="true" t="shared" si="44" ref="AR109:AZ109">AR108*AR3</f>
        <v>320.125</v>
      </c>
      <c r="AS109" s="2">
        <f t="shared" si="44"/>
        <v>374.3</v>
      </c>
      <c r="AT109" s="2">
        <f t="shared" si="44"/>
        <v>347.2125</v>
      </c>
      <c r="AU109" s="2">
        <f t="shared" si="44"/>
        <v>334.25</v>
      </c>
      <c r="AV109" s="2">
        <f t="shared" si="44"/>
        <v>477.5</v>
      </c>
      <c r="AW109" s="2">
        <f t="shared" si="44"/>
        <v>405.875</v>
      </c>
      <c r="AX109" s="2">
        <f t="shared" si="44"/>
        <v>359</v>
      </c>
      <c r="AY109" s="2">
        <f t="shared" si="44"/>
        <v>574.4</v>
      </c>
      <c r="AZ109" s="2">
        <f t="shared" si="44"/>
        <v>466.7</v>
      </c>
      <c r="BA109" s="2" t="s">
        <v>160</v>
      </c>
      <c r="BB109" s="14"/>
      <c r="BC109" s="14"/>
      <c r="BD109" s="14"/>
      <c r="BE109" s="10"/>
      <c r="BF109" s="10"/>
      <c r="BG109" s="10"/>
      <c r="BH109" s="10"/>
      <c r="BI109" s="10"/>
      <c r="BJ109" s="10"/>
      <c r="BM109" s="2">
        <f>BM108*BM3</f>
        <v>492.56</v>
      </c>
      <c r="CF109" s="10"/>
      <c r="CG109" s="10"/>
      <c r="CH109" s="10"/>
      <c r="CI109" s="2" t="s">
        <v>160</v>
      </c>
    </row>
    <row r="110" spans="1:143" ht="15.75">
      <c r="A110" s="10"/>
      <c r="C110" s="2" t="s">
        <v>365</v>
      </c>
      <c r="D110" s="2" t="s">
        <v>67</v>
      </c>
      <c r="E110" s="2" t="s">
        <v>68</v>
      </c>
      <c r="F110" s="2" t="s">
        <v>160</v>
      </c>
      <c r="I110" s="14">
        <f>I109/4</f>
        <v>3.23925</v>
      </c>
      <c r="L110" s="14">
        <f>L109/4</f>
        <v>15.476999999999999</v>
      </c>
      <c r="M110" s="14">
        <f>M109/4</f>
        <v>19.698</v>
      </c>
      <c r="N110" s="14">
        <f>N109/4</f>
        <v>50.651999999999994</v>
      </c>
      <c r="O110" s="14">
        <f>O109/4</f>
        <v>35.175</v>
      </c>
      <c r="Y110" s="17">
        <f aca="true" t="shared" si="45" ref="Y110:AD110">Y109/9.2</f>
        <v>23.62608695652174</v>
      </c>
      <c r="Z110" s="17">
        <f t="shared" si="45"/>
        <v>30.21652173913043</v>
      </c>
      <c r="AA110" s="17">
        <f t="shared" si="45"/>
        <v>27.480869565217393</v>
      </c>
      <c r="AB110" s="17">
        <f t="shared" si="45"/>
        <v>31.086956521739133</v>
      </c>
      <c r="AC110" s="17">
        <f t="shared" si="45"/>
        <v>37.30434782608696</v>
      </c>
      <c r="AD110" s="17">
        <f t="shared" si="45"/>
        <v>34.19565217391304</v>
      </c>
      <c r="AE110" s="2" t="s">
        <v>160</v>
      </c>
      <c r="AL110" s="2">
        <v>25</v>
      </c>
      <c r="AM110" s="2">
        <v>32</v>
      </c>
      <c r="AN110" s="2">
        <v>28.2</v>
      </c>
      <c r="AR110" s="2">
        <f aca="true" t="shared" si="46" ref="AR110:AZ110">AR109/9.2</f>
        <v>34.796195652173914</v>
      </c>
      <c r="AS110" s="2">
        <f t="shared" si="46"/>
        <v>40.684782608695656</v>
      </c>
      <c r="AT110" s="2">
        <f t="shared" si="46"/>
        <v>37.74048913043478</v>
      </c>
      <c r="AU110" s="2">
        <f t="shared" si="46"/>
        <v>36.33152173913044</v>
      </c>
      <c r="AV110" s="2">
        <f t="shared" si="46"/>
        <v>51.902173913043484</v>
      </c>
      <c r="AW110" s="2">
        <f t="shared" si="46"/>
        <v>44.11684782608696</v>
      </c>
      <c r="AX110" s="2">
        <f t="shared" si="46"/>
        <v>39.02173913043479</v>
      </c>
      <c r="AY110" s="2">
        <f t="shared" si="46"/>
        <v>62.434782608695656</v>
      </c>
      <c r="AZ110" s="2">
        <f t="shared" si="46"/>
        <v>50.72826086956522</v>
      </c>
      <c r="BA110" s="2" t="s">
        <v>160</v>
      </c>
      <c r="BB110" s="14"/>
      <c r="BC110" s="14"/>
      <c r="BD110" s="14"/>
      <c r="BE110" s="10"/>
      <c r="BF110" s="10"/>
      <c r="BG110" s="10"/>
      <c r="BH110" s="10"/>
      <c r="BI110" s="10"/>
      <c r="BJ110" s="10"/>
      <c r="BM110" s="2">
        <f>BM109/9.2</f>
        <v>53.539130434782614</v>
      </c>
      <c r="CF110" s="10"/>
      <c r="CG110" s="10"/>
      <c r="CH110" s="10"/>
      <c r="CI110" s="2" t="s">
        <v>160</v>
      </c>
      <c r="DE110" s="10"/>
      <c r="DO110" s="10"/>
      <c r="DP110" s="10"/>
      <c r="EM110" s="10"/>
    </row>
    <row r="111" spans="1:143" ht="15.75">
      <c r="A111" s="10"/>
      <c r="C111" s="2" t="s">
        <v>365</v>
      </c>
      <c r="D111" s="2" t="s">
        <v>142</v>
      </c>
      <c r="F111" s="2" t="s">
        <v>140</v>
      </c>
      <c r="I111" s="13">
        <f>0.18*I110/16.38</f>
        <v>0.035596153846153854</v>
      </c>
      <c r="L111" s="13">
        <f>0.18*L110/16.38</f>
        <v>0.17007692307692307</v>
      </c>
      <c r="M111" s="14">
        <f>0.18*M110/16.38</f>
        <v>0.21646153846153848</v>
      </c>
      <c r="N111" s="14">
        <f>0.18*N110/16.38</f>
        <v>0.5566153846153845</v>
      </c>
      <c r="O111" s="13">
        <f>0.18*O110/16.38</f>
        <v>0.3865384615384615</v>
      </c>
      <c r="Y111" s="14">
        <f>0.18*Y110/16.38</f>
        <v>0.2596273291925466</v>
      </c>
      <c r="Z111" s="14">
        <f aca="true" t="shared" si="47" ref="Z111:AZ111">0.18*Z110/16.38</f>
        <v>0.3320496894409937</v>
      </c>
      <c r="AA111" s="13">
        <f t="shared" si="47"/>
        <v>0.30198757763975154</v>
      </c>
      <c r="AB111" s="14">
        <f t="shared" si="47"/>
        <v>0.34161490683229817</v>
      </c>
      <c r="AC111" s="14">
        <f t="shared" si="47"/>
        <v>0.4099378881987578</v>
      </c>
      <c r="AD111" s="13">
        <f t="shared" si="47"/>
        <v>0.3757763975155279</v>
      </c>
      <c r="AE111" s="14"/>
      <c r="AL111" s="14">
        <f t="shared" si="47"/>
        <v>0.27472527472527475</v>
      </c>
      <c r="AM111" s="14">
        <f t="shared" si="47"/>
        <v>0.3516483516483517</v>
      </c>
      <c r="AN111" s="13">
        <f t="shared" si="47"/>
        <v>0.3098901098901099</v>
      </c>
      <c r="AR111" s="14">
        <f t="shared" si="47"/>
        <v>0.3823757763975156</v>
      </c>
      <c r="AS111" s="14">
        <f t="shared" si="47"/>
        <v>0.44708552317247974</v>
      </c>
      <c r="AT111" s="14">
        <f t="shared" si="47"/>
        <v>0.41473064978499763</v>
      </c>
      <c r="AU111" s="14">
        <f t="shared" si="47"/>
        <v>0.399247491638796</v>
      </c>
      <c r="AV111" s="14">
        <f t="shared" si="47"/>
        <v>0.5703535594839944</v>
      </c>
      <c r="AW111" s="14">
        <f t="shared" si="47"/>
        <v>0.4848005255613952</v>
      </c>
      <c r="AX111" s="14">
        <f t="shared" si="47"/>
        <v>0.428810320114668</v>
      </c>
      <c r="AY111" s="14">
        <f t="shared" si="47"/>
        <v>0.6860965121834688</v>
      </c>
      <c r="AZ111" s="13">
        <f t="shared" si="47"/>
        <v>0.5574534161490684</v>
      </c>
      <c r="BB111" s="14"/>
      <c r="BC111" s="14"/>
      <c r="BD111" s="14"/>
      <c r="BE111" s="10"/>
      <c r="BF111" s="10"/>
      <c r="BG111" s="10"/>
      <c r="BH111" s="10"/>
      <c r="BI111" s="10"/>
      <c r="BJ111" s="10"/>
      <c r="BM111" s="14">
        <f>0.18*BM110/16.38</f>
        <v>0.5883420926899188</v>
      </c>
      <c r="CF111" s="10"/>
      <c r="CG111" s="10"/>
      <c r="CH111" s="10"/>
      <c r="DE111" s="10"/>
      <c r="DO111" s="10"/>
      <c r="DP111" s="10"/>
      <c r="EM111" s="10"/>
    </row>
    <row r="112" spans="1:143" ht="15.75">
      <c r="A112" s="10"/>
      <c r="BE112" s="10"/>
      <c r="BF112" s="10"/>
      <c r="BG112" s="10"/>
      <c r="BH112" s="10"/>
      <c r="BI112" s="10"/>
      <c r="BJ112" s="10"/>
      <c r="CF112" s="10"/>
      <c r="CG112" s="10"/>
      <c r="CH112" s="10"/>
      <c r="DE112" s="10"/>
      <c r="DO112" s="10"/>
      <c r="DP112" s="10"/>
      <c r="EM112" s="10"/>
    </row>
    <row r="113" spans="1:87" ht="15.75">
      <c r="A113" s="10" t="s">
        <v>366</v>
      </c>
      <c r="C113" s="2" t="s">
        <v>367</v>
      </c>
      <c r="D113" s="2" t="s">
        <v>385</v>
      </c>
      <c r="E113" s="2" t="s">
        <v>57</v>
      </c>
      <c r="F113" s="2" t="s">
        <v>69</v>
      </c>
      <c r="I113" s="2">
        <v>1.5</v>
      </c>
      <c r="J113" s="2">
        <v>12</v>
      </c>
      <c r="K113" s="2">
        <v>24</v>
      </c>
      <c r="L113" s="2">
        <v>16</v>
      </c>
      <c r="M113" s="2">
        <v>12</v>
      </c>
      <c r="N113" s="2">
        <v>30</v>
      </c>
      <c r="O113" s="2">
        <v>22.5</v>
      </c>
      <c r="Y113" s="2">
        <v>76</v>
      </c>
      <c r="Z113" s="2">
        <v>106</v>
      </c>
      <c r="AA113" s="2">
        <v>92</v>
      </c>
      <c r="AB113" s="2">
        <v>160</v>
      </c>
      <c r="AC113" s="2">
        <v>200</v>
      </c>
      <c r="AD113" s="2">
        <v>180</v>
      </c>
      <c r="AE113" s="10" t="s">
        <v>366</v>
      </c>
      <c r="BA113" s="10" t="s">
        <v>366</v>
      </c>
      <c r="BB113" s="10"/>
      <c r="BC113" s="10"/>
      <c r="BD113" s="10"/>
      <c r="BE113" s="10"/>
      <c r="BF113" s="10"/>
      <c r="BG113" s="10"/>
      <c r="BH113" s="10"/>
      <c r="BI113" s="10"/>
      <c r="BJ113" s="10"/>
      <c r="CI113" s="10" t="s">
        <v>366</v>
      </c>
    </row>
    <row r="114" spans="1:87" ht="15.75">
      <c r="A114" s="10"/>
      <c r="C114" s="2" t="s">
        <v>367</v>
      </c>
      <c r="D114" s="2" t="s">
        <v>385</v>
      </c>
      <c r="E114" s="2" t="s">
        <v>57</v>
      </c>
      <c r="F114" s="2" t="s">
        <v>160</v>
      </c>
      <c r="I114" s="2">
        <f aca="true" t="shared" si="48" ref="I114:O114">I113*I3</f>
        <v>6.4785</v>
      </c>
      <c r="J114" s="2">
        <f t="shared" si="48"/>
        <v>45.024</v>
      </c>
      <c r="K114" s="2">
        <f t="shared" si="48"/>
        <v>90.048</v>
      </c>
      <c r="L114" s="2">
        <f t="shared" si="48"/>
        <v>60.032</v>
      </c>
      <c r="M114" s="2">
        <f t="shared" si="48"/>
        <v>45.024</v>
      </c>
      <c r="N114" s="2">
        <f t="shared" si="48"/>
        <v>112.55999999999999</v>
      </c>
      <c r="O114" s="2">
        <f t="shared" si="48"/>
        <v>84.42</v>
      </c>
      <c r="Y114" s="17">
        <f>Y113*Y3</f>
        <v>86.94399999999999</v>
      </c>
      <c r="Z114" s="17">
        <f>Z113*Z3</f>
        <v>121.264</v>
      </c>
      <c r="AA114" s="17"/>
      <c r="AB114" s="17">
        <f>AB113*AB3</f>
        <v>183.04</v>
      </c>
      <c r="AC114" s="17">
        <f>AC113*AC3</f>
        <v>228.79999999999998</v>
      </c>
      <c r="AD114" s="17">
        <f>AD113*AD3</f>
        <v>205.92</v>
      </c>
      <c r="AE114" s="2" t="s">
        <v>160</v>
      </c>
      <c r="BA114" s="2" t="s">
        <v>160</v>
      </c>
      <c r="BB114" s="10"/>
      <c r="BC114" s="10"/>
      <c r="BD114" s="10"/>
      <c r="BE114" s="10"/>
      <c r="BF114" s="10"/>
      <c r="BG114" s="10"/>
      <c r="BH114" s="10"/>
      <c r="BI114" s="10"/>
      <c r="BJ114" s="10"/>
      <c r="CI114" s="2" t="s">
        <v>160</v>
      </c>
    </row>
    <row r="115" spans="1:143" ht="15.75">
      <c r="A115" s="10"/>
      <c r="C115" s="2" t="s">
        <v>367</v>
      </c>
      <c r="D115" s="2" t="s">
        <v>67</v>
      </c>
      <c r="E115" s="2" t="s">
        <v>68</v>
      </c>
      <c r="F115" s="2" t="s">
        <v>160</v>
      </c>
      <c r="Y115" s="17">
        <f>Y114/6.6</f>
        <v>13.173333333333332</v>
      </c>
      <c r="Z115" s="17">
        <f>Z114/6.6</f>
        <v>18.373333333333335</v>
      </c>
      <c r="AA115" s="17"/>
      <c r="AB115" s="17">
        <f>AB114/6.6</f>
        <v>27.733333333333334</v>
      </c>
      <c r="AC115" s="17">
        <f>AC114/6.6</f>
        <v>34.666666666666664</v>
      </c>
      <c r="AD115" s="17">
        <f>AD114/6.6</f>
        <v>31.2</v>
      </c>
      <c r="AE115" s="2" t="s">
        <v>160</v>
      </c>
      <c r="AF115" s="2">
        <v>10</v>
      </c>
      <c r="AG115" s="2">
        <v>13</v>
      </c>
      <c r="AH115" s="2">
        <v>11.8</v>
      </c>
      <c r="AI115" s="2">
        <v>14</v>
      </c>
      <c r="AJ115" s="2">
        <v>18</v>
      </c>
      <c r="AK115" s="2">
        <v>15.6</v>
      </c>
      <c r="AL115" s="2">
        <v>12</v>
      </c>
      <c r="AM115" s="2">
        <v>16</v>
      </c>
      <c r="AN115" s="2">
        <v>14.6</v>
      </c>
      <c r="AO115" s="2">
        <v>14</v>
      </c>
      <c r="AP115" s="2">
        <v>18</v>
      </c>
      <c r="AQ115" s="2">
        <v>15.7</v>
      </c>
      <c r="AR115" s="2">
        <v>18</v>
      </c>
      <c r="AS115" s="2">
        <v>23</v>
      </c>
      <c r="AT115" s="2">
        <v>20</v>
      </c>
      <c r="AU115" s="2">
        <v>28</v>
      </c>
      <c r="AV115" s="2">
        <v>36</v>
      </c>
      <c r="AW115" s="2">
        <v>31.7</v>
      </c>
      <c r="AX115" s="2">
        <v>33</v>
      </c>
      <c r="AY115" s="2">
        <v>53</v>
      </c>
      <c r="AZ115" s="2">
        <v>38.1</v>
      </c>
      <c r="BA115" s="2" t="s">
        <v>160</v>
      </c>
      <c r="BB115" s="10"/>
      <c r="BC115" s="10"/>
      <c r="BD115" s="10"/>
      <c r="BE115" s="10"/>
      <c r="BF115" s="10"/>
      <c r="BG115" s="10"/>
      <c r="BH115" s="10"/>
      <c r="BI115" s="10"/>
      <c r="BJ115" s="10"/>
      <c r="CI115" s="2" t="s">
        <v>160</v>
      </c>
      <c r="DE115" s="10"/>
      <c r="DO115" s="10"/>
      <c r="DP115" s="10"/>
      <c r="EM115" s="10"/>
    </row>
    <row r="116" spans="1:87" ht="15.75">
      <c r="A116" s="10" t="s">
        <v>368</v>
      </c>
      <c r="C116" s="2" t="s">
        <v>370</v>
      </c>
      <c r="D116" s="2" t="s">
        <v>67</v>
      </c>
      <c r="E116" s="2" t="s">
        <v>68</v>
      </c>
      <c r="F116" s="2" t="s">
        <v>69</v>
      </c>
      <c r="L116" s="2">
        <v>25.5</v>
      </c>
      <c r="M116" s="2">
        <v>14</v>
      </c>
      <c r="N116" s="2">
        <v>50</v>
      </c>
      <c r="O116" s="2">
        <v>25.6</v>
      </c>
      <c r="R116" s="2">
        <v>60</v>
      </c>
      <c r="U116" s="2">
        <v>60</v>
      </c>
      <c r="AD116" s="2">
        <v>36</v>
      </c>
      <c r="AE116" s="10" t="s">
        <v>368</v>
      </c>
      <c r="AR116" s="2">
        <v>50</v>
      </c>
      <c r="AS116" s="2">
        <v>80</v>
      </c>
      <c r="AT116" s="2">
        <f>(AS116+AR116)/2</f>
        <v>65</v>
      </c>
      <c r="BA116" s="10" t="s">
        <v>368</v>
      </c>
      <c r="BB116" s="10"/>
      <c r="BC116" s="10"/>
      <c r="BD116" s="10"/>
      <c r="BE116" s="10"/>
      <c r="BF116" s="10"/>
      <c r="BG116" s="10"/>
      <c r="BH116" s="10"/>
      <c r="BI116" s="10"/>
      <c r="BJ116" s="10"/>
      <c r="CI116" s="10" t="s">
        <v>368</v>
      </c>
    </row>
    <row r="117" spans="1:87" ht="15.75">
      <c r="A117" s="10"/>
      <c r="C117" s="2" t="s">
        <v>370</v>
      </c>
      <c r="D117" s="2" t="s">
        <v>67</v>
      </c>
      <c r="E117" s="2" t="s">
        <v>68</v>
      </c>
      <c r="F117" s="2" t="s">
        <v>160</v>
      </c>
      <c r="M117" s="2">
        <f>M116*M3</f>
        <v>52.528</v>
      </c>
      <c r="N117" s="2">
        <f>N116*N3</f>
        <v>187.6</v>
      </c>
      <c r="O117" s="2">
        <f>O116*O3</f>
        <v>96.0512</v>
      </c>
      <c r="R117" s="2">
        <f>R116*R3</f>
        <v>144.72</v>
      </c>
      <c r="U117" s="2">
        <f>U116*U3</f>
        <v>144.72</v>
      </c>
      <c r="AD117" s="2">
        <f>AD116*AD3</f>
        <v>41.184</v>
      </c>
      <c r="AE117" s="2" t="s">
        <v>160</v>
      </c>
      <c r="AF117" s="2">
        <v>35</v>
      </c>
      <c r="AG117" s="2">
        <v>40</v>
      </c>
      <c r="AH117" s="2">
        <v>38</v>
      </c>
      <c r="AI117" s="2">
        <v>50</v>
      </c>
      <c r="AJ117" s="2">
        <v>60</v>
      </c>
      <c r="AK117" s="2">
        <v>55</v>
      </c>
      <c r="AL117" s="2">
        <v>60</v>
      </c>
      <c r="AM117" s="2">
        <v>70</v>
      </c>
      <c r="AN117" s="2">
        <v>65</v>
      </c>
      <c r="AO117" s="2">
        <v>70</v>
      </c>
      <c r="AP117" s="2">
        <v>80</v>
      </c>
      <c r="AQ117" s="2">
        <v>75</v>
      </c>
      <c r="AR117" s="2">
        <v>65</v>
      </c>
      <c r="AS117" s="2">
        <v>70</v>
      </c>
      <c r="AT117" s="2">
        <v>68</v>
      </c>
      <c r="AU117" s="2">
        <v>100</v>
      </c>
      <c r="AV117" s="2">
        <v>120</v>
      </c>
      <c r="AW117" s="2">
        <v>110</v>
      </c>
      <c r="AX117" s="2">
        <v>140</v>
      </c>
      <c r="AY117" s="2">
        <v>150</v>
      </c>
      <c r="AZ117" s="2">
        <v>145</v>
      </c>
      <c r="BA117" s="2" t="s">
        <v>160</v>
      </c>
      <c r="BB117" s="10"/>
      <c r="BC117" s="10"/>
      <c r="BD117" s="10"/>
      <c r="BE117" s="10"/>
      <c r="BF117" s="10"/>
      <c r="BG117" s="10"/>
      <c r="BH117" s="10"/>
      <c r="BI117" s="10"/>
      <c r="BJ117" s="10"/>
      <c r="CI117" s="2" t="s">
        <v>160</v>
      </c>
    </row>
    <row r="118" spans="1:62" ht="15.75">
      <c r="A118" s="10"/>
      <c r="C118" s="2" t="s">
        <v>370</v>
      </c>
      <c r="D118" s="2" t="s">
        <v>142</v>
      </c>
      <c r="F118" s="2" t="s">
        <v>140</v>
      </c>
      <c r="M118" s="14">
        <f>0.18*M117/16.38</f>
        <v>0.5772307692307692</v>
      </c>
      <c r="N118" s="14">
        <f>0.18*N117/16.38</f>
        <v>2.0615384615384618</v>
      </c>
      <c r="O118" s="13">
        <f>0.18*O117/16.38</f>
        <v>1.0555076923076923</v>
      </c>
      <c r="R118" s="13">
        <f>0.18*R117/16.38</f>
        <v>1.5903296703296703</v>
      </c>
      <c r="U118" s="13">
        <f>0.18*U117/16.38</f>
        <v>1.5903296703296703</v>
      </c>
      <c r="AD118" s="13">
        <f>0.18*AD117/16.38</f>
        <v>0.45257142857142857</v>
      </c>
      <c r="AE118" s="2" t="s">
        <v>140</v>
      </c>
      <c r="AF118" s="14">
        <f aca="true" t="shared" si="49" ref="AF118:AZ118">0.18*AF117/16.38</f>
        <v>0.38461538461538464</v>
      </c>
      <c r="AG118" s="14">
        <f t="shared" si="49"/>
        <v>0.43956043956043955</v>
      </c>
      <c r="AH118" s="13">
        <f t="shared" si="49"/>
        <v>0.4175824175824176</v>
      </c>
      <c r="AI118" s="14">
        <f t="shared" si="49"/>
        <v>0.5494505494505495</v>
      </c>
      <c r="AJ118" s="14">
        <f t="shared" si="49"/>
        <v>0.6593406593406593</v>
      </c>
      <c r="AK118" s="13">
        <f t="shared" si="49"/>
        <v>0.6043956043956045</v>
      </c>
      <c r="AL118" s="14">
        <f t="shared" si="49"/>
        <v>0.6593406593406593</v>
      </c>
      <c r="AM118" s="14">
        <f t="shared" si="49"/>
        <v>0.7692307692307693</v>
      </c>
      <c r="AN118" s="13">
        <f t="shared" si="49"/>
        <v>0.7142857142857143</v>
      </c>
      <c r="AO118" s="14">
        <f t="shared" si="49"/>
        <v>0.7692307692307693</v>
      </c>
      <c r="AP118" s="14">
        <f t="shared" si="49"/>
        <v>0.8791208791208791</v>
      </c>
      <c r="AQ118" s="13">
        <f t="shared" si="49"/>
        <v>0.8241758241758242</v>
      </c>
      <c r="AR118" s="14">
        <f t="shared" si="49"/>
        <v>0.7142857142857143</v>
      </c>
      <c r="AS118" s="14">
        <f t="shared" si="49"/>
        <v>0.7692307692307693</v>
      </c>
      <c r="AT118" s="13">
        <f t="shared" si="49"/>
        <v>0.7472527472527473</v>
      </c>
      <c r="AU118" s="14">
        <f t="shared" si="49"/>
        <v>1.098901098901099</v>
      </c>
      <c r="AV118" s="14">
        <f t="shared" si="49"/>
        <v>1.3186813186813187</v>
      </c>
      <c r="AW118" s="13">
        <f t="shared" si="49"/>
        <v>1.208791208791209</v>
      </c>
      <c r="AX118" s="14">
        <f t="shared" si="49"/>
        <v>1.5384615384615385</v>
      </c>
      <c r="AY118" s="14">
        <f t="shared" si="49"/>
        <v>1.6483516483516485</v>
      </c>
      <c r="AZ118" s="13">
        <f t="shared" si="49"/>
        <v>1.5934065934065933</v>
      </c>
      <c r="BA118" s="2" t="s">
        <v>140</v>
      </c>
      <c r="BB118" s="10"/>
      <c r="BC118" s="10"/>
      <c r="BD118" s="10"/>
      <c r="BE118" s="10"/>
      <c r="BF118" s="10"/>
      <c r="BG118" s="10"/>
      <c r="BH118" s="10"/>
      <c r="BI118" s="10"/>
      <c r="BJ118" s="10"/>
    </row>
    <row r="119" spans="1:62" ht="15.75">
      <c r="A119" s="10"/>
      <c r="BB119" s="10"/>
      <c r="BC119" s="10"/>
      <c r="BD119" s="10"/>
      <c r="BE119" s="10"/>
      <c r="BF119" s="10"/>
      <c r="BG119" s="10"/>
      <c r="BH119" s="10"/>
      <c r="BI119" s="10"/>
      <c r="BJ119" s="10"/>
    </row>
    <row r="120" spans="1:143" ht="15.75">
      <c r="A120" s="10" t="s">
        <v>208</v>
      </c>
      <c r="C120" s="2" t="s">
        <v>372</v>
      </c>
      <c r="D120" s="2" t="s">
        <v>67</v>
      </c>
      <c r="E120" s="2" t="s">
        <v>68</v>
      </c>
      <c r="F120" s="2" t="s">
        <v>69</v>
      </c>
      <c r="J120" s="2">
        <v>20</v>
      </c>
      <c r="K120" s="2">
        <v>32</v>
      </c>
      <c r="L120" s="2">
        <v>24</v>
      </c>
      <c r="M120" s="2">
        <v>39</v>
      </c>
      <c r="N120" s="2">
        <v>57</v>
      </c>
      <c r="O120" s="2">
        <v>50</v>
      </c>
      <c r="AA120" s="2">
        <v>30</v>
      </c>
      <c r="AE120" s="10" t="s">
        <v>208</v>
      </c>
      <c r="AR120" s="2">
        <v>180</v>
      </c>
      <c r="AS120" s="2">
        <v>200</v>
      </c>
      <c r="AT120" s="2">
        <f>(AS120+AR120)/2</f>
        <v>190</v>
      </c>
      <c r="AU120" s="2">
        <v>240</v>
      </c>
      <c r="AV120" s="2">
        <v>250</v>
      </c>
      <c r="AW120" s="2">
        <f>(AV120+AU120)/2</f>
        <v>245</v>
      </c>
      <c r="AX120" s="2">
        <v>300</v>
      </c>
      <c r="AY120" s="2">
        <v>600</v>
      </c>
      <c r="AZ120" s="2">
        <f>(AY120+AX120)/2</f>
        <v>450</v>
      </c>
      <c r="BA120" s="10" t="s">
        <v>208</v>
      </c>
      <c r="BB120" s="10"/>
      <c r="BC120" s="10"/>
      <c r="BD120" s="10"/>
      <c r="BE120" s="10"/>
      <c r="BF120" s="10"/>
      <c r="BG120" s="10"/>
      <c r="BH120" s="10"/>
      <c r="BI120" s="10"/>
      <c r="BJ120" s="10"/>
      <c r="CI120" s="10" t="s">
        <v>208</v>
      </c>
      <c r="EM120" s="10"/>
    </row>
    <row r="121" spans="1:87" ht="15.75">
      <c r="A121" s="10"/>
      <c r="C121" s="2" t="s">
        <v>372</v>
      </c>
      <c r="D121" s="2" t="s">
        <v>67</v>
      </c>
      <c r="E121" s="2" t="s">
        <v>68</v>
      </c>
      <c r="F121" s="2" t="s">
        <v>160</v>
      </c>
      <c r="J121" s="2">
        <f aca="true" t="shared" si="50" ref="J121:O121">J120*J3</f>
        <v>75.03999999999999</v>
      </c>
      <c r="K121" s="2">
        <f t="shared" si="50"/>
        <v>120.064</v>
      </c>
      <c r="L121" s="2">
        <f t="shared" si="50"/>
        <v>90.048</v>
      </c>
      <c r="M121" s="2">
        <f t="shared" si="50"/>
        <v>146.328</v>
      </c>
      <c r="N121" s="2">
        <f t="shared" si="50"/>
        <v>213.86399999999998</v>
      </c>
      <c r="O121" s="2">
        <f t="shared" si="50"/>
        <v>187.6</v>
      </c>
      <c r="AA121" s="2">
        <f>AA120*AA3</f>
        <v>34.32</v>
      </c>
      <c r="AE121" s="2" t="s">
        <v>160</v>
      </c>
      <c r="AF121" s="2">
        <v>130</v>
      </c>
      <c r="AG121" s="2">
        <v>140</v>
      </c>
      <c r="AH121" s="2">
        <v>135</v>
      </c>
      <c r="AI121" s="2">
        <v>170</v>
      </c>
      <c r="AJ121" s="2">
        <v>180</v>
      </c>
      <c r="AK121" s="2">
        <v>175</v>
      </c>
      <c r="AL121" s="2">
        <v>175</v>
      </c>
      <c r="AM121" s="2">
        <v>185</v>
      </c>
      <c r="AN121" s="2">
        <v>180</v>
      </c>
      <c r="AO121" s="2">
        <v>200</v>
      </c>
      <c r="AP121" s="2">
        <v>210</v>
      </c>
      <c r="AQ121" s="2">
        <v>205</v>
      </c>
      <c r="AR121" s="2">
        <v>240</v>
      </c>
      <c r="AS121" s="2">
        <v>250</v>
      </c>
      <c r="AT121" s="2">
        <v>245</v>
      </c>
      <c r="AU121" s="2">
        <v>290</v>
      </c>
      <c r="AV121" s="2">
        <v>310</v>
      </c>
      <c r="AW121" s="2">
        <v>300</v>
      </c>
      <c r="AX121" s="2">
        <v>450</v>
      </c>
      <c r="AY121" s="2">
        <v>600</v>
      </c>
      <c r="AZ121" s="2">
        <v>525</v>
      </c>
      <c r="BA121" s="2" t="s">
        <v>160</v>
      </c>
      <c r="BB121" s="10"/>
      <c r="BC121" s="10"/>
      <c r="BD121" s="10"/>
      <c r="BE121" s="10"/>
      <c r="BF121" s="10"/>
      <c r="BG121" s="10"/>
      <c r="BH121" s="10"/>
      <c r="BI121" s="10"/>
      <c r="BJ121" s="10"/>
      <c r="CI121" s="2" t="s">
        <v>160</v>
      </c>
    </row>
    <row r="122" spans="1:143" ht="15.75">
      <c r="A122" s="10" t="s">
        <v>373</v>
      </c>
      <c r="B122" s="2" t="s">
        <v>374</v>
      </c>
      <c r="C122" s="2" t="s">
        <v>375</v>
      </c>
      <c r="D122" s="2" t="s">
        <v>67</v>
      </c>
      <c r="E122" s="2" t="s">
        <v>68</v>
      </c>
      <c r="F122" s="2" t="s">
        <v>69</v>
      </c>
      <c r="M122" s="2">
        <v>30</v>
      </c>
      <c r="N122" s="2">
        <v>36</v>
      </c>
      <c r="O122" s="2">
        <v>33</v>
      </c>
      <c r="Y122" s="2">
        <v>90</v>
      </c>
      <c r="Z122" s="2">
        <v>100</v>
      </c>
      <c r="AA122" s="2">
        <f>(Z122+Y122)/2</f>
        <v>95</v>
      </c>
      <c r="AB122" s="2">
        <v>90</v>
      </c>
      <c r="AC122" s="2">
        <v>120</v>
      </c>
      <c r="AD122" s="2">
        <f>(AC122+AB122)/2</f>
        <v>105</v>
      </c>
      <c r="AE122" s="10" t="s">
        <v>373</v>
      </c>
      <c r="AF122" s="2">
        <v>85</v>
      </c>
      <c r="AG122" s="2">
        <v>100</v>
      </c>
      <c r="AH122" s="2">
        <v>93</v>
      </c>
      <c r="AR122" s="2">
        <v>240</v>
      </c>
      <c r="AS122" s="2">
        <v>260</v>
      </c>
      <c r="AT122" s="2">
        <f>(AS122+AR122)/2</f>
        <v>250</v>
      </c>
      <c r="AU122" s="2">
        <v>350</v>
      </c>
      <c r="AV122" s="2">
        <v>400</v>
      </c>
      <c r="AW122" s="2">
        <f>(AV122+AU122)/2</f>
        <v>375</v>
      </c>
      <c r="BA122" s="10" t="s">
        <v>373</v>
      </c>
      <c r="BB122" s="10"/>
      <c r="BC122" s="10"/>
      <c r="BD122" s="10"/>
      <c r="BE122" s="10"/>
      <c r="BF122" s="10"/>
      <c r="BG122" s="10"/>
      <c r="BH122" s="10"/>
      <c r="BI122" s="10"/>
      <c r="BJ122" s="10"/>
      <c r="BM122" s="2">
        <v>540</v>
      </c>
      <c r="CI122" s="10" t="s">
        <v>373</v>
      </c>
      <c r="EM122" s="10"/>
    </row>
    <row r="123" spans="1:87" ht="15.75">
      <c r="A123" s="10"/>
      <c r="F123" s="2" t="s">
        <v>160</v>
      </c>
      <c r="M123" s="2">
        <f>M122*M3</f>
        <v>112.55999999999999</v>
      </c>
      <c r="N123" s="2">
        <f>N122*N3</f>
        <v>135.072</v>
      </c>
      <c r="O123" s="2">
        <f>O122*O3</f>
        <v>123.81599999999999</v>
      </c>
      <c r="Y123" s="2">
        <f aca="true" t="shared" si="51" ref="Y123:AD123">Y122*Y3</f>
        <v>102.96</v>
      </c>
      <c r="Z123" s="2">
        <f t="shared" si="51"/>
        <v>114.39999999999999</v>
      </c>
      <c r="AA123" s="2">
        <f t="shared" si="51"/>
        <v>108.67999999999999</v>
      </c>
      <c r="AB123" s="2">
        <f t="shared" si="51"/>
        <v>102.96</v>
      </c>
      <c r="AC123" s="2">
        <f t="shared" si="51"/>
        <v>137.28</v>
      </c>
      <c r="AD123" s="2">
        <f t="shared" si="51"/>
        <v>120.11999999999999</v>
      </c>
      <c r="AE123" s="2" t="s">
        <v>160</v>
      </c>
      <c r="AF123" s="2">
        <f>AF122*AF3</f>
        <v>97.91999999999999</v>
      </c>
      <c r="AG123" s="2">
        <f>AG122*AG3</f>
        <v>115.19999999999999</v>
      </c>
      <c r="AH123" s="2">
        <f>AH122*AH3</f>
        <v>107.136</v>
      </c>
      <c r="AR123" s="2">
        <f aca="true" t="shared" si="52" ref="AR123:AW123">AR122*AR3</f>
        <v>236.4</v>
      </c>
      <c r="AS123" s="2">
        <f t="shared" si="52"/>
        <v>256.1</v>
      </c>
      <c r="AT123" s="2">
        <f t="shared" si="52"/>
        <v>246.25</v>
      </c>
      <c r="AU123" s="2">
        <f t="shared" si="52"/>
        <v>334.25</v>
      </c>
      <c r="AV123" s="2">
        <f t="shared" si="52"/>
        <v>382</v>
      </c>
      <c r="AW123" s="2">
        <f t="shared" si="52"/>
        <v>358.125</v>
      </c>
      <c r="BA123" s="2" t="s">
        <v>160</v>
      </c>
      <c r="BB123" s="10"/>
      <c r="BC123" s="10"/>
      <c r="BD123" s="10"/>
      <c r="BE123" s="10"/>
      <c r="BF123" s="10"/>
      <c r="BG123" s="10"/>
      <c r="BH123" s="10"/>
      <c r="BI123" s="10"/>
      <c r="BJ123" s="10"/>
      <c r="BM123" s="2">
        <f>BM122*BM3</f>
        <v>332.478</v>
      </c>
      <c r="CI123" s="2" t="s">
        <v>160</v>
      </c>
    </row>
    <row r="124" spans="1:62" ht="15.75">
      <c r="A124" s="10"/>
      <c r="BB124" s="10"/>
      <c r="BC124" s="10"/>
      <c r="BD124" s="10"/>
      <c r="BE124" s="10"/>
      <c r="BF124" s="10"/>
      <c r="BG124" s="10"/>
      <c r="BH124" s="10"/>
      <c r="BI124" s="10"/>
      <c r="BJ124" s="10"/>
    </row>
    <row r="125" spans="1:62" ht="15.75">
      <c r="A125" s="10"/>
      <c r="BB125" s="10"/>
      <c r="BC125" s="10"/>
      <c r="BD125" s="10"/>
      <c r="BE125" s="10"/>
      <c r="BF125" s="10"/>
      <c r="BG125" s="10"/>
      <c r="BH125" s="10"/>
      <c r="BI125" s="10"/>
      <c r="BJ125" s="10"/>
    </row>
    <row r="126" spans="1:143" ht="15.75">
      <c r="A126" s="10" t="s">
        <v>376</v>
      </c>
      <c r="C126" s="2" t="s">
        <v>377</v>
      </c>
      <c r="D126" s="2" t="s">
        <v>67</v>
      </c>
      <c r="E126" s="2" t="s">
        <v>68</v>
      </c>
      <c r="F126" s="2" t="s">
        <v>69</v>
      </c>
      <c r="AE126" s="10" t="s">
        <v>376</v>
      </c>
      <c r="BA126" s="10" t="s">
        <v>376</v>
      </c>
      <c r="BB126" s="10"/>
      <c r="BC126" s="10"/>
      <c r="BD126" s="10"/>
      <c r="BE126" s="10"/>
      <c r="BF126" s="10"/>
      <c r="BG126" s="10"/>
      <c r="BH126" s="10"/>
      <c r="BI126" s="10"/>
      <c r="BJ126" s="10"/>
      <c r="CF126" s="10"/>
      <c r="CG126" s="10"/>
      <c r="CH126" s="10"/>
      <c r="CI126" s="10" t="s">
        <v>376</v>
      </c>
      <c r="DE126" s="10"/>
      <c r="DI126" s="10"/>
      <c r="DJ126" s="10"/>
      <c r="DK126" s="10"/>
      <c r="DL126" s="10"/>
      <c r="DM126" s="10"/>
      <c r="DN126" s="10"/>
      <c r="DO126" s="10"/>
      <c r="DP126" s="10"/>
      <c r="DQ126" s="10"/>
      <c r="DR126" s="10"/>
      <c r="DS126" s="10"/>
      <c r="DT126" s="10"/>
      <c r="DU126" s="10"/>
      <c r="EM126" s="10"/>
    </row>
    <row r="127" spans="1:87" ht="15.75">
      <c r="A127" s="10" t="s">
        <v>212</v>
      </c>
      <c r="F127" s="2" t="s">
        <v>160</v>
      </c>
      <c r="AE127" s="2" t="s">
        <v>160</v>
      </c>
      <c r="BA127" s="2" t="s">
        <v>160</v>
      </c>
      <c r="BB127" s="10"/>
      <c r="BC127" s="10"/>
      <c r="BD127" s="10"/>
      <c r="BE127" s="10"/>
      <c r="BF127" s="10"/>
      <c r="BG127" s="10"/>
      <c r="BH127" s="10"/>
      <c r="BI127" s="10"/>
      <c r="BJ127" s="10"/>
      <c r="CF127" s="10"/>
      <c r="CG127" s="10"/>
      <c r="CH127" s="10"/>
      <c r="CI127" s="2" t="s">
        <v>160</v>
      </c>
    </row>
    <row r="128" spans="1:86" ht="15.75">
      <c r="A128" s="10"/>
      <c r="BB128" s="10"/>
      <c r="BC128" s="10"/>
      <c r="BD128" s="10"/>
      <c r="BE128" s="10"/>
      <c r="BF128" s="10"/>
      <c r="BG128" s="10"/>
      <c r="BH128" s="10"/>
      <c r="BI128" s="10"/>
      <c r="BJ128" s="10"/>
      <c r="CF128" s="10"/>
      <c r="CG128" s="10"/>
      <c r="CH128" s="10"/>
    </row>
    <row r="129" spans="1:86" ht="15.75">
      <c r="A129" s="10"/>
      <c r="BB129" s="10"/>
      <c r="BC129" s="10"/>
      <c r="BD129" s="10"/>
      <c r="BE129" s="10"/>
      <c r="BF129" s="10"/>
      <c r="BG129" s="10"/>
      <c r="BH129" s="10"/>
      <c r="BI129" s="10"/>
      <c r="BJ129" s="10"/>
      <c r="CF129" s="10"/>
      <c r="CG129" s="10"/>
      <c r="CH129" s="10"/>
    </row>
    <row r="130" spans="1:143" ht="15.75">
      <c r="A130" s="10" t="s">
        <v>378</v>
      </c>
      <c r="C130" s="2" t="s">
        <v>379</v>
      </c>
      <c r="D130" s="2" t="s">
        <v>67</v>
      </c>
      <c r="E130" s="2" t="s">
        <v>68</v>
      </c>
      <c r="F130" s="2" t="s">
        <v>69</v>
      </c>
      <c r="AE130" s="10" t="s">
        <v>378</v>
      </c>
      <c r="BA130" s="10" t="s">
        <v>378</v>
      </c>
      <c r="BB130" s="10"/>
      <c r="BC130" s="10"/>
      <c r="BD130" s="10"/>
      <c r="BE130" s="10"/>
      <c r="BF130" s="10"/>
      <c r="BG130" s="10"/>
      <c r="BH130" s="10"/>
      <c r="BI130" s="10"/>
      <c r="BJ130" s="10"/>
      <c r="CF130" s="10"/>
      <c r="CG130" s="10"/>
      <c r="CH130" s="10"/>
      <c r="CI130" s="10" t="s">
        <v>378</v>
      </c>
      <c r="EM130" s="10"/>
    </row>
    <row r="131" spans="1:87" ht="15.75">
      <c r="A131" s="10"/>
      <c r="F131" s="2" t="s">
        <v>160</v>
      </c>
      <c r="AA131" s="2">
        <f>AA130*AA3</f>
        <v>0</v>
      </c>
      <c r="AB131" s="2">
        <f>AB130*AB3</f>
        <v>0</v>
      </c>
      <c r="AC131" s="2">
        <f>AC130*AC3</f>
        <v>0</v>
      </c>
      <c r="AD131" s="2">
        <f>AD130*AD3</f>
        <v>0</v>
      </c>
      <c r="AE131" s="2" t="s">
        <v>160</v>
      </c>
      <c r="BA131" s="2" t="s">
        <v>160</v>
      </c>
      <c r="BB131" s="10"/>
      <c r="BC131" s="10"/>
      <c r="BD131" s="10"/>
      <c r="BE131" s="10"/>
      <c r="BF131" s="10"/>
      <c r="BG131" s="10"/>
      <c r="BH131" s="10"/>
      <c r="BI131" s="10"/>
      <c r="BJ131" s="10"/>
      <c r="CF131" s="10"/>
      <c r="CG131" s="10"/>
      <c r="CH131" s="10"/>
      <c r="CI131" s="2" t="s">
        <v>160</v>
      </c>
    </row>
    <row r="132" spans="1:143" ht="15.75">
      <c r="A132" s="10" t="s">
        <v>145</v>
      </c>
      <c r="C132" s="2" t="s">
        <v>380</v>
      </c>
      <c r="D132" s="2" t="s">
        <v>67</v>
      </c>
      <c r="E132" s="2" t="s">
        <v>68</v>
      </c>
      <c r="F132" s="2" t="s">
        <v>69</v>
      </c>
      <c r="AA132" s="2">
        <v>600</v>
      </c>
      <c r="AD132" s="2">
        <v>500</v>
      </c>
      <c r="AE132" s="10" t="s">
        <v>145</v>
      </c>
      <c r="AU132" s="2">
        <v>1100</v>
      </c>
      <c r="AV132" s="2">
        <v>1500</v>
      </c>
      <c r="AW132" s="2">
        <f>(AV132+AU132)/2</f>
        <v>1300</v>
      </c>
      <c r="BA132" s="10" t="s">
        <v>145</v>
      </c>
      <c r="BB132" s="10"/>
      <c r="BC132" s="10"/>
      <c r="BD132" s="10"/>
      <c r="BE132" s="10"/>
      <c r="BF132" s="10"/>
      <c r="BG132" s="10"/>
      <c r="BH132" s="10"/>
      <c r="BI132" s="10"/>
      <c r="BJ132" s="10"/>
      <c r="CF132" s="10"/>
      <c r="CG132" s="10"/>
      <c r="CH132" s="10"/>
      <c r="CI132" s="10" t="s">
        <v>145</v>
      </c>
      <c r="DE132" s="10"/>
      <c r="DF132" s="10"/>
      <c r="DG132" s="10"/>
      <c r="DH132" s="10"/>
      <c r="DI132" s="10"/>
      <c r="DJ132" s="10"/>
      <c r="DK132" s="10"/>
      <c r="DL132" s="10"/>
      <c r="DM132" s="10"/>
      <c r="DN132" s="10"/>
      <c r="DO132" s="10"/>
      <c r="DP132" s="10"/>
      <c r="DQ132" s="10"/>
      <c r="DR132" s="10"/>
      <c r="DS132" s="10"/>
      <c r="DT132" s="10"/>
      <c r="DU132" s="10"/>
      <c r="EM132" s="10"/>
    </row>
    <row r="133" spans="1:87" ht="15.75">
      <c r="A133" s="10"/>
      <c r="F133" s="2" t="s">
        <v>160</v>
      </c>
      <c r="AA133" s="2">
        <f aca="true" t="shared" si="53" ref="AA133:AZ133">AA132*AA3</f>
        <v>686.4</v>
      </c>
      <c r="AB133" s="2">
        <f t="shared" si="53"/>
        <v>0</v>
      </c>
      <c r="AC133" s="2">
        <f t="shared" si="53"/>
        <v>0</v>
      </c>
      <c r="AD133" s="2">
        <f t="shared" si="53"/>
        <v>572</v>
      </c>
      <c r="AE133" s="2" t="s">
        <v>160</v>
      </c>
      <c r="AF133" s="2">
        <f t="shared" si="53"/>
        <v>0</v>
      </c>
      <c r="AG133" s="2">
        <f t="shared" si="53"/>
        <v>0</v>
      </c>
      <c r="AH133" s="2">
        <f t="shared" si="53"/>
        <v>0</v>
      </c>
      <c r="AI133" s="2">
        <f t="shared" si="53"/>
        <v>0</v>
      </c>
      <c r="AJ133" s="2">
        <f t="shared" si="53"/>
        <v>0</v>
      </c>
      <c r="AK133" s="2">
        <f t="shared" si="53"/>
        <v>0</v>
      </c>
      <c r="AL133" s="2">
        <f t="shared" si="53"/>
        <v>0</v>
      </c>
      <c r="AM133" s="2">
        <f t="shared" si="53"/>
        <v>0</v>
      </c>
      <c r="AN133" s="2">
        <f t="shared" si="53"/>
        <v>0</v>
      </c>
      <c r="AO133" s="2">
        <f t="shared" si="53"/>
        <v>0</v>
      </c>
      <c r="AP133" s="2">
        <f t="shared" si="53"/>
        <v>0</v>
      </c>
      <c r="AQ133" s="2">
        <f t="shared" si="53"/>
        <v>0</v>
      </c>
      <c r="AR133" s="2">
        <f t="shared" si="53"/>
        <v>0</v>
      </c>
      <c r="AS133" s="2">
        <f t="shared" si="53"/>
        <v>0</v>
      </c>
      <c r="AT133" s="2">
        <f t="shared" si="53"/>
        <v>0</v>
      </c>
      <c r="AU133" s="2">
        <f t="shared" si="53"/>
        <v>1050.5</v>
      </c>
      <c r="AV133" s="2">
        <f t="shared" si="53"/>
        <v>1432.5</v>
      </c>
      <c r="AW133" s="2">
        <f t="shared" si="53"/>
        <v>1241.5</v>
      </c>
      <c r="AX133" s="2">
        <f t="shared" si="53"/>
        <v>0</v>
      </c>
      <c r="AY133" s="2">
        <f t="shared" si="53"/>
        <v>0</v>
      </c>
      <c r="AZ133" s="2">
        <f t="shared" si="53"/>
        <v>0</v>
      </c>
      <c r="BA133" s="2" t="s">
        <v>160</v>
      </c>
      <c r="BB133" s="10"/>
      <c r="BC133" s="10"/>
      <c r="BD133" s="10"/>
      <c r="BE133" s="10"/>
      <c r="BF133" s="10"/>
      <c r="BG133" s="10"/>
      <c r="BH133" s="10"/>
      <c r="BI133" s="10"/>
      <c r="BJ133" s="10"/>
      <c r="CF133" s="10"/>
      <c r="CG133" s="10"/>
      <c r="CH133" s="10"/>
      <c r="CI133" s="2" t="s">
        <v>160</v>
      </c>
    </row>
    <row r="134" spans="1:143" ht="15.75">
      <c r="A134" s="10" t="s">
        <v>381</v>
      </c>
      <c r="C134" s="2" t="s">
        <v>382</v>
      </c>
      <c r="D134" s="2" t="s">
        <v>293</v>
      </c>
      <c r="E134" s="2" t="s">
        <v>383</v>
      </c>
      <c r="F134" s="2" t="s">
        <v>69</v>
      </c>
      <c r="AD134" s="2">
        <v>120</v>
      </c>
      <c r="AE134" s="10" t="s">
        <v>381</v>
      </c>
      <c r="AU134" s="2">
        <v>150</v>
      </c>
      <c r="AV134" s="2">
        <v>400</v>
      </c>
      <c r="AW134" s="2">
        <f>(AV134+AU134)/2</f>
        <v>275</v>
      </c>
      <c r="AX134" s="2">
        <v>350</v>
      </c>
      <c r="AY134" s="2">
        <v>400</v>
      </c>
      <c r="AZ134" s="2">
        <f>(AY134+AX134)/2</f>
        <v>375</v>
      </c>
      <c r="BA134" s="10" t="s">
        <v>381</v>
      </c>
      <c r="BB134" s="10"/>
      <c r="BC134" s="10"/>
      <c r="BD134" s="10"/>
      <c r="BE134" s="10"/>
      <c r="BF134" s="10"/>
      <c r="BG134" s="10"/>
      <c r="BH134" s="10"/>
      <c r="BI134" s="10"/>
      <c r="BJ134" s="10"/>
      <c r="CF134" s="10"/>
      <c r="CG134" s="10"/>
      <c r="CH134" s="10"/>
      <c r="CI134" s="10" t="s">
        <v>381</v>
      </c>
      <c r="EM134" s="10"/>
    </row>
    <row r="135" spans="1:87" ht="15.75">
      <c r="A135" s="10"/>
      <c r="F135" s="2" t="s">
        <v>160</v>
      </c>
      <c r="AA135" s="2">
        <f aca="true" t="shared" si="54" ref="AA135:AZ135">AA134*AA3</f>
        <v>0</v>
      </c>
      <c r="AB135" s="2">
        <f t="shared" si="54"/>
        <v>0</v>
      </c>
      <c r="AC135" s="2">
        <f t="shared" si="54"/>
        <v>0</v>
      </c>
      <c r="AD135" s="2">
        <f t="shared" si="54"/>
        <v>137.28</v>
      </c>
      <c r="AE135" s="2" t="s">
        <v>160</v>
      </c>
      <c r="AF135" s="2">
        <f t="shared" si="54"/>
        <v>0</v>
      </c>
      <c r="AG135" s="2">
        <f t="shared" si="54"/>
        <v>0</v>
      </c>
      <c r="AH135" s="2">
        <f t="shared" si="54"/>
        <v>0</v>
      </c>
      <c r="AI135" s="2">
        <f t="shared" si="54"/>
        <v>0</v>
      </c>
      <c r="AJ135" s="2">
        <f t="shared" si="54"/>
        <v>0</v>
      </c>
      <c r="AK135" s="2">
        <f t="shared" si="54"/>
        <v>0</v>
      </c>
      <c r="AL135" s="2">
        <f t="shared" si="54"/>
        <v>0</v>
      </c>
      <c r="AM135" s="2">
        <f t="shared" si="54"/>
        <v>0</v>
      </c>
      <c r="AN135" s="2">
        <f t="shared" si="54"/>
        <v>0</v>
      </c>
      <c r="AO135" s="2">
        <f t="shared" si="54"/>
        <v>0</v>
      </c>
      <c r="AP135" s="2">
        <f t="shared" si="54"/>
        <v>0</v>
      </c>
      <c r="AQ135" s="2">
        <f t="shared" si="54"/>
        <v>0</v>
      </c>
      <c r="AR135" s="2">
        <f t="shared" si="54"/>
        <v>0</v>
      </c>
      <c r="AS135" s="2">
        <f t="shared" si="54"/>
        <v>0</v>
      </c>
      <c r="AT135" s="2">
        <f t="shared" si="54"/>
        <v>0</v>
      </c>
      <c r="AU135" s="2">
        <f t="shared" si="54"/>
        <v>143.25</v>
      </c>
      <c r="AV135" s="2">
        <f t="shared" si="54"/>
        <v>382</v>
      </c>
      <c r="AW135" s="2">
        <f t="shared" si="54"/>
        <v>262.625</v>
      </c>
      <c r="AX135" s="2">
        <f t="shared" si="54"/>
        <v>251.29999999999998</v>
      </c>
      <c r="AY135" s="2">
        <f t="shared" si="54"/>
        <v>287.2</v>
      </c>
      <c r="AZ135" s="2">
        <f t="shared" si="54"/>
        <v>269.25</v>
      </c>
      <c r="BA135" s="2" t="s">
        <v>160</v>
      </c>
      <c r="BB135" s="10"/>
      <c r="BC135" s="10"/>
      <c r="BD135" s="10"/>
      <c r="BE135" s="10"/>
      <c r="BF135" s="10"/>
      <c r="BG135" s="10"/>
      <c r="BH135" s="10"/>
      <c r="BI135" s="10"/>
      <c r="BJ135" s="10"/>
      <c r="CF135" s="10"/>
      <c r="CG135" s="10"/>
      <c r="CH135" s="10"/>
      <c r="CI135" s="2" t="s">
        <v>160</v>
      </c>
    </row>
    <row r="136" spans="1:143" ht="15.75">
      <c r="A136" s="10"/>
      <c r="G136" s="11" t="s">
        <v>317</v>
      </c>
      <c r="H136" s="11" t="s">
        <v>317</v>
      </c>
      <c r="I136" s="11" t="s">
        <v>317</v>
      </c>
      <c r="J136" s="11" t="s">
        <v>181</v>
      </c>
      <c r="K136" s="11" t="s">
        <v>181</v>
      </c>
      <c r="L136" s="11" t="s">
        <v>181</v>
      </c>
      <c r="M136" s="11" t="s">
        <v>259</v>
      </c>
      <c r="N136" s="11" t="s">
        <v>259</v>
      </c>
      <c r="O136" s="11" t="s">
        <v>259</v>
      </c>
      <c r="P136" s="11" t="s">
        <v>182</v>
      </c>
      <c r="Q136" s="11" t="s">
        <v>182</v>
      </c>
      <c r="R136" s="11" t="s">
        <v>182</v>
      </c>
      <c r="S136" s="11" t="s">
        <v>183</v>
      </c>
      <c r="T136" s="11" t="s">
        <v>183</v>
      </c>
      <c r="U136" s="11" t="s">
        <v>183</v>
      </c>
      <c r="V136" s="11" t="s">
        <v>184</v>
      </c>
      <c r="W136" s="11" t="s">
        <v>184</v>
      </c>
      <c r="X136" s="11" t="s">
        <v>184</v>
      </c>
      <c r="Y136" s="11" t="s">
        <v>185</v>
      </c>
      <c r="Z136" s="11" t="s">
        <v>185</v>
      </c>
      <c r="AA136" s="11" t="s">
        <v>185</v>
      </c>
      <c r="AB136" s="11" t="s">
        <v>186</v>
      </c>
      <c r="AC136" s="11" t="s">
        <v>186</v>
      </c>
      <c r="AD136" s="11" t="s">
        <v>186</v>
      </c>
      <c r="AE136" s="11"/>
      <c r="AF136" s="11" t="s">
        <v>196</v>
      </c>
      <c r="AG136" s="11" t="s">
        <v>196</v>
      </c>
      <c r="AH136" s="11" t="s">
        <v>196</v>
      </c>
      <c r="AI136" s="11" t="s">
        <v>197</v>
      </c>
      <c r="AJ136" s="11" t="s">
        <v>197</v>
      </c>
      <c r="AK136" s="11" t="s">
        <v>197</v>
      </c>
      <c r="AL136" s="11" t="s">
        <v>198</v>
      </c>
      <c r="AM136" s="11" t="s">
        <v>198</v>
      </c>
      <c r="AN136" s="11" t="s">
        <v>198</v>
      </c>
      <c r="AO136" s="11" t="s">
        <v>199</v>
      </c>
      <c r="AP136" s="11" t="s">
        <v>199</v>
      </c>
      <c r="AQ136" s="11" t="s">
        <v>199</v>
      </c>
      <c r="AR136" s="11" t="s">
        <v>200</v>
      </c>
      <c r="AS136" s="11" t="s">
        <v>200</v>
      </c>
      <c r="AT136" s="11" t="s">
        <v>200</v>
      </c>
      <c r="AU136" s="11" t="s">
        <v>201</v>
      </c>
      <c r="AV136" s="11" t="s">
        <v>201</v>
      </c>
      <c r="AW136" s="11" t="s">
        <v>201</v>
      </c>
      <c r="AX136" s="11" t="s">
        <v>266</v>
      </c>
      <c r="AY136" s="11" t="s">
        <v>266</v>
      </c>
      <c r="AZ136" s="11" t="s">
        <v>266</v>
      </c>
      <c r="BA136" s="11"/>
      <c r="BB136" s="11" t="s">
        <v>261</v>
      </c>
      <c r="BC136" s="11" t="s">
        <v>261</v>
      </c>
      <c r="BD136" s="11" t="s">
        <v>261</v>
      </c>
      <c r="BE136" s="11" t="s">
        <v>390</v>
      </c>
      <c r="BF136" s="11" t="s">
        <v>390</v>
      </c>
      <c r="BG136" s="11" t="s">
        <v>390</v>
      </c>
      <c r="BH136" s="11" t="s">
        <v>391</v>
      </c>
      <c r="BI136" s="11" t="s">
        <v>391</v>
      </c>
      <c r="BJ136" s="11" t="s">
        <v>391</v>
      </c>
      <c r="BK136" s="11" t="s">
        <v>267</v>
      </c>
      <c r="BL136" s="11" t="s">
        <v>267</v>
      </c>
      <c r="BM136" s="11" t="s">
        <v>267</v>
      </c>
      <c r="BN136" s="11" t="s">
        <v>268</v>
      </c>
      <c r="BO136" s="11" t="s">
        <v>268</v>
      </c>
      <c r="BP136" s="11" t="s">
        <v>268</v>
      </c>
      <c r="BQ136" s="11" t="s">
        <v>269</v>
      </c>
      <c r="BR136" s="11" t="s">
        <v>269</v>
      </c>
      <c r="BS136" s="11" t="s">
        <v>269</v>
      </c>
      <c r="BT136" s="11" t="s">
        <v>270</v>
      </c>
      <c r="BU136" s="11" t="s">
        <v>270</v>
      </c>
      <c r="BV136" s="11" t="s">
        <v>270</v>
      </c>
      <c r="BW136" s="11" t="s">
        <v>271</v>
      </c>
      <c r="BX136" s="11" t="s">
        <v>271</v>
      </c>
      <c r="BY136" s="11" t="s">
        <v>271</v>
      </c>
      <c r="BZ136" s="11" t="s">
        <v>272</v>
      </c>
      <c r="CA136" s="11" t="s">
        <v>272</v>
      </c>
      <c r="CB136" s="11" t="s">
        <v>272</v>
      </c>
      <c r="CC136" s="11" t="s">
        <v>273</v>
      </c>
      <c r="CD136" s="11" t="s">
        <v>273</v>
      </c>
      <c r="CE136" s="11" t="s">
        <v>273</v>
      </c>
      <c r="CF136" s="11" t="s">
        <v>274</v>
      </c>
      <c r="CG136" s="11" t="s">
        <v>274</v>
      </c>
      <c r="CH136" s="11" t="s">
        <v>274</v>
      </c>
      <c r="CI136" s="10" t="s">
        <v>360</v>
      </c>
      <c r="DE136" s="10"/>
      <c r="DF136" s="10"/>
      <c r="DG136" s="10"/>
      <c r="DH136" s="10"/>
      <c r="DI136" s="10"/>
      <c r="DJ136" s="10"/>
      <c r="DK136" s="10"/>
      <c r="DL136" s="10"/>
      <c r="DM136" s="10"/>
      <c r="DN136" s="10"/>
      <c r="DO136" s="10"/>
      <c r="DP136" s="10"/>
      <c r="DQ136" s="10"/>
      <c r="DR136" s="10"/>
      <c r="DS136" s="10"/>
      <c r="DT136" s="10"/>
      <c r="DU136" s="10"/>
      <c r="EM136" s="10"/>
    </row>
    <row r="137" spans="1:143" ht="15.75">
      <c r="A137" s="10" t="s">
        <v>384</v>
      </c>
      <c r="C137" s="2" t="s">
        <v>239</v>
      </c>
      <c r="D137" s="2" t="s">
        <v>240</v>
      </c>
      <c r="F137" s="2" t="s">
        <v>69</v>
      </c>
      <c r="T137" s="10">
        <v>60</v>
      </c>
      <c r="AE137" s="10" t="s">
        <v>384</v>
      </c>
      <c r="BA137" s="10" t="s">
        <v>384</v>
      </c>
      <c r="BB137" s="10"/>
      <c r="BC137" s="10"/>
      <c r="BD137" s="10"/>
      <c r="BE137" s="10"/>
      <c r="BF137" s="10"/>
      <c r="BG137" s="10"/>
      <c r="BH137" s="10"/>
      <c r="BI137" s="10"/>
      <c r="BJ137" s="10"/>
      <c r="CF137" s="10"/>
      <c r="CG137" s="10"/>
      <c r="CH137" s="10"/>
      <c r="CI137" s="10" t="s">
        <v>384</v>
      </c>
      <c r="EM137" s="10"/>
    </row>
    <row r="138" spans="1:87" ht="15.75">
      <c r="A138" s="10"/>
      <c r="F138" s="2" t="s">
        <v>160</v>
      </c>
      <c r="T138" s="2">
        <f>T137*T3</f>
        <v>144.72</v>
      </c>
      <c r="AE138" s="2" t="s">
        <v>160</v>
      </c>
      <c r="AF138" s="2">
        <f aca="true" t="shared" si="55" ref="AF138:AZ138">AF137*AF3</f>
        <v>0</v>
      </c>
      <c r="AG138" s="2">
        <f t="shared" si="55"/>
        <v>0</v>
      </c>
      <c r="AH138" s="2">
        <f t="shared" si="55"/>
        <v>0</v>
      </c>
      <c r="AI138" s="2">
        <f t="shared" si="55"/>
        <v>0</v>
      </c>
      <c r="AJ138" s="2">
        <f t="shared" si="55"/>
        <v>0</v>
      </c>
      <c r="AK138" s="2">
        <f t="shared" si="55"/>
        <v>0</v>
      </c>
      <c r="AL138" s="2">
        <f t="shared" si="55"/>
        <v>0</v>
      </c>
      <c r="AM138" s="2">
        <f t="shared" si="55"/>
        <v>0</v>
      </c>
      <c r="AN138" s="2">
        <f t="shared" si="55"/>
        <v>0</v>
      </c>
      <c r="AO138" s="2">
        <f t="shared" si="55"/>
        <v>0</v>
      </c>
      <c r="AP138" s="2">
        <f t="shared" si="55"/>
        <v>0</v>
      </c>
      <c r="AQ138" s="2">
        <f t="shared" si="55"/>
        <v>0</v>
      </c>
      <c r="AR138" s="2">
        <f t="shared" si="55"/>
        <v>0</v>
      </c>
      <c r="AS138" s="2">
        <f t="shared" si="55"/>
        <v>0</v>
      </c>
      <c r="AT138" s="2">
        <f t="shared" si="55"/>
        <v>0</v>
      </c>
      <c r="AU138" s="2">
        <f t="shared" si="55"/>
        <v>0</v>
      </c>
      <c r="AV138" s="2">
        <f t="shared" si="55"/>
        <v>0</v>
      </c>
      <c r="AW138" s="2">
        <f t="shared" si="55"/>
        <v>0</v>
      </c>
      <c r="AX138" s="2">
        <f t="shared" si="55"/>
        <v>0</v>
      </c>
      <c r="AY138" s="2">
        <f t="shared" si="55"/>
        <v>0</v>
      </c>
      <c r="AZ138" s="2">
        <f t="shared" si="55"/>
        <v>0</v>
      </c>
      <c r="BA138" s="2" t="s">
        <v>160</v>
      </c>
      <c r="BB138" s="2">
        <f aca="true" t="shared" si="56" ref="BB138:CH138">BB137*BB3</f>
        <v>0</v>
      </c>
      <c r="BC138" s="2">
        <f t="shared" si="56"/>
        <v>0</v>
      </c>
      <c r="BD138" s="2">
        <f t="shared" si="56"/>
        <v>0</v>
      </c>
      <c r="BE138" s="2">
        <f t="shared" si="56"/>
        <v>0</v>
      </c>
      <c r="BF138" s="2">
        <f t="shared" si="56"/>
        <v>0</v>
      </c>
      <c r="BG138" s="2">
        <f t="shared" si="56"/>
        <v>0</v>
      </c>
      <c r="BH138" s="2">
        <f t="shared" si="56"/>
        <v>0</v>
      </c>
      <c r="BI138" s="2">
        <f t="shared" si="56"/>
        <v>0</v>
      </c>
      <c r="BJ138" s="2">
        <f t="shared" si="56"/>
        <v>0</v>
      </c>
      <c r="BK138" s="2">
        <f t="shared" si="56"/>
        <v>0</v>
      </c>
      <c r="BL138" s="2">
        <f t="shared" si="56"/>
        <v>0</v>
      </c>
      <c r="BM138" s="2">
        <f t="shared" si="56"/>
        <v>0</v>
      </c>
      <c r="BN138" s="2">
        <f t="shared" si="56"/>
        <v>0</v>
      </c>
      <c r="BO138" s="2">
        <f t="shared" si="56"/>
        <v>0</v>
      </c>
      <c r="BP138" s="2">
        <f t="shared" si="56"/>
        <v>0</v>
      </c>
      <c r="BQ138" s="2">
        <f t="shared" si="56"/>
        <v>0</v>
      </c>
      <c r="BR138" s="2">
        <f t="shared" si="56"/>
        <v>0</v>
      </c>
      <c r="BS138" s="2">
        <f t="shared" si="56"/>
        <v>0</v>
      </c>
      <c r="BT138" s="2">
        <f t="shared" si="56"/>
        <v>0</v>
      </c>
      <c r="BU138" s="2">
        <f t="shared" si="56"/>
        <v>0</v>
      </c>
      <c r="BV138" s="2">
        <f t="shared" si="56"/>
        <v>0</v>
      </c>
      <c r="BW138" s="2">
        <f t="shared" si="56"/>
        <v>0</v>
      </c>
      <c r="BX138" s="2">
        <f t="shared" si="56"/>
        <v>0</v>
      </c>
      <c r="BY138" s="2">
        <f t="shared" si="56"/>
        <v>0</v>
      </c>
      <c r="BZ138" s="2">
        <f t="shared" si="56"/>
        <v>0</v>
      </c>
      <c r="CA138" s="2">
        <f t="shared" si="56"/>
        <v>0</v>
      </c>
      <c r="CB138" s="2">
        <f t="shared" si="56"/>
        <v>0</v>
      </c>
      <c r="CC138" s="2">
        <f t="shared" si="56"/>
        <v>0</v>
      </c>
      <c r="CD138" s="2">
        <f t="shared" si="56"/>
        <v>0</v>
      </c>
      <c r="CE138" s="2">
        <f t="shared" si="56"/>
        <v>0</v>
      </c>
      <c r="CF138" s="2">
        <f t="shared" si="56"/>
        <v>0</v>
      </c>
      <c r="CG138" s="2">
        <f t="shared" si="56"/>
        <v>0</v>
      </c>
      <c r="CH138" s="2">
        <f t="shared" si="56"/>
        <v>0</v>
      </c>
      <c r="CI138" s="2" t="s">
        <v>160</v>
      </c>
    </row>
    <row r="139" spans="1:143" ht="15.75">
      <c r="A139" s="10" t="s">
        <v>371</v>
      </c>
      <c r="C139" s="2" t="s">
        <v>330</v>
      </c>
      <c r="D139" s="2" t="s">
        <v>67</v>
      </c>
      <c r="F139" s="2" t="s">
        <v>69</v>
      </c>
      <c r="I139" s="2">
        <v>3</v>
      </c>
      <c r="J139" s="2">
        <v>2</v>
      </c>
      <c r="K139" s="2">
        <v>5</v>
      </c>
      <c r="L139" s="2">
        <v>3.7</v>
      </c>
      <c r="M139" s="2">
        <v>2.5</v>
      </c>
      <c r="N139" s="2">
        <v>7</v>
      </c>
      <c r="O139" s="2">
        <v>4.7</v>
      </c>
      <c r="T139" s="10">
        <v>10</v>
      </c>
      <c r="AE139" s="10" t="s">
        <v>371</v>
      </c>
      <c r="BA139" s="10" t="s">
        <v>371</v>
      </c>
      <c r="BB139" s="10"/>
      <c r="BC139" s="10"/>
      <c r="BD139" s="10"/>
      <c r="BE139" s="10"/>
      <c r="BF139" s="10"/>
      <c r="BG139" s="10"/>
      <c r="BH139" s="10"/>
      <c r="BI139" s="10"/>
      <c r="BJ139" s="10"/>
      <c r="CF139" s="10"/>
      <c r="CG139" s="10"/>
      <c r="CH139" s="10"/>
      <c r="CI139" s="10" t="s">
        <v>371</v>
      </c>
      <c r="DE139" s="10"/>
      <c r="DF139" s="10"/>
      <c r="DG139" s="10"/>
      <c r="DH139" s="10"/>
      <c r="DI139" s="10"/>
      <c r="DJ139" s="10"/>
      <c r="DK139" s="10"/>
      <c r="DL139" s="10"/>
      <c r="DM139" s="10"/>
      <c r="DN139" s="10"/>
      <c r="DO139" s="10"/>
      <c r="DP139" s="10"/>
      <c r="DQ139" s="10"/>
      <c r="DR139" s="10"/>
      <c r="DS139" s="10"/>
      <c r="DT139" s="10"/>
      <c r="DU139" s="10"/>
      <c r="EM139" s="10"/>
    </row>
    <row r="140" spans="1:87" ht="15.75">
      <c r="A140" s="10"/>
      <c r="F140" s="2" t="s">
        <v>160</v>
      </c>
      <c r="I140" s="2">
        <f aca="true" t="shared" si="57" ref="I140:AZ140">I139*I3</f>
        <v>12.957</v>
      </c>
      <c r="J140" s="2">
        <f t="shared" si="57"/>
        <v>7.504</v>
      </c>
      <c r="K140" s="2">
        <f t="shared" si="57"/>
        <v>18.759999999999998</v>
      </c>
      <c r="L140" s="2">
        <f t="shared" si="57"/>
        <v>13.8824</v>
      </c>
      <c r="M140" s="2">
        <f t="shared" si="57"/>
        <v>9.379999999999999</v>
      </c>
      <c r="N140" s="2">
        <f t="shared" si="57"/>
        <v>26.264</v>
      </c>
      <c r="O140" s="2">
        <f t="shared" si="57"/>
        <v>17.6344</v>
      </c>
      <c r="T140" s="2">
        <f t="shared" si="57"/>
        <v>24.119999999999997</v>
      </c>
      <c r="AE140" s="2" t="s">
        <v>160</v>
      </c>
      <c r="AF140" s="2">
        <f t="shared" si="57"/>
        <v>0</v>
      </c>
      <c r="AG140" s="2">
        <f t="shared" si="57"/>
        <v>0</v>
      </c>
      <c r="AH140" s="2">
        <f t="shared" si="57"/>
        <v>0</v>
      </c>
      <c r="AI140" s="2">
        <f t="shared" si="57"/>
        <v>0</v>
      </c>
      <c r="AJ140" s="2">
        <f t="shared" si="57"/>
        <v>0</v>
      </c>
      <c r="AK140" s="2">
        <f t="shared" si="57"/>
        <v>0</v>
      </c>
      <c r="AL140" s="2">
        <f t="shared" si="57"/>
        <v>0</v>
      </c>
      <c r="AM140" s="2">
        <f t="shared" si="57"/>
        <v>0</v>
      </c>
      <c r="AN140" s="2">
        <f t="shared" si="57"/>
        <v>0</v>
      </c>
      <c r="AO140" s="2">
        <f t="shared" si="57"/>
        <v>0</v>
      </c>
      <c r="AP140" s="2">
        <f t="shared" si="57"/>
        <v>0</v>
      </c>
      <c r="AQ140" s="2">
        <f t="shared" si="57"/>
        <v>0</v>
      </c>
      <c r="AR140" s="2">
        <f t="shared" si="57"/>
        <v>0</v>
      </c>
      <c r="AS140" s="2">
        <f t="shared" si="57"/>
        <v>0</v>
      </c>
      <c r="AT140" s="2">
        <f t="shared" si="57"/>
        <v>0</v>
      </c>
      <c r="AU140" s="2">
        <f t="shared" si="57"/>
        <v>0</v>
      </c>
      <c r="AV140" s="2">
        <f t="shared" si="57"/>
        <v>0</v>
      </c>
      <c r="AW140" s="2">
        <f t="shared" si="57"/>
        <v>0</v>
      </c>
      <c r="AX140" s="2">
        <f t="shared" si="57"/>
        <v>0</v>
      </c>
      <c r="AY140" s="2">
        <f t="shared" si="57"/>
        <v>0</v>
      </c>
      <c r="AZ140" s="2">
        <f t="shared" si="57"/>
        <v>0</v>
      </c>
      <c r="BA140" s="2" t="s">
        <v>160</v>
      </c>
      <c r="BB140" s="2">
        <f aca="true" t="shared" si="58" ref="BB140:CH140">BB139*BB3</f>
        <v>0</v>
      </c>
      <c r="BC140" s="2">
        <f t="shared" si="58"/>
        <v>0</v>
      </c>
      <c r="BD140" s="2">
        <f t="shared" si="58"/>
        <v>0</v>
      </c>
      <c r="BE140" s="2">
        <f t="shared" si="58"/>
        <v>0</v>
      </c>
      <c r="BF140" s="2">
        <f t="shared" si="58"/>
        <v>0</v>
      </c>
      <c r="BG140" s="2">
        <f t="shared" si="58"/>
        <v>0</v>
      </c>
      <c r="BH140" s="2">
        <f t="shared" si="58"/>
        <v>0</v>
      </c>
      <c r="BI140" s="2">
        <f t="shared" si="58"/>
        <v>0</v>
      </c>
      <c r="BJ140" s="2">
        <f t="shared" si="58"/>
        <v>0</v>
      </c>
      <c r="BK140" s="2">
        <f t="shared" si="58"/>
        <v>0</v>
      </c>
      <c r="BL140" s="2">
        <f t="shared" si="58"/>
        <v>0</v>
      </c>
      <c r="BM140" s="2">
        <f t="shared" si="58"/>
        <v>0</v>
      </c>
      <c r="BN140" s="2">
        <f t="shared" si="58"/>
        <v>0</v>
      </c>
      <c r="BO140" s="2">
        <f t="shared" si="58"/>
        <v>0</v>
      </c>
      <c r="BP140" s="2">
        <f t="shared" si="58"/>
        <v>0</v>
      </c>
      <c r="BQ140" s="2">
        <f t="shared" si="58"/>
        <v>0</v>
      </c>
      <c r="BR140" s="2">
        <f t="shared" si="58"/>
        <v>0</v>
      </c>
      <c r="BS140" s="2">
        <f t="shared" si="58"/>
        <v>0</v>
      </c>
      <c r="BT140" s="2">
        <f t="shared" si="58"/>
        <v>0</v>
      </c>
      <c r="BU140" s="2">
        <f t="shared" si="58"/>
        <v>0</v>
      </c>
      <c r="BV140" s="2">
        <f t="shared" si="58"/>
        <v>0</v>
      </c>
      <c r="BW140" s="2">
        <f t="shared" si="58"/>
        <v>0</v>
      </c>
      <c r="BX140" s="2">
        <f t="shared" si="58"/>
        <v>0</v>
      </c>
      <c r="BY140" s="2">
        <f t="shared" si="58"/>
        <v>0</v>
      </c>
      <c r="BZ140" s="2">
        <f t="shared" si="58"/>
        <v>0</v>
      </c>
      <c r="CA140" s="2">
        <f t="shared" si="58"/>
        <v>0</v>
      </c>
      <c r="CB140" s="2">
        <f t="shared" si="58"/>
        <v>0</v>
      </c>
      <c r="CC140" s="2">
        <f t="shared" si="58"/>
        <v>0</v>
      </c>
      <c r="CD140" s="2">
        <f t="shared" si="58"/>
        <v>0</v>
      </c>
      <c r="CE140" s="2">
        <f t="shared" si="58"/>
        <v>0</v>
      </c>
      <c r="CF140" s="2">
        <f t="shared" si="58"/>
        <v>0</v>
      </c>
      <c r="CG140" s="2">
        <f t="shared" si="58"/>
        <v>0</v>
      </c>
      <c r="CH140" s="2">
        <f t="shared" si="58"/>
        <v>0</v>
      </c>
      <c r="CI140" s="2" t="s">
        <v>160</v>
      </c>
    </row>
    <row r="141" spans="1:143" ht="15.75">
      <c r="A141" s="10" t="s">
        <v>395</v>
      </c>
      <c r="C141" s="2" t="s">
        <v>396</v>
      </c>
      <c r="D141" s="2" t="s">
        <v>67</v>
      </c>
      <c r="F141" s="2" t="s">
        <v>69</v>
      </c>
      <c r="AE141" s="10" t="s">
        <v>395</v>
      </c>
      <c r="BA141" s="10" t="s">
        <v>395</v>
      </c>
      <c r="BB141" s="10"/>
      <c r="BC141" s="10"/>
      <c r="BD141" s="10"/>
      <c r="BE141" s="10"/>
      <c r="BF141" s="10"/>
      <c r="BG141" s="10"/>
      <c r="BH141" s="10"/>
      <c r="BI141" s="10"/>
      <c r="BJ141" s="10"/>
      <c r="CI141" s="10" t="s">
        <v>395</v>
      </c>
      <c r="EM141" s="10"/>
    </row>
    <row r="142" spans="1:87" ht="15.75">
      <c r="A142" s="10"/>
      <c r="F142" s="2" t="s">
        <v>160</v>
      </c>
      <c r="AE142" s="2" t="s">
        <v>160</v>
      </c>
      <c r="AF142" s="2">
        <f aca="true" t="shared" si="59" ref="AF142:AZ142">AF141*AF3</f>
        <v>0</v>
      </c>
      <c r="AG142" s="2">
        <f t="shared" si="59"/>
        <v>0</v>
      </c>
      <c r="AH142" s="2">
        <f t="shared" si="59"/>
        <v>0</v>
      </c>
      <c r="AI142" s="2">
        <f t="shared" si="59"/>
        <v>0</v>
      </c>
      <c r="AJ142" s="2">
        <f t="shared" si="59"/>
        <v>0</v>
      </c>
      <c r="AK142" s="2">
        <f t="shared" si="59"/>
        <v>0</v>
      </c>
      <c r="AL142" s="2">
        <f t="shared" si="59"/>
        <v>0</v>
      </c>
      <c r="AM142" s="2">
        <f t="shared" si="59"/>
        <v>0</v>
      </c>
      <c r="AN142" s="2">
        <f t="shared" si="59"/>
        <v>0</v>
      </c>
      <c r="AO142" s="2">
        <f t="shared" si="59"/>
        <v>0</v>
      </c>
      <c r="AP142" s="2">
        <f t="shared" si="59"/>
        <v>0</v>
      </c>
      <c r="AQ142" s="2">
        <f t="shared" si="59"/>
        <v>0</v>
      </c>
      <c r="AR142" s="2">
        <f t="shared" si="59"/>
        <v>0</v>
      </c>
      <c r="AS142" s="2">
        <f t="shared" si="59"/>
        <v>0</v>
      </c>
      <c r="AT142" s="2">
        <f t="shared" si="59"/>
        <v>0</v>
      </c>
      <c r="AU142" s="2">
        <f t="shared" si="59"/>
        <v>0</v>
      </c>
      <c r="AV142" s="2">
        <f t="shared" si="59"/>
        <v>0</v>
      </c>
      <c r="AW142" s="2">
        <f t="shared" si="59"/>
        <v>0</v>
      </c>
      <c r="AX142" s="2">
        <f t="shared" si="59"/>
        <v>0</v>
      </c>
      <c r="AY142" s="2">
        <f t="shared" si="59"/>
        <v>0</v>
      </c>
      <c r="AZ142" s="2">
        <f t="shared" si="59"/>
        <v>0</v>
      </c>
      <c r="BA142" s="2" t="s">
        <v>160</v>
      </c>
      <c r="BB142" s="2">
        <f aca="true" t="shared" si="60" ref="BB142:CH142">BB141*BB3</f>
        <v>0</v>
      </c>
      <c r="BC142" s="2">
        <f t="shared" si="60"/>
        <v>0</v>
      </c>
      <c r="BD142" s="2">
        <f t="shared" si="60"/>
        <v>0</v>
      </c>
      <c r="BE142" s="2">
        <f t="shared" si="60"/>
        <v>0</v>
      </c>
      <c r="BF142" s="2">
        <f t="shared" si="60"/>
        <v>0</v>
      </c>
      <c r="BG142" s="2">
        <f t="shared" si="60"/>
        <v>0</v>
      </c>
      <c r="BH142" s="2">
        <f t="shared" si="60"/>
        <v>0</v>
      </c>
      <c r="BI142" s="2">
        <f t="shared" si="60"/>
        <v>0</v>
      </c>
      <c r="BJ142" s="2">
        <f t="shared" si="60"/>
        <v>0</v>
      </c>
      <c r="BK142" s="2">
        <f t="shared" si="60"/>
        <v>0</v>
      </c>
      <c r="BL142" s="2">
        <f t="shared" si="60"/>
        <v>0</v>
      </c>
      <c r="BM142" s="2">
        <f t="shared" si="60"/>
        <v>0</v>
      </c>
      <c r="BN142" s="2">
        <f t="shared" si="60"/>
        <v>0</v>
      </c>
      <c r="BO142" s="2">
        <f t="shared" si="60"/>
        <v>0</v>
      </c>
      <c r="BP142" s="2">
        <f t="shared" si="60"/>
        <v>0</v>
      </c>
      <c r="BQ142" s="2">
        <f t="shared" si="60"/>
        <v>0</v>
      </c>
      <c r="BR142" s="2">
        <f t="shared" si="60"/>
        <v>0</v>
      </c>
      <c r="BS142" s="2">
        <f t="shared" si="60"/>
        <v>0</v>
      </c>
      <c r="BT142" s="2">
        <f t="shared" si="60"/>
        <v>0</v>
      </c>
      <c r="BU142" s="2">
        <f t="shared" si="60"/>
        <v>0</v>
      </c>
      <c r="BV142" s="2">
        <f t="shared" si="60"/>
        <v>0</v>
      </c>
      <c r="BW142" s="2">
        <f t="shared" si="60"/>
        <v>0</v>
      </c>
      <c r="BX142" s="2">
        <f t="shared" si="60"/>
        <v>0</v>
      </c>
      <c r="BY142" s="2">
        <f t="shared" si="60"/>
        <v>0</v>
      </c>
      <c r="BZ142" s="2">
        <f t="shared" si="60"/>
        <v>0</v>
      </c>
      <c r="CA142" s="2">
        <f t="shared" si="60"/>
        <v>0</v>
      </c>
      <c r="CB142" s="2">
        <f t="shared" si="60"/>
        <v>0</v>
      </c>
      <c r="CC142" s="2">
        <f t="shared" si="60"/>
        <v>0</v>
      </c>
      <c r="CD142" s="2">
        <f t="shared" si="60"/>
        <v>0</v>
      </c>
      <c r="CE142" s="2">
        <f t="shared" si="60"/>
        <v>0</v>
      </c>
      <c r="CF142" s="2">
        <f t="shared" si="60"/>
        <v>0</v>
      </c>
      <c r="CG142" s="2">
        <f t="shared" si="60"/>
        <v>0</v>
      </c>
      <c r="CH142" s="2">
        <f t="shared" si="60"/>
        <v>0</v>
      </c>
      <c r="CI142" s="2" t="s">
        <v>160</v>
      </c>
    </row>
    <row r="143" ht="15.75">
      <c r="A143" s="10"/>
    </row>
    <row r="144" spans="1:143" ht="15.75">
      <c r="A144" s="10" t="s">
        <v>397</v>
      </c>
      <c r="B144" s="10" t="s">
        <v>278</v>
      </c>
      <c r="C144" s="2" t="s">
        <v>398</v>
      </c>
      <c r="D144" s="2">
        <v>10</v>
      </c>
      <c r="F144" s="2" t="s">
        <v>69</v>
      </c>
      <c r="AE144" s="10" t="s">
        <v>397</v>
      </c>
      <c r="BA144" s="10" t="s">
        <v>397</v>
      </c>
      <c r="BB144" s="10"/>
      <c r="BC144" s="10"/>
      <c r="BD144" s="10"/>
      <c r="BE144" s="10"/>
      <c r="BF144" s="10"/>
      <c r="BG144" s="10"/>
      <c r="BH144" s="10"/>
      <c r="BI144" s="10"/>
      <c r="BJ144" s="10"/>
      <c r="CF144" s="10"/>
      <c r="CG144" s="10"/>
      <c r="CH144" s="10"/>
      <c r="CI144" s="10" t="s">
        <v>397</v>
      </c>
      <c r="DE144" s="10"/>
      <c r="DF144" s="10"/>
      <c r="DG144" s="10"/>
      <c r="DH144" s="10"/>
      <c r="DI144" s="10"/>
      <c r="DJ144" s="10"/>
      <c r="DK144" s="10"/>
      <c r="DL144" s="10"/>
      <c r="DM144" s="10"/>
      <c r="DN144" s="10"/>
      <c r="DO144" s="10"/>
      <c r="DP144" s="10"/>
      <c r="DQ144" s="10"/>
      <c r="DR144" s="10"/>
      <c r="DS144" s="10"/>
      <c r="DT144" s="10"/>
      <c r="DU144" s="10"/>
      <c r="EM144" s="10"/>
    </row>
    <row r="145" spans="1:87" ht="15.75">
      <c r="A145" s="10"/>
      <c r="F145" s="2" t="s">
        <v>160</v>
      </c>
      <c r="AE145" s="2" t="s">
        <v>160</v>
      </c>
      <c r="BA145" s="2" t="s">
        <v>160</v>
      </c>
      <c r="BB145" s="10"/>
      <c r="BC145" s="10"/>
      <c r="BD145" s="10"/>
      <c r="BE145" s="10"/>
      <c r="BF145" s="10"/>
      <c r="BG145" s="10"/>
      <c r="BH145" s="10"/>
      <c r="BI145" s="10"/>
      <c r="BJ145" s="10"/>
      <c r="CF145" s="10"/>
      <c r="CG145" s="10"/>
      <c r="CH145" s="10"/>
      <c r="CI145" s="2" t="s">
        <v>160</v>
      </c>
    </row>
    <row r="146" ht="15.75">
      <c r="A146" s="10"/>
    </row>
    <row r="147" ht="15.75">
      <c r="A147" s="10"/>
    </row>
    <row r="148" spans="1:143" ht="15.75">
      <c r="A148" s="10" t="s">
        <v>399</v>
      </c>
      <c r="C148" s="2" t="s">
        <v>241</v>
      </c>
      <c r="D148" s="2" t="s">
        <v>67</v>
      </c>
      <c r="E148" s="2" t="s">
        <v>68</v>
      </c>
      <c r="F148" s="2" t="s">
        <v>69</v>
      </c>
      <c r="Y148" s="2">
        <v>550</v>
      </c>
      <c r="Z148" s="2">
        <v>600</v>
      </c>
      <c r="AA148" s="2">
        <f>(Z148+Y148)/2</f>
        <v>575</v>
      </c>
      <c r="AB148" s="2">
        <v>700</v>
      </c>
      <c r="AC148" s="2">
        <v>800</v>
      </c>
      <c r="AD148" s="2">
        <f>(AC148+AB148)/2</f>
        <v>750</v>
      </c>
      <c r="AE148" s="10" t="s">
        <v>399</v>
      </c>
      <c r="AU148" s="2">
        <v>700</v>
      </c>
      <c r="AV148" s="2">
        <v>1000</v>
      </c>
      <c r="AW148" s="2">
        <f>(AV148+AU148)/2</f>
        <v>850</v>
      </c>
      <c r="AX148" s="2">
        <v>2400</v>
      </c>
      <c r="AY148" s="2">
        <v>3200</v>
      </c>
      <c r="AZ148" s="2">
        <f>(AY148+AX148)/2</f>
        <v>2800</v>
      </c>
      <c r="BA148" s="10" t="s">
        <v>399</v>
      </c>
      <c r="BB148" s="10"/>
      <c r="BC148" s="10"/>
      <c r="BD148" s="10"/>
      <c r="BE148" s="10"/>
      <c r="BF148" s="10"/>
      <c r="BG148" s="10"/>
      <c r="BH148" s="10"/>
      <c r="BI148" s="10"/>
      <c r="BJ148" s="10"/>
      <c r="CF148" s="10"/>
      <c r="CG148" s="10"/>
      <c r="CH148" s="10"/>
      <c r="CI148" s="10" t="s">
        <v>399</v>
      </c>
      <c r="EM148" s="10"/>
    </row>
    <row r="149" spans="1:87" ht="15.75">
      <c r="A149" s="10"/>
      <c r="F149" s="2" t="s">
        <v>160</v>
      </c>
      <c r="Y149" s="2">
        <f aca="true" t="shared" si="61" ref="Y149:AZ149">Y148*Y3</f>
        <v>629.1999999999999</v>
      </c>
      <c r="Z149" s="2">
        <f t="shared" si="61"/>
        <v>686.4</v>
      </c>
      <c r="AA149" s="2">
        <f t="shared" si="61"/>
        <v>657.8</v>
      </c>
      <c r="AB149" s="2">
        <f t="shared" si="61"/>
        <v>800.8</v>
      </c>
      <c r="AC149" s="2">
        <f t="shared" si="61"/>
        <v>915.1999999999999</v>
      </c>
      <c r="AD149" s="2">
        <f t="shared" si="61"/>
        <v>857.9999999999999</v>
      </c>
      <c r="AE149" s="2" t="s">
        <v>160</v>
      </c>
      <c r="AF149" s="2">
        <f t="shared" si="61"/>
        <v>0</v>
      </c>
      <c r="AG149" s="2">
        <f t="shared" si="61"/>
        <v>0</v>
      </c>
      <c r="AH149" s="2">
        <f t="shared" si="61"/>
        <v>0</v>
      </c>
      <c r="AI149" s="2">
        <f t="shared" si="61"/>
        <v>0</v>
      </c>
      <c r="AJ149" s="2">
        <f t="shared" si="61"/>
        <v>0</v>
      </c>
      <c r="AK149" s="2">
        <f t="shared" si="61"/>
        <v>0</v>
      </c>
      <c r="AL149" s="2">
        <f t="shared" si="61"/>
        <v>0</v>
      </c>
      <c r="AM149" s="2">
        <f t="shared" si="61"/>
        <v>0</v>
      </c>
      <c r="AN149" s="2">
        <f t="shared" si="61"/>
        <v>0</v>
      </c>
      <c r="AO149" s="2">
        <f t="shared" si="61"/>
        <v>0</v>
      </c>
      <c r="AP149" s="2">
        <f t="shared" si="61"/>
        <v>0</v>
      </c>
      <c r="AQ149" s="2">
        <f t="shared" si="61"/>
        <v>0</v>
      </c>
      <c r="AR149" s="2">
        <f t="shared" si="61"/>
        <v>0</v>
      </c>
      <c r="AS149" s="2">
        <f t="shared" si="61"/>
        <v>0</v>
      </c>
      <c r="AT149" s="2">
        <f t="shared" si="61"/>
        <v>0</v>
      </c>
      <c r="AU149" s="2">
        <f t="shared" si="61"/>
        <v>668.5</v>
      </c>
      <c r="AV149" s="2">
        <f t="shared" si="61"/>
        <v>955</v>
      </c>
      <c r="AW149" s="2">
        <f t="shared" si="61"/>
        <v>811.75</v>
      </c>
      <c r="AX149" s="2">
        <f t="shared" si="61"/>
        <v>1723.1999999999998</v>
      </c>
      <c r="AY149" s="2">
        <f t="shared" si="61"/>
        <v>2297.6</v>
      </c>
      <c r="AZ149" s="2">
        <f t="shared" si="61"/>
        <v>2010.3999999999999</v>
      </c>
      <c r="BA149" s="2" t="s">
        <v>160</v>
      </c>
      <c r="BB149" s="2">
        <f aca="true" t="shared" si="62" ref="BB149:CH149">BB148*BB3</f>
        <v>0</v>
      </c>
      <c r="BC149" s="2">
        <f t="shared" si="62"/>
        <v>0</v>
      </c>
      <c r="BD149" s="2">
        <f t="shared" si="62"/>
        <v>0</v>
      </c>
      <c r="BE149" s="2">
        <f t="shared" si="62"/>
        <v>0</v>
      </c>
      <c r="BF149" s="2">
        <f t="shared" si="62"/>
        <v>0</v>
      </c>
      <c r="BG149" s="2">
        <f t="shared" si="62"/>
        <v>0</v>
      </c>
      <c r="BH149" s="2">
        <f t="shared" si="62"/>
        <v>0</v>
      </c>
      <c r="BI149" s="2">
        <f t="shared" si="62"/>
        <v>0</v>
      </c>
      <c r="BJ149" s="2">
        <f t="shared" si="62"/>
        <v>0</v>
      </c>
      <c r="BK149" s="2">
        <f t="shared" si="62"/>
        <v>0</v>
      </c>
      <c r="BL149" s="2">
        <f t="shared" si="62"/>
        <v>0</v>
      </c>
      <c r="BM149" s="2">
        <f t="shared" si="62"/>
        <v>0</v>
      </c>
      <c r="BN149" s="2">
        <f t="shared" si="62"/>
        <v>0</v>
      </c>
      <c r="BO149" s="2">
        <f t="shared" si="62"/>
        <v>0</v>
      </c>
      <c r="BP149" s="2">
        <f t="shared" si="62"/>
        <v>0</v>
      </c>
      <c r="BQ149" s="2">
        <f t="shared" si="62"/>
        <v>0</v>
      </c>
      <c r="BR149" s="2">
        <f t="shared" si="62"/>
        <v>0</v>
      </c>
      <c r="BS149" s="2">
        <f t="shared" si="62"/>
        <v>0</v>
      </c>
      <c r="BT149" s="2">
        <f t="shared" si="62"/>
        <v>0</v>
      </c>
      <c r="BU149" s="2">
        <f t="shared" si="62"/>
        <v>0</v>
      </c>
      <c r="BV149" s="2">
        <f t="shared" si="62"/>
        <v>0</v>
      </c>
      <c r="BW149" s="2">
        <f t="shared" si="62"/>
        <v>0</v>
      </c>
      <c r="BX149" s="2">
        <f t="shared" si="62"/>
        <v>0</v>
      </c>
      <c r="BY149" s="2">
        <f t="shared" si="62"/>
        <v>0</v>
      </c>
      <c r="BZ149" s="2">
        <f t="shared" si="62"/>
        <v>0</v>
      </c>
      <c r="CA149" s="2">
        <f t="shared" si="62"/>
        <v>0</v>
      </c>
      <c r="CB149" s="2">
        <f t="shared" si="62"/>
        <v>0</v>
      </c>
      <c r="CC149" s="2">
        <f t="shared" si="62"/>
        <v>0</v>
      </c>
      <c r="CD149" s="2">
        <f t="shared" si="62"/>
        <v>0</v>
      </c>
      <c r="CE149" s="2">
        <f t="shared" si="62"/>
        <v>0</v>
      </c>
      <c r="CF149" s="2">
        <f t="shared" si="62"/>
        <v>0</v>
      </c>
      <c r="CG149" s="2">
        <f t="shared" si="62"/>
        <v>0</v>
      </c>
      <c r="CH149" s="2">
        <f t="shared" si="62"/>
        <v>0</v>
      </c>
      <c r="CI149" s="2" t="s">
        <v>160</v>
      </c>
    </row>
    <row r="150" spans="1:52" ht="15.75">
      <c r="A150" s="10"/>
      <c r="F150" s="2" t="s">
        <v>140</v>
      </c>
      <c r="Y150" s="7">
        <f aca="true" t="shared" si="63" ref="Y150:AD150">0.18*Y149/16.38</f>
        <v>6.914285714285714</v>
      </c>
      <c r="Z150" s="7">
        <f t="shared" si="63"/>
        <v>7.542857142857143</v>
      </c>
      <c r="AA150" s="8">
        <f t="shared" si="63"/>
        <v>7.228571428571428</v>
      </c>
      <c r="AB150" s="7">
        <f t="shared" si="63"/>
        <v>8.799999999999999</v>
      </c>
      <c r="AC150" s="7">
        <f t="shared" si="63"/>
        <v>10.057142857142857</v>
      </c>
      <c r="AD150" s="7">
        <f t="shared" si="63"/>
        <v>9.428571428571427</v>
      </c>
      <c r="AU150" s="7">
        <f aca="true" t="shared" si="64" ref="AU150:AZ150">0.18*AU149/16.38</f>
        <v>7.346153846153847</v>
      </c>
      <c r="AV150" s="7">
        <f t="shared" si="64"/>
        <v>10.494505494505496</v>
      </c>
      <c r="AW150" s="7">
        <f t="shared" si="64"/>
        <v>8.92032967032967</v>
      </c>
      <c r="AX150" s="7">
        <f t="shared" si="64"/>
        <v>18.936263736263733</v>
      </c>
      <c r="AY150" s="7">
        <f t="shared" si="64"/>
        <v>25.248351648351647</v>
      </c>
      <c r="AZ150" s="8">
        <f t="shared" si="64"/>
        <v>22.092307692307692</v>
      </c>
    </row>
    <row r="151" ht="15.75">
      <c r="A151" s="10"/>
    </row>
    <row r="152" spans="1:143" ht="15.75">
      <c r="A152" s="10" t="s">
        <v>242</v>
      </c>
      <c r="B152" s="2" t="s">
        <v>412</v>
      </c>
      <c r="C152" s="2" t="s">
        <v>243</v>
      </c>
      <c r="D152" s="2" t="s">
        <v>67</v>
      </c>
      <c r="E152" s="2" t="s">
        <v>68</v>
      </c>
      <c r="F152" s="2" t="s">
        <v>69</v>
      </c>
      <c r="J152" s="2">
        <v>62</v>
      </c>
      <c r="K152" s="2">
        <v>120</v>
      </c>
      <c r="L152" s="2">
        <v>102.1</v>
      </c>
      <c r="M152" s="2">
        <v>49.5</v>
      </c>
      <c r="N152" s="2">
        <v>90</v>
      </c>
      <c r="O152" s="2">
        <v>64.2</v>
      </c>
      <c r="Y152" s="2">
        <v>100</v>
      </c>
      <c r="Z152" s="2">
        <v>120</v>
      </c>
      <c r="AA152" s="2">
        <f>(Z152+Y152)/2</f>
        <v>110</v>
      </c>
      <c r="AB152" s="2">
        <v>140</v>
      </c>
      <c r="AC152" s="2">
        <v>160</v>
      </c>
      <c r="AD152" s="2">
        <f>(AC152+AB152)/2</f>
        <v>150</v>
      </c>
      <c r="AE152" s="10" t="s">
        <v>242</v>
      </c>
      <c r="AU152" s="2">
        <v>1200</v>
      </c>
      <c r="AV152" s="2">
        <v>1600</v>
      </c>
      <c r="AW152" s="2">
        <f>(AV152+AU152)/2</f>
        <v>1400</v>
      </c>
      <c r="BA152" s="10" t="s">
        <v>242</v>
      </c>
      <c r="BB152" s="10"/>
      <c r="BC152" s="10"/>
      <c r="BD152" s="10"/>
      <c r="BE152" s="10"/>
      <c r="BF152" s="10"/>
      <c r="BG152" s="10"/>
      <c r="BH152" s="10"/>
      <c r="BI152" s="10"/>
      <c r="BJ152" s="10"/>
      <c r="CF152" s="10"/>
      <c r="CG152" s="10"/>
      <c r="CH152" s="10"/>
      <c r="CI152" s="10" t="s">
        <v>242</v>
      </c>
      <c r="DE152" s="10"/>
      <c r="DF152" s="10"/>
      <c r="DG152" s="10"/>
      <c r="DH152" s="10"/>
      <c r="DI152" s="10"/>
      <c r="DJ152" s="10"/>
      <c r="DK152" s="10"/>
      <c r="DL152" s="10"/>
      <c r="DM152" s="10"/>
      <c r="DN152" s="10"/>
      <c r="DO152" s="10"/>
      <c r="DP152" s="10"/>
      <c r="DQ152" s="10"/>
      <c r="DR152" s="10"/>
      <c r="DS152" s="10"/>
      <c r="DT152" s="10"/>
      <c r="DU152" s="10"/>
      <c r="EM152" s="10"/>
    </row>
    <row r="153" spans="1:87" ht="15.75">
      <c r="A153" s="10"/>
      <c r="F153" s="2" t="s">
        <v>160</v>
      </c>
      <c r="J153" s="2">
        <f aca="true" t="shared" si="65" ref="J153:AZ153">J152*J3</f>
        <v>232.624</v>
      </c>
      <c r="K153" s="2">
        <f t="shared" si="65"/>
        <v>450.23999999999995</v>
      </c>
      <c r="L153" s="2">
        <f t="shared" si="65"/>
        <v>383.07919999999996</v>
      </c>
      <c r="M153" s="2">
        <f t="shared" si="65"/>
        <v>185.724</v>
      </c>
      <c r="N153" s="2">
        <f t="shared" si="65"/>
        <v>337.68</v>
      </c>
      <c r="O153" s="2">
        <f t="shared" si="65"/>
        <v>240.8784</v>
      </c>
      <c r="Y153" s="2">
        <f t="shared" si="65"/>
        <v>114.39999999999999</v>
      </c>
      <c r="Z153" s="2">
        <f t="shared" si="65"/>
        <v>137.28</v>
      </c>
      <c r="AA153" s="2">
        <f t="shared" si="65"/>
        <v>125.83999999999999</v>
      </c>
      <c r="AB153" s="2">
        <f t="shared" si="65"/>
        <v>160.16</v>
      </c>
      <c r="AC153" s="2">
        <f t="shared" si="65"/>
        <v>183.04</v>
      </c>
      <c r="AD153" s="2">
        <f t="shared" si="65"/>
        <v>171.6</v>
      </c>
      <c r="AE153" s="2" t="s">
        <v>160</v>
      </c>
      <c r="AF153" s="2">
        <f t="shared" si="65"/>
        <v>0</v>
      </c>
      <c r="AG153" s="2">
        <f t="shared" si="65"/>
        <v>0</v>
      </c>
      <c r="AH153" s="2">
        <f t="shared" si="65"/>
        <v>0</v>
      </c>
      <c r="AI153" s="2">
        <f t="shared" si="65"/>
        <v>0</v>
      </c>
      <c r="AJ153" s="2">
        <f t="shared" si="65"/>
        <v>0</v>
      </c>
      <c r="AK153" s="2">
        <f t="shared" si="65"/>
        <v>0</v>
      </c>
      <c r="AL153" s="2">
        <f t="shared" si="65"/>
        <v>0</v>
      </c>
      <c r="AM153" s="2">
        <f t="shared" si="65"/>
        <v>0</v>
      </c>
      <c r="AN153" s="2">
        <f t="shared" si="65"/>
        <v>0</v>
      </c>
      <c r="AO153" s="2">
        <f t="shared" si="65"/>
        <v>0</v>
      </c>
      <c r="AP153" s="2">
        <f t="shared" si="65"/>
        <v>0</v>
      </c>
      <c r="AQ153" s="2">
        <f t="shared" si="65"/>
        <v>0</v>
      </c>
      <c r="AR153" s="2">
        <f t="shared" si="65"/>
        <v>0</v>
      </c>
      <c r="AS153" s="2">
        <f t="shared" si="65"/>
        <v>0</v>
      </c>
      <c r="AT153" s="2">
        <f t="shared" si="65"/>
        <v>0</v>
      </c>
      <c r="AU153" s="2">
        <f t="shared" si="65"/>
        <v>1146</v>
      </c>
      <c r="AV153" s="2">
        <f t="shared" si="65"/>
        <v>1528</v>
      </c>
      <c r="AW153" s="2">
        <f t="shared" si="65"/>
        <v>1337</v>
      </c>
      <c r="AX153" s="2">
        <f t="shared" si="65"/>
        <v>0</v>
      </c>
      <c r="AY153" s="2">
        <f t="shared" si="65"/>
        <v>0</v>
      </c>
      <c r="AZ153" s="2">
        <f t="shared" si="65"/>
        <v>0</v>
      </c>
      <c r="BA153" s="2" t="s">
        <v>160</v>
      </c>
      <c r="BB153" s="2">
        <f aca="true" t="shared" si="66" ref="BB153:CH153">BB152*BB3</f>
        <v>0</v>
      </c>
      <c r="BC153" s="2">
        <f t="shared" si="66"/>
        <v>0</v>
      </c>
      <c r="BD153" s="2">
        <f t="shared" si="66"/>
        <v>0</v>
      </c>
      <c r="BE153" s="2">
        <f t="shared" si="66"/>
        <v>0</v>
      </c>
      <c r="BF153" s="2">
        <f t="shared" si="66"/>
        <v>0</v>
      </c>
      <c r="BG153" s="2">
        <f t="shared" si="66"/>
        <v>0</v>
      </c>
      <c r="BH153" s="2">
        <f t="shared" si="66"/>
        <v>0</v>
      </c>
      <c r="BI153" s="2">
        <f t="shared" si="66"/>
        <v>0</v>
      </c>
      <c r="BJ153" s="2">
        <f t="shared" si="66"/>
        <v>0</v>
      </c>
      <c r="BK153" s="2">
        <f t="shared" si="66"/>
        <v>0</v>
      </c>
      <c r="BL153" s="2">
        <f t="shared" si="66"/>
        <v>0</v>
      </c>
      <c r="BM153" s="2">
        <f t="shared" si="66"/>
        <v>0</v>
      </c>
      <c r="BN153" s="2">
        <f t="shared" si="66"/>
        <v>0</v>
      </c>
      <c r="BO153" s="2">
        <f t="shared" si="66"/>
        <v>0</v>
      </c>
      <c r="BP153" s="2">
        <f t="shared" si="66"/>
        <v>0</v>
      </c>
      <c r="BQ153" s="2">
        <f t="shared" si="66"/>
        <v>0</v>
      </c>
      <c r="BR153" s="2">
        <f t="shared" si="66"/>
        <v>0</v>
      </c>
      <c r="BS153" s="2">
        <f t="shared" si="66"/>
        <v>0</v>
      </c>
      <c r="BT153" s="2">
        <f t="shared" si="66"/>
        <v>0</v>
      </c>
      <c r="BU153" s="2">
        <f t="shared" si="66"/>
        <v>0</v>
      </c>
      <c r="BV153" s="2">
        <f t="shared" si="66"/>
        <v>0</v>
      </c>
      <c r="BW153" s="2">
        <f t="shared" si="66"/>
        <v>0</v>
      </c>
      <c r="BX153" s="2">
        <f t="shared" si="66"/>
        <v>0</v>
      </c>
      <c r="BY153" s="2">
        <f t="shared" si="66"/>
        <v>0</v>
      </c>
      <c r="BZ153" s="2">
        <f t="shared" si="66"/>
        <v>0</v>
      </c>
      <c r="CA153" s="2">
        <f t="shared" si="66"/>
        <v>0</v>
      </c>
      <c r="CB153" s="2">
        <f t="shared" si="66"/>
        <v>0</v>
      </c>
      <c r="CC153" s="2">
        <f t="shared" si="66"/>
        <v>0</v>
      </c>
      <c r="CD153" s="2">
        <f t="shared" si="66"/>
        <v>0</v>
      </c>
      <c r="CE153" s="2">
        <f t="shared" si="66"/>
        <v>0</v>
      </c>
      <c r="CF153" s="2">
        <f t="shared" si="66"/>
        <v>0</v>
      </c>
      <c r="CG153" s="2">
        <f t="shared" si="66"/>
        <v>0</v>
      </c>
      <c r="CH153" s="2">
        <f t="shared" si="66"/>
        <v>0</v>
      </c>
      <c r="CI153" s="2" t="s">
        <v>160</v>
      </c>
    </row>
    <row r="154" spans="1:49" ht="15.75">
      <c r="A154" s="10"/>
      <c r="F154" s="2" t="s">
        <v>140</v>
      </c>
      <c r="J154" s="7">
        <f aca="true" t="shared" si="67" ref="J154:O154">0.18*J153/16.38</f>
        <v>2.556307692307692</v>
      </c>
      <c r="K154" s="7">
        <f t="shared" si="67"/>
        <v>4.947692307692307</v>
      </c>
      <c r="L154" s="8">
        <f t="shared" si="67"/>
        <v>4.209661538461538</v>
      </c>
      <c r="M154" s="7">
        <f t="shared" si="67"/>
        <v>2.0409230769230766</v>
      </c>
      <c r="N154" s="7">
        <f t="shared" si="67"/>
        <v>3.710769230769231</v>
      </c>
      <c r="O154" s="8">
        <f t="shared" si="67"/>
        <v>2.6470153846153845</v>
      </c>
      <c r="Y154" s="7">
        <f aca="true" t="shared" si="68" ref="Y154:AD154">0.18*Y153/16.38</f>
        <v>1.2571428571428571</v>
      </c>
      <c r="Z154" s="7">
        <f t="shared" si="68"/>
        <v>1.5085714285714287</v>
      </c>
      <c r="AA154" s="8">
        <f t="shared" si="68"/>
        <v>1.3828571428571428</v>
      </c>
      <c r="AB154" s="7">
        <f t="shared" si="68"/>
        <v>1.76</v>
      </c>
      <c r="AC154" s="7">
        <f t="shared" si="68"/>
        <v>2.011428571428571</v>
      </c>
      <c r="AD154" s="7">
        <f t="shared" si="68"/>
        <v>1.8857142857142857</v>
      </c>
      <c r="AU154" s="7">
        <f>0.18*AU153/16.38</f>
        <v>12.593406593406595</v>
      </c>
      <c r="AV154" s="7">
        <f>0.18*AV153/16.38</f>
        <v>16.79120879120879</v>
      </c>
      <c r="AW154" s="8">
        <f>0.18*AW153/16.38</f>
        <v>14.692307692307693</v>
      </c>
    </row>
    <row r="155" ht="15.75">
      <c r="A155" s="10"/>
    </row>
    <row r="156" spans="1:143" ht="15.75">
      <c r="A156" s="10" t="s">
        <v>244</v>
      </c>
      <c r="C156" s="2" t="s">
        <v>245</v>
      </c>
      <c r="D156" s="2" t="s">
        <v>67</v>
      </c>
      <c r="E156" s="2" t="s">
        <v>68</v>
      </c>
      <c r="F156" s="2" t="s">
        <v>69</v>
      </c>
      <c r="J156" s="2">
        <v>20</v>
      </c>
      <c r="K156" s="2">
        <v>7</v>
      </c>
      <c r="L156" s="2">
        <v>23.3</v>
      </c>
      <c r="M156" s="2">
        <v>19</v>
      </c>
      <c r="N156" s="2">
        <v>27</v>
      </c>
      <c r="O156" s="2">
        <v>23.3</v>
      </c>
      <c r="Y156" s="2">
        <v>10</v>
      </c>
      <c r="Z156" s="2">
        <v>12</v>
      </c>
      <c r="AA156" s="2">
        <f>(Z156+Y156)/2</f>
        <v>11</v>
      </c>
      <c r="AE156" s="10" t="s">
        <v>244</v>
      </c>
      <c r="AU156" s="2">
        <v>35</v>
      </c>
      <c r="AV156" s="2">
        <v>70</v>
      </c>
      <c r="AW156" s="2">
        <f>(AV156+AU156)/2</f>
        <v>52.5</v>
      </c>
      <c r="BA156" s="10" t="s">
        <v>244</v>
      </c>
      <c r="BB156" s="10"/>
      <c r="BC156" s="10"/>
      <c r="BD156" s="10"/>
      <c r="BE156" s="10"/>
      <c r="BF156" s="10"/>
      <c r="BG156" s="10"/>
      <c r="BH156" s="10"/>
      <c r="BI156" s="10"/>
      <c r="BJ156" s="10"/>
      <c r="CF156" s="10"/>
      <c r="CG156" s="10"/>
      <c r="CH156" s="10"/>
      <c r="CI156" s="10" t="s">
        <v>244</v>
      </c>
      <c r="EM156" s="10"/>
    </row>
    <row r="157" spans="1:87" ht="15.75">
      <c r="A157" s="10"/>
      <c r="F157" s="2" t="s">
        <v>160</v>
      </c>
      <c r="J157" s="2">
        <f aca="true" t="shared" si="69" ref="J157:AZ157">J156*J3</f>
        <v>75.03999999999999</v>
      </c>
      <c r="K157" s="2">
        <f t="shared" si="69"/>
        <v>26.264</v>
      </c>
      <c r="L157" s="2">
        <f t="shared" si="69"/>
        <v>87.4216</v>
      </c>
      <c r="M157" s="2">
        <f t="shared" si="69"/>
        <v>71.288</v>
      </c>
      <c r="N157" s="2">
        <f t="shared" si="69"/>
        <v>101.30399999999999</v>
      </c>
      <c r="O157" s="2">
        <f t="shared" si="69"/>
        <v>87.4216</v>
      </c>
      <c r="Y157" s="2">
        <f t="shared" si="69"/>
        <v>11.44</v>
      </c>
      <c r="Z157" s="2">
        <f t="shared" si="69"/>
        <v>13.727999999999998</v>
      </c>
      <c r="AA157" s="2">
        <f t="shared" si="69"/>
        <v>12.584</v>
      </c>
      <c r="AE157" s="2" t="s">
        <v>160</v>
      </c>
      <c r="AF157" s="2">
        <f t="shared" si="69"/>
        <v>0</v>
      </c>
      <c r="AG157" s="2">
        <f t="shared" si="69"/>
        <v>0</v>
      </c>
      <c r="AH157" s="2">
        <f t="shared" si="69"/>
        <v>0</v>
      </c>
      <c r="AI157" s="2">
        <f t="shared" si="69"/>
        <v>0</v>
      </c>
      <c r="AJ157" s="2">
        <f t="shared" si="69"/>
        <v>0</v>
      </c>
      <c r="AK157" s="2">
        <f t="shared" si="69"/>
        <v>0</v>
      </c>
      <c r="AL157" s="2">
        <f t="shared" si="69"/>
        <v>0</v>
      </c>
      <c r="AM157" s="2">
        <f t="shared" si="69"/>
        <v>0</v>
      </c>
      <c r="AN157" s="2">
        <f t="shared" si="69"/>
        <v>0</v>
      </c>
      <c r="AO157" s="2">
        <f t="shared" si="69"/>
        <v>0</v>
      </c>
      <c r="AP157" s="2">
        <f t="shared" si="69"/>
        <v>0</v>
      </c>
      <c r="AQ157" s="2">
        <f t="shared" si="69"/>
        <v>0</v>
      </c>
      <c r="AR157" s="2">
        <f t="shared" si="69"/>
        <v>0</v>
      </c>
      <c r="AS157" s="2">
        <f t="shared" si="69"/>
        <v>0</v>
      </c>
      <c r="AT157" s="2">
        <f t="shared" si="69"/>
        <v>0</v>
      </c>
      <c r="AU157" s="2">
        <f t="shared" si="69"/>
        <v>33.425</v>
      </c>
      <c r="AV157" s="2">
        <f t="shared" si="69"/>
        <v>66.85</v>
      </c>
      <c r="AW157" s="2">
        <f t="shared" si="69"/>
        <v>50.137499999999996</v>
      </c>
      <c r="AX157" s="2">
        <f t="shared" si="69"/>
        <v>0</v>
      </c>
      <c r="AY157" s="2">
        <f t="shared" si="69"/>
        <v>0</v>
      </c>
      <c r="AZ157" s="2">
        <f t="shared" si="69"/>
        <v>0</v>
      </c>
      <c r="BA157" s="2" t="s">
        <v>160</v>
      </c>
      <c r="BB157" s="2">
        <f aca="true" t="shared" si="70" ref="BB157:CH157">BB156*BB3</f>
        <v>0</v>
      </c>
      <c r="BC157" s="2">
        <f t="shared" si="70"/>
        <v>0</v>
      </c>
      <c r="BD157" s="2">
        <f t="shared" si="70"/>
        <v>0</v>
      </c>
      <c r="BE157" s="2">
        <f t="shared" si="70"/>
        <v>0</v>
      </c>
      <c r="BF157" s="2">
        <f t="shared" si="70"/>
        <v>0</v>
      </c>
      <c r="BG157" s="2">
        <f t="shared" si="70"/>
        <v>0</v>
      </c>
      <c r="BH157" s="2">
        <f t="shared" si="70"/>
        <v>0</v>
      </c>
      <c r="BI157" s="2">
        <f t="shared" si="70"/>
        <v>0</v>
      </c>
      <c r="BJ157" s="2">
        <f t="shared" si="70"/>
        <v>0</v>
      </c>
      <c r="BK157" s="2">
        <f t="shared" si="70"/>
        <v>0</v>
      </c>
      <c r="BL157" s="2">
        <f t="shared" si="70"/>
        <v>0</v>
      </c>
      <c r="BM157" s="2">
        <f t="shared" si="70"/>
        <v>0</v>
      </c>
      <c r="BN157" s="2">
        <f t="shared" si="70"/>
        <v>0</v>
      </c>
      <c r="BO157" s="2">
        <f t="shared" si="70"/>
        <v>0</v>
      </c>
      <c r="BP157" s="2">
        <f t="shared" si="70"/>
        <v>0</v>
      </c>
      <c r="BQ157" s="2">
        <f t="shared" si="70"/>
        <v>0</v>
      </c>
      <c r="BR157" s="2">
        <f t="shared" si="70"/>
        <v>0</v>
      </c>
      <c r="BS157" s="2">
        <f t="shared" si="70"/>
        <v>0</v>
      </c>
      <c r="BT157" s="2">
        <f t="shared" si="70"/>
        <v>0</v>
      </c>
      <c r="BU157" s="2">
        <f t="shared" si="70"/>
        <v>0</v>
      </c>
      <c r="BV157" s="2">
        <f t="shared" si="70"/>
        <v>0</v>
      </c>
      <c r="BW157" s="2">
        <f t="shared" si="70"/>
        <v>0</v>
      </c>
      <c r="BX157" s="2">
        <f t="shared" si="70"/>
        <v>0</v>
      </c>
      <c r="BY157" s="2">
        <f t="shared" si="70"/>
        <v>0</v>
      </c>
      <c r="BZ157" s="2">
        <f t="shared" si="70"/>
        <v>0</v>
      </c>
      <c r="CA157" s="2">
        <f t="shared" si="70"/>
        <v>0</v>
      </c>
      <c r="CB157" s="2">
        <f t="shared" si="70"/>
        <v>0</v>
      </c>
      <c r="CC157" s="2">
        <f t="shared" si="70"/>
        <v>0</v>
      </c>
      <c r="CD157" s="2">
        <f t="shared" si="70"/>
        <v>0</v>
      </c>
      <c r="CE157" s="2">
        <f t="shared" si="70"/>
        <v>0</v>
      </c>
      <c r="CF157" s="2">
        <f t="shared" si="70"/>
        <v>0</v>
      </c>
      <c r="CG157" s="2">
        <f t="shared" si="70"/>
        <v>0</v>
      </c>
      <c r="CH157" s="2">
        <f t="shared" si="70"/>
        <v>0</v>
      </c>
      <c r="CI157" s="2" t="s">
        <v>160</v>
      </c>
    </row>
    <row r="158" spans="1:143" ht="15.75">
      <c r="A158" s="10" t="s">
        <v>246</v>
      </c>
      <c r="B158" s="2" t="s">
        <v>369</v>
      </c>
      <c r="C158" s="2" t="s">
        <v>247</v>
      </c>
      <c r="D158" s="2" t="s">
        <v>67</v>
      </c>
      <c r="E158" s="2" t="s">
        <v>68</v>
      </c>
      <c r="F158" s="2" t="s">
        <v>69</v>
      </c>
      <c r="O158" s="2">
        <v>39.5</v>
      </c>
      <c r="R158" s="2">
        <v>150</v>
      </c>
      <c r="U158" s="2">
        <v>150</v>
      </c>
      <c r="AE158" s="10" t="s">
        <v>246</v>
      </c>
      <c r="BA158" s="10" t="s">
        <v>246</v>
      </c>
      <c r="BB158" s="10"/>
      <c r="BC158" s="10"/>
      <c r="BD158" s="10"/>
      <c r="BE158" s="10"/>
      <c r="BF158" s="10"/>
      <c r="BG158" s="10"/>
      <c r="BH158" s="10"/>
      <c r="BI158" s="10"/>
      <c r="BJ158" s="10"/>
      <c r="CF158" s="10"/>
      <c r="CG158" s="10"/>
      <c r="CH158" s="10"/>
      <c r="CI158" s="10" t="s">
        <v>246</v>
      </c>
      <c r="DE158" s="10"/>
      <c r="DQ158" s="10"/>
      <c r="DR158" s="10"/>
      <c r="DS158" s="10"/>
      <c r="DT158" s="10"/>
      <c r="DU158" s="10"/>
      <c r="EM158" s="10"/>
    </row>
    <row r="159" spans="1:87" ht="15.75">
      <c r="A159" s="10"/>
      <c r="F159" s="2" t="s">
        <v>160</v>
      </c>
      <c r="O159" s="2">
        <f aca="true" t="shared" si="71" ref="O159:AZ159">O158*O3</f>
        <v>148.20399999999998</v>
      </c>
      <c r="R159" s="2">
        <f t="shared" si="71"/>
        <v>361.8</v>
      </c>
      <c r="U159" s="2">
        <f t="shared" si="71"/>
        <v>361.8</v>
      </c>
      <c r="AE159" s="2" t="s">
        <v>160</v>
      </c>
      <c r="AF159" s="2">
        <f t="shared" si="71"/>
        <v>0</v>
      </c>
      <c r="AG159" s="2">
        <f t="shared" si="71"/>
        <v>0</v>
      </c>
      <c r="AH159" s="2">
        <f t="shared" si="71"/>
        <v>0</v>
      </c>
      <c r="AI159" s="2">
        <f t="shared" si="71"/>
        <v>0</v>
      </c>
      <c r="AJ159" s="2">
        <f t="shared" si="71"/>
        <v>0</v>
      </c>
      <c r="AK159" s="2">
        <f t="shared" si="71"/>
        <v>0</v>
      </c>
      <c r="AL159" s="2">
        <f t="shared" si="71"/>
        <v>0</v>
      </c>
      <c r="AM159" s="2">
        <f t="shared" si="71"/>
        <v>0</v>
      </c>
      <c r="AN159" s="2">
        <f t="shared" si="71"/>
        <v>0</v>
      </c>
      <c r="AO159" s="2">
        <f t="shared" si="71"/>
        <v>0</v>
      </c>
      <c r="AP159" s="2">
        <f t="shared" si="71"/>
        <v>0</v>
      </c>
      <c r="AQ159" s="2">
        <f t="shared" si="71"/>
        <v>0</v>
      </c>
      <c r="AR159" s="2">
        <f t="shared" si="71"/>
        <v>0</v>
      </c>
      <c r="AS159" s="2">
        <f t="shared" si="71"/>
        <v>0</v>
      </c>
      <c r="AT159" s="2">
        <f t="shared" si="71"/>
        <v>0</v>
      </c>
      <c r="AU159" s="2">
        <f t="shared" si="71"/>
        <v>0</v>
      </c>
      <c r="AV159" s="2">
        <f t="shared" si="71"/>
        <v>0</v>
      </c>
      <c r="AW159" s="2">
        <f t="shared" si="71"/>
        <v>0</v>
      </c>
      <c r="AX159" s="2">
        <f t="shared" si="71"/>
        <v>0</v>
      </c>
      <c r="AY159" s="2">
        <f t="shared" si="71"/>
        <v>0</v>
      </c>
      <c r="AZ159" s="2">
        <f t="shared" si="71"/>
        <v>0</v>
      </c>
      <c r="BA159" s="2" t="s">
        <v>160</v>
      </c>
      <c r="BB159" s="2">
        <f aca="true" t="shared" si="72" ref="BB159:CH159">BB158*BB3</f>
        <v>0</v>
      </c>
      <c r="BC159" s="2">
        <f t="shared" si="72"/>
        <v>0</v>
      </c>
      <c r="BD159" s="2">
        <f t="shared" si="72"/>
        <v>0</v>
      </c>
      <c r="BE159" s="2">
        <f t="shared" si="72"/>
        <v>0</v>
      </c>
      <c r="BF159" s="2">
        <f t="shared" si="72"/>
        <v>0</v>
      </c>
      <c r="BG159" s="2">
        <f t="shared" si="72"/>
        <v>0</v>
      </c>
      <c r="BH159" s="2">
        <f t="shared" si="72"/>
        <v>0</v>
      </c>
      <c r="BI159" s="2">
        <f t="shared" si="72"/>
        <v>0</v>
      </c>
      <c r="BJ159" s="2">
        <f t="shared" si="72"/>
        <v>0</v>
      </c>
      <c r="BK159" s="2">
        <f t="shared" si="72"/>
        <v>0</v>
      </c>
      <c r="BL159" s="2">
        <f t="shared" si="72"/>
        <v>0</v>
      </c>
      <c r="BM159" s="2">
        <f t="shared" si="72"/>
        <v>0</v>
      </c>
      <c r="BN159" s="2">
        <f t="shared" si="72"/>
        <v>0</v>
      </c>
      <c r="BO159" s="2">
        <f t="shared" si="72"/>
        <v>0</v>
      </c>
      <c r="BP159" s="2">
        <f t="shared" si="72"/>
        <v>0</v>
      </c>
      <c r="BQ159" s="2">
        <f t="shared" si="72"/>
        <v>0</v>
      </c>
      <c r="BR159" s="2">
        <f t="shared" si="72"/>
        <v>0</v>
      </c>
      <c r="BS159" s="2">
        <f t="shared" si="72"/>
        <v>0</v>
      </c>
      <c r="BT159" s="2">
        <f t="shared" si="72"/>
        <v>0</v>
      </c>
      <c r="BU159" s="2">
        <f t="shared" si="72"/>
        <v>0</v>
      </c>
      <c r="BV159" s="2">
        <f t="shared" si="72"/>
        <v>0</v>
      </c>
      <c r="BW159" s="2">
        <f t="shared" si="72"/>
        <v>0</v>
      </c>
      <c r="BX159" s="2">
        <f t="shared" si="72"/>
        <v>0</v>
      </c>
      <c r="BY159" s="2">
        <f t="shared" si="72"/>
        <v>0</v>
      </c>
      <c r="BZ159" s="2">
        <f t="shared" si="72"/>
        <v>0</v>
      </c>
      <c r="CA159" s="2">
        <f t="shared" si="72"/>
        <v>0</v>
      </c>
      <c r="CB159" s="2">
        <f t="shared" si="72"/>
        <v>0</v>
      </c>
      <c r="CC159" s="2">
        <f t="shared" si="72"/>
        <v>0</v>
      </c>
      <c r="CD159" s="2">
        <f t="shared" si="72"/>
        <v>0</v>
      </c>
      <c r="CE159" s="2">
        <f t="shared" si="72"/>
        <v>0</v>
      </c>
      <c r="CF159" s="2">
        <f t="shared" si="72"/>
        <v>0</v>
      </c>
      <c r="CG159" s="2">
        <f t="shared" si="72"/>
        <v>0</v>
      </c>
      <c r="CH159" s="2">
        <f t="shared" si="72"/>
        <v>0</v>
      </c>
      <c r="CI159" s="2" t="s">
        <v>160</v>
      </c>
    </row>
    <row r="160" spans="1:143" ht="15.75">
      <c r="A160" s="10" t="s">
        <v>248</v>
      </c>
      <c r="C160" s="2" t="s">
        <v>53</v>
      </c>
      <c r="D160" s="2" t="s">
        <v>309</v>
      </c>
      <c r="F160" s="2" t="s">
        <v>69</v>
      </c>
      <c r="AD160" s="2">
        <v>40</v>
      </c>
      <c r="AE160" s="10" t="s">
        <v>248</v>
      </c>
      <c r="BA160" s="10" t="s">
        <v>248</v>
      </c>
      <c r="BB160" s="10"/>
      <c r="BC160" s="10"/>
      <c r="BD160" s="10"/>
      <c r="BE160" s="10"/>
      <c r="BF160" s="10"/>
      <c r="BG160" s="10"/>
      <c r="BH160" s="10"/>
      <c r="BI160" s="10"/>
      <c r="BJ160" s="10"/>
      <c r="CF160" s="10"/>
      <c r="CG160" s="10"/>
      <c r="CH160" s="10"/>
      <c r="CI160" s="10" t="s">
        <v>248</v>
      </c>
      <c r="EM160" s="10"/>
    </row>
    <row r="161" spans="6:87" ht="15.75">
      <c r="F161" s="2" t="s">
        <v>160</v>
      </c>
      <c r="AD161" s="2">
        <f>AD160*AD3</f>
        <v>45.76</v>
      </c>
      <c r="AE161" s="2" t="s">
        <v>160</v>
      </c>
      <c r="AF161" s="2">
        <f aca="true" t="shared" si="73" ref="AF161:AZ161">AF160*AF3</f>
        <v>0</v>
      </c>
      <c r="AG161" s="2">
        <f t="shared" si="73"/>
        <v>0</v>
      </c>
      <c r="AH161" s="2">
        <f t="shared" si="73"/>
        <v>0</v>
      </c>
      <c r="AI161" s="2">
        <f t="shared" si="73"/>
        <v>0</v>
      </c>
      <c r="AJ161" s="2">
        <f t="shared" si="73"/>
        <v>0</v>
      </c>
      <c r="AK161" s="2">
        <f t="shared" si="73"/>
        <v>0</v>
      </c>
      <c r="AL161" s="2">
        <f t="shared" si="73"/>
        <v>0</v>
      </c>
      <c r="AM161" s="2">
        <f t="shared" si="73"/>
        <v>0</v>
      </c>
      <c r="AN161" s="2">
        <f t="shared" si="73"/>
        <v>0</v>
      </c>
      <c r="AO161" s="2">
        <f t="shared" si="73"/>
        <v>0</v>
      </c>
      <c r="AP161" s="2">
        <f t="shared" si="73"/>
        <v>0</v>
      </c>
      <c r="AQ161" s="2">
        <f t="shared" si="73"/>
        <v>0</v>
      </c>
      <c r="AR161" s="2">
        <f t="shared" si="73"/>
        <v>0</v>
      </c>
      <c r="AS161" s="2">
        <f t="shared" si="73"/>
        <v>0</v>
      </c>
      <c r="AT161" s="2">
        <f t="shared" si="73"/>
        <v>0</v>
      </c>
      <c r="AU161" s="2">
        <f t="shared" si="73"/>
        <v>0</v>
      </c>
      <c r="AV161" s="2">
        <f t="shared" si="73"/>
        <v>0</v>
      </c>
      <c r="AW161" s="2">
        <f t="shared" si="73"/>
        <v>0</v>
      </c>
      <c r="AX161" s="2">
        <f t="shared" si="73"/>
        <v>0</v>
      </c>
      <c r="AY161" s="2">
        <f t="shared" si="73"/>
        <v>0</v>
      </c>
      <c r="AZ161" s="2">
        <f t="shared" si="73"/>
        <v>0</v>
      </c>
      <c r="BA161" s="2" t="s">
        <v>160</v>
      </c>
      <c r="BB161" s="2">
        <f aca="true" t="shared" si="74" ref="BB161:CH161">BB160*BB3</f>
        <v>0</v>
      </c>
      <c r="BC161" s="2">
        <f t="shared" si="74"/>
        <v>0</v>
      </c>
      <c r="BD161" s="2">
        <f t="shared" si="74"/>
        <v>0</v>
      </c>
      <c r="BE161" s="2">
        <f t="shared" si="74"/>
        <v>0</v>
      </c>
      <c r="BF161" s="2">
        <f t="shared" si="74"/>
        <v>0</v>
      </c>
      <c r="BG161" s="2">
        <f t="shared" si="74"/>
        <v>0</v>
      </c>
      <c r="BH161" s="2">
        <f t="shared" si="74"/>
        <v>0</v>
      </c>
      <c r="BI161" s="2">
        <f t="shared" si="74"/>
        <v>0</v>
      </c>
      <c r="BJ161" s="2">
        <f t="shared" si="74"/>
        <v>0</v>
      </c>
      <c r="BK161" s="2">
        <f t="shared" si="74"/>
        <v>0</v>
      </c>
      <c r="BL161" s="2">
        <f t="shared" si="74"/>
        <v>0</v>
      </c>
      <c r="BM161" s="2">
        <f t="shared" si="74"/>
        <v>0</v>
      </c>
      <c r="BN161" s="2">
        <f t="shared" si="74"/>
        <v>0</v>
      </c>
      <c r="BO161" s="2">
        <f t="shared" si="74"/>
        <v>0</v>
      </c>
      <c r="BP161" s="2">
        <f t="shared" si="74"/>
        <v>0</v>
      </c>
      <c r="BQ161" s="2">
        <f t="shared" si="74"/>
        <v>0</v>
      </c>
      <c r="BR161" s="2">
        <f t="shared" si="74"/>
        <v>0</v>
      </c>
      <c r="BS161" s="2">
        <f t="shared" si="74"/>
        <v>0</v>
      </c>
      <c r="BT161" s="2">
        <f t="shared" si="74"/>
        <v>0</v>
      </c>
      <c r="BU161" s="2">
        <f t="shared" si="74"/>
        <v>0</v>
      </c>
      <c r="BV161" s="2">
        <f t="shared" si="74"/>
        <v>0</v>
      </c>
      <c r="BW161" s="2">
        <f t="shared" si="74"/>
        <v>0</v>
      </c>
      <c r="BX161" s="2">
        <f t="shared" si="74"/>
        <v>0</v>
      </c>
      <c r="BY161" s="2">
        <f t="shared" si="74"/>
        <v>0</v>
      </c>
      <c r="BZ161" s="2">
        <f t="shared" si="74"/>
        <v>0</v>
      </c>
      <c r="CA161" s="2">
        <f t="shared" si="74"/>
        <v>0</v>
      </c>
      <c r="CB161" s="2">
        <f t="shared" si="74"/>
        <v>0</v>
      </c>
      <c r="CC161" s="2">
        <f t="shared" si="74"/>
        <v>0</v>
      </c>
      <c r="CD161" s="2">
        <f t="shared" si="74"/>
        <v>0</v>
      </c>
      <c r="CE161" s="2">
        <f t="shared" si="74"/>
        <v>0</v>
      </c>
      <c r="CF161" s="2">
        <f t="shared" si="74"/>
        <v>0</v>
      </c>
      <c r="CG161" s="2">
        <f t="shared" si="74"/>
        <v>0</v>
      </c>
      <c r="CH161" s="2">
        <f t="shared" si="74"/>
        <v>0</v>
      </c>
      <c r="CI161" s="2" t="s">
        <v>160</v>
      </c>
    </row>
    <row r="162" spans="7:143" ht="15.75">
      <c r="G162" s="11" t="s">
        <v>317</v>
      </c>
      <c r="H162" s="11" t="s">
        <v>317</v>
      </c>
      <c r="I162" s="11" t="s">
        <v>317</v>
      </c>
      <c r="J162" s="11" t="s">
        <v>181</v>
      </c>
      <c r="K162" s="11" t="s">
        <v>181</v>
      </c>
      <c r="L162" s="11" t="s">
        <v>181</v>
      </c>
      <c r="M162" s="11" t="s">
        <v>259</v>
      </c>
      <c r="N162" s="11" t="s">
        <v>259</v>
      </c>
      <c r="O162" s="11" t="s">
        <v>259</v>
      </c>
      <c r="P162" s="11" t="s">
        <v>182</v>
      </c>
      <c r="Q162" s="11" t="s">
        <v>182</v>
      </c>
      <c r="R162" s="11" t="s">
        <v>182</v>
      </c>
      <c r="S162" s="11" t="s">
        <v>183</v>
      </c>
      <c r="T162" s="11" t="s">
        <v>183</v>
      </c>
      <c r="U162" s="11" t="s">
        <v>183</v>
      </c>
      <c r="V162" s="11" t="s">
        <v>184</v>
      </c>
      <c r="W162" s="11" t="s">
        <v>184</v>
      </c>
      <c r="X162" s="11" t="s">
        <v>184</v>
      </c>
      <c r="Y162" s="11" t="s">
        <v>185</v>
      </c>
      <c r="Z162" s="11" t="s">
        <v>185</v>
      </c>
      <c r="AA162" s="11" t="s">
        <v>185</v>
      </c>
      <c r="AB162" s="11" t="s">
        <v>186</v>
      </c>
      <c r="AC162" s="11" t="s">
        <v>186</v>
      </c>
      <c r="AD162" s="11" t="s">
        <v>186</v>
      </c>
      <c r="AE162" s="11"/>
      <c r="AF162" s="11" t="s">
        <v>196</v>
      </c>
      <c r="AG162" s="11" t="s">
        <v>196</v>
      </c>
      <c r="AH162" s="11" t="s">
        <v>196</v>
      </c>
      <c r="AI162" s="11" t="s">
        <v>197</v>
      </c>
      <c r="AJ162" s="11" t="s">
        <v>197</v>
      </c>
      <c r="AK162" s="11" t="s">
        <v>197</v>
      </c>
      <c r="AL162" s="11" t="s">
        <v>198</v>
      </c>
      <c r="AM162" s="11" t="s">
        <v>198</v>
      </c>
      <c r="AN162" s="11" t="s">
        <v>198</v>
      </c>
      <c r="AO162" s="11" t="s">
        <v>199</v>
      </c>
      <c r="AP162" s="11" t="s">
        <v>199</v>
      </c>
      <c r="AQ162" s="11" t="s">
        <v>199</v>
      </c>
      <c r="AR162" s="11" t="s">
        <v>200</v>
      </c>
      <c r="AS162" s="11" t="s">
        <v>200</v>
      </c>
      <c r="AT162" s="11" t="s">
        <v>200</v>
      </c>
      <c r="AU162" s="11" t="s">
        <v>201</v>
      </c>
      <c r="AV162" s="11" t="s">
        <v>201</v>
      </c>
      <c r="AW162" s="11" t="s">
        <v>201</v>
      </c>
      <c r="AX162" s="11" t="s">
        <v>266</v>
      </c>
      <c r="AY162" s="11" t="s">
        <v>266</v>
      </c>
      <c r="AZ162" s="11" t="s">
        <v>266</v>
      </c>
      <c r="BA162" s="11"/>
      <c r="BB162" s="11" t="s">
        <v>261</v>
      </c>
      <c r="BC162" s="11" t="s">
        <v>261</v>
      </c>
      <c r="BD162" s="11" t="s">
        <v>261</v>
      </c>
      <c r="BE162" s="11" t="s">
        <v>390</v>
      </c>
      <c r="BF162" s="11" t="s">
        <v>390</v>
      </c>
      <c r="BG162" s="11" t="s">
        <v>390</v>
      </c>
      <c r="BH162" s="11" t="s">
        <v>391</v>
      </c>
      <c r="BI162" s="11" t="s">
        <v>391</v>
      </c>
      <c r="BJ162" s="11" t="s">
        <v>391</v>
      </c>
      <c r="BK162" s="11" t="s">
        <v>267</v>
      </c>
      <c r="BL162" s="11" t="s">
        <v>267</v>
      </c>
      <c r="BM162" s="11" t="s">
        <v>267</v>
      </c>
      <c r="BN162" s="11" t="s">
        <v>268</v>
      </c>
      <c r="BO162" s="11" t="s">
        <v>268</v>
      </c>
      <c r="BP162" s="11" t="s">
        <v>268</v>
      </c>
      <c r="BQ162" s="11" t="s">
        <v>269</v>
      </c>
      <c r="BR162" s="11" t="s">
        <v>269</v>
      </c>
      <c r="BS162" s="11" t="s">
        <v>269</v>
      </c>
      <c r="BT162" s="11" t="s">
        <v>270</v>
      </c>
      <c r="BU162" s="11" t="s">
        <v>270</v>
      </c>
      <c r="BV162" s="11" t="s">
        <v>270</v>
      </c>
      <c r="BW162" s="11" t="s">
        <v>271</v>
      </c>
      <c r="BX162" s="11" t="s">
        <v>271</v>
      </c>
      <c r="BY162" s="11" t="s">
        <v>271</v>
      </c>
      <c r="BZ162" s="11" t="s">
        <v>272</v>
      </c>
      <c r="CA162" s="11" t="s">
        <v>272</v>
      </c>
      <c r="CB162" s="11" t="s">
        <v>272</v>
      </c>
      <c r="CC162" s="11" t="s">
        <v>273</v>
      </c>
      <c r="CD162" s="11" t="s">
        <v>273</v>
      </c>
      <c r="CE162" s="11" t="s">
        <v>273</v>
      </c>
      <c r="CF162" s="11" t="s">
        <v>274</v>
      </c>
      <c r="CG162" s="11" t="s">
        <v>274</v>
      </c>
      <c r="CH162" s="11" t="s">
        <v>274</v>
      </c>
      <c r="EM162" s="10"/>
    </row>
    <row r="163" spans="109:143" ht="15.75">
      <c r="DE163" s="10"/>
      <c r="DR163" s="10"/>
      <c r="DS163" s="10"/>
      <c r="DT163" s="10"/>
      <c r="DU163" s="10"/>
      <c r="EM163" s="10"/>
    </row>
    <row r="164" ht="15.75">
      <c r="EM164" s="10"/>
    </row>
    <row r="165" spans="109:143" ht="15.75">
      <c r="DE165" s="10"/>
      <c r="DF165" s="10"/>
      <c r="DG165" s="10"/>
      <c r="DH165" s="10"/>
      <c r="DI165" s="10"/>
      <c r="DJ165" s="10"/>
      <c r="DK165" s="10"/>
      <c r="DL165" s="10"/>
      <c r="DM165" s="10"/>
      <c r="DN165" s="10"/>
      <c r="DR165" s="10"/>
      <c r="DS165" s="10"/>
      <c r="DT165" s="10"/>
      <c r="DU165" s="10"/>
      <c r="EM165" s="10"/>
    </row>
    <row r="166" ht="15.75">
      <c r="EM166" s="10"/>
    </row>
    <row r="167" spans="109:143" ht="15">
      <c r="DE167" s="10"/>
      <c r="DR167" s="10"/>
      <c r="DS167" s="10"/>
      <c r="DT167" s="10"/>
      <c r="DU167" s="10"/>
      <c r="EM167" s="10"/>
    </row>
    <row r="168" ht="15">
      <c r="EM168" s="10"/>
    </row>
    <row r="169" spans="88:143" ht="15">
      <c r="CJ169" s="10"/>
      <c r="CK169" s="10"/>
      <c r="DE169" s="10"/>
      <c r="DI169" s="10"/>
      <c r="DJ169" s="10"/>
      <c r="DK169" s="10"/>
      <c r="DL169" s="10"/>
      <c r="DM169" s="10"/>
      <c r="DN169" s="10"/>
      <c r="DR169" s="10"/>
      <c r="DS169" s="10"/>
      <c r="DT169" s="10"/>
      <c r="DU169" s="10"/>
      <c r="EM169" s="10"/>
    </row>
    <row r="170" ht="15">
      <c r="EM170" s="10"/>
    </row>
    <row r="171" spans="88:143" ht="15">
      <c r="CJ171" s="10"/>
      <c r="CK171" s="10"/>
      <c r="DE171" s="10"/>
      <c r="DF171" s="10"/>
      <c r="DG171" s="10"/>
      <c r="DH171" s="10"/>
      <c r="DI171" s="10"/>
      <c r="DJ171" s="10"/>
      <c r="DK171" s="10"/>
      <c r="DL171" s="10"/>
      <c r="DM171" s="10"/>
      <c r="DN171" s="10"/>
      <c r="DR171" s="10"/>
      <c r="DS171" s="10"/>
      <c r="DT171" s="10"/>
      <c r="DU171" s="10"/>
      <c r="EM171" s="10"/>
    </row>
    <row r="172" ht="15">
      <c r="EM172" s="10"/>
    </row>
    <row r="173" spans="88:143" ht="15">
      <c r="CJ173" s="10"/>
      <c r="CK173" s="10"/>
      <c r="DE173" s="10"/>
      <c r="DF173" s="10"/>
      <c r="DG173" s="10"/>
      <c r="DH173" s="10"/>
      <c r="DI173" s="10"/>
      <c r="DJ173" s="10"/>
      <c r="DK173" s="10"/>
      <c r="DL173" s="10"/>
      <c r="DM173" s="10"/>
      <c r="DN173" s="10"/>
      <c r="DR173" s="10"/>
      <c r="DS173" s="10"/>
      <c r="DT173" s="10"/>
      <c r="DU173" s="10"/>
      <c r="EM173" s="10"/>
    </row>
    <row r="175" spans="7:140" ht="15">
      <c r="G175" s="10"/>
      <c r="H175" s="10"/>
      <c r="I175" s="10"/>
      <c r="P175" s="10"/>
      <c r="Q175" s="10"/>
      <c r="R175" s="10"/>
      <c r="AB175" s="10"/>
      <c r="AC175" s="10"/>
      <c r="AD175" s="10"/>
      <c r="AI175" s="10"/>
      <c r="AJ175" s="10"/>
      <c r="AK175" s="10"/>
      <c r="AR175" s="10"/>
      <c r="AS175" s="10"/>
      <c r="AT175" s="10"/>
      <c r="BQ175" s="10"/>
      <c r="BR175" s="10"/>
      <c r="BS175" s="10"/>
      <c r="BZ175" s="10"/>
      <c r="CA175" s="10"/>
      <c r="CB175" s="10"/>
      <c r="CJ175" s="10"/>
      <c r="CM175" s="10"/>
      <c r="CP175" s="10"/>
      <c r="CS175" s="10"/>
      <c r="CV175" s="10"/>
      <c r="CY175" s="10"/>
      <c r="DB175" s="10"/>
      <c r="DF175" s="10"/>
      <c r="DI175" s="10"/>
      <c r="DL175" s="10"/>
      <c r="DO175" s="10"/>
      <c r="DR175" s="10"/>
      <c r="DU175" s="10"/>
      <c r="DX175" s="10"/>
      <c r="EA175" s="10"/>
      <c r="ED175" s="10"/>
      <c r="EG175" s="10"/>
      <c r="EJ175" s="10"/>
    </row>
    <row r="176" spans="109:143" ht="15">
      <c r="DE176" s="10"/>
      <c r="EM176" s="10"/>
    </row>
    <row r="179" spans="109:143" ht="15">
      <c r="DE179" s="10"/>
      <c r="EM179" s="10"/>
    </row>
    <row r="182" spans="109:143" ht="15">
      <c r="DE182" s="10"/>
      <c r="DF182" s="10"/>
      <c r="DG182" s="10"/>
      <c r="DH182" s="10"/>
      <c r="DI182" s="10"/>
      <c r="DJ182" s="10"/>
      <c r="DK182" s="10"/>
      <c r="DL182" s="10"/>
      <c r="DM182" s="10"/>
      <c r="DN182" s="10"/>
      <c r="DU182" s="10"/>
      <c r="EM182" s="10"/>
    </row>
    <row r="184" spans="111:125" ht="15">
      <c r="DG184" s="10"/>
      <c r="DH184" s="10"/>
      <c r="DI184" s="10"/>
      <c r="DJ184" s="10"/>
      <c r="DK184" s="10"/>
      <c r="DL184" s="10"/>
      <c r="DM184" s="10"/>
      <c r="DN184" s="10"/>
      <c r="DU184" s="10"/>
    </row>
    <row r="185" spans="109:143" ht="15">
      <c r="DE185" s="10"/>
      <c r="DF185" s="10"/>
      <c r="DG185" s="10"/>
      <c r="DH185" s="10"/>
      <c r="DI185" s="10"/>
      <c r="DJ185" s="10"/>
      <c r="DK185" s="10"/>
      <c r="DL185" s="10"/>
      <c r="DM185" s="10"/>
      <c r="DN185" s="10"/>
      <c r="DU185" s="10"/>
      <c r="EM185" s="10"/>
    </row>
    <row r="188" spans="109:143" ht="15">
      <c r="DE188" s="10"/>
      <c r="DI188" s="10"/>
      <c r="DJ188" s="10"/>
      <c r="DK188" s="10"/>
      <c r="DL188" s="10"/>
      <c r="DM188" s="10"/>
      <c r="DN188" s="10"/>
      <c r="DU188" s="10"/>
      <c r="EM188" s="10"/>
    </row>
    <row r="190" spans="109:143" ht="15">
      <c r="DE190" s="10"/>
      <c r="DF190" s="10"/>
      <c r="DG190" s="10"/>
      <c r="DH190" s="10"/>
      <c r="DI190" s="10"/>
      <c r="DJ190" s="10"/>
      <c r="DK190" s="10"/>
      <c r="DL190" s="10"/>
      <c r="DM190" s="10"/>
      <c r="DN190" s="10"/>
      <c r="DU190" s="10"/>
      <c r="EM190" s="10"/>
    </row>
    <row r="192" spans="88:143" ht="15">
      <c r="CJ192" s="10"/>
      <c r="CK192" s="10"/>
      <c r="DE192" s="10"/>
      <c r="DF192" s="10"/>
      <c r="DG192" s="10"/>
      <c r="DH192" s="10"/>
      <c r="DI192" s="10"/>
      <c r="DJ192" s="10"/>
      <c r="DK192" s="10"/>
      <c r="DL192" s="10"/>
      <c r="DM192" s="10"/>
      <c r="DN192" s="10"/>
      <c r="DO192" s="10"/>
      <c r="DP192" s="10"/>
      <c r="DQ192" s="10"/>
      <c r="DR192" s="10"/>
      <c r="DS192" s="10"/>
      <c r="DT192" s="10"/>
      <c r="DU192" s="10"/>
      <c r="EM192" s="10"/>
    </row>
    <row r="194" spans="88:143" ht="15">
      <c r="CJ194" s="10"/>
      <c r="CK194" s="10"/>
      <c r="DE194" s="10"/>
      <c r="DF194" s="10"/>
      <c r="DG194" s="10"/>
      <c r="DH194" s="10"/>
      <c r="DI194" s="10"/>
      <c r="DJ194" s="10"/>
      <c r="DK194" s="10"/>
      <c r="DL194" s="10"/>
      <c r="DM194" s="10"/>
      <c r="DN194" s="10"/>
      <c r="DO194" s="10"/>
      <c r="DP194" s="10"/>
      <c r="DQ194" s="10"/>
      <c r="DR194" s="10"/>
      <c r="DS194" s="10"/>
      <c r="DT194" s="10"/>
      <c r="DU194" s="10"/>
      <c r="EM194" s="10"/>
    </row>
    <row r="196" spans="88:143" ht="15">
      <c r="CJ196" s="10"/>
      <c r="CK196" s="10"/>
      <c r="DE196" s="10"/>
      <c r="DF196" s="10"/>
      <c r="DG196" s="10"/>
      <c r="DH196" s="10"/>
      <c r="DI196" s="10"/>
      <c r="DJ196" s="10"/>
      <c r="DK196" s="10"/>
      <c r="DL196" s="10"/>
      <c r="DM196" s="10"/>
      <c r="DN196" s="10"/>
      <c r="DO196" s="10"/>
      <c r="DP196" s="10"/>
      <c r="DQ196" s="10"/>
      <c r="DR196" s="10"/>
      <c r="DS196" s="10"/>
      <c r="DT196" s="10"/>
      <c r="DU196" s="10"/>
      <c r="EM196" s="10"/>
    </row>
    <row r="198" spans="88:143" ht="15">
      <c r="CJ198" s="10"/>
      <c r="CK198" s="10"/>
      <c r="DE198" s="10"/>
      <c r="DF198" s="10"/>
      <c r="DG198" s="10"/>
      <c r="DH198" s="10"/>
      <c r="DI198" s="10"/>
      <c r="DJ198" s="10"/>
      <c r="DK198" s="10"/>
      <c r="DL198" s="10"/>
      <c r="DM198" s="10"/>
      <c r="DN198" s="10"/>
      <c r="DO198" s="10"/>
      <c r="DP198" s="10"/>
      <c r="DQ198" s="10"/>
      <c r="DR198" s="10"/>
      <c r="DS198" s="10"/>
      <c r="DT198" s="10"/>
      <c r="DU198" s="10"/>
      <c r="EM198" s="10"/>
    </row>
    <row r="200" spans="88:143" ht="15">
      <c r="CJ200" s="10"/>
      <c r="CK200" s="10"/>
      <c r="DE200" s="10"/>
      <c r="DF200" s="10"/>
      <c r="DG200" s="10"/>
      <c r="DH200" s="10"/>
      <c r="DI200" s="10"/>
      <c r="DJ200" s="10"/>
      <c r="DK200" s="10"/>
      <c r="DL200" s="10"/>
      <c r="DM200" s="10"/>
      <c r="DN200" s="10"/>
      <c r="DO200" s="10"/>
      <c r="DP200" s="10"/>
      <c r="DQ200" s="10"/>
      <c r="DR200" s="10"/>
      <c r="DS200" s="10"/>
      <c r="DT200" s="10"/>
      <c r="DU200" s="10"/>
      <c r="EM200" s="10"/>
    </row>
    <row r="202" spans="7:143" ht="15">
      <c r="G202" s="10"/>
      <c r="H202" s="10"/>
      <c r="I202" s="10"/>
      <c r="P202" s="10"/>
      <c r="Q202" s="10"/>
      <c r="R202" s="10"/>
      <c r="S202" s="10"/>
      <c r="T202" s="10"/>
      <c r="U202" s="10"/>
      <c r="V202" s="10"/>
      <c r="W202" s="10"/>
      <c r="X202" s="10"/>
      <c r="Y202" s="10"/>
      <c r="Z202" s="10"/>
      <c r="AA202" s="10"/>
      <c r="AB202" s="10"/>
      <c r="AC202" s="10"/>
      <c r="AD202" s="10"/>
      <c r="AI202" s="10"/>
      <c r="AJ202" s="10"/>
      <c r="AK202" s="10"/>
      <c r="AL202" s="10"/>
      <c r="AM202" s="10"/>
      <c r="AN202" s="10"/>
      <c r="AR202" s="10"/>
      <c r="AS202" s="10"/>
      <c r="AT202" s="10"/>
      <c r="BQ202" s="10"/>
      <c r="BR202" s="10"/>
      <c r="BS202" s="10"/>
      <c r="BZ202" s="10"/>
      <c r="CA202" s="10"/>
      <c r="CB202" s="10"/>
      <c r="CJ202" s="10"/>
      <c r="CK202" s="10"/>
      <c r="CM202" s="10"/>
      <c r="CP202" s="10"/>
      <c r="CS202" s="10"/>
      <c r="CT202" s="10"/>
      <c r="CV202" s="10"/>
      <c r="CY202" s="10"/>
      <c r="DB202" s="10"/>
      <c r="DE202" s="10"/>
      <c r="DF202" s="10"/>
      <c r="DG202" s="10"/>
      <c r="DH202" s="10"/>
      <c r="DI202" s="10"/>
      <c r="DJ202" s="10"/>
      <c r="DK202" s="10"/>
      <c r="DL202" s="10"/>
      <c r="DM202" s="10"/>
      <c r="DN202" s="10"/>
      <c r="DO202" s="10"/>
      <c r="DP202" s="10"/>
      <c r="DQ202" s="10"/>
      <c r="DR202" s="10"/>
      <c r="DS202" s="10"/>
      <c r="DT202" s="10"/>
      <c r="DU202" s="10"/>
      <c r="DX202" s="10"/>
      <c r="DY202" s="10"/>
      <c r="DZ202" s="10"/>
      <c r="EA202" s="10"/>
      <c r="EB202" s="10"/>
      <c r="EC202" s="10"/>
      <c r="ED202" s="10"/>
      <c r="EE202" s="10"/>
      <c r="EF202" s="10"/>
      <c r="EG202" s="10"/>
      <c r="EH202" s="10"/>
      <c r="EI202" s="10"/>
      <c r="EJ202" s="10"/>
      <c r="EK202" s="10"/>
      <c r="EM202" s="10"/>
    </row>
    <row r="203" spans="88:143" ht="15">
      <c r="CJ203" s="10"/>
      <c r="CK203" s="10"/>
      <c r="DE203" s="10"/>
      <c r="DF203" s="10"/>
      <c r="DG203" s="10"/>
      <c r="DH203" s="10"/>
      <c r="DI203" s="10"/>
      <c r="DJ203" s="10"/>
      <c r="DK203" s="10"/>
      <c r="DL203" s="10"/>
      <c r="DM203" s="10"/>
      <c r="DN203" s="10"/>
      <c r="DO203" s="10"/>
      <c r="DP203" s="10"/>
      <c r="DQ203" s="10"/>
      <c r="DR203" s="10"/>
      <c r="DS203" s="10"/>
      <c r="DT203" s="10"/>
      <c r="DU203" s="10"/>
      <c r="EM203" s="10"/>
    </row>
    <row r="205" spans="88:143" ht="15">
      <c r="CJ205" s="10"/>
      <c r="CK205" s="10"/>
      <c r="DE205" s="10"/>
      <c r="EM205" s="10"/>
    </row>
    <row r="207" spans="109:143" ht="15">
      <c r="DE207" s="10"/>
      <c r="EM207" s="10"/>
    </row>
    <row r="209" spans="109:143" ht="15">
      <c r="DE209" s="10"/>
      <c r="EM209" s="10"/>
    </row>
    <row r="211" spans="88:143" ht="15">
      <c r="CJ211" s="10"/>
      <c r="CK211" s="10"/>
      <c r="DE211" s="10"/>
      <c r="DF211" s="10"/>
      <c r="DG211" s="10"/>
      <c r="DH211" s="10"/>
      <c r="DI211" s="10"/>
      <c r="DJ211" s="10"/>
      <c r="DK211" s="10"/>
      <c r="DL211" s="10"/>
      <c r="DM211" s="10"/>
      <c r="DN211" s="10"/>
      <c r="EM211" s="10"/>
    </row>
    <row r="213" spans="88:143" ht="15">
      <c r="CJ213" s="10"/>
      <c r="CK213" s="10"/>
      <c r="DE213" s="10"/>
      <c r="DO213" s="10"/>
      <c r="DP213" s="10"/>
      <c r="DQ213" s="10"/>
      <c r="DR213" s="10"/>
      <c r="DS213" s="10"/>
      <c r="DT213" s="10"/>
      <c r="DU213" s="10"/>
      <c r="EM213" s="10"/>
    </row>
    <row r="215" spans="88:143" ht="15">
      <c r="CJ215" s="10"/>
      <c r="CK215" s="10"/>
      <c r="DE215" s="10"/>
      <c r="DF215" s="10"/>
      <c r="DG215" s="10"/>
      <c r="DH215" s="10"/>
      <c r="DI215" s="10"/>
      <c r="DJ215" s="10"/>
      <c r="DK215" s="10"/>
      <c r="DL215" s="10"/>
      <c r="DM215" s="10"/>
      <c r="DN215" s="10"/>
      <c r="DO215" s="10"/>
      <c r="DP215" s="10"/>
      <c r="DQ215" s="10"/>
      <c r="DR215" s="10"/>
      <c r="DS215" s="10"/>
      <c r="DT215" s="10"/>
      <c r="DU215" s="10"/>
      <c r="EM215" s="10"/>
    </row>
    <row r="217" spans="88:143" ht="15">
      <c r="CJ217" s="10"/>
      <c r="CK217" s="10"/>
      <c r="DE217" s="10"/>
      <c r="DF217" s="10"/>
      <c r="DG217" s="10"/>
      <c r="DH217" s="10"/>
      <c r="DI217" s="10"/>
      <c r="DJ217" s="10"/>
      <c r="DK217" s="10"/>
      <c r="DL217" s="10"/>
      <c r="DM217" s="10"/>
      <c r="DN217" s="10"/>
      <c r="DO217" s="10"/>
      <c r="DP217" s="10"/>
      <c r="DQ217" s="10"/>
      <c r="DR217" s="10"/>
      <c r="DS217" s="10"/>
      <c r="DT217" s="10"/>
      <c r="DU217" s="10"/>
      <c r="EM217" s="10"/>
    </row>
    <row r="219" spans="88:143" ht="15">
      <c r="CJ219" s="10"/>
      <c r="CK219" s="10"/>
      <c r="DE219" s="10"/>
      <c r="DF219" s="10"/>
      <c r="DG219" s="10"/>
      <c r="DH219" s="10"/>
      <c r="DI219" s="10"/>
      <c r="DJ219" s="10"/>
      <c r="DK219" s="10"/>
      <c r="DL219" s="10"/>
      <c r="DM219" s="10"/>
      <c r="DN219" s="10"/>
      <c r="DO219" s="10"/>
      <c r="DP219" s="10"/>
      <c r="DQ219" s="10"/>
      <c r="DR219" s="10"/>
      <c r="DS219" s="10"/>
      <c r="DT219" s="10"/>
      <c r="DU219" s="10"/>
      <c r="EM219" s="10"/>
    </row>
    <row r="221" spans="7:140" ht="15">
      <c r="G221" s="10"/>
      <c r="H221" s="10"/>
      <c r="I221" s="10"/>
      <c r="P221" s="10"/>
      <c r="Q221" s="10"/>
      <c r="R221" s="10"/>
      <c r="AB221" s="10"/>
      <c r="AC221" s="10"/>
      <c r="AD221" s="10"/>
      <c r="AI221" s="10"/>
      <c r="AJ221" s="10"/>
      <c r="AK221" s="10"/>
      <c r="AR221" s="10"/>
      <c r="AS221" s="10"/>
      <c r="AT221" s="10"/>
      <c r="BQ221" s="10"/>
      <c r="BR221" s="10"/>
      <c r="BS221" s="10"/>
      <c r="BZ221" s="10"/>
      <c r="CA221" s="10"/>
      <c r="CB221" s="10"/>
      <c r="CJ221" s="10"/>
      <c r="CM221" s="10"/>
      <c r="CP221" s="10"/>
      <c r="CS221" s="10"/>
      <c r="CV221" s="10"/>
      <c r="CY221" s="10"/>
      <c r="DB221" s="10"/>
      <c r="DF221" s="10"/>
      <c r="DI221" s="10"/>
      <c r="DL221" s="10"/>
      <c r="DO221" s="10"/>
      <c r="DR221" s="10"/>
      <c r="DU221" s="10"/>
      <c r="DX221" s="10"/>
      <c r="EA221" s="10"/>
      <c r="ED221" s="10"/>
      <c r="EG221" s="10"/>
      <c r="EJ221" s="10"/>
    </row>
  </sheetData>
  <printOptions/>
  <pageMargins left="0.75" right="0.75" top="1" bottom="1" header="0.5" footer="0.5"/>
  <pageSetup horizontalDpi="180" verticalDpi="180" orientation="portrait" paperSize="9"/>
  <legacyDrawing r:id="rId2"/>
</worksheet>
</file>

<file path=xl/worksheets/sheet7.xml><?xml version="1.0" encoding="utf-8"?>
<worksheet xmlns="http://schemas.openxmlformats.org/spreadsheetml/2006/main" xmlns:r="http://schemas.openxmlformats.org/officeDocument/2006/relationships">
  <dimension ref="A1:AI105"/>
  <sheetViews>
    <sheetView workbookViewId="0" topLeftCell="A1">
      <selection activeCell="AD9" sqref="AD9"/>
    </sheetView>
  </sheetViews>
  <sheetFormatPr defaultColWidth="11.00390625" defaultRowHeight="12.75"/>
  <cols>
    <col min="1" max="1" width="21.00390625" style="2" customWidth="1"/>
    <col min="2" max="2" width="8.25390625" style="10" customWidth="1"/>
    <col min="3" max="3" width="7.375" style="2" customWidth="1"/>
    <col min="4" max="4" width="6.875" style="2" customWidth="1"/>
    <col min="5" max="5" width="6.125" style="10" customWidth="1"/>
    <col min="6" max="29" width="6.125" style="2" customWidth="1"/>
    <col min="30" max="30" width="10.75390625" style="2" customWidth="1"/>
    <col min="31" max="31" width="8.875" style="2" customWidth="1"/>
    <col min="32" max="32" width="11.125" style="2" customWidth="1"/>
    <col min="33" max="33" width="9.375" style="2" customWidth="1"/>
    <col min="34" max="34" width="10.25390625" style="2" customWidth="1"/>
    <col min="35" max="35" width="11.00390625" style="2" customWidth="1"/>
    <col min="36" max="16384" width="6.125" style="2" customWidth="1"/>
  </cols>
  <sheetData>
    <row r="1" ht="18.75">
      <c r="A1" s="3" t="s">
        <v>161</v>
      </c>
    </row>
    <row r="2" ht="15.75">
      <c r="AC2" s="4" t="s">
        <v>409</v>
      </c>
    </row>
    <row r="3" spans="2:35" ht="15.75">
      <c r="B3" s="2" t="s">
        <v>116</v>
      </c>
      <c r="C3" s="2" t="s">
        <v>28</v>
      </c>
      <c r="E3" s="2"/>
      <c r="F3" s="2" t="s">
        <v>26</v>
      </c>
      <c r="L3" s="2" t="s">
        <v>27</v>
      </c>
      <c r="R3" s="2" t="s">
        <v>25</v>
      </c>
      <c r="U3" s="2" t="s">
        <v>60</v>
      </c>
      <c r="X3" s="2" t="s">
        <v>63</v>
      </c>
      <c r="AC3" s="5" t="s">
        <v>28</v>
      </c>
      <c r="AD3" s="6" t="s">
        <v>26</v>
      </c>
      <c r="AE3" s="5"/>
      <c r="AF3" s="6" t="s">
        <v>27</v>
      </c>
      <c r="AG3" s="5"/>
      <c r="AH3" s="5" t="s">
        <v>25</v>
      </c>
      <c r="AI3" s="20" t="s">
        <v>60</v>
      </c>
    </row>
    <row r="4" spans="2:35" ht="15.75">
      <c r="B4" s="2" t="s">
        <v>202</v>
      </c>
      <c r="C4" s="2" t="s">
        <v>29</v>
      </c>
      <c r="E4" s="2"/>
      <c r="F4" s="2" t="s">
        <v>410</v>
      </c>
      <c r="I4" s="2" t="s">
        <v>411</v>
      </c>
      <c r="L4" s="2" t="s">
        <v>410</v>
      </c>
      <c r="O4" s="2" t="s">
        <v>411</v>
      </c>
      <c r="R4" s="2" t="s">
        <v>47</v>
      </c>
      <c r="U4" s="2" t="s">
        <v>59</v>
      </c>
      <c r="X4" s="2" t="s">
        <v>62</v>
      </c>
      <c r="AC4" s="5" t="s">
        <v>262</v>
      </c>
      <c r="AD4" s="5" t="s">
        <v>263</v>
      </c>
      <c r="AE4" s="5" t="s">
        <v>264</v>
      </c>
      <c r="AF4" s="5" t="s">
        <v>263</v>
      </c>
      <c r="AG4" s="5" t="s">
        <v>264</v>
      </c>
      <c r="AH4" s="5" t="s">
        <v>47</v>
      </c>
      <c r="AI4" s="5" t="s">
        <v>59</v>
      </c>
    </row>
    <row r="5" spans="2:35" ht="15.75">
      <c r="B5" s="2" t="s">
        <v>203</v>
      </c>
      <c r="C5" s="2" t="s">
        <v>249</v>
      </c>
      <c r="D5" s="2" t="s">
        <v>250</v>
      </c>
      <c r="E5" s="2" t="s">
        <v>251</v>
      </c>
      <c r="F5" s="2" t="s">
        <v>249</v>
      </c>
      <c r="G5" s="2" t="s">
        <v>250</v>
      </c>
      <c r="H5" s="2" t="s">
        <v>251</v>
      </c>
      <c r="I5" s="2" t="s">
        <v>249</v>
      </c>
      <c r="J5" s="2" t="s">
        <v>250</v>
      </c>
      <c r="K5" s="2" t="s">
        <v>251</v>
      </c>
      <c r="L5" s="2" t="s">
        <v>249</v>
      </c>
      <c r="M5" s="2" t="s">
        <v>250</v>
      </c>
      <c r="N5" s="2" t="s">
        <v>251</v>
      </c>
      <c r="O5" s="2" t="s">
        <v>249</v>
      </c>
      <c r="P5" s="2" t="s">
        <v>250</v>
      </c>
      <c r="Q5" s="2" t="s">
        <v>251</v>
      </c>
      <c r="R5" s="2" t="s">
        <v>249</v>
      </c>
      <c r="S5" s="2" t="s">
        <v>250</v>
      </c>
      <c r="T5" s="2" t="s">
        <v>251</v>
      </c>
      <c r="U5" s="2" t="s">
        <v>249</v>
      </c>
      <c r="V5" s="2" t="s">
        <v>250</v>
      </c>
      <c r="W5" s="2" t="s">
        <v>251</v>
      </c>
      <c r="X5" s="2" t="s">
        <v>123</v>
      </c>
      <c r="Y5" s="2" t="s">
        <v>152</v>
      </c>
      <c r="Z5" s="2" t="s">
        <v>153</v>
      </c>
      <c r="AC5" s="5" t="s">
        <v>251</v>
      </c>
      <c r="AD5" s="5" t="s">
        <v>251</v>
      </c>
      <c r="AE5" s="5" t="s">
        <v>251</v>
      </c>
      <c r="AF5" s="5" t="s">
        <v>251</v>
      </c>
      <c r="AG5" s="5" t="s">
        <v>251</v>
      </c>
      <c r="AH5" s="5" t="s">
        <v>251</v>
      </c>
      <c r="AI5" s="5" t="s">
        <v>251</v>
      </c>
    </row>
    <row r="6" spans="1:35" ht="15.75">
      <c r="A6" s="10">
        <v>1647</v>
      </c>
      <c r="B6" s="10">
        <v>2.412</v>
      </c>
      <c r="C6" s="2">
        <v>6</v>
      </c>
      <c r="D6" s="2">
        <v>7</v>
      </c>
      <c r="E6" s="2">
        <v>6.5</v>
      </c>
      <c r="F6" s="10"/>
      <c r="G6" s="10"/>
      <c r="H6" s="10"/>
      <c r="I6" s="10"/>
      <c r="J6" s="10"/>
      <c r="K6" s="10"/>
      <c r="L6" s="10"/>
      <c r="M6" s="10"/>
      <c r="N6" s="2">
        <v>6</v>
      </c>
      <c r="O6" s="10"/>
      <c r="P6" s="10"/>
      <c r="Q6" s="10"/>
      <c r="R6" s="10"/>
      <c r="S6" s="10"/>
      <c r="T6" s="10"/>
      <c r="U6" s="10"/>
      <c r="V6" s="10"/>
      <c r="W6" s="10"/>
      <c r="X6" s="10"/>
      <c r="Y6" s="10"/>
      <c r="Z6" s="10"/>
      <c r="AA6" s="10">
        <v>1647</v>
      </c>
      <c r="AC6" s="7">
        <f>0.18*E7</f>
        <v>2.82204</v>
      </c>
      <c r="AF6" s="7">
        <f>0.18*N7</f>
        <v>2.6049599999999997</v>
      </c>
      <c r="AH6" s="10"/>
      <c r="AI6" s="10"/>
    </row>
    <row r="7" spans="1:35" ht="15.75">
      <c r="A7" s="10" t="s">
        <v>160</v>
      </c>
      <c r="C7" s="2">
        <f>C6*2.412</f>
        <v>14.472</v>
      </c>
      <c r="D7" s="2">
        <f>D6*2.412</f>
        <v>16.884</v>
      </c>
      <c r="E7" s="2">
        <f>E6*2.412</f>
        <v>15.677999999999999</v>
      </c>
      <c r="F7" s="10"/>
      <c r="G7" s="10"/>
      <c r="H7" s="10"/>
      <c r="I7" s="10"/>
      <c r="J7" s="10"/>
      <c r="K7" s="10"/>
      <c r="L7" s="10"/>
      <c r="M7" s="10"/>
      <c r="N7" s="2">
        <f>N6*2.412</f>
        <v>14.472</v>
      </c>
      <c r="O7" s="10"/>
      <c r="P7" s="10"/>
      <c r="Q7" s="10"/>
      <c r="R7" s="10"/>
      <c r="S7" s="10"/>
      <c r="T7" s="10"/>
      <c r="U7" s="10"/>
      <c r="V7" s="10"/>
      <c r="W7" s="10"/>
      <c r="X7" s="10"/>
      <c r="Y7" s="10"/>
      <c r="Z7" s="10"/>
      <c r="AA7" s="10"/>
      <c r="AC7" s="7"/>
      <c r="AH7" s="10"/>
      <c r="AI7" s="10"/>
    </row>
    <row r="8" spans="1:35" ht="15.75">
      <c r="A8" s="10">
        <v>1696</v>
      </c>
      <c r="B8" s="10">
        <v>1.854</v>
      </c>
      <c r="C8" s="2">
        <v>6</v>
      </c>
      <c r="D8" s="2">
        <v>7</v>
      </c>
      <c r="E8" s="2">
        <v>6.5</v>
      </c>
      <c r="F8" s="10"/>
      <c r="G8" s="10"/>
      <c r="H8" s="10"/>
      <c r="I8" s="10"/>
      <c r="J8" s="10"/>
      <c r="K8" s="10"/>
      <c r="L8" s="10"/>
      <c r="M8" s="10"/>
      <c r="N8" s="10"/>
      <c r="O8" s="10"/>
      <c r="P8" s="10"/>
      <c r="Q8" s="10"/>
      <c r="R8" s="10"/>
      <c r="S8" s="10"/>
      <c r="T8" s="10"/>
      <c r="U8" s="10"/>
      <c r="V8" s="10"/>
      <c r="W8" s="10"/>
      <c r="X8" s="10">
        <v>35</v>
      </c>
      <c r="Y8" s="10"/>
      <c r="Z8" s="10"/>
      <c r="AA8" s="10">
        <v>1696</v>
      </c>
      <c r="AC8" s="7">
        <f>0.18*E9</f>
        <v>2.16918</v>
      </c>
      <c r="AH8" s="10"/>
      <c r="AI8" s="10"/>
    </row>
    <row r="9" spans="1:35" ht="15.75">
      <c r="A9" s="10" t="s">
        <v>160</v>
      </c>
      <c r="C9" s="2">
        <f>C8*1.854</f>
        <v>11.124</v>
      </c>
      <c r="D9" s="2">
        <f>D8*1.854</f>
        <v>12.978000000000002</v>
      </c>
      <c r="E9" s="2">
        <f>E8*1.854</f>
        <v>12.051</v>
      </c>
      <c r="F9" s="10"/>
      <c r="G9" s="10"/>
      <c r="H9" s="10"/>
      <c r="I9" s="10"/>
      <c r="J9" s="10"/>
      <c r="K9" s="10"/>
      <c r="L9" s="10"/>
      <c r="M9" s="10"/>
      <c r="N9" s="10"/>
      <c r="O9" s="10"/>
      <c r="P9" s="10"/>
      <c r="Q9" s="10"/>
      <c r="R9" s="10"/>
      <c r="S9" s="10"/>
      <c r="T9" s="10"/>
      <c r="U9" s="10"/>
      <c r="V9" s="10"/>
      <c r="W9" s="10"/>
      <c r="X9" s="10"/>
      <c r="Y9" s="10"/>
      <c r="Z9" s="10"/>
      <c r="AA9" s="10"/>
      <c r="AC9" s="7"/>
      <c r="AH9" s="10"/>
      <c r="AI9" s="10"/>
    </row>
    <row r="10" spans="1:35" ht="15.75">
      <c r="A10" s="10">
        <v>1720</v>
      </c>
      <c r="C10" s="2">
        <v>4.4</v>
      </c>
      <c r="D10" s="2">
        <v>7</v>
      </c>
      <c r="E10" s="2">
        <v>6</v>
      </c>
      <c r="F10" s="10"/>
      <c r="G10" s="10"/>
      <c r="H10" s="10"/>
      <c r="I10" s="10"/>
      <c r="J10" s="10"/>
      <c r="K10" s="10"/>
      <c r="L10" s="10"/>
      <c r="M10" s="10"/>
      <c r="N10" s="10"/>
      <c r="O10" s="2">
        <v>4.8</v>
      </c>
      <c r="P10" s="2">
        <v>7.2</v>
      </c>
      <c r="Q10" s="2">
        <v>6</v>
      </c>
      <c r="R10" s="10"/>
      <c r="S10" s="10"/>
      <c r="T10" s="10"/>
      <c r="U10" s="10"/>
      <c r="V10" s="10"/>
      <c r="W10" s="10"/>
      <c r="X10" s="10"/>
      <c r="Y10" s="10"/>
      <c r="Z10" s="10"/>
      <c r="AA10" s="10" t="s">
        <v>148</v>
      </c>
      <c r="AC10" s="7">
        <f>0.18*E11</f>
        <v>1.2355199999999997</v>
      </c>
      <c r="AG10" s="7">
        <f>0.18*Q11</f>
        <v>1.2355199999999997</v>
      </c>
      <c r="AH10" s="10"/>
      <c r="AI10" s="10"/>
    </row>
    <row r="11" spans="1:35" ht="15.75">
      <c r="A11" s="10" t="s">
        <v>160</v>
      </c>
      <c r="B11" s="10">
        <v>1.144</v>
      </c>
      <c r="C11" s="2">
        <f>C10*1.144</f>
        <v>5.0336</v>
      </c>
      <c r="D11" s="2">
        <f>D10*1.144</f>
        <v>8.008</v>
      </c>
      <c r="E11" s="2">
        <f>E10*1.144</f>
        <v>6.863999999999999</v>
      </c>
      <c r="F11" s="10"/>
      <c r="G11" s="10"/>
      <c r="H11" s="10"/>
      <c r="I11" s="10"/>
      <c r="J11" s="10"/>
      <c r="K11" s="10"/>
      <c r="L11" s="10"/>
      <c r="M11" s="10"/>
      <c r="N11" s="10"/>
      <c r="O11" s="2">
        <f>O10*1.144</f>
        <v>5.491199999999999</v>
      </c>
      <c r="P11" s="2">
        <f>P10*1.144</f>
        <v>8.236799999999999</v>
      </c>
      <c r="Q11" s="2">
        <f>Q10*1.144</f>
        <v>6.863999999999999</v>
      </c>
      <c r="R11" s="10"/>
      <c r="S11" s="10"/>
      <c r="T11" s="10"/>
      <c r="U11" s="10"/>
      <c r="V11" s="10"/>
      <c r="W11" s="10"/>
      <c r="X11" s="10"/>
      <c r="Y11" s="10"/>
      <c r="Z11" s="10"/>
      <c r="AA11" s="10"/>
      <c r="AC11" s="7"/>
      <c r="AH11" s="10"/>
      <c r="AI11" s="10"/>
    </row>
    <row r="12" spans="1:35" ht="15.75">
      <c r="A12" s="11" t="s">
        <v>149</v>
      </c>
      <c r="C12" s="10"/>
      <c r="D12" s="10"/>
      <c r="E12" s="2">
        <v>6.9</v>
      </c>
      <c r="F12" s="2">
        <v>6</v>
      </c>
      <c r="G12" s="2">
        <v>12</v>
      </c>
      <c r="H12" s="2">
        <v>8.5</v>
      </c>
      <c r="I12" s="2">
        <v>4.8</v>
      </c>
      <c r="J12" s="2">
        <v>9.6</v>
      </c>
      <c r="K12" s="2">
        <v>6.9</v>
      </c>
      <c r="L12" s="10"/>
      <c r="M12" s="10"/>
      <c r="N12" s="10"/>
      <c r="O12" s="10"/>
      <c r="P12" s="10"/>
      <c r="Q12" s="10"/>
      <c r="R12" s="10"/>
      <c r="S12" s="10"/>
      <c r="T12" s="10"/>
      <c r="U12" s="10"/>
      <c r="V12" s="10"/>
      <c r="W12" s="10"/>
      <c r="X12" s="10"/>
      <c r="Y12" s="10"/>
      <c r="Z12" s="10"/>
      <c r="AA12" s="10" t="s">
        <v>149</v>
      </c>
      <c r="AC12" s="7">
        <f>0.18*E13</f>
        <v>1.4208479999999999</v>
      </c>
      <c r="AD12" s="7">
        <f>0.18*H13</f>
        <v>1.7503199999999997</v>
      </c>
      <c r="AE12" s="7">
        <f>0.18*K13</f>
        <v>1.4208479999999999</v>
      </c>
      <c r="AH12" s="10"/>
      <c r="AI12" s="10"/>
    </row>
    <row r="13" spans="1:35" ht="15.75">
      <c r="A13" s="10" t="s">
        <v>160</v>
      </c>
      <c r="B13" s="10">
        <v>1.144</v>
      </c>
      <c r="C13" s="10"/>
      <c r="D13" s="10"/>
      <c r="E13" s="2">
        <f aca="true" t="shared" si="0" ref="E13:K13">E12*1.144</f>
        <v>7.8936</v>
      </c>
      <c r="F13" s="2">
        <f t="shared" si="0"/>
        <v>6.863999999999999</v>
      </c>
      <c r="G13" s="2">
        <f t="shared" si="0"/>
        <v>13.727999999999998</v>
      </c>
      <c r="H13" s="2">
        <f t="shared" si="0"/>
        <v>9.723999999999998</v>
      </c>
      <c r="I13" s="2">
        <f t="shared" si="0"/>
        <v>5.491199999999999</v>
      </c>
      <c r="J13" s="2">
        <f t="shared" si="0"/>
        <v>10.982399999999998</v>
      </c>
      <c r="K13" s="2">
        <f t="shared" si="0"/>
        <v>7.8936</v>
      </c>
      <c r="L13" s="10"/>
      <c r="M13" s="10"/>
      <c r="N13" s="10"/>
      <c r="O13" s="10"/>
      <c r="P13" s="10"/>
      <c r="Q13" s="10"/>
      <c r="R13" s="10"/>
      <c r="S13" s="10"/>
      <c r="T13" s="10"/>
      <c r="U13" s="10"/>
      <c r="V13" s="10"/>
      <c r="W13" s="10"/>
      <c r="X13" s="10"/>
      <c r="Y13" s="10"/>
      <c r="Z13" s="10"/>
      <c r="AA13" s="10"/>
      <c r="AC13" s="7"/>
      <c r="AH13" s="10"/>
      <c r="AI13" s="10"/>
    </row>
    <row r="14" spans="1:35" ht="15.75">
      <c r="A14" s="11" t="s">
        <v>150</v>
      </c>
      <c r="C14" s="10"/>
      <c r="D14" s="10"/>
      <c r="E14" s="2">
        <v>8.1</v>
      </c>
      <c r="F14" s="2">
        <v>6</v>
      </c>
      <c r="G14" s="2">
        <v>12</v>
      </c>
      <c r="H14" s="2">
        <v>8.5</v>
      </c>
      <c r="I14" s="2">
        <v>5.6</v>
      </c>
      <c r="J14" s="2">
        <v>12</v>
      </c>
      <c r="K14" s="2">
        <v>8.1</v>
      </c>
      <c r="L14" s="10"/>
      <c r="M14" s="10"/>
      <c r="N14" s="10"/>
      <c r="O14" s="10"/>
      <c r="P14" s="10"/>
      <c r="Q14" s="10"/>
      <c r="R14" s="10"/>
      <c r="S14" s="10"/>
      <c r="T14" s="10"/>
      <c r="U14" s="10"/>
      <c r="V14" s="10"/>
      <c r="W14" s="10"/>
      <c r="X14" s="10"/>
      <c r="Y14" s="10"/>
      <c r="Z14" s="10"/>
      <c r="AA14" s="10" t="s">
        <v>150</v>
      </c>
      <c r="AC14" s="7">
        <f>0.18*E15</f>
        <v>1.6796159999999998</v>
      </c>
      <c r="AD14" s="7">
        <f>0.18*H15</f>
        <v>1.76256</v>
      </c>
      <c r="AE14" s="7">
        <f>0.18*K15</f>
        <v>1.6796159999999998</v>
      </c>
      <c r="AH14" s="10"/>
      <c r="AI14" s="10"/>
    </row>
    <row r="15" spans="1:35" ht="15.75">
      <c r="A15" s="10" t="s">
        <v>160</v>
      </c>
      <c r="B15" s="10">
        <v>1.152</v>
      </c>
      <c r="C15" s="10"/>
      <c r="D15" s="10"/>
      <c r="E15" s="2">
        <f aca="true" t="shared" si="1" ref="E15:K15">E14*1.152</f>
        <v>9.331199999999999</v>
      </c>
      <c r="F15" s="2">
        <f t="shared" si="1"/>
        <v>6.911999999999999</v>
      </c>
      <c r="G15" s="2">
        <f t="shared" si="1"/>
        <v>13.823999999999998</v>
      </c>
      <c r="H15" s="2">
        <f t="shared" si="1"/>
        <v>9.792</v>
      </c>
      <c r="I15" s="2">
        <f t="shared" si="1"/>
        <v>6.451199999999999</v>
      </c>
      <c r="J15" s="2">
        <f t="shared" si="1"/>
        <v>13.823999999999998</v>
      </c>
      <c r="K15" s="2">
        <f t="shared" si="1"/>
        <v>9.331199999999999</v>
      </c>
      <c r="L15" s="10"/>
      <c r="M15" s="10"/>
      <c r="N15" s="10"/>
      <c r="O15" s="10"/>
      <c r="P15" s="10"/>
      <c r="Q15" s="10"/>
      <c r="R15" s="10"/>
      <c r="S15" s="10"/>
      <c r="T15" s="10"/>
      <c r="U15" s="10"/>
      <c r="V15" s="10"/>
      <c r="W15" s="10"/>
      <c r="X15" s="10"/>
      <c r="Y15" s="10"/>
      <c r="Z15" s="10"/>
      <c r="AA15" s="10"/>
      <c r="AC15" s="7"/>
      <c r="AH15" s="10"/>
      <c r="AI15" s="10"/>
    </row>
    <row r="16" spans="1:35" ht="15.75">
      <c r="A16" s="10">
        <v>1766</v>
      </c>
      <c r="C16" s="10"/>
      <c r="D16" s="10"/>
      <c r="E16" s="2">
        <v>10.1</v>
      </c>
      <c r="F16" s="10"/>
      <c r="G16" s="10"/>
      <c r="H16" s="10"/>
      <c r="I16" s="10"/>
      <c r="J16" s="10"/>
      <c r="K16" s="10"/>
      <c r="L16" s="10"/>
      <c r="M16" s="10"/>
      <c r="N16" s="10"/>
      <c r="O16" s="10"/>
      <c r="P16" s="10"/>
      <c r="Q16" s="10"/>
      <c r="R16" s="10"/>
      <c r="S16" s="10"/>
      <c r="T16" s="10"/>
      <c r="U16" s="10"/>
      <c r="V16" s="10"/>
      <c r="W16" s="10"/>
      <c r="X16" s="10"/>
      <c r="Y16" s="10"/>
      <c r="Z16" s="10"/>
      <c r="AA16" s="10">
        <v>1766</v>
      </c>
      <c r="AC16" s="7">
        <f>0.18*E17</f>
        <v>1.8179999999999998</v>
      </c>
      <c r="AH16" s="10"/>
      <c r="AI16" s="10"/>
    </row>
    <row r="17" spans="1:35" ht="15.75">
      <c r="A17" s="10" t="s">
        <v>160</v>
      </c>
      <c r="B17" s="10">
        <v>1</v>
      </c>
      <c r="C17" s="10"/>
      <c r="D17" s="10"/>
      <c r="E17" s="2">
        <f>E16*1</f>
        <v>10.1</v>
      </c>
      <c r="F17" s="10"/>
      <c r="G17" s="10"/>
      <c r="H17" s="10"/>
      <c r="I17" s="10"/>
      <c r="J17" s="10"/>
      <c r="K17" s="10"/>
      <c r="L17" s="10"/>
      <c r="M17" s="10"/>
      <c r="N17" s="10"/>
      <c r="O17" s="10"/>
      <c r="P17" s="10"/>
      <c r="Q17" s="10"/>
      <c r="R17" s="10"/>
      <c r="S17" s="10"/>
      <c r="T17" s="10"/>
      <c r="U17" s="10"/>
      <c r="V17" s="10"/>
      <c r="W17" s="10"/>
      <c r="X17" s="10"/>
      <c r="Y17" s="10"/>
      <c r="Z17" s="10"/>
      <c r="AA17" s="10"/>
      <c r="AC17" s="7"/>
      <c r="AH17" s="10"/>
      <c r="AI17" s="10"/>
    </row>
    <row r="18" spans="1:35" ht="15.75">
      <c r="A18" s="10">
        <v>1804</v>
      </c>
      <c r="C18" s="10"/>
      <c r="D18" s="10"/>
      <c r="E18" s="2"/>
      <c r="F18" s="10"/>
      <c r="G18" s="10"/>
      <c r="H18" s="10"/>
      <c r="I18" s="10"/>
      <c r="J18" s="10"/>
      <c r="K18" s="10"/>
      <c r="L18" s="10"/>
      <c r="M18" s="10"/>
      <c r="N18" s="10"/>
      <c r="O18" s="10"/>
      <c r="P18" s="10"/>
      <c r="Q18" s="10"/>
      <c r="R18" s="10"/>
      <c r="S18" s="10"/>
      <c r="T18" s="10"/>
      <c r="U18" s="10"/>
      <c r="V18" s="10"/>
      <c r="W18" s="10"/>
      <c r="X18" s="10"/>
      <c r="Y18" s="10"/>
      <c r="Z18" s="10"/>
      <c r="AA18" s="10"/>
      <c r="AC18" s="7"/>
      <c r="AH18" s="10"/>
      <c r="AI18" s="10"/>
    </row>
    <row r="19" spans="1:35" ht="15.75">
      <c r="A19" s="10" t="s">
        <v>160</v>
      </c>
      <c r="B19" s="10">
        <v>0.77</v>
      </c>
      <c r="C19" s="10"/>
      <c r="D19" s="10"/>
      <c r="E19" s="2"/>
      <c r="F19" s="10"/>
      <c r="G19" s="10"/>
      <c r="H19" s="10"/>
      <c r="I19" s="10"/>
      <c r="J19" s="10"/>
      <c r="K19" s="10"/>
      <c r="L19" s="10"/>
      <c r="M19" s="10"/>
      <c r="N19" s="10"/>
      <c r="O19" s="10"/>
      <c r="P19" s="10"/>
      <c r="Q19" s="10"/>
      <c r="R19" s="10"/>
      <c r="S19" s="10"/>
      <c r="T19" s="10"/>
      <c r="U19" s="10"/>
      <c r="V19" s="10"/>
      <c r="W19" s="10"/>
      <c r="X19" s="10"/>
      <c r="Y19" s="10"/>
      <c r="Z19" s="10"/>
      <c r="AA19" s="10"/>
      <c r="AC19" s="7"/>
      <c r="AH19" s="10"/>
      <c r="AI19" s="10"/>
    </row>
    <row r="20" spans="1:35" ht="15.75">
      <c r="A20" s="10">
        <v>1829</v>
      </c>
      <c r="C20" s="10"/>
      <c r="D20" s="10"/>
      <c r="E20" s="2">
        <v>13</v>
      </c>
      <c r="F20" s="10"/>
      <c r="G20" s="10"/>
      <c r="H20" s="10"/>
      <c r="I20" s="10"/>
      <c r="J20" s="10"/>
      <c r="K20" s="10"/>
      <c r="L20" s="10"/>
      <c r="M20" s="10"/>
      <c r="N20" s="10"/>
      <c r="O20" s="10"/>
      <c r="P20" s="10"/>
      <c r="Q20" s="10"/>
      <c r="R20" s="10"/>
      <c r="S20" s="10"/>
      <c r="T20" s="10"/>
      <c r="U20" s="10"/>
      <c r="V20" s="10"/>
      <c r="W20" s="10"/>
      <c r="X20" s="10"/>
      <c r="Y20" s="10"/>
      <c r="Z20" s="10"/>
      <c r="AA20" s="10">
        <v>1829</v>
      </c>
      <c r="AC20" s="7">
        <f>0.18*E21</f>
        <v>2.308644</v>
      </c>
      <c r="AH20" s="10"/>
      <c r="AI20" s="10"/>
    </row>
    <row r="21" spans="1:35" ht="15.75">
      <c r="A21" s="10" t="s">
        <v>160</v>
      </c>
      <c r="B21" s="10">
        <v>0.273</v>
      </c>
      <c r="C21" s="10"/>
      <c r="D21" s="10"/>
      <c r="E21" s="2">
        <f>E20*0.9866</f>
        <v>12.825800000000001</v>
      </c>
      <c r="F21" s="10"/>
      <c r="G21" s="10"/>
      <c r="H21" s="10"/>
      <c r="I21" s="10"/>
      <c r="J21" s="10"/>
      <c r="K21" s="10"/>
      <c r="L21" s="10"/>
      <c r="M21" s="10"/>
      <c r="N21" s="10"/>
      <c r="O21" s="10"/>
      <c r="P21" s="10"/>
      <c r="Q21" s="10"/>
      <c r="R21" s="10"/>
      <c r="S21" s="10"/>
      <c r="T21" s="10"/>
      <c r="U21" s="10"/>
      <c r="V21" s="10"/>
      <c r="W21" s="10"/>
      <c r="X21" s="10"/>
      <c r="Y21" s="10"/>
      <c r="Z21" s="10"/>
      <c r="AA21" s="10"/>
      <c r="AC21" s="7"/>
      <c r="AH21" s="10"/>
      <c r="AI21" s="10"/>
    </row>
    <row r="22" spans="1:34" ht="15.75">
      <c r="A22" s="10">
        <v>1847</v>
      </c>
      <c r="C22" s="10"/>
      <c r="D22" s="10"/>
      <c r="E22" s="2">
        <v>16.9</v>
      </c>
      <c r="I22" s="2">
        <v>5</v>
      </c>
      <c r="J22" s="2">
        <v>8</v>
      </c>
      <c r="K22" s="2">
        <v>6.5</v>
      </c>
      <c r="L22" s="10"/>
      <c r="M22" s="10"/>
      <c r="N22" s="10"/>
      <c r="O22" s="2">
        <v>3</v>
      </c>
      <c r="P22" s="2">
        <v>8</v>
      </c>
      <c r="Q22" s="2">
        <v>5.5</v>
      </c>
      <c r="T22" s="2">
        <v>200</v>
      </c>
      <c r="AA22" s="10">
        <v>1847</v>
      </c>
      <c r="AC22" s="7">
        <f>0.18*E23</f>
        <v>3.02679</v>
      </c>
      <c r="AE22" s="7">
        <f>0.18*K23</f>
        <v>1.16415</v>
      </c>
      <c r="AG22" s="7">
        <f>0.18*Q23</f>
        <v>0.98505</v>
      </c>
      <c r="AH22" s="2">
        <v>200</v>
      </c>
    </row>
    <row r="23" spans="1:29" ht="15.75">
      <c r="A23" s="10" t="s">
        <v>160</v>
      </c>
      <c r="B23" s="10">
        <v>0.995</v>
      </c>
      <c r="C23" s="10"/>
      <c r="D23" s="10"/>
      <c r="E23" s="2">
        <f aca="true" t="shared" si="2" ref="E23:Q23">E22*0.995</f>
        <v>16.8155</v>
      </c>
      <c r="I23" s="2">
        <f t="shared" si="2"/>
        <v>4.975</v>
      </c>
      <c r="J23" s="2">
        <f t="shared" si="2"/>
        <v>7.96</v>
      </c>
      <c r="K23" s="2">
        <f t="shared" si="2"/>
        <v>6.4675</v>
      </c>
      <c r="L23" s="10"/>
      <c r="M23" s="10"/>
      <c r="N23" s="10"/>
      <c r="O23" s="2">
        <f t="shared" si="2"/>
        <v>2.985</v>
      </c>
      <c r="P23" s="2">
        <f t="shared" si="2"/>
        <v>7.96</v>
      </c>
      <c r="Q23" s="2">
        <f t="shared" si="2"/>
        <v>5.4725</v>
      </c>
      <c r="AA23" s="10"/>
      <c r="AC23" s="7"/>
    </row>
    <row r="24" spans="1:34" ht="15.75">
      <c r="A24" s="10">
        <v>1850</v>
      </c>
      <c r="C24" s="10"/>
      <c r="D24" s="10"/>
      <c r="E24" s="2">
        <v>17.2</v>
      </c>
      <c r="L24" s="10"/>
      <c r="M24" s="10"/>
      <c r="N24" s="10"/>
      <c r="T24" s="2">
        <v>200</v>
      </c>
      <c r="AA24" s="10">
        <v>1850</v>
      </c>
      <c r="AC24" s="7">
        <f>0.18*E25</f>
        <v>3.0557519999999996</v>
      </c>
      <c r="AH24" s="2">
        <v>200</v>
      </c>
    </row>
    <row r="25" spans="1:29" ht="15.75">
      <c r="A25" s="10" t="s">
        <v>160</v>
      </c>
      <c r="B25" s="10">
        <v>0.987</v>
      </c>
      <c r="C25" s="10"/>
      <c r="D25" s="10"/>
      <c r="E25" s="2">
        <f>E24*0.987</f>
        <v>16.976399999999998</v>
      </c>
      <c r="AA25" s="10"/>
      <c r="AC25" s="7"/>
    </row>
    <row r="26" spans="1:32" ht="15.75">
      <c r="A26" s="10">
        <v>1856</v>
      </c>
      <c r="F26" s="2">
        <v>3.5</v>
      </c>
      <c r="G26" s="2">
        <v>20</v>
      </c>
      <c r="H26" s="2">
        <f>(F26+G26)/2</f>
        <v>11.75</v>
      </c>
      <c r="I26" s="2">
        <v>13</v>
      </c>
      <c r="J26" s="2">
        <v>21</v>
      </c>
      <c r="K26" s="2">
        <f>(I26+J26)/2</f>
        <v>17</v>
      </c>
      <c r="L26" s="2">
        <v>3</v>
      </c>
      <c r="M26" s="2">
        <v>15</v>
      </c>
      <c r="N26" s="2">
        <f>(L26+M26)/2</f>
        <v>9</v>
      </c>
      <c r="AA26" s="10">
        <v>1856</v>
      </c>
      <c r="AC26" s="7"/>
      <c r="AD26" s="7">
        <f>0.18*H27</f>
        <v>3.4469999999999996</v>
      </c>
      <c r="AE26" s="7">
        <f>0.18*K27</f>
        <v>4.3919999999999995</v>
      </c>
      <c r="AF26" s="7">
        <f>0.18*N27</f>
        <v>2.9519999999999995</v>
      </c>
    </row>
    <row r="27" spans="1:32" ht="15.75">
      <c r="A27" s="2" t="s">
        <v>151</v>
      </c>
      <c r="D27" s="2">
        <v>21.2</v>
      </c>
      <c r="F27" s="2">
        <f>F26+7.4</f>
        <v>10.9</v>
      </c>
      <c r="G27" s="2">
        <f aca="true" t="shared" si="3" ref="G27:N27">G26+7.4</f>
        <v>27.4</v>
      </c>
      <c r="H27" s="10">
        <f t="shared" si="3"/>
        <v>19.15</v>
      </c>
      <c r="I27" s="2">
        <f t="shared" si="3"/>
        <v>20.4</v>
      </c>
      <c r="J27" s="2">
        <f t="shared" si="3"/>
        <v>28.4</v>
      </c>
      <c r="K27" s="10">
        <f t="shared" si="3"/>
        <v>24.4</v>
      </c>
      <c r="L27" s="2">
        <f t="shared" si="3"/>
        <v>10.4</v>
      </c>
      <c r="M27" s="2">
        <f t="shared" si="3"/>
        <v>22.4</v>
      </c>
      <c r="N27" s="10">
        <f t="shared" si="3"/>
        <v>16.4</v>
      </c>
      <c r="AA27" s="2" t="s">
        <v>151</v>
      </c>
      <c r="AC27" s="7"/>
      <c r="AD27" s="7">
        <f>0.18*H28</f>
        <v>3.3918479999999995</v>
      </c>
      <c r="AE27" s="7">
        <f>0.18*K28</f>
        <v>4.321727999999999</v>
      </c>
      <c r="AF27" s="7">
        <f>0.18*N28</f>
        <v>2.904768</v>
      </c>
    </row>
    <row r="28" spans="1:29" ht="15.75">
      <c r="A28" s="10" t="s">
        <v>160</v>
      </c>
      <c r="B28" s="10">
        <v>0.984</v>
      </c>
      <c r="D28" s="2">
        <f aca="true" t="shared" si="4" ref="D28:N28">D27*0.984</f>
        <v>20.860799999999998</v>
      </c>
      <c r="E28" s="2">
        <f t="shared" si="4"/>
        <v>0</v>
      </c>
      <c r="F28" s="2">
        <f t="shared" si="4"/>
        <v>10.7256</v>
      </c>
      <c r="G28" s="2">
        <f t="shared" si="4"/>
        <v>26.961599999999997</v>
      </c>
      <c r="H28" s="2">
        <f t="shared" si="4"/>
        <v>18.8436</v>
      </c>
      <c r="I28" s="2">
        <f t="shared" si="4"/>
        <v>20.0736</v>
      </c>
      <c r="J28" s="2">
        <f t="shared" si="4"/>
        <v>27.9456</v>
      </c>
      <c r="K28" s="2">
        <f t="shared" si="4"/>
        <v>24.0096</v>
      </c>
      <c r="L28" s="2">
        <f t="shared" si="4"/>
        <v>10.233600000000001</v>
      </c>
      <c r="M28" s="2">
        <f t="shared" si="4"/>
        <v>22.0416</v>
      </c>
      <c r="N28" s="2">
        <f t="shared" si="4"/>
        <v>16.1376</v>
      </c>
      <c r="AA28" s="10"/>
      <c r="AC28" s="7"/>
    </row>
    <row r="29" spans="1:32" ht="15.75">
      <c r="A29" s="10">
        <v>1857</v>
      </c>
      <c r="F29" s="2">
        <v>3.5</v>
      </c>
      <c r="G29" s="2">
        <v>20</v>
      </c>
      <c r="H29" s="2">
        <f>(F29+G29)/2</f>
        <v>11.75</v>
      </c>
      <c r="I29" s="2">
        <v>13</v>
      </c>
      <c r="J29" s="2">
        <v>24</v>
      </c>
      <c r="K29" s="2">
        <f>(I29+J29)/2</f>
        <v>18.5</v>
      </c>
      <c r="L29" s="2">
        <v>3</v>
      </c>
      <c r="M29" s="2">
        <v>17</v>
      </c>
      <c r="N29" s="2">
        <f>(L29+M29)/2</f>
        <v>10</v>
      </c>
      <c r="X29" s="2">
        <v>3787</v>
      </c>
      <c r="AA29" s="10">
        <v>1857</v>
      </c>
      <c r="AC29" s="7">
        <f>0.18*E30</f>
        <v>3.474</v>
      </c>
      <c r="AD29" s="7">
        <f>0.18*H30</f>
        <v>3.4469999999999996</v>
      </c>
      <c r="AE29" s="7">
        <f>0.18*K30</f>
        <v>4.662</v>
      </c>
      <c r="AF29" s="7">
        <f>0.18*N30</f>
        <v>3.1319999999999997</v>
      </c>
    </row>
    <row r="30" spans="1:32" ht="15.75">
      <c r="A30" s="2" t="s">
        <v>151</v>
      </c>
      <c r="D30" s="2">
        <v>25.9</v>
      </c>
      <c r="E30" s="10">
        <v>19.3</v>
      </c>
      <c r="F30" s="2">
        <f>F29+7.4</f>
        <v>10.9</v>
      </c>
      <c r="G30" s="2">
        <f aca="true" t="shared" si="5" ref="G30:N30">G29+7.4</f>
        <v>27.4</v>
      </c>
      <c r="H30" s="10">
        <f t="shared" si="5"/>
        <v>19.15</v>
      </c>
      <c r="I30" s="2">
        <f t="shared" si="5"/>
        <v>20.4</v>
      </c>
      <c r="J30" s="2">
        <f t="shared" si="5"/>
        <v>31.4</v>
      </c>
      <c r="K30" s="10">
        <f t="shared" si="5"/>
        <v>25.9</v>
      </c>
      <c r="L30" s="2">
        <f t="shared" si="5"/>
        <v>10.4</v>
      </c>
      <c r="M30" s="2">
        <f t="shared" si="5"/>
        <v>24.4</v>
      </c>
      <c r="N30" s="10">
        <f t="shared" si="5"/>
        <v>17.4</v>
      </c>
      <c r="AA30" s="2" t="s">
        <v>151</v>
      </c>
      <c r="AC30" s="7">
        <f>0.18*E31</f>
        <v>3.3454619999999995</v>
      </c>
      <c r="AD30" s="7">
        <f>0.18*H31</f>
        <v>3.319461</v>
      </c>
      <c r="AE30" s="7">
        <f>0.18*K31</f>
        <v>4.4895059999999996</v>
      </c>
      <c r="AF30" s="7">
        <f>0.18*N31</f>
        <v>3.016116</v>
      </c>
    </row>
    <row r="31" spans="1:29" ht="15.75">
      <c r="A31" s="10" t="s">
        <v>160</v>
      </c>
      <c r="B31" s="10">
        <v>0.963</v>
      </c>
      <c r="D31" s="2">
        <f aca="true" t="shared" si="6" ref="D31:N31">D30*0.963</f>
        <v>24.941699999999997</v>
      </c>
      <c r="E31" s="2">
        <f t="shared" si="6"/>
        <v>18.5859</v>
      </c>
      <c r="F31" s="2">
        <f t="shared" si="6"/>
        <v>10.4967</v>
      </c>
      <c r="G31" s="2">
        <f t="shared" si="6"/>
        <v>26.3862</v>
      </c>
      <c r="H31" s="2">
        <f t="shared" si="6"/>
        <v>18.44145</v>
      </c>
      <c r="I31" s="2">
        <f t="shared" si="6"/>
        <v>19.6452</v>
      </c>
      <c r="J31" s="2">
        <f t="shared" si="6"/>
        <v>30.2382</v>
      </c>
      <c r="K31" s="2">
        <f t="shared" si="6"/>
        <v>24.941699999999997</v>
      </c>
      <c r="L31" s="2">
        <f t="shared" si="6"/>
        <v>10.0152</v>
      </c>
      <c r="M31" s="2">
        <f t="shared" si="6"/>
        <v>23.4972</v>
      </c>
      <c r="N31" s="2">
        <f t="shared" si="6"/>
        <v>16.7562</v>
      </c>
      <c r="AA31" s="10"/>
      <c r="AC31" s="7"/>
    </row>
    <row r="32" spans="1:32" ht="15.75">
      <c r="A32" s="10">
        <v>1858</v>
      </c>
      <c r="F32" s="2">
        <v>3.5</v>
      </c>
      <c r="G32" s="2">
        <v>23</v>
      </c>
      <c r="H32" s="2">
        <f>(F32+G32)/2</f>
        <v>13.25</v>
      </c>
      <c r="I32" s="2">
        <v>13</v>
      </c>
      <c r="J32" s="2">
        <v>24</v>
      </c>
      <c r="K32" s="2">
        <f>(I32+J32)/2</f>
        <v>18.5</v>
      </c>
      <c r="L32" s="2">
        <v>3</v>
      </c>
      <c r="M32" s="2">
        <v>18</v>
      </c>
      <c r="N32" s="2">
        <f>(L32+M32)/2</f>
        <v>10.5</v>
      </c>
      <c r="AA32" s="10">
        <v>1858</v>
      </c>
      <c r="AC32" s="7"/>
      <c r="AD32" s="7">
        <f>0.18*H33</f>
        <v>3.7169999999999996</v>
      </c>
      <c r="AE32" s="7">
        <f>0.18*K33</f>
        <v>4.662</v>
      </c>
      <c r="AF32" s="7">
        <f>0.18*N33</f>
        <v>3.2219999999999995</v>
      </c>
    </row>
    <row r="33" spans="1:32" ht="15.75">
      <c r="A33" s="2" t="s">
        <v>151</v>
      </c>
      <c r="D33" s="2">
        <v>25.9</v>
      </c>
      <c r="F33" s="2">
        <f aca="true" t="shared" si="7" ref="F33:N33">F32+7.4</f>
        <v>10.9</v>
      </c>
      <c r="G33" s="2">
        <f t="shared" si="7"/>
        <v>30.4</v>
      </c>
      <c r="H33" s="2">
        <f t="shared" si="7"/>
        <v>20.65</v>
      </c>
      <c r="I33" s="2">
        <f t="shared" si="7"/>
        <v>20.4</v>
      </c>
      <c r="J33" s="2">
        <f t="shared" si="7"/>
        <v>31.4</v>
      </c>
      <c r="K33" s="2">
        <f t="shared" si="7"/>
        <v>25.9</v>
      </c>
      <c r="L33" s="2">
        <f t="shared" si="7"/>
        <v>10.4</v>
      </c>
      <c r="M33" s="2">
        <f t="shared" si="7"/>
        <v>25.4</v>
      </c>
      <c r="N33" s="2">
        <f t="shared" si="7"/>
        <v>17.9</v>
      </c>
      <c r="AA33" s="2" t="s">
        <v>151</v>
      </c>
      <c r="AC33" s="7"/>
      <c r="AD33" s="7">
        <f>0.18*H34</f>
        <v>3.5162819999999995</v>
      </c>
      <c r="AE33" s="7">
        <f>0.18*K34</f>
        <v>4.410251999999999</v>
      </c>
      <c r="AF33" s="7">
        <f>0.18*N34</f>
        <v>3.0480119999999995</v>
      </c>
    </row>
    <row r="34" spans="1:29" ht="15.75">
      <c r="A34" s="10" t="s">
        <v>160</v>
      </c>
      <c r="B34" s="10">
        <v>0.946</v>
      </c>
      <c r="D34" s="2">
        <f aca="true" t="shared" si="8" ref="D34:N34">D33*0.946</f>
        <v>24.501399999999997</v>
      </c>
      <c r="E34" s="2"/>
      <c r="F34" s="2">
        <f t="shared" si="8"/>
        <v>10.311399999999999</v>
      </c>
      <c r="G34" s="2">
        <f t="shared" si="8"/>
        <v>28.758399999999998</v>
      </c>
      <c r="H34" s="2">
        <f t="shared" si="8"/>
        <v>19.534899999999997</v>
      </c>
      <c r="I34" s="2">
        <f t="shared" si="8"/>
        <v>19.298399999999997</v>
      </c>
      <c r="J34" s="2">
        <f t="shared" si="8"/>
        <v>29.704399999999996</v>
      </c>
      <c r="K34" s="2">
        <f t="shared" si="8"/>
        <v>24.501399999999997</v>
      </c>
      <c r="L34" s="2">
        <f t="shared" si="8"/>
        <v>9.8384</v>
      </c>
      <c r="M34" s="2">
        <f t="shared" si="8"/>
        <v>24.028399999999998</v>
      </c>
      <c r="N34" s="2">
        <f t="shared" si="8"/>
        <v>16.9334</v>
      </c>
      <c r="AA34" s="10"/>
      <c r="AC34" s="7"/>
    </row>
    <row r="35" spans="1:32" ht="15.75">
      <c r="A35" s="10">
        <v>1859</v>
      </c>
      <c r="F35" s="2">
        <v>7</v>
      </c>
      <c r="G35" s="2">
        <v>26</v>
      </c>
      <c r="H35" s="2">
        <f>(F35+G35)/2</f>
        <v>16.5</v>
      </c>
      <c r="I35" s="2">
        <v>13</v>
      </c>
      <c r="J35" s="2">
        <v>33</v>
      </c>
      <c r="K35" s="2">
        <f>(I35+J35)/2</f>
        <v>23</v>
      </c>
      <c r="L35" s="2">
        <v>3</v>
      </c>
      <c r="M35" s="2">
        <v>21</v>
      </c>
      <c r="N35" s="2">
        <f>(L35+M35)/2</f>
        <v>12</v>
      </c>
      <c r="AA35" s="10">
        <v>1859</v>
      </c>
      <c r="AC35" s="7">
        <f>0.18*E36</f>
        <v>4.473</v>
      </c>
      <c r="AD35" s="7">
        <f>0.18*H36</f>
        <v>4.302</v>
      </c>
      <c r="AE35" s="7">
        <f>0.18*K36</f>
        <v>5.4719999999999995</v>
      </c>
      <c r="AF35" s="7">
        <f>0.18*N36</f>
        <v>3.4919999999999995</v>
      </c>
    </row>
    <row r="36" spans="1:32" ht="15.75">
      <c r="A36" s="2" t="s">
        <v>151</v>
      </c>
      <c r="C36" s="2">
        <v>19.3</v>
      </c>
      <c r="D36" s="2">
        <v>30.4</v>
      </c>
      <c r="E36" s="10">
        <f>(C36+D36)/2</f>
        <v>24.85</v>
      </c>
      <c r="F36" s="2">
        <f aca="true" t="shared" si="9" ref="F36:N36">F35+7.4</f>
        <v>14.4</v>
      </c>
      <c r="G36" s="2">
        <f t="shared" si="9"/>
        <v>33.4</v>
      </c>
      <c r="H36" s="10">
        <f t="shared" si="9"/>
        <v>23.9</v>
      </c>
      <c r="I36" s="2">
        <f t="shared" si="9"/>
        <v>20.4</v>
      </c>
      <c r="J36" s="2">
        <f t="shared" si="9"/>
        <v>40.4</v>
      </c>
      <c r="K36" s="10">
        <f t="shared" si="9"/>
        <v>30.4</v>
      </c>
      <c r="L36" s="2">
        <f t="shared" si="9"/>
        <v>10.4</v>
      </c>
      <c r="M36" s="2">
        <f t="shared" si="9"/>
        <v>28.4</v>
      </c>
      <c r="N36" s="10">
        <f t="shared" si="9"/>
        <v>19.4</v>
      </c>
      <c r="AA36" s="2" t="s">
        <v>151</v>
      </c>
      <c r="AC36" s="7">
        <f>0.18*E37</f>
        <v>3.734955</v>
      </c>
      <c r="AD36" s="7">
        <f>0.18*H37</f>
        <v>3.5921699999999994</v>
      </c>
      <c r="AE36" s="7">
        <f>0.18*K37</f>
        <v>4.569119999999999</v>
      </c>
      <c r="AF36" s="7">
        <f>0.18*N37</f>
        <v>2.9158199999999996</v>
      </c>
    </row>
    <row r="37" spans="1:29" ht="15.75">
      <c r="A37" s="10" t="s">
        <v>160</v>
      </c>
      <c r="B37" s="10">
        <v>0.835</v>
      </c>
      <c r="C37" s="2">
        <f>C36*0.835</f>
        <v>16.1155</v>
      </c>
      <c r="D37" s="2">
        <f aca="true" t="shared" si="10" ref="D37:N37">D36*0.835</f>
        <v>25.383999999999997</v>
      </c>
      <c r="E37" s="2">
        <f t="shared" si="10"/>
        <v>20.74975</v>
      </c>
      <c r="F37" s="2">
        <f t="shared" si="10"/>
        <v>12.024</v>
      </c>
      <c r="G37" s="2">
        <f t="shared" si="10"/>
        <v>27.889</v>
      </c>
      <c r="H37" s="2">
        <f t="shared" si="10"/>
        <v>19.9565</v>
      </c>
      <c r="I37" s="2">
        <f t="shared" si="10"/>
        <v>17.034</v>
      </c>
      <c r="J37" s="2">
        <f t="shared" si="10"/>
        <v>33.733999999999995</v>
      </c>
      <c r="K37" s="2">
        <f t="shared" si="10"/>
        <v>25.383999999999997</v>
      </c>
      <c r="L37" s="2">
        <f t="shared" si="10"/>
        <v>8.684</v>
      </c>
      <c r="M37" s="2">
        <f t="shared" si="10"/>
        <v>23.714</v>
      </c>
      <c r="N37" s="2">
        <f t="shared" si="10"/>
        <v>16.198999999999998</v>
      </c>
      <c r="AA37" s="10"/>
      <c r="AC37" s="7"/>
    </row>
    <row r="38" spans="1:34" ht="15.75">
      <c r="A38" s="10">
        <v>1860</v>
      </c>
      <c r="F38" s="2">
        <v>7</v>
      </c>
      <c r="G38" s="2">
        <v>29</v>
      </c>
      <c r="H38" s="2">
        <f>(F38+G38)/2</f>
        <v>18</v>
      </c>
      <c r="I38" s="2">
        <v>13</v>
      </c>
      <c r="J38" s="2">
        <v>27</v>
      </c>
      <c r="K38" s="2">
        <f>(I38+J38)/2</f>
        <v>20</v>
      </c>
      <c r="L38" s="2">
        <v>3</v>
      </c>
      <c r="M38" s="2">
        <v>23</v>
      </c>
      <c r="N38" s="2">
        <f>(L38+M38)/2</f>
        <v>13</v>
      </c>
      <c r="O38" s="2">
        <v>3</v>
      </c>
      <c r="P38" s="2">
        <v>4</v>
      </c>
      <c r="Q38" s="2">
        <v>3.5</v>
      </c>
      <c r="T38" s="2">
        <v>200</v>
      </c>
      <c r="AA38" s="10">
        <v>1860</v>
      </c>
      <c r="AC38" s="7">
        <f>0.18*E39</f>
        <v>5.571</v>
      </c>
      <c r="AD38" s="7">
        <f>0.18*H39</f>
        <v>6.7139999999999995</v>
      </c>
      <c r="AE38" s="7">
        <f>0.18*K39</f>
        <v>7.073999999999999</v>
      </c>
      <c r="AF38" s="7">
        <f>0.18*N39</f>
        <v>5.813999999999999</v>
      </c>
      <c r="AG38" s="7">
        <f>0.18*Q39</f>
        <v>4.0680000000000005</v>
      </c>
      <c r="AH38" s="2">
        <v>200</v>
      </c>
    </row>
    <row r="39" spans="1:33" ht="15.75">
      <c r="A39" s="2" t="s">
        <v>151</v>
      </c>
      <c r="C39" s="2">
        <v>22.6</v>
      </c>
      <c r="D39" s="2">
        <v>39.3</v>
      </c>
      <c r="E39" s="10">
        <f>(C39+D39)/2</f>
        <v>30.95</v>
      </c>
      <c r="F39" s="2">
        <f>F38+19.3</f>
        <v>26.3</v>
      </c>
      <c r="G39" s="2">
        <f aca="true" t="shared" si="11" ref="G39:P39">G38+19.3</f>
        <v>48.3</v>
      </c>
      <c r="H39" s="10">
        <f t="shared" si="11"/>
        <v>37.3</v>
      </c>
      <c r="I39" s="2">
        <f t="shared" si="11"/>
        <v>32.3</v>
      </c>
      <c r="J39" s="2">
        <f t="shared" si="11"/>
        <v>46.3</v>
      </c>
      <c r="K39" s="10">
        <f t="shared" si="11"/>
        <v>39.3</v>
      </c>
      <c r="L39" s="2">
        <f t="shared" si="11"/>
        <v>22.3</v>
      </c>
      <c r="M39" s="2">
        <f t="shared" si="11"/>
        <v>42.3</v>
      </c>
      <c r="N39" s="10">
        <f t="shared" si="11"/>
        <v>32.3</v>
      </c>
      <c r="O39" s="2">
        <f t="shared" si="11"/>
        <v>22.3</v>
      </c>
      <c r="P39" s="2">
        <f t="shared" si="11"/>
        <v>23.3</v>
      </c>
      <c r="Q39" s="10">
        <v>22.6</v>
      </c>
      <c r="AA39" s="2" t="s">
        <v>151</v>
      </c>
      <c r="AC39" s="7">
        <f>0.18*E40</f>
        <v>5.259023999999999</v>
      </c>
      <c r="AD39" s="7">
        <f>0.18*H40</f>
        <v>6.338016</v>
      </c>
      <c r="AE39" s="7">
        <f>0.18*K40</f>
        <v>6.677855999999999</v>
      </c>
      <c r="AF39" s="7">
        <f>0.18*N40</f>
        <v>5.488415999999999</v>
      </c>
      <c r="AG39" s="7">
        <f>0.18*Q40</f>
        <v>3.8401919999999996</v>
      </c>
    </row>
    <row r="40" spans="1:29" ht="15.75">
      <c r="A40" s="10" t="s">
        <v>160</v>
      </c>
      <c r="B40" s="10">
        <v>0.944</v>
      </c>
      <c r="C40" s="2">
        <f>C39*0.944</f>
        <v>21.3344</v>
      </c>
      <c r="D40" s="2">
        <f aca="true" t="shared" si="12" ref="D40:Q40">D39*0.944</f>
        <v>37.099199999999996</v>
      </c>
      <c r="E40" s="2">
        <f t="shared" si="12"/>
        <v>29.2168</v>
      </c>
      <c r="F40" s="2">
        <f t="shared" si="12"/>
        <v>24.827199999999998</v>
      </c>
      <c r="G40" s="2">
        <f t="shared" si="12"/>
        <v>45.5952</v>
      </c>
      <c r="H40" s="2">
        <f t="shared" si="12"/>
        <v>35.2112</v>
      </c>
      <c r="I40" s="2">
        <f t="shared" si="12"/>
        <v>30.491199999999996</v>
      </c>
      <c r="J40" s="2">
        <f t="shared" si="12"/>
        <v>43.70719999999999</v>
      </c>
      <c r="K40" s="2">
        <f t="shared" si="12"/>
        <v>37.099199999999996</v>
      </c>
      <c r="L40" s="2">
        <f t="shared" si="12"/>
        <v>21.051199999999998</v>
      </c>
      <c r="M40" s="2">
        <f t="shared" si="12"/>
        <v>39.9312</v>
      </c>
      <c r="N40" s="2">
        <f t="shared" si="12"/>
        <v>30.491199999999996</v>
      </c>
      <c r="O40" s="2">
        <f t="shared" si="12"/>
        <v>21.051199999999998</v>
      </c>
      <c r="P40" s="2">
        <f t="shared" si="12"/>
        <v>21.9952</v>
      </c>
      <c r="Q40" s="2">
        <f t="shared" si="12"/>
        <v>21.3344</v>
      </c>
      <c r="AA40" s="10"/>
      <c r="AC40" s="7"/>
    </row>
    <row r="41" spans="1:29" ht="15.75">
      <c r="A41" s="10" t="s">
        <v>22</v>
      </c>
      <c r="O41" s="2">
        <v>16</v>
      </c>
      <c r="P41" s="2">
        <v>19.2</v>
      </c>
      <c r="Q41" s="2">
        <v>17.6</v>
      </c>
      <c r="AA41" s="10" t="s">
        <v>22</v>
      </c>
      <c r="AC41" s="7"/>
    </row>
    <row r="42" spans="1:29" ht="15.75">
      <c r="A42" s="10" t="s">
        <v>160</v>
      </c>
      <c r="B42" s="10">
        <v>0.9337</v>
      </c>
      <c r="O42" s="2">
        <f>O41*0.9337</f>
        <v>14.9392</v>
      </c>
      <c r="P42" s="2">
        <f>P41*0.9337</f>
        <v>17.927039999999998</v>
      </c>
      <c r="Q42" s="2">
        <f>Q41*0.9337</f>
        <v>16.433120000000002</v>
      </c>
      <c r="AA42" s="10"/>
      <c r="AC42" s="7"/>
    </row>
    <row r="43" spans="1:33" ht="15.75">
      <c r="A43" s="10">
        <v>1861</v>
      </c>
      <c r="F43" s="2">
        <v>7</v>
      </c>
      <c r="G43" s="2">
        <v>25</v>
      </c>
      <c r="H43" s="2">
        <f>(F43+G43)/2</f>
        <v>16</v>
      </c>
      <c r="I43" s="2">
        <v>13</v>
      </c>
      <c r="J43" s="2">
        <v>36</v>
      </c>
      <c r="K43" s="2">
        <f>(I43+J43)/2</f>
        <v>24.5</v>
      </c>
      <c r="L43" s="2">
        <v>7</v>
      </c>
      <c r="M43" s="2">
        <v>19</v>
      </c>
      <c r="N43" s="2">
        <f>(L43+M43)/2</f>
        <v>13</v>
      </c>
      <c r="O43" s="2">
        <v>5</v>
      </c>
      <c r="P43" s="2">
        <v>20</v>
      </c>
      <c r="Q43" s="2">
        <f>(O43+P43)/2</f>
        <v>12.5</v>
      </c>
      <c r="AA43" s="10">
        <v>1861</v>
      </c>
      <c r="AC43" s="7">
        <f>0.18*E44</f>
        <v>7.29</v>
      </c>
      <c r="AD43" s="7">
        <f>0.18*H44</f>
        <v>6.84</v>
      </c>
      <c r="AE43" s="7">
        <f>0.18*K44</f>
        <v>8.37</v>
      </c>
      <c r="AF43" s="7">
        <f>0.18*N44</f>
        <v>6.3</v>
      </c>
      <c r="AG43" s="7">
        <f>0.18*Q44</f>
        <v>6.21</v>
      </c>
    </row>
    <row r="44" spans="1:33" ht="15.75">
      <c r="A44" s="2" t="s">
        <v>151</v>
      </c>
      <c r="C44" s="2">
        <v>34.5</v>
      </c>
      <c r="D44" s="2">
        <v>46.5</v>
      </c>
      <c r="E44" s="10">
        <f>(C44+D44)/2</f>
        <v>40.5</v>
      </c>
      <c r="F44" s="2">
        <f>F43+22</f>
        <v>29</v>
      </c>
      <c r="G44" s="2">
        <f aca="true" t="shared" si="13" ref="G44:Q44">G43+22</f>
        <v>47</v>
      </c>
      <c r="H44" s="10">
        <f t="shared" si="13"/>
        <v>38</v>
      </c>
      <c r="I44" s="2">
        <f t="shared" si="13"/>
        <v>35</v>
      </c>
      <c r="J44" s="2">
        <f t="shared" si="13"/>
        <v>58</v>
      </c>
      <c r="K44" s="10">
        <f t="shared" si="13"/>
        <v>46.5</v>
      </c>
      <c r="L44" s="2">
        <f t="shared" si="13"/>
        <v>29</v>
      </c>
      <c r="M44" s="2">
        <f t="shared" si="13"/>
        <v>41</v>
      </c>
      <c r="N44" s="10">
        <f t="shared" si="13"/>
        <v>35</v>
      </c>
      <c r="O44" s="2">
        <f t="shared" si="13"/>
        <v>27</v>
      </c>
      <c r="P44" s="2">
        <f t="shared" si="13"/>
        <v>42</v>
      </c>
      <c r="Q44" s="10">
        <f t="shared" si="13"/>
        <v>34.5</v>
      </c>
      <c r="AA44" s="2" t="s">
        <v>151</v>
      </c>
      <c r="AC44" s="7">
        <f>0.18*E45</f>
        <v>6.4662299999999995</v>
      </c>
      <c r="AD44" s="7">
        <f>0.18*H45</f>
        <v>6.067080000000001</v>
      </c>
      <c r="AE44" s="7">
        <f>0.18*K45</f>
        <v>7.424189999999999</v>
      </c>
      <c r="AF44" s="7">
        <f>0.18*N45</f>
        <v>5.5881</v>
      </c>
      <c r="AG44" s="7">
        <f>0.18*Q45</f>
        <v>5.50827</v>
      </c>
    </row>
    <row r="45" spans="1:29" ht="15.75">
      <c r="A45" s="10" t="s">
        <v>160</v>
      </c>
      <c r="B45" s="10">
        <v>0.887</v>
      </c>
      <c r="C45" s="2">
        <f>C44*0.887</f>
        <v>30.6015</v>
      </c>
      <c r="D45" s="2">
        <f aca="true" t="shared" si="14" ref="D45:Q45">D44*0.887</f>
        <v>41.2455</v>
      </c>
      <c r="E45" s="2">
        <f t="shared" si="14"/>
        <v>35.9235</v>
      </c>
      <c r="F45" s="2">
        <f t="shared" si="14"/>
        <v>25.723</v>
      </c>
      <c r="G45" s="2">
        <f t="shared" si="14"/>
        <v>41.689</v>
      </c>
      <c r="H45" s="2">
        <f t="shared" si="14"/>
        <v>33.706</v>
      </c>
      <c r="I45" s="2">
        <f t="shared" si="14"/>
        <v>31.045</v>
      </c>
      <c r="J45" s="2">
        <f t="shared" si="14"/>
        <v>51.446</v>
      </c>
      <c r="K45" s="2">
        <f t="shared" si="14"/>
        <v>41.2455</v>
      </c>
      <c r="L45" s="2">
        <f t="shared" si="14"/>
        <v>25.723</v>
      </c>
      <c r="M45" s="2">
        <f t="shared" si="14"/>
        <v>36.367</v>
      </c>
      <c r="N45" s="2">
        <f t="shared" si="14"/>
        <v>31.045</v>
      </c>
      <c r="O45" s="2">
        <f t="shared" si="14"/>
        <v>23.949</v>
      </c>
      <c r="P45" s="2">
        <f t="shared" si="14"/>
        <v>37.254</v>
      </c>
      <c r="Q45" s="2">
        <f t="shared" si="14"/>
        <v>30.6015</v>
      </c>
      <c r="AA45" s="10"/>
      <c r="AC45" s="7"/>
    </row>
    <row r="46" spans="1:33" ht="15.75">
      <c r="A46" s="10">
        <v>1862</v>
      </c>
      <c r="F46" s="2">
        <v>10</v>
      </c>
      <c r="G46" s="2">
        <v>60</v>
      </c>
      <c r="H46" s="2">
        <f>(F46+G46)/2</f>
        <v>35</v>
      </c>
      <c r="I46" s="2">
        <v>34</v>
      </c>
      <c r="J46" s="2">
        <v>60</v>
      </c>
      <c r="K46" s="2">
        <f>(I46+J46)/2</f>
        <v>47</v>
      </c>
      <c r="L46" s="2">
        <v>9</v>
      </c>
      <c r="M46" s="2">
        <v>45</v>
      </c>
      <c r="N46" s="2">
        <f>(L46+M46)/2</f>
        <v>27</v>
      </c>
      <c r="O46" s="2">
        <v>18</v>
      </c>
      <c r="P46" s="2">
        <v>60</v>
      </c>
      <c r="Q46" s="2">
        <f>(O46+P46)/2</f>
        <v>39</v>
      </c>
      <c r="AA46" s="10">
        <v>1862</v>
      </c>
      <c r="AC46" s="7">
        <f>0.18*E47</f>
        <v>10.764</v>
      </c>
      <c r="AD46" s="7">
        <f>0.18*H47</f>
        <v>9.324</v>
      </c>
      <c r="AE46" s="7">
        <f>0.18*K47</f>
        <v>11.483999999999998</v>
      </c>
      <c r="AF46" s="7">
        <f>0.18*N47</f>
        <v>7.8839999999999995</v>
      </c>
      <c r="AG46" s="7">
        <f>0.18*Q47</f>
        <v>10.043999999999999</v>
      </c>
    </row>
    <row r="47" spans="1:33" ht="15.75">
      <c r="A47" s="2" t="s">
        <v>151</v>
      </c>
      <c r="C47" s="2">
        <v>55.8</v>
      </c>
      <c r="D47" s="2">
        <v>63.8</v>
      </c>
      <c r="E47" s="10">
        <f>(C47+D47)/2</f>
        <v>59.8</v>
      </c>
      <c r="F47" s="2">
        <f>F46+16.8</f>
        <v>26.8</v>
      </c>
      <c r="G47" s="2">
        <f aca="true" t="shared" si="15" ref="G47:Q47">G46+16.8</f>
        <v>76.8</v>
      </c>
      <c r="H47" s="10">
        <f t="shared" si="15"/>
        <v>51.8</v>
      </c>
      <c r="I47" s="2">
        <f t="shared" si="15"/>
        <v>50.8</v>
      </c>
      <c r="J47" s="2">
        <f t="shared" si="15"/>
        <v>76.8</v>
      </c>
      <c r="K47" s="10">
        <f t="shared" si="15"/>
        <v>63.8</v>
      </c>
      <c r="L47" s="2">
        <f t="shared" si="15"/>
        <v>25.8</v>
      </c>
      <c r="M47" s="2">
        <f t="shared" si="15"/>
        <v>61.8</v>
      </c>
      <c r="N47" s="10">
        <f t="shared" si="15"/>
        <v>43.8</v>
      </c>
      <c r="O47" s="2">
        <f t="shared" si="15"/>
        <v>34.8</v>
      </c>
      <c r="P47" s="2">
        <f t="shared" si="15"/>
        <v>76.8</v>
      </c>
      <c r="Q47" s="10">
        <f t="shared" si="15"/>
        <v>55.8</v>
      </c>
      <c r="AA47" s="2" t="s">
        <v>151</v>
      </c>
      <c r="AC47" s="7">
        <f>0.18*E48</f>
        <v>9.20322</v>
      </c>
      <c r="AD47" s="7">
        <f>0.18*H48</f>
        <v>7.972019999999999</v>
      </c>
      <c r="AE47" s="7">
        <f>0.18*K48</f>
        <v>9.818819999999999</v>
      </c>
      <c r="AF47" s="7">
        <f>0.18*N48</f>
        <v>6.740819999999999</v>
      </c>
      <c r="AG47" s="7">
        <f>0.18*Q48</f>
        <v>8.58762</v>
      </c>
    </row>
    <row r="48" spans="1:29" ht="15.75">
      <c r="A48" s="10" t="s">
        <v>160</v>
      </c>
      <c r="B48" s="10">
        <v>0.855</v>
      </c>
      <c r="C48" s="2">
        <f>C47*0.855</f>
        <v>47.708999999999996</v>
      </c>
      <c r="D48" s="2">
        <f aca="true" t="shared" si="16" ref="D48:Q48">D47*0.855</f>
        <v>54.549</v>
      </c>
      <c r="E48" s="2">
        <f t="shared" si="16"/>
        <v>51.129</v>
      </c>
      <c r="F48" s="2">
        <f t="shared" si="16"/>
        <v>22.914</v>
      </c>
      <c r="G48" s="2">
        <f t="shared" si="16"/>
        <v>65.664</v>
      </c>
      <c r="H48" s="2">
        <f t="shared" si="16"/>
        <v>44.288999999999994</v>
      </c>
      <c r="I48" s="2">
        <f t="shared" si="16"/>
        <v>43.434</v>
      </c>
      <c r="J48" s="2">
        <f t="shared" si="16"/>
        <v>65.664</v>
      </c>
      <c r="K48" s="2">
        <f t="shared" si="16"/>
        <v>54.549</v>
      </c>
      <c r="L48" s="2">
        <f t="shared" si="16"/>
        <v>22.059</v>
      </c>
      <c r="M48" s="2">
        <f t="shared" si="16"/>
        <v>52.839</v>
      </c>
      <c r="N48" s="2">
        <f t="shared" si="16"/>
        <v>37.449</v>
      </c>
      <c r="O48" s="2">
        <f t="shared" si="16"/>
        <v>29.753999999999998</v>
      </c>
      <c r="P48" s="2">
        <f t="shared" si="16"/>
        <v>65.664</v>
      </c>
      <c r="Q48" s="2">
        <f t="shared" si="16"/>
        <v>47.708999999999996</v>
      </c>
      <c r="AA48" s="10"/>
      <c r="AC48" s="7"/>
    </row>
    <row r="49" spans="1:35" ht="15.75">
      <c r="A49" s="10">
        <v>1863</v>
      </c>
      <c r="F49" s="2">
        <v>25</v>
      </c>
      <c r="G49" s="2">
        <v>65</v>
      </c>
      <c r="H49" s="2">
        <f>(F49+G49)/2</f>
        <v>45</v>
      </c>
      <c r="I49" s="2">
        <v>36</v>
      </c>
      <c r="J49" s="2">
        <v>60</v>
      </c>
      <c r="K49" s="2">
        <f>(I49+J49)/2</f>
        <v>48</v>
      </c>
      <c r="L49" s="2">
        <v>18</v>
      </c>
      <c r="M49" s="2">
        <v>45</v>
      </c>
      <c r="N49" s="2">
        <f>(L49+M49)/2</f>
        <v>31.5</v>
      </c>
      <c r="O49" s="2">
        <v>20</v>
      </c>
      <c r="P49" s="2">
        <v>60</v>
      </c>
      <c r="Q49" s="2">
        <f>(O49+P49)/2</f>
        <v>40</v>
      </c>
      <c r="U49" s="2">
        <v>6</v>
      </c>
      <c r="V49" s="2">
        <v>13</v>
      </c>
      <c r="W49" s="2">
        <v>10.4</v>
      </c>
      <c r="AA49" s="10">
        <v>1863</v>
      </c>
      <c r="AC49" s="7">
        <f>0.18*E50</f>
        <v>8.1</v>
      </c>
      <c r="AD49" s="7">
        <f>0.18*H50</f>
        <v>8.28</v>
      </c>
      <c r="AE49" s="7">
        <f>0.18*K50</f>
        <v>8.82</v>
      </c>
      <c r="AF49" s="7">
        <f>0.18*N50</f>
        <v>5.85</v>
      </c>
      <c r="AG49" s="7">
        <f>0.18*Q50</f>
        <v>7.38</v>
      </c>
      <c r="AI49" s="2">
        <v>10.4</v>
      </c>
    </row>
    <row r="50" spans="1:33" ht="15.75">
      <c r="A50" s="2" t="s">
        <v>151</v>
      </c>
      <c r="B50" s="10">
        <v>0.982</v>
      </c>
      <c r="C50" s="2">
        <v>41</v>
      </c>
      <c r="D50" s="2">
        <v>49</v>
      </c>
      <c r="E50" s="10">
        <f>(C50+D50)/2</f>
        <v>45</v>
      </c>
      <c r="F50" s="2">
        <f>F49+1</f>
        <v>26</v>
      </c>
      <c r="G50" s="2">
        <f aca="true" t="shared" si="17" ref="G50:Q50">G49+1</f>
        <v>66</v>
      </c>
      <c r="H50" s="10">
        <f t="shared" si="17"/>
        <v>46</v>
      </c>
      <c r="I50" s="2">
        <f t="shared" si="17"/>
        <v>37</v>
      </c>
      <c r="J50" s="2">
        <f t="shared" si="17"/>
        <v>61</v>
      </c>
      <c r="K50" s="10">
        <f t="shared" si="17"/>
        <v>49</v>
      </c>
      <c r="L50" s="2">
        <f t="shared" si="17"/>
        <v>19</v>
      </c>
      <c r="M50" s="2">
        <f t="shared" si="17"/>
        <v>46</v>
      </c>
      <c r="N50" s="10">
        <f t="shared" si="17"/>
        <v>32.5</v>
      </c>
      <c r="O50" s="2">
        <f t="shared" si="17"/>
        <v>21</v>
      </c>
      <c r="P50" s="2">
        <f t="shared" si="17"/>
        <v>61</v>
      </c>
      <c r="Q50" s="10">
        <f t="shared" si="17"/>
        <v>41</v>
      </c>
      <c r="AA50" s="2" t="s">
        <v>151</v>
      </c>
      <c r="AC50" s="7">
        <f>0.18*E51</f>
        <v>7.954199999999999</v>
      </c>
      <c r="AD50" s="7">
        <f>0.18*H51</f>
        <v>8.13096</v>
      </c>
      <c r="AE50" s="7">
        <f>0.18*K51</f>
        <v>8.66124</v>
      </c>
      <c r="AF50" s="7">
        <f>0.18*N51</f>
        <v>5.7447</v>
      </c>
      <c r="AG50" s="7">
        <f>0.18*Q51</f>
        <v>7.24716</v>
      </c>
    </row>
    <row r="51" spans="1:29" ht="15.75">
      <c r="A51" s="10" t="s">
        <v>160</v>
      </c>
      <c r="C51" s="2">
        <f>C50*0.982</f>
        <v>40.262</v>
      </c>
      <c r="D51" s="2">
        <f aca="true" t="shared" si="18" ref="D51:Q51">D50*0.982</f>
        <v>48.118</v>
      </c>
      <c r="E51" s="2">
        <f t="shared" si="18"/>
        <v>44.19</v>
      </c>
      <c r="F51" s="2">
        <f t="shared" si="18"/>
        <v>25.532</v>
      </c>
      <c r="G51" s="2">
        <f t="shared" si="18"/>
        <v>64.812</v>
      </c>
      <c r="H51" s="2">
        <f t="shared" si="18"/>
        <v>45.172</v>
      </c>
      <c r="I51" s="2">
        <f t="shared" si="18"/>
        <v>36.333999999999996</v>
      </c>
      <c r="J51" s="2">
        <f t="shared" si="18"/>
        <v>59.902</v>
      </c>
      <c r="K51" s="2">
        <f t="shared" si="18"/>
        <v>48.118</v>
      </c>
      <c r="L51" s="2">
        <f t="shared" si="18"/>
        <v>18.658</v>
      </c>
      <c r="M51" s="2">
        <f t="shared" si="18"/>
        <v>45.172</v>
      </c>
      <c r="N51" s="2">
        <f t="shared" si="18"/>
        <v>31.915</v>
      </c>
      <c r="O51" s="2">
        <f t="shared" si="18"/>
        <v>20.622</v>
      </c>
      <c r="P51" s="2">
        <f t="shared" si="18"/>
        <v>59.902</v>
      </c>
      <c r="Q51" s="2">
        <f t="shared" si="18"/>
        <v>40.262</v>
      </c>
      <c r="AA51" s="10"/>
      <c r="AC51" s="7"/>
    </row>
    <row r="52" spans="1:33" ht="15.75">
      <c r="A52" s="10">
        <v>1864</v>
      </c>
      <c r="F52" s="2">
        <v>30</v>
      </c>
      <c r="G52" s="2">
        <v>70</v>
      </c>
      <c r="H52" s="2">
        <f>(F52+G52)/2</f>
        <v>50</v>
      </c>
      <c r="I52" s="2">
        <v>36</v>
      </c>
      <c r="J52" s="2">
        <v>60</v>
      </c>
      <c r="K52" s="2">
        <f>(I52+J52)/2</f>
        <v>48</v>
      </c>
      <c r="L52" s="2">
        <v>18</v>
      </c>
      <c r="M52" s="2">
        <v>45</v>
      </c>
      <c r="N52" s="2">
        <f>(L52+M52)/2</f>
        <v>31.5</v>
      </c>
      <c r="O52" s="2">
        <v>20</v>
      </c>
      <c r="P52" s="2">
        <v>60</v>
      </c>
      <c r="Q52" s="2">
        <f>(O52+P52)/2</f>
        <v>40</v>
      </c>
      <c r="AA52" s="10">
        <v>1864</v>
      </c>
      <c r="AC52" s="7">
        <f>0.18*E53</f>
        <v>7.956</v>
      </c>
      <c r="AD52" s="7">
        <f>0.18*H53</f>
        <v>9.036</v>
      </c>
      <c r="AE52" s="7">
        <f>0.18*K53</f>
        <v>8.676</v>
      </c>
      <c r="AF52" s="7">
        <f>0.18*N53</f>
        <v>5.7059999999999995</v>
      </c>
      <c r="AG52" s="7">
        <f>0.18*Q53</f>
        <v>7.236000000000001</v>
      </c>
    </row>
    <row r="53" spans="1:33" ht="15">
      <c r="A53" s="2" t="s">
        <v>151</v>
      </c>
      <c r="B53" s="10">
        <v>0.773</v>
      </c>
      <c r="C53" s="2">
        <v>40.2</v>
      </c>
      <c r="D53" s="2">
        <v>48.2</v>
      </c>
      <c r="E53" s="10">
        <f>(C53+D53)/2</f>
        <v>44.2</v>
      </c>
      <c r="F53" s="2">
        <f>F52+0.2</f>
        <v>30.2</v>
      </c>
      <c r="G53" s="2">
        <f aca="true" t="shared" si="19" ref="G53:Q53">G52+0.2</f>
        <v>70.2</v>
      </c>
      <c r="H53" s="10">
        <f t="shared" si="19"/>
        <v>50.2</v>
      </c>
      <c r="I53" s="2">
        <f t="shared" si="19"/>
        <v>36.2</v>
      </c>
      <c r="J53" s="2">
        <f t="shared" si="19"/>
        <v>60.2</v>
      </c>
      <c r="K53" s="10">
        <f t="shared" si="19"/>
        <v>48.2</v>
      </c>
      <c r="L53" s="2">
        <f t="shared" si="19"/>
        <v>18.2</v>
      </c>
      <c r="M53" s="2">
        <f t="shared" si="19"/>
        <v>45.2</v>
      </c>
      <c r="N53" s="10">
        <f t="shared" si="19"/>
        <v>31.7</v>
      </c>
      <c r="O53" s="2">
        <f t="shared" si="19"/>
        <v>20.2</v>
      </c>
      <c r="P53" s="2">
        <f t="shared" si="19"/>
        <v>60.2</v>
      </c>
      <c r="Q53" s="10">
        <f t="shared" si="19"/>
        <v>40.2</v>
      </c>
      <c r="AA53" s="2" t="s">
        <v>151</v>
      </c>
      <c r="AC53" s="7">
        <f>0.18*E54</f>
        <v>6.1499880000000005</v>
      </c>
      <c r="AD53" s="7">
        <f>0.18*H54</f>
        <v>6.984828</v>
      </c>
      <c r="AE53" s="7">
        <f>0.18*K54</f>
        <v>6.706548</v>
      </c>
      <c r="AF53" s="7">
        <f>0.18*N54</f>
        <v>4.410738</v>
      </c>
      <c r="AG53" s="7">
        <f>0.18*Q54</f>
        <v>5.593428</v>
      </c>
    </row>
    <row r="54" spans="1:29" ht="15">
      <c r="A54" s="10" t="s">
        <v>160</v>
      </c>
      <c r="C54" s="2">
        <f>C53*0.773</f>
        <v>31.074600000000004</v>
      </c>
      <c r="D54" s="2">
        <f aca="true" t="shared" si="20" ref="D54:Q54">D53*0.773</f>
        <v>37.2586</v>
      </c>
      <c r="E54" s="2">
        <f t="shared" si="20"/>
        <v>34.1666</v>
      </c>
      <c r="F54" s="2">
        <f t="shared" si="20"/>
        <v>23.3446</v>
      </c>
      <c r="G54" s="2">
        <f t="shared" si="20"/>
        <v>54.2646</v>
      </c>
      <c r="H54" s="2">
        <f t="shared" si="20"/>
        <v>38.8046</v>
      </c>
      <c r="I54" s="2">
        <f t="shared" si="20"/>
        <v>27.9826</v>
      </c>
      <c r="J54" s="2">
        <f t="shared" si="20"/>
        <v>46.534600000000005</v>
      </c>
      <c r="K54" s="2">
        <f t="shared" si="20"/>
        <v>37.2586</v>
      </c>
      <c r="L54" s="2">
        <f t="shared" si="20"/>
        <v>14.0686</v>
      </c>
      <c r="M54" s="2">
        <f t="shared" si="20"/>
        <v>34.939600000000006</v>
      </c>
      <c r="N54" s="2">
        <f t="shared" si="20"/>
        <v>24.5041</v>
      </c>
      <c r="O54" s="2">
        <f t="shared" si="20"/>
        <v>15.6146</v>
      </c>
      <c r="P54" s="2">
        <f t="shared" si="20"/>
        <v>46.534600000000005</v>
      </c>
      <c r="Q54" s="2">
        <f t="shared" si="20"/>
        <v>31.074600000000004</v>
      </c>
      <c r="AA54" s="10"/>
      <c r="AC54" s="7"/>
    </row>
    <row r="55" spans="1:33" ht="15">
      <c r="A55" s="10">
        <v>1865</v>
      </c>
      <c r="F55" s="2">
        <v>25</v>
      </c>
      <c r="G55" s="2">
        <v>65</v>
      </c>
      <c r="H55" s="2">
        <f>(F55+G55)/2</f>
        <v>45</v>
      </c>
      <c r="I55" s="2">
        <v>36</v>
      </c>
      <c r="J55" s="2">
        <v>60</v>
      </c>
      <c r="K55" s="2">
        <f>(I55+J55)/2</f>
        <v>48</v>
      </c>
      <c r="L55" s="2">
        <v>18</v>
      </c>
      <c r="M55" s="2">
        <v>45</v>
      </c>
      <c r="N55" s="2">
        <f>(L55+M55)/2</f>
        <v>31.5</v>
      </c>
      <c r="O55" s="2">
        <v>20</v>
      </c>
      <c r="P55" s="2">
        <v>60</v>
      </c>
      <c r="Q55" s="2">
        <f>(O55+P55)/2</f>
        <v>40</v>
      </c>
      <c r="AA55" s="10">
        <v>1865</v>
      </c>
      <c r="AC55" s="7">
        <f>0.18*E56</f>
        <v>7.938</v>
      </c>
      <c r="AD55" s="7">
        <f>0.18*H56</f>
        <v>8.118</v>
      </c>
      <c r="AE55" s="7">
        <f>0.18*K56</f>
        <v>8.658</v>
      </c>
      <c r="AF55" s="7">
        <f>0.18*N56</f>
        <v>5.688</v>
      </c>
      <c r="AG55" s="7">
        <f>0.18*Q56</f>
        <v>7.218</v>
      </c>
    </row>
    <row r="56" spans="1:33" ht="15">
      <c r="A56" s="2" t="s">
        <v>151</v>
      </c>
      <c r="B56" s="10">
        <v>0.818</v>
      </c>
      <c r="C56" s="2">
        <v>40.1</v>
      </c>
      <c r="D56" s="2">
        <v>48.1</v>
      </c>
      <c r="E56" s="10">
        <f>(C56+D56)/2</f>
        <v>44.1</v>
      </c>
      <c r="F56" s="2">
        <f>F55+0.1</f>
        <v>25.1</v>
      </c>
      <c r="G56" s="2">
        <f aca="true" t="shared" si="21" ref="G56:Q56">G55+0.1</f>
        <v>65.1</v>
      </c>
      <c r="H56" s="10">
        <f t="shared" si="21"/>
        <v>45.1</v>
      </c>
      <c r="I56" s="2">
        <f t="shared" si="21"/>
        <v>36.1</v>
      </c>
      <c r="J56" s="2">
        <f t="shared" si="21"/>
        <v>60.1</v>
      </c>
      <c r="K56" s="10">
        <f t="shared" si="21"/>
        <v>48.1</v>
      </c>
      <c r="L56" s="2">
        <f t="shared" si="21"/>
        <v>18.1</v>
      </c>
      <c r="M56" s="2">
        <f t="shared" si="21"/>
        <v>45.1</v>
      </c>
      <c r="N56" s="10">
        <f t="shared" si="21"/>
        <v>31.6</v>
      </c>
      <c r="O56" s="2">
        <f t="shared" si="21"/>
        <v>20.1</v>
      </c>
      <c r="P56" s="2">
        <f t="shared" si="21"/>
        <v>60.1</v>
      </c>
      <c r="Q56" s="10">
        <f t="shared" si="21"/>
        <v>40.1</v>
      </c>
      <c r="AA56" s="2" t="s">
        <v>151</v>
      </c>
      <c r="AC56" s="7">
        <f>0.18*E57</f>
        <v>6.493283999999999</v>
      </c>
      <c r="AD56" s="7">
        <f>0.18*H57</f>
        <v>6.640523999999999</v>
      </c>
      <c r="AE56" s="7">
        <f>0.18*K57</f>
        <v>7.082243999999999</v>
      </c>
      <c r="AF56" s="7">
        <f>0.18*N57</f>
        <v>4.652784</v>
      </c>
      <c r="AG56" s="7">
        <f>0.18*Q57</f>
        <v>5.904324</v>
      </c>
    </row>
    <row r="57" spans="1:29" ht="15">
      <c r="A57" s="10" t="s">
        <v>160</v>
      </c>
      <c r="C57" s="2">
        <f>C56*0.818</f>
        <v>32.8018</v>
      </c>
      <c r="D57" s="2">
        <f aca="true" t="shared" si="22" ref="D57:Q57">D56*0.818</f>
        <v>39.3458</v>
      </c>
      <c r="E57" s="2">
        <f t="shared" si="22"/>
        <v>36.0738</v>
      </c>
      <c r="F57" s="2">
        <f t="shared" si="22"/>
        <v>20.5318</v>
      </c>
      <c r="G57" s="2">
        <f t="shared" si="22"/>
        <v>53.25179999999999</v>
      </c>
      <c r="H57" s="2">
        <f t="shared" si="22"/>
        <v>36.891799999999996</v>
      </c>
      <c r="I57" s="2">
        <f t="shared" si="22"/>
        <v>29.529799999999998</v>
      </c>
      <c r="J57" s="2">
        <f t="shared" si="22"/>
        <v>49.1618</v>
      </c>
      <c r="K57" s="2">
        <f t="shared" si="22"/>
        <v>39.3458</v>
      </c>
      <c r="L57" s="2">
        <f t="shared" si="22"/>
        <v>14.8058</v>
      </c>
      <c r="M57" s="2">
        <f t="shared" si="22"/>
        <v>36.891799999999996</v>
      </c>
      <c r="N57" s="2">
        <f t="shared" si="22"/>
        <v>25.8488</v>
      </c>
      <c r="O57" s="2">
        <f t="shared" si="22"/>
        <v>16.4418</v>
      </c>
      <c r="P57" s="2">
        <f t="shared" si="22"/>
        <v>49.1618</v>
      </c>
      <c r="Q57" s="2">
        <f t="shared" si="22"/>
        <v>32.8018</v>
      </c>
      <c r="AA57" s="10"/>
      <c r="AC57" s="7"/>
    </row>
    <row r="58" spans="1:33" ht="15">
      <c r="A58" s="10">
        <v>1866</v>
      </c>
      <c r="F58" s="2">
        <v>25</v>
      </c>
      <c r="G58" s="2">
        <v>65</v>
      </c>
      <c r="H58" s="2">
        <f>(F58+G58)/2</f>
        <v>45</v>
      </c>
      <c r="I58" s="2">
        <v>36</v>
      </c>
      <c r="J58" s="2">
        <v>60</v>
      </c>
      <c r="K58" s="2">
        <f>(I58+J58)/2</f>
        <v>48</v>
      </c>
      <c r="L58" s="2">
        <v>18</v>
      </c>
      <c r="M58" s="2">
        <v>45</v>
      </c>
      <c r="N58" s="2">
        <f>(L58+M58)/2</f>
        <v>31.5</v>
      </c>
      <c r="O58" s="2">
        <v>25</v>
      </c>
      <c r="P58" s="2">
        <v>60</v>
      </c>
      <c r="Q58" s="2">
        <f>(O58+P58)/2</f>
        <v>42.5</v>
      </c>
      <c r="AA58" s="10">
        <v>1866</v>
      </c>
      <c r="AC58" s="7">
        <f>0.18*E59</f>
        <v>8.163</v>
      </c>
      <c r="AD58" s="7">
        <f>0.18*H59</f>
        <v>8.118</v>
      </c>
      <c r="AE58" s="7">
        <f>0.18*K59</f>
        <v>8.658</v>
      </c>
      <c r="AF58" s="7">
        <f>0.18*N59</f>
        <v>5.688</v>
      </c>
      <c r="AG58" s="7">
        <f>0.18*Q59</f>
        <v>7.668</v>
      </c>
    </row>
    <row r="59" spans="1:33" ht="15">
      <c r="A59" s="2" t="s">
        <v>151</v>
      </c>
      <c r="B59" s="10">
        <v>0.68</v>
      </c>
      <c r="C59" s="2">
        <v>42.6</v>
      </c>
      <c r="D59" s="2">
        <v>48.1</v>
      </c>
      <c r="E59" s="10">
        <f>(C59+D59)/2</f>
        <v>45.35</v>
      </c>
      <c r="F59" s="2">
        <f aca="true" t="shared" si="23" ref="F59:Q59">F58+0.1</f>
        <v>25.1</v>
      </c>
      <c r="G59" s="2">
        <f t="shared" si="23"/>
        <v>65.1</v>
      </c>
      <c r="H59" s="10">
        <f t="shared" si="23"/>
        <v>45.1</v>
      </c>
      <c r="I59" s="2">
        <f t="shared" si="23"/>
        <v>36.1</v>
      </c>
      <c r="J59" s="2">
        <f t="shared" si="23"/>
        <v>60.1</v>
      </c>
      <c r="K59" s="10">
        <f t="shared" si="23"/>
        <v>48.1</v>
      </c>
      <c r="L59" s="2">
        <f t="shared" si="23"/>
        <v>18.1</v>
      </c>
      <c r="M59" s="2">
        <f t="shared" si="23"/>
        <v>45.1</v>
      </c>
      <c r="N59" s="10">
        <f t="shared" si="23"/>
        <v>31.6</v>
      </c>
      <c r="O59" s="2">
        <f t="shared" si="23"/>
        <v>25.1</v>
      </c>
      <c r="P59" s="2">
        <f t="shared" si="23"/>
        <v>60.1</v>
      </c>
      <c r="Q59" s="10">
        <f t="shared" si="23"/>
        <v>42.6</v>
      </c>
      <c r="AA59" s="2" t="s">
        <v>151</v>
      </c>
      <c r="AC59" s="7">
        <f>0.18*E60</f>
        <v>5.550840000000001</v>
      </c>
      <c r="AD59" s="7">
        <f>0.18*H60</f>
        <v>5.52024</v>
      </c>
      <c r="AE59" s="7">
        <f>0.18*K60</f>
        <v>5.887440000000001</v>
      </c>
      <c r="AF59" s="7">
        <f>0.18*N60</f>
        <v>3.8678400000000006</v>
      </c>
      <c r="AG59" s="7">
        <f>0.18*Q60</f>
        <v>5.21424</v>
      </c>
    </row>
    <row r="60" spans="1:29" ht="15">
      <c r="A60" s="10" t="s">
        <v>160</v>
      </c>
      <c r="C60" s="2">
        <f>C59*0.68</f>
        <v>28.968000000000004</v>
      </c>
      <c r="D60" s="2">
        <f aca="true" t="shared" si="24" ref="D60:Q60">D59*0.68</f>
        <v>32.708000000000006</v>
      </c>
      <c r="E60" s="2">
        <f t="shared" si="24"/>
        <v>30.838000000000005</v>
      </c>
      <c r="F60" s="2">
        <f t="shared" si="24"/>
        <v>17.068</v>
      </c>
      <c r="G60" s="2">
        <f t="shared" si="24"/>
        <v>44.268</v>
      </c>
      <c r="H60" s="2">
        <f t="shared" si="24"/>
        <v>30.668000000000003</v>
      </c>
      <c r="I60" s="2">
        <f t="shared" si="24"/>
        <v>24.548000000000002</v>
      </c>
      <c r="J60" s="2">
        <f t="shared" si="24"/>
        <v>40.868</v>
      </c>
      <c r="K60" s="2">
        <f t="shared" si="24"/>
        <v>32.708000000000006</v>
      </c>
      <c r="L60" s="2">
        <f t="shared" si="24"/>
        <v>12.308000000000002</v>
      </c>
      <c r="M60" s="2">
        <f t="shared" si="24"/>
        <v>30.668000000000003</v>
      </c>
      <c r="N60" s="2">
        <f t="shared" si="24"/>
        <v>21.488000000000003</v>
      </c>
      <c r="O60" s="2">
        <f t="shared" si="24"/>
        <v>17.068</v>
      </c>
      <c r="P60" s="2">
        <f t="shared" si="24"/>
        <v>40.868</v>
      </c>
      <c r="Q60" s="2">
        <f t="shared" si="24"/>
        <v>28.968000000000004</v>
      </c>
      <c r="AA60" s="10"/>
      <c r="AC60" s="7"/>
    </row>
    <row r="61" spans="1:33" ht="15">
      <c r="A61" s="10">
        <v>1867</v>
      </c>
      <c r="F61" s="2">
        <v>25</v>
      </c>
      <c r="G61" s="2">
        <v>65</v>
      </c>
      <c r="H61" s="2">
        <f>(F61+G61)/2</f>
        <v>45</v>
      </c>
      <c r="I61" s="2">
        <v>36</v>
      </c>
      <c r="J61" s="2">
        <v>60</v>
      </c>
      <c r="K61" s="2">
        <f>(I61+J61)/2</f>
        <v>48</v>
      </c>
      <c r="L61" s="2">
        <v>18</v>
      </c>
      <c r="M61" s="2">
        <v>45</v>
      </c>
      <c r="N61" s="2">
        <f>(L61+M61)/2</f>
        <v>31.5</v>
      </c>
      <c r="O61" s="2">
        <v>25</v>
      </c>
      <c r="P61" s="2">
        <v>60</v>
      </c>
      <c r="Q61" s="2">
        <f>(O61+P61)/2</f>
        <v>42.5</v>
      </c>
      <c r="AA61" s="10">
        <v>1867</v>
      </c>
      <c r="AC61" s="7">
        <f>0.18*E62</f>
        <v>8.163</v>
      </c>
      <c r="AD61" s="7">
        <f>0.18*H62</f>
        <v>8.118</v>
      </c>
      <c r="AE61" s="7">
        <f>0.18*K62</f>
        <v>8.658</v>
      </c>
      <c r="AF61" s="7">
        <f>0.18*N62</f>
        <v>5.688</v>
      </c>
      <c r="AG61" s="7">
        <f>0.18*Q62</f>
        <v>7.668</v>
      </c>
    </row>
    <row r="62" spans="1:33" ht="15">
      <c r="A62" s="2" t="s">
        <v>151</v>
      </c>
      <c r="B62" s="10">
        <v>0.907</v>
      </c>
      <c r="C62" s="2">
        <v>42.6</v>
      </c>
      <c r="D62" s="2">
        <v>48.1</v>
      </c>
      <c r="E62" s="10">
        <f>(C62+D62)/2</f>
        <v>45.35</v>
      </c>
      <c r="F62" s="2">
        <f aca="true" t="shared" si="25" ref="F62:Q62">F61+0.1</f>
        <v>25.1</v>
      </c>
      <c r="G62" s="2">
        <f t="shared" si="25"/>
        <v>65.1</v>
      </c>
      <c r="H62" s="10">
        <f t="shared" si="25"/>
        <v>45.1</v>
      </c>
      <c r="I62" s="2">
        <f t="shared" si="25"/>
        <v>36.1</v>
      </c>
      <c r="J62" s="2">
        <f t="shared" si="25"/>
        <v>60.1</v>
      </c>
      <c r="K62" s="10">
        <f t="shared" si="25"/>
        <v>48.1</v>
      </c>
      <c r="L62" s="2">
        <f t="shared" si="25"/>
        <v>18.1</v>
      </c>
      <c r="M62" s="2">
        <f t="shared" si="25"/>
        <v>45.1</v>
      </c>
      <c r="N62" s="10">
        <f t="shared" si="25"/>
        <v>31.6</v>
      </c>
      <c r="O62" s="2">
        <f t="shared" si="25"/>
        <v>25.1</v>
      </c>
      <c r="P62" s="2">
        <f t="shared" si="25"/>
        <v>60.1</v>
      </c>
      <c r="Q62" s="10">
        <f t="shared" si="25"/>
        <v>42.6</v>
      </c>
      <c r="AA62" s="2" t="s">
        <v>151</v>
      </c>
      <c r="AC62" s="7">
        <f>0.18*E63</f>
        <v>7.403841000000001</v>
      </c>
      <c r="AD62" s="7">
        <f>0.18*H63</f>
        <v>7.3630260000000005</v>
      </c>
      <c r="AE62" s="7">
        <f>0.18*K63</f>
        <v>7.852805999999999</v>
      </c>
      <c r="AF62" s="7">
        <f>0.18*N63</f>
        <v>5.159016</v>
      </c>
      <c r="AG62" s="7">
        <f>0.18*Q63</f>
        <v>6.9548760000000005</v>
      </c>
    </row>
    <row r="63" spans="1:29" ht="15">
      <c r="A63" s="10" t="s">
        <v>160</v>
      </c>
      <c r="C63" s="2">
        <f>C62*0.907</f>
        <v>38.638200000000005</v>
      </c>
      <c r="D63" s="2">
        <f aca="true" t="shared" si="26" ref="D63:Q63">D62*0.907</f>
        <v>43.6267</v>
      </c>
      <c r="E63" s="2">
        <f t="shared" si="26"/>
        <v>41.132450000000006</v>
      </c>
      <c r="F63" s="2">
        <f t="shared" si="26"/>
        <v>22.765700000000002</v>
      </c>
      <c r="G63" s="2">
        <f t="shared" si="26"/>
        <v>59.0457</v>
      </c>
      <c r="H63" s="2">
        <f t="shared" si="26"/>
        <v>40.9057</v>
      </c>
      <c r="I63" s="2">
        <f t="shared" si="26"/>
        <v>32.7427</v>
      </c>
      <c r="J63" s="2">
        <f t="shared" si="26"/>
        <v>54.5107</v>
      </c>
      <c r="K63" s="2">
        <f t="shared" si="26"/>
        <v>43.6267</v>
      </c>
      <c r="L63" s="2">
        <f t="shared" si="26"/>
        <v>16.416700000000002</v>
      </c>
      <c r="M63" s="2">
        <f t="shared" si="26"/>
        <v>40.9057</v>
      </c>
      <c r="N63" s="2">
        <f t="shared" si="26"/>
        <v>28.6612</v>
      </c>
      <c r="O63" s="2">
        <f t="shared" si="26"/>
        <v>22.765700000000002</v>
      </c>
      <c r="P63" s="2">
        <f t="shared" si="26"/>
        <v>54.5107</v>
      </c>
      <c r="Q63" s="2">
        <f t="shared" si="26"/>
        <v>38.638200000000005</v>
      </c>
      <c r="AA63" s="10"/>
      <c r="AC63" s="7"/>
    </row>
    <row r="64" spans="1:35" ht="15">
      <c r="A64" s="10" t="s">
        <v>274</v>
      </c>
      <c r="C64" s="2">
        <v>35</v>
      </c>
      <c r="D64" s="2">
        <v>85</v>
      </c>
      <c r="E64" s="10">
        <v>47</v>
      </c>
      <c r="T64" s="2">
        <v>214</v>
      </c>
      <c r="U64" s="2">
        <v>6</v>
      </c>
      <c r="V64" s="2">
        <v>13</v>
      </c>
      <c r="W64" s="2">
        <v>10.9</v>
      </c>
      <c r="AA64" s="10" t="s">
        <v>23</v>
      </c>
      <c r="AC64" s="7">
        <f>0.18*E65</f>
        <v>6.492203999999999</v>
      </c>
      <c r="AD64" s="7"/>
      <c r="AH64" s="2">
        <v>214</v>
      </c>
      <c r="AI64" s="2">
        <v>10.9</v>
      </c>
    </row>
    <row r="65" spans="1:27" ht="15">
      <c r="A65" s="10" t="s">
        <v>160</v>
      </c>
      <c r="B65" s="10">
        <v>0.7674</v>
      </c>
      <c r="C65" s="2">
        <f>C64*0.7674</f>
        <v>26.858999999999998</v>
      </c>
      <c r="D65" s="2">
        <f>D64*0.7674</f>
        <v>65.229</v>
      </c>
      <c r="E65" s="2">
        <f>E64*0.7674</f>
        <v>36.0678</v>
      </c>
      <c r="AA65" s="10"/>
    </row>
    <row r="66" spans="1:27" ht="15">
      <c r="A66" s="10"/>
      <c r="AA66" s="10"/>
    </row>
    <row r="67" spans="1:27" ht="15">
      <c r="A67" s="10"/>
      <c r="AA67" s="10"/>
    </row>
    <row r="68" spans="1:27" ht="15">
      <c r="A68" s="10"/>
      <c r="AA68" s="10"/>
    </row>
    <row r="69" spans="1:27" ht="15">
      <c r="A69" s="10"/>
      <c r="AA69" s="10"/>
    </row>
    <row r="70" spans="1:27" ht="15">
      <c r="A70" s="10"/>
      <c r="AA70" s="10"/>
    </row>
    <row r="71" spans="1:27" ht="15">
      <c r="A71" s="10"/>
      <c r="AA71" s="10"/>
    </row>
    <row r="72" spans="1:27" ht="15">
      <c r="A72" s="10"/>
      <c r="AA72" s="10"/>
    </row>
    <row r="73" spans="1:27" ht="15">
      <c r="A73" s="10"/>
      <c r="AA73" s="10"/>
    </row>
    <row r="74" spans="1:27" ht="15">
      <c r="A74" s="10"/>
      <c r="AA74" s="10"/>
    </row>
    <row r="75" spans="1:27" ht="15">
      <c r="A75" s="10"/>
      <c r="AA75" s="10"/>
    </row>
    <row r="76" spans="1:27" ht="15">
      <c r="A76" s="10"/>
      <c r="AA76" s="10"/>
    </row>
    <row r="77" spans="1:27" ht="15">
      <c r="A77" s="10"/>
      <c r="AA77" s="10"/>
    </row>
    <row r="78" spans="1:27" ht="15">
      <c r="A78" s="10"/>
      <c r="AA78" s="10"/>
    </row>
    <row r="79" spans="1:27" ht="15">
      <c r="A79" s="10"/>
      <c r="AA79" s="10"/>
    </row>
    <row r="80" spans="1:27" ht="15">
      <c r="A80" s="10"/>
      <c r="C80" s="10"/>
      <c r="D80" s="10"/>
      <c r="F80" s="10"/>
      <c r="G80" s="10"/>
      <c r="H80" s="10"/>
      <c r="I80" s="10"/>
      <c r="J80" s="10"/>
      <c r="K80" s="10"/>
      <c r="L80" s="10"/>
      <c r="M80" s="10"/>
      <c r="N80" s="10"/>
      <c r="O80" s="10"/>
      <c r="P80" s="10"/>
      <c r="Q80" s="10"/>
      <c r="R80" s="10"/>
      <c r="S80" s="10"/>
      <c r="T80" s="10"/>
      <c r="U80" s="10"/>
      <c r="V80" s="10"/>
      <c r="W80" s="10"/>
      <c r="X80" s="10"/>
      <c r="Y80" s="10"/>
      <c r="Z80" s="10"/>
      <c r="AA80" s="10"/>
    </row>
    <row r="81" spans="1:27" ht="15">
      <c r="A81" s="10"/>
      <c r="AA81" s="10"/>
    </row>
    <row r="82" spans="1:27" ht="15">
      <c r="A82" s="10"/>
      <c r="AA82" s="10"/>
    </row>
    <row r="83" spans="1:27" ht="15">
      <c r="A83" s="10"/>
      <c r="AA83" s="10"/>
    </row>
    <row r="84" spans="1:27" ht="15">
      <c r="A84" s="10"/>
      <c r="AA84" s="10"/>
    </row>
    <row r="85" spans="1:27" ht="15">
      <c r="A85" s="10"/>
      <c r="AA85" s="10"/>
    </row>
    <row r="86" spans="1:27" ht="15">
      <c r="A86" s="10"/>
      <c r="AA86" s="10"/>
    </row>
    <row r="87" spans="1:27" ht="15">
      <c r="A87" s="10"/>
      <c r="AA87" s="10"/>
    </row>
    <row r="88" spans="1:27" ht="15">
      <c r="A88" s="10"/>
      <c r="AA88" s="10"/>
    </row>
    <row r="89" spans="1:27" ht="15">
      <c r="A89" s="10"/>
      <c r="AA89" s="10"/>
    </row>
    <row r="90" spans="1:27" ht="15">
      <c r="A90" s="10"/>
      <c r="AA90" s="10"/>
    </row>
    <row r="91" spans="1:27" ht="15">
      <c r="A91" s="10"/>
      <c r="AA91" s="10"/>
    </row>
    <row r="92" spans="1:27" ht="15">
      <c r="A92" s="10"/>
      <c r="AA92" s="10"/>
    </row>
    <row r="93" spans="1:27" ht="15">
      <c r="A93" s="10"/>
      <c r="AA93" s="10"/>
    </row>
    <row r="94" spans="1:27" ht="15">
      <c r="A94" s="10"/>
      <c r="AA94" s="10"/>
    </row>
    <row r="95" spans="1:27" ht="15">
      <c r="A95" s="10"/>
      <c r="AA95" s="10"/>
    </row>
    <row r="96" spans="1:27" ht="15">
      <c r="A96" s="10"/>
      <c r="AA96" s="10"/>
    </row>
    <row r="97" spans="1:27" ht="15">
      <c r="A97" s="10"/>
      <c r="AA97" s="10"/>
    </row>
    <row r="98" spans="1:27" ht="15">
      <c r="A98" s="10"/>
      <c r="AA98" s="10"/>
    </row>
    <row r="99" spans="1:27" ht="15">
      <c r="A99" s="10"/>
      <c r="AA99" s="10"/>
    </row>
    <row r="100" spans="1:27" ht="15">
      <c r="A100" s="10"/>
      <c r="AA100" s="10"/>
    </row>
    <row r="101" spans="1:27" ht="15">
      <c r="A101" s="10"/>
      <c r="AA101" s="10"/>
    </row>
    <row r="102" spans="1:27" ht="15">
      <c r="A102" s="10"/>
      <c r="AA102" s="10"/>
    </row>
    <row r="103" spans="1:27" ht="15">
      <c r="A103" s="10"/>
      <c r="C103" s="10"/>
      <c r="D103" s="10"/>
      <c r="F103" s="10"/>
      <c r="G103" s="10"/>
      <c r="H103" s="10"/>
      <c r="I103" s="10"/>
      <c r="J103" s="10"/>
      <c r="K103" s="10"/>
      <c r="L103" s="10"/>
      <c r="M103" s="10"/>
      <c r="N103" s="10"/>
      <c r="O103" s="10"/>
      <c r="P103" s="10"/>
      <c r="Q103" s="10"/>
      <c r="R103" s="10"/>
      <c r="S103" s="10"/>
      <c r="T103" s="10"/>
      <c r="U103" s="10"/>
      <c r="V103" s="10"/>
      <c r="W103" s="10"/>
      <c r="X103" s="10"/>
      <c r="Y103" s="10"/>
      <c r="Z103" s="10"/>
      <c r="AA103" s="10"/>
    </row>
    <row r="104" spans="1:27" ht="15">
      <c r="A104" s="10"/>
      <c r="C104" s="10"/>
      <c r="D104" s="10"/>
      <c r="F104" s="10"/>
      <c r="G104" s="10"/>
      <c r="H104" s="10"/>
      <c r="I104" s="10"/>
      <c r="J104" s="10"/>
      <c r="K104" s="10"/>
      <c r="L104" s="10"/>
      <c r="M104" s="10"/>
      <c r="N104" s="10"/>
      <c r="O104" s="10"/>
      <c r="P104" s="10"/>
      <c r="Q104" s="10"/>
      <c r="R104" s="10"/>
      <c r="S104" s="10"/>
      <c r="T104" s="10"/>
      <c r="U104" s="10"/>
      <c r="V104" s="10"/>
      <c r="W104" s="10"/>
      <c r="X104" s="10"/>
      <c r="Y104" s="10"/>
      <c r="Z104" s="10"/>
      <c r="AA104" s="10"/>
    </row>
    <row r="105" ht="15">
      <c r="A105" s="10"/>
    </row>
  </sheetData>
  <printOptions/>
  <pageMargins left="0.75" right="0.75" top="1" bottom="1" header="0.5" footer="0.5"/>
  <pageSetup horizontalDpi="180" verticalDpi="180" orientation="portrait" paperSize="9"/>
  <legacyDrawing r:id="rId2"/>
</worksheet>
</file>

<file path=xl/worksheets/sheet8.xml><?xml version="1.0" encoding="utf-8"?>
<worksheet xmlns="http://schemas.openxmlformats.org/spreadsheetml/2006/main" xmlns:r="http://schemas.openxmlformats.org/officeDocument/2006/relationships">
  <dimension ref="A1:R85"/>
  <sheetViews>
    <sheetView tabSelected="1" workbookViewId="0" topLeftCell="A1">
      <selection activeCell="I5" sqref="I5"/>
    </sheetView>
  </sheetViews>
  <sheetFormatPr defaultColWidth="11.00390625" defaultRowHeight="12.75"/>
  <cols>
    <col min="1" max="16384" width="8.75390625" style="1" customWidth="1"/>
  </cols>
  <sheetData>
    <row r="1" spans="1:3" ht="15.75">
      <c r="A1" s="31" t="s">
        <v>12</v>
      </c>
      <c r="B1" s="39"/>
      <c r="C1" s="40"/>
    </row>
    <row r="3" spans="1:18" ht="15.75">
      <c r="A3" s="3" t="s">
        <v>11</v>
      </c>
      <c r="B3" s="2"/>
      <c r="C3" s="2"/>
      <c r="D3" s="2"/>
      <c r="E3" s="2"/>
      <c r="F3" s="2"/>
      <c r="G3" s="2"/>
      <c r="H3" s="2"/>
      <c r="I3" s="2"/>
      <c r="J3" s="2"/>
      <c r="K3" s="2"/>
      <c r="L3" s="2"/>
      <c r="M3" s="2"/>
      <c r="N3" s="2"/>
      <c r="O3" s="2"/>
      <c r="P3" s="2"/>
      <c r="Q3" s="2"/>
      <c r="R3" s="2"/>
    </row>
    <row r="4" spans="1:18" ht="15.75">
      <c r="A4" s="2" t="s">
        <v>10</v>
      </c>
      <c r="B4" s="2"/>
      <c r="C4" s="2"/>
      <c r="D4" s="2"/>
      <c r="E4" s="2"/>
      <c r="F4" s="2"/>
      <c r="G4" s="2"/>
      <c r="H4" s="2"/>
      <c r="I4" s="2"/>
      <c r="J4" s="2"/>
      <c r="K4" s="2"/>
      <c r="L4" s="2"/>
      <c r="M4" s="2"/>
      <c r="N4" s="2"/>
      <c r="O4" s="2"/>
      <c r="P4" s="2"/>
      <c r="Q4" s="2"/>
      <c r="R4" s="2"/>
    </row>
    <row r="5" spans="1:18" ht="15.75">
      <c r="A5" s="2"/>
      <c r="B5" s="2"/>
      <c r="C5" s="2"/>
      <c r="D5" s="2"/>
      <c r="E5" s="2"/>
      <c r="F5" s="2"/>
      <c r="G5" s="2"/>
      <c r="H5" s="2"/>
      <c r="I5" s="2"/>
      <c r="J5" s="2"/>
      <c r="K5" s="2"/>
      <c r="L5" s="2"/>
      <c r="M5" s="2"/>
      <c r="N5" s="2"/>
      <c r="O5" s="2"/>
      <c r="P5" s="2"/>
      <c r="Q5" s="2"/>
      <c r="R5" s="2"/>
    </row>
    <row r="6" spans="1:18" ht="15.75">
      <c r="A6" s="3" t="s">
        <v>9</v>
      </c>
      <c r="B6" s="2"/>
      <c r="C6" s="2"/>
      <c r="D6" s="2"/>
      <c r="E6" s="2"/>
      <c r="F6" s="2"/>
      <c r="G6" s="2"/>
      <c r="H6" s="2"/>
      <c r="I6" s="2"/>
      <c r="J6" s="2"/>
      <c r="K6" s="2"/>
      <c r="L6" s="2"/>
      <c r="M6" s="2"/>
      <c r="N6" s="2"/>
      <c r="O6" s="2"/>
      <c r="P6" s="2"/>
      <c r="Q6" s="2"/>
      <c r="R6" s="2"/>
    </row>
    <row r="7" spans="1:18" ht="15.75">
      <c r="A7" s="2" t="s">
        <v>84</v>
      </c>
      <c r="B7" s="2"/>
      <c r="C7" s="2"/>
      <c r="D7" s="2"/>
      <c r="E7" s="2"/>
      <c r="F7" s="2"/>
      <c r="G7" s="2"/>
      <c r="H7" s="2"/>
      <c r="I7" s="2"/>
      <c r="J7" s="2"/>
      <c r="K7" s="2"/>
      <c r="L7" s="2"/>
      <c r="M7" s="2"/>
      <c r="N7" s="2"/>
      <c r="O7" s="2"/>
      <c r="P7" s="2"/>
      <c r="Q7" s="2"/>
      <c r="R7" s="2"/>
    </row>
    <row r="8" spans="1:18" ht="15.75">
      <c r="A8" s="2" t="s">
        <v>50</v>
      </c>
      <c r="B8" s="2"/>
      <c r="C8" s="2"/>
      <c r="D8" s="2"/>
      <c r="E8" s="2"/>
      <c r="F8" s="2"/>
      <c r="G8" s="2"/>
      <c r="H8" s="2"/>
      <c r="I8" s="2"/>
      <c r="J8" s="2"/>
      <c r="K8" s="2"/>
      <c r="L8" s="2"/>
      <c r="M8" s="2"/>
      <c r="N8" s="2"/>
      <c r="O8" s="2"/>
      <c r="P8" s="2"/>
      <c r="Q8" s="2"/>
      <c r="R8" s="2"/>
    </row>
    <row r="9" spans="1:18" ht="15.75">
      <c r="A9" s="2" t="s">
        <v>280</v>
      </c>
      <c r="B9" s="2"/>
      <c r="C9" s="2"/>
      <c r="D9" s="2"/>
      <c r="E9" s="2"/>
      <c r="F9" s="2"/>
      <c r="G9" s="2"/>
      <c r="H9" s="2"/>
      <c r="I9" s="2"/>
      <c r="J9" s="2"/>
      <c r="K9" s="2"/>
      <c r="L9" s="2"/>
      <c r="M9" s="2"/>
      <c r="N9" s="2"/>
      <c r="O9" s="2"/>
      <c r="P9" s="2"/>
      <c r="Q9" s="2"/>
      <c r="R9" s="2"/>
    </row>
    <row r="10" spans="1:18" ht="15.75">
      <c r="A10" s="2" t="s">
        <v>314</v>
      </c>
      <c r="B10" s="2"/>
      <c r="C10" s="2"/>
      <c r="D10" s="2"/>
      <c r="E10" s="2"/>
      <c r="F10" s="2"/>
      <c r="G10" s="2"/>
      <c r="H10" s="2"/>
      <c r="I10" s="2"/>
      <c r="J10" s="2"/>
      <c r="K10" s="2"/>
      <c r="L10" s="2"/>
      <c r="M10" s="2"/>
      <c r="N10" s="2"/>
      <c r="O10" s="2"/>
      <c r="P10" s="2"/>
      <c r="Q10" s="2"/>
      <c r="R10" s="2"/>
    </row>
    <row r="11" spans="1:18" ht="15.75">
      <c r="A11" s="2" t="s">
        <v>315</v>
      </c>
      <c r="B11" s="2"/>
      <c r="C11" s="2"/>
      <c r="D11" s="2"/>
      <c r="E11" s="2"/>
      <c r="F11" s="2"/>
      <c r="G11" s="2"/>
      <c r="H11" s="2"/>
      <c r="I11" s="2"/>
      <c r="J11" s="2"/>
      <c r="K11" s="2"/>
      <c r="L11" s="2"/>
      <c r="M11" s="2"/>
      <c r="N11" s="2"/>
      <c r="O11" s="2"/>
      <c r="P11" s="2"/>
      <c r="Q11" s="2"/>
      <c r="R11" s="2"/>
    </row>
    <row r="12" spans="1:18" ht="15.75">
      <c r="A12" s="2" t="s">
        <v>316</v>
      </c>
      <c r="B12" s="2"/>
      <c r="C12" s="2"/>
      <c r="D12" s="2"/>
      <c r="E12" s="2"/>
      <c r="F12" s="2"/>
      <c r="G12" s="2"/>
      <c r="H12" s="2"/>
      <c r="I12" s="2"/>
      <c r="J12" s="2"/>
      <c r="K12" s="2"/>
      <c r="L12" s="2"/>
      <c r="M12" s="2"/>
      <c r="N12" s="2"/>
      <c r="O12" s="2"/>
      <c r="P12" s="2"/>
      <c r="Q12" s="2"/>
      <c r="R12" s="2"/>
    </row>
    <row r="13" spans="1:18" ht="15.75">
      <c r="A13" s="2" t="s">
        <v>226</v>
      </c>
      <c r="B13" s="2"/>
      <c r="C13" s="2"/>
      <c r="D13" s="2"/>
      <c r="E13" s="2"/>
      <c r="F13" s="2"/>
      <c r="G13" s="2"/>
      <c r="H13" s="2"/>
      <c r="I13" s="2"/>
      <c r="J13" s="2"/>
      <c r="K13" s="2"/>
      <c r="L13" s="2"/>
      <c r="M13" s="2"/>
      <c r="N13" s="2"/>
      <c r="O13" s="2"/>
      <c r="P13" s="2"/>
      <c r="Q13" s="2"/>
      <c r="R13" s="2"/>
    </row>
    <row r="14" spans="1:18" ht="15.75">
      <c r="A14" s="2" t="s">
        <v>326</v>
      </c>
      <c r="B14" s="2"/>
      <c r="C14" s="2"/>
      <c r="D14" s="2"/>
      <c r="E14" s="2"/>
      <c r="F14" s="2"/>
      <c r="G14" s="2"/>
      <c r="H14" s="2"/>
      <c r="I14" s="2"/>
      <c r="J14" s="2"/>
      <c r="K14" s="2"/>
      <c r="L14" s="2"/>
      <c r="M14" s="2"/>
      <c r="N14" s="2"/>
      <c r="O14" s="2"/>
      <c r="P14" s="2"/>
      <c r="Q14" s="2"/>
      <c r="R14" s="2"/>
    </row>
    <row r="15" spans="1:18" ht="15.75">
      <c r="A15" s="2" t="s">
        <v>327</v>
      </c>
      <c r="B15" s="2"/>
      <c r="C15" s="2"/>
      <c r="D15" s="2"/>
      <c r="E15" s="2"/>
      <c r="F15" s="2"/>
      <c r="G15" s="2"/>
      <c r="H15" s="2"/>
      <c r="I15" s="2"/>
      <c r="J15" s="2"/>
      <c r="K15" s="2"/>
      <c r="L15" s="2"/>
      <c r="M15" s="2"/>
      <c r="N15" s="2"/>
      <c r="O15" s="2"/>
      <c r="P15" s="2"/>
      <c r="Q15" s="2"/>
      <c r="R15" s="2"/>
    </row>
    <row r="16" spans="1:18" ht="15.75">
      <c r="A16" s="2" t="s">
        <v>209</v>
      </c>
      <c r="B16" s="2"/>
      <c r="C16" s="2"/>
      <c r="D16" s="2"/>
      <c r="E16" s="2"/>
      <c r="F16" s="2"/>
      <c r="G16" s="2"/>
      <c r="H16" s="2"/>
      <c r="I16" s="2"/>
      <c r="J16" s="2"/>
      <c r="K16" s="2"/>
      <c r="L16" s="2"/>
      <c r="M16" s="2"/>
      <c r="N16" s="2"/>
      <c r="O16" s="2"/>
      <c r="P16" s="2"/>
      <c r="Q16" s="2"/>
      <c r="R16" s="2"/>
    </row>
    <row r="17" spans="1:18" ht="15.75">
      <c r="A17" s="2" t="s">
        <v>320</v>
      </c>
      <c r="B17" s="2"/>
      <c r="C17" s="2"/>
      <c r="D17" s="2"/>
      <c r="E17" s="2"/>
      <c r="F17" s="2"/>
      <c r="G17" s="2"/>
      <c r="H17" s="2"/>
      <c r="I17" s="2"/>
      <c r="J17" s="2"/>
      <c r="K17" s="2"/>
      <c r="L17" s="2"/>
      <c r="M17" s="2"/>
      <c r="N17" s="2"/>
      <c r="O17" s="2"/>
      <c r="P17" s="2"/>
      <c r="Q17" s="2"/>
      <c r="R17" s="2"/>
    </row>
    <row r="18" spans="1:18" ht="15.75">
      <c r="A18" s="2" t="s">
        <v>328</v>
      </c>
      <c r="B18" s="2"/>
      <c r="C18" s="2"/>
      <c r="D18" s="2"/>
      <c r="E18" s="2"/>
      <c r="F18" s="2"/>
      <c r="G18" s="2"/>
      <c r="H18" s="2"/>
      <c r="I18" s="2"/>
      <c r="J18" s="2"/>
      <c r="K18" s="2"/>
      <c r="L18" s="2"/>
      <c r="M18" s="2"/>
      <c r="N18" s="2"/>
      <c r="O18" s="2"/>
      <c r="P18" s="2"/>
      <c r="Q18" s="2"/>
      <c r="R18" s="2"/>
    </row>
    <row r="19" spans="1:18" ht="15.75">
      <c r="A19" s="2" t="s">
        <v>329</v>
      </c>
      <c r="B19" s="2"/>
      <c r="C19" s="2"/>
      <c r="D19" s="2"/>
      <c r="E19" s="2"/>
      <c r="F19" s="2"/>
      <c r="G19" s="2"/>
      <c r="H19" s="2"/>
      <c r="I19" s="2"/>
      <c r="J19" s="2"/>
      <c r="K19" s="2"/>
      <c r="L19" s="2"/>
      <c r="M19" s="2"/>
      <c r="N19" s="2"/>
      <c r="O19" s="2"/>
      <c r="P19" s="2"/>
      <c r="Q19" s="2"/>
      <c r="R19" s="2"/>
    </row>
    <row r="20" spans="1:18" ht="15.75">
      <c r="A20" s="2" t="s">
        <v>179</v>
      </c>
      <c r="B20" s="2"/>
      <c r="C20" s="2"/>
      <c r="D20" s="2"/>
      <c r="E20" s="2"/>
      <c r="F20" s="2"/>
      <c r="G20" s="2"/>
      <c r="H20" s="2"/>
      <c r="I20" s="2"/>
      <c r="J20" s="2"/>
      <c r="K20" s="2"/>
      <c r="L20" s="2"/>
      <c r="M20" s="2"/>
      <c r="N20" s="2"/>
      <c r="O20" s="2"/>
      <c r="P20" s="2"/>
      <c r="Q20" s="2"/>
      <c r="R20" s="2"/>
    </row>
    <row r="21" spans="1:18" ht="15.75">
      <c r="A21" s="2" t="s">
        <v>97</v>
      </c>
      <c r="B21" s="2"/>
      <c r="C21" s="2"/>
      <c r="D21" s="2"/>
      <c r="E21" s="2"/>
      <c r="F21" s="2"/>
      <c r="G21" s="2"/>
      <c r="H21" s="2"/>
      <c r="I21" s="2"/>
      <c r="J21" s="2"/>
      <c r="K21" s="2"/>
      <c r="L21" s="2"/>
      <c r="M21" s="2"/>
      <c r="N21" s="2"/>
      <c r="O21" s="2"/>
      <c r="P21" s="2"/>
      <c r="Q21" s="2"/>
      <c r="R21" s="2"/>
    </row>
    <row r="22" spans="1:18" ht="15.75">
      <c r="A22" s="2" t="s">
        <v>180</v>
      </c>
      <c r="B22" s="2"/>
      <c r="C22" s="2"/>
      <c r="D22" s="2"/>
      <c r="E22" s="2"/>
      <c r="F22" s="2"/>
      <c r="G22" s="2"/>
      <c r="H22" s="2"/>
      <c r="I22" s="2"/>
      <c r="J22" s="2"/>
      <c r="K22" s="2"/>
      <c r="L22" s="2"/>
      <c r="M22" s="2"/>
      <c r="N22" s="2"/>
      <c r="O22" s="2"/>
      <c r="P22" s="2"/>
      <c r="Q22" s="2"/>
      <c r="R22" s="2"/>
    </row>
    <row r="23" spans="1:18" ht="15.75">
      <c r="A23" s="2" t="s">
        <v>6</v>
      </c>
      <c r="B23" s="2"/>
      <c r="C23" s="2"/>
      <c r="D23" s="2"/>
      <c r="E23" s="2"/>
      <c r="F23" s="2"/>
      <c r="G23" s="2"/>
      <c r="H23" s="2"/>
      <c r="I23" s="2"/>
      <c r="J23" s="2"/>
      <c r="K23" s="2"/>
      <c r="L23" s="2"/>
      <c r="M23" s="2"/>
      <c r="N23" s="2"/>
      <c r="O23" s="2"/>
      <c r="P23" s="2"/>
      <c r="Q23" s="2"/>
      <c r="R23" s="2"/>
    </row>
    <row r="24" spans="1:18" ht="15.75">
      <c r="A24" s="2" t="s">
        <v>90</v>
      </c>
      <c r="B24" s="2"/>
      <c r="C24" s="2"/>
      <c r="D24" s="2"/>
      <c r="E24" s="2"/>
      <c r="F24" s="2"/>
      <c r="G24" s="2"/>
      <c r="H24" s="2"/>
      <c r="I24" s="2"/>
      <c r="J24" s="2"/>
      <c r="K24" s="2"/>
      <c r="L24" s="2"/>
      <c r="M24" s="2"/>
      <c r="N24" s="2"/>
      <c r="O24" s="2"/>
      <c r="P24" s="2"/>
      <c r="Q24" s="2"/>
      <c r="R24" s="2"/>
    </row>
    <row r="25" spans="1:18" ht="15.75">
      <c r="A25" s="2" t="s">
        <v>91</v>
      </c>
      <c r="B25" s="2"/>
      <c r="C25" s="2"/>
      <c r="D25" s="2"/>
      <c r="E25" s="2"/>
      <c r="F25" s="2"/>
      <c r="G25" s="2"/>
      <c r="H25" s="2"/>
      <c r="I25" s="2"/>
      <c r="J25" s="2"/>
      <c r="K25" s="2"/>
      <c r="L25" s="2"/>
      <c r="M25" s="2"/>
      <c r="N25" s="2"/>
      <c r="O25" s="2"/>
      <c r="P25" s="2"/>
      <c r="Q25" s="2"/>
      <c r="R25" s="2"/>
    </row>
    <row r="26" spans="1:18" ht="15.75">
      <c r="A26" s="2" t="s">
        <v>215</v>
      </c>
      <c r="B26" s="2"/>
      <c r="C26" s="2"/>
      <c r="D26" s="2"/>
      <c r="E26" s="2"/>
      <c r="F26" s="2"/>
      <c r="G26" s="2"/>
      <c r="H26" s="2"/>
      <c r="I26" s="2"/>
      <c r="J26" s="2"/>
      <c r="K26" s="2"/>
      <c r="L26" s="2"/>
      <c r="M26" s="2"/>
      <c r="N26" s="2"/>
      <c r="O26" s="2"/>
      <c r="P26" s="2"/>
      <c r="Q26" s="2"/>
      <c r="R26" s="2"/>
    </row>
    <row r="27" spans="1:18" ht="15.75">
      <c r="A27" s="2" t="s">
        <v>78</v>
      </c>
      <c r="B27" s="2"/>
      <c r="C27" s="2"/>
      <c r="D27" s="2"/>
      <c r="E27" s="2"/>
      <c r="F27" s="2"/>
      <c r="G27" s="2"/>
      <c r="H27" s="2"/>
      <c r="I27" s="2"/>
      <c r="J27" s="2"/>
      <c r="K27" s="2"/>
      <c r="L27" s="2"/>
      <c r="M27" s="2"/>
      <c r="N27" s="2"/>
      <c r="O27" s="2"/>
      <c r="P27" s="2"/>
      <c r="Q27" s="2"/>
      <c r="R27" s="2"/>
    </row>
    <row r="28" spans="1:18" ht="15.75">
      <c r="A28" s="2" t="s">
        <v>216</v>
      </c>
      <c r="B28" s="2"/>
      <c r="C28" s="2"/>
      <c r="D28" s="2"/>
      <c r="E28" s="2"/>
      <c r="F28" s="2"/>
      <c r="G28" s="2"/>
      <c r="H28" s="2"/>
      <c r="I28" s="2"/>
      <c r="J28" s="2"/>
      <c r="K28" s="2"/>
      <c r="L28" s="2"/>
      <c r="M28" s="2"/>
      <c r="N28" s="2"/>
      <c r="O28" s="2"/>
      <c r="P28" s="2"/>
      <c r="Q28" s="2"/>
      <c r="R28" s="2"/>
    </row>
    <row r="29" spans="1:18" ht="15.75">
      <c r="A29" s="2" t="s">
        <v>394</v>
      </c>
      <c r="B29" s="2"/>
      <c r="C29" s="2"/>
      <c r="D29" s="2"/>
      <c r="E29" s="2"/>
      <c r="F29" s="2"/>
      <c r="G29" s="2"/>
      <c r="H29" s="2"/>
      <c r="I29" s="2"/>
      <c r="J29" s="2"/>
      <c r="K29" s="2"/>
      <c r="L29" s="2"/>
      <c r="M29" s="2"/>
      <c r="N29" s="2"/>
      <c r="O29" s="2"/>
      <c r="P29" s="2"/>
      <c r="Q29" s="2"/>
      <c r="R29" s="2"/>
    </row>
    <row r="30" spans="1:18" ht="15.75">
      <c r="A30" s="2" t="s">
        <v>2</v>
      </c>
      <c r="B30" s="2"/>
      <c r="C30" s="2"/>
      <c r="D30" s="2"/>
      <c r="E30" s="2"/>
      <c r="F30" s="2"/>
      <c r="G30" s="2"/>
      <c r="H30" s="2"/>
      <c r="I30" s="2"/>
      <c r="J30" s="2"/>
      <c r="K30" s="2"/>
      <c r="L30" s="2"/>
      <c r="M30" s="2"/>
      <c r="N30" s="2"/>
      <c r="O30" s="2"/>
      <c r="P30" s="2"/>
      <c r="Q30" s="2"/>
      <c r="R30" s="2"/>
    </row>
    <row r="31" spans="1:18" ht="15.75">
      <c r="A31" s="2" t="s">
        <v>92</v>
      </c>
      <c r="B31" s="2"/>
      <c r="C31" s="2"/>
      <c r="D31" s="2"/>
      <c r="E31" s="2"/>
      <c r="F31" s="2"/>
      <c r="G31" s="2"/>
      <c r="H31" s="2"/>
      <c r="I31" s="2"/>
      <c r="J31" s="2"/>
      <c r="K31" s="2"/>
      <c r="L31" s="2"/>
      <c r="M31" s="2"/>
      <c r="N31" s="2"/>
      <c r="O31" s="2"/>
      <c r="P31" s="2"/>
      <c r="Q31" s="2"/>
      <c r="R31" s="2"/>
    </row>
    <row r="32" spans="1:18" ht="15.75">
      <c r="A32" s="2" t="s">
        <v>93</v>
      </c>
      <c r="B32" s="2"/>
      <c r="C32" s="2"/>
      <c r="D32" s="2"/>
      <c r="E32" s="2"/>
      <c r="F32" s="2"/>
      <c r="G32" s="2"/>
      <c r="H32" s="2"/>
      <c r="I32" s="2"/>
      <c r="J32" s="2"/>
      <c r="K32" s="2"/>
      <c r="L32" s="2"/>
      <c r="M32" s="2"/>
      <c r="N32" s="2"/>
      <c r="O32" s="2"/>
      <c r="P32" s="2"/>
      <c r="Q32" s="2"/>
      <c r="R32" s="2"/>
    </row>
    <row r="33" spans="1:18" ht="15.75">
      <c r="A33" s="2" t="s">
        <v>94</v>
      </c>
      <c r="B33" s="2"/>
      <c r="C33" s="2"/>
      <c r="D33" s="2"/>
      <c r="E33" s="2"/>
      <c r="F33" s="2"/>
      <c r="G33" s="2"/>
      <c r="H33" s="2"/>
      <c r="I33" s="2"/>
      <c r="J33" s="2"/>
      <c r="K33" s="2"/>
      <c r="L33" s="2"/>
      <c r="M33" s="2"/>
      <c r="N33" s="2"/>
      <c r="O33" s="2"/>
      <c r="P33" s="2"/>
      <c r="Q33" s="2"/>
      <c r="R33" s="2"/>
    </row>
    <row r="34" spans="1:18" ht="15.75">
      <c r="A34" s="2" t="s">
        <v>95</v>
      </c>
      <c r="B34" s="2"/>
      <c r="C34" s="2"/>
      <c r="D34" s="2"/>
      <c r="E34" s="2"/>
      <c r="F34" s="2"/>
      <c r="G34" s="2"/>
      <c r="H34" s="2"/>
      <c r="I34" s="2"/>
      <c r="J34" s="2"/>
      <c r="K34" s="2"/>
      <c r="L34" s="2"/>
      <c r="M34" s="2"/>
      <c r="N34" s="2"/>
      <c r="O34" s="2"/>
      <c r="P34" s="2"/>
      <c r="Q34" s="2"/>
      <c r="R34" s="2"/>
    </row>
    <row r="35" spans="1:18" ht="15.75">
      <c r="A35" s="2" t="s">
        <v>96</v>
      </c>
      <c r="B35" s="2"/>
      <c r="C35" s="2"/>
      <c r="D35" s="2"/>
      <c r="E35" s="2"/>
      <c r="F35" s="2"/>
      <c r="G35" s="2"/>
      <c r="H35" s="2"/>
      <c r="I35" s="2"/>
      <c r="J35" s="2"/>
      <c r="K35" s="2"/>
      <c r="L35" s="2"/>
      <c r="M35" s="2"/>
      <c r="N35" s="2"/>
      <c r="O35" s="2"/>
      <c r="P35" s="2"/>
      <c r="Q35" s="2"/>
      <c r="R35" s="2"/>
    </row>
    <row r="36" spans="1:18" ht="15.75">
      <c r="A36" s="2" t="s">
        <v>79</v>
      </c>
      <c r="B36" s="2"/>
      <c r="C36" s="2"/>
      <c r="D36" s="2"/>
      <c r="E36" s="2"/>
      <c r="F36" s="2"/>
      <c r="G36" s="2"/>
      <c r="H36" s="2"/>
      <c r="I36" s="2"/>
      <c r="J36" s="2"/>
      <c r="K36" s="2"/>
      <c r="L36" s="2"/>
      <c r="M36" s="2"/>
      <c r="N36" s="2"/>
      <c r="O36" s="2"/>
      <c r="P36" s="2"/>
      <c r="Q36" s="2"/>
      <c r="R36" s="2"/>
    </row>
    <row r="37" spans="1:18" ht="15.75">
      <c r="A37" s="2" t="s">
        <v>156</v>
      </c>
      <c r="B37" s="2"/>
      <c r="C37" s="2"/>
      <c r="D37" s="2"/>
      <c r="E37" s="2"/>
      <c r="F37" s="2"/>
      <c r="G37" s="2"/>
      <c r="H37" s="2"/>
      <c r="I37" s="2"/>
      <c r="J37" s="2"/>
      <c r="K37" s="2"/>
      <c r="L37" s="2"/>
      <c r="M37" s="2"/>
      <c r="N37" s="2"/>
      <c r="O37" s="2"/>
      <c r="P37" s="2"/>
      <c r="Q37" s="2"/>
      <c r="R37" s="2"/>
    </row>
    <row r="38" spans="1:18" ht="15.75">
      <c r="A38" s="2" t="s">
        <v>135</v>
      </c>
      <c r="B38" s="2"/>
      <c r="C38" s="2"/>
      <c r="D38" s="2"/>
      <c r="E38" s="2"/>
      <c r="F38" s="2"/>
      <c r="G38" s="2"/>
      <c r="H38" s="2"/>
      <c r="I38" s="2"/>
      <c r="J38" s="2"/>
      <c r="K38" s="2"/>
      <c r="L38" s="2"/>
      <c r="M38" s="2"/>
      <c r="N38" s="2"/>
      <c r="O38" s="2"/>
      <c r="P38" s="2"/>
      <c r="Q38" s="2"/>
      <c r="R38" s="2"/>
    </row>
    <row r="39" spans="1:18" ht="15.75">
      <c r="A39" s="2" t="s">
        <v>86</v>
      </c>
      <c r="B39" s="2"/>
      <c r="C39" s="2"/>
      <c r="D39" s="2"/>
      <c r="E39" s="2"/>
      <c r="F39" s="2"/>
      <c r="G39" s="2"/>
      <c r="H39" s="2"/>
      <c r="I39" s="2"/>
      <c r="J39" s="2"/>
      <c r="K39" s="2"/>
      <c r="L39" s="2"/>
      <c r="M39" s="2"/>
      <c r="N39" s="2"/>
      <c r="O39" s="2"/>
      <c r="P39" s="2"/>
      <c r="Q39" s="2"/>
      <c r="R39" s="2"/>
    </row>
    <row r="40" spans="1:18" ht="15.75">
      <c r="A40" s="2" t="s">
        <v>48</v>
      </c>
      <c r="B40" s="2"/>
      <c r="C40" s="2"/>
      <c r="D40" s="2"/>
      <c r="E40" s="2"/>
      <c r="F40" s="2"/>
      <c r="G40" s="2"/>
      <c r="H40" s="2"/>
      <c r="I40" s="2"/>
      <c r="J40" s="2"/>
      <c r="K40" s="2"/>
      <c r="L40" s="2"/>
      <c r="M40" s="2"/>
      <c r="N40" s="2"/>
      <c r="O40" s="2"/>
      <c r="P40" s="2"/>
      <c r="Q40" s="2"/>
      <c r="R40" s="2"/>
    </row>
    <row r="41" spans="1:18" ht="15.75">
      <c r="A41" s="2" t="s">
        <v>42</v>
      </c>
      <c r="B41" s="2"/>
      <c r="C41" s="2"/>
      <c r="D41" s="2"/>
      <c r="E41" s="2"/>
      <c r="F41" s="2"/>
      <c r="G41" s="2"/>
      <c r="H41" s="2"/>
      <c r="I41" s="2"/>
      <c r="J41" s="2"/>
      <c r="K41" s="2"/>
      <c r="L41" s="2"/>
      <c r="M41" s="2"/>
      <c r="N41" s="2"/>
      <c r="O41" s="2"/>
      <c r="P41" s="2"/>
      <c r="Q41" s="2"/>
      <c r="R41" s="2"/>
    </row>
    <row r="42" spans="1:18" ht="15.75">
      <c r="A42" s="2" t="s">
        <v>43</v>
      </c>
      <c r="B42" s="2"/>
      <c r="C42" s="2"/>
      <c r="D42" s="2"/>
      <c r="E42" s="2"/>
      <c r="F42" s="2"/>
      <c r="G42" s="2"/>
      <c r="H42" s="2"/>
      <c r="I42" s="2"/>
      <c r="J42" s="2"/>
      <c r="K42" s="2"/>
      <c r="L42" s="2"/>
      <c r="M42" s="2"/>
      <c r="N42" s="2"/>
      <c r="O42" s="2"/>
      <c r="P42" s="2"/>
      <c r="Q42" s="2"/>
      <c r="R42" s="2"/>
    </row>
    <row r="43" spans="1:18" ht="15.75">
      <c r="A43" s="2" t="s">
        <v>44</v>
      </c>
      <c r="B43" s="2"/>
      <c r="C43" s="2"/>
      <c r="D43" s="2"/>
      <c r="E43" s="2"/>
      <c r="F43" s="2"/>
      <c r="G43" s="2"/>
      <c r="H43" s="2"/>
      <c r="I43" s="2"/>
      <c r="J43" s="2"/>
      <c r="K43" s="2"/>
      <c r="L43" s="2"/>
      <c r="M43" s="2"/>
      <c r="N43" s="2"/>
      <c r="O43" s="2"/>
      <c r="P43" s="2"/>
      <c r="Q43" s="2"/>
      <c r="R43" s="2"/>
    </row>
    <row r="44" spans="1:18" ht="15.75">
      <c r="A44" s="2" t="s">
        <v>45</v>
      </c>
      <c r="B44" s="2"/>
      <c r="C44" s="2"/>
      <c r="D44" s="2"/>
      <c r="E44" s="2"/>
      <c r="F44" s="2"/>
      <c r="G44" s="2"/>
      <c r="H44" s="2"/>
      <c r="I44" s="2"/>
      <c r="J44" s="2"/>
      <c r="K44" s="2"/>
      <c r="L44" s="2"/>
      <c r="M44" s="2"/>
      <c r="N44" s="2"/>
      <c r="O44" s="2"/>
      <c r="P44" s="2"/>
      <c r="Q44" s="2"/>
      <c r="R44" s="2"/>
    </row>
    <row r="45" spans="1:18" ht="15.75">
      <c r="A45" s="2" t="s">
        <v>393</v>
      </c>
      <c r="B45" s="2"/>
      <c r="C45" s="2"/>
      <c r="D45" s="2"/>
      <c r="E45" s="2"/>
      <c r="F45" s="2"/>
      <c r="G45" s="2"/>
      <c r="H45" s="2"/>
      <c r="I45" s="2"/>
      <c r="J45" s="2"/>
      <c r="K45" s="2"/>
      <c r="L45" s="2"/>
      <c r="M45" s="2"/>
      <c r="N45" s="2"/>
      <c r="O45" s="2"/>
      <c r="P45" s="2"/>
      <c r="Q45" s="2"/>
      <c r="R45" s="2"/>
    </row>
    <row r="46" spans="1:18" ht="15.75">
      <c r="A46" s="2" t="s">
        <v>265</v>
      </c>
      <c r="B46" s="2"/>
      <c r="C46" s="2"/>
      <c r="D46" s="2"/>
      <c r="E46" s="2"/>
      <c r="F46" s="2"/>
      <c r="G46" s="2"/>
      <c r="H46" s="2"/>
      <c r="I46" s="2"/>
      <c r="J46" s="2"/>
      <c r="K46" s="2"/>
      <c r="L46" s="2"/>
      <c r="M46" s="2"/>
      <c r="N46" s="2"/>
      <c r="O46" s="2"/>
      <c r="P46" s="2"/>
      <c r="Q46" s="2"/>
      <c r="R46" s="2"/>
    </row>
    <row r="47" spans="1:18" ht="15.75">
      <c r="A47" s="2" t="s">
        <v>207</v>
      </c>
      <c r="B47" s="2"/>
      <c r="C47" s="2"/>
      <c r="D47" s="2"/>
      <c r="E47" s="2"/>
      <c r="F47" s="2"/>
      <c r="G47" s="2"/>
      <c r="H47" s="2"/>
      <c r="I47" s="2"/>
      <c r="J47" s="2"/>
      <c r="K47" s="2"/>
      <c r="L47" s="2"/>
      <c r="M47" s="2"/>
      <c r="N47" s="2"/>
      <c r="O47" s="2"/>
      <c r="P47" s="2"/>
      <c r="Q47" s="2"/>
      <c r="R47" s="2"/>
    </row>
    <row r="48" spans="1:18" ht="15.75">
      <c r="A48" s="2" t="s">
        <v>136</v>
      </c>
      <c r="B48" s="2"/>
      <c r="C48" s="2"/>
      <c r="D48" s="2"/>
      <c r="E48" s="2"/>
      <c r="F48" s="2"/>
      <c r="G48" s="2"/>
      <c r="H48" s="2"/>
      <c r="I48" s="2"/>
      <c r="J48" s="2"/>
      <c r="K48" s="2"/>
      <c r="L48" s="2"/>
      <c r="M48" s="2"/>
      <c r="N48" s="2"/>
      <c r="O48" s="2"/>
      <c r="P48" s="2"/>
      <c r="Q48" s="2"/>
      <c r="R48" s="2"/>
    </row>
    <row r="49" spans="1:18" ht="15.75">
      <c r="A49" s="2" t="s">
        <v>137</v>
      </c>
      <c r="B49" s="2"/>
      <c r="C49" s="2"/>
      <c r="D49" s="2"/>
      <c r="E49" s="2"/>
      <c r="F49" s="2"/>
      <c r="G49" s="2"/>
      <c r="H49" s="2"/>
      <c r="I49" s="2"/>
      <c r="J49" s="2"/>
      <c r="K49" s="2"/>
      <c r="L49" s="2"/>
      <c r="M49" s="2"/>
      <c r="N49" s="2"/>
      <c r="O49" s="2"/>
      <c r="P49" s="2"/>
      <c r="Q49" s="2"/>
      <c r="R49" s="2"/>
    </row>
    <row r="50" spans="1:18" ht="15.75">
      <c r="A50" s="2" t="s">
        <v>157</v>
      </c>
      <c r="B50" s="2"/>
      <c r="C50" s="2"/>
      <c r="D50" s="2"/>
      <c r="E50" s="2"/>
      <c r="F50" s="2"/>
      <c r="G50" s="2"/>
      <c r="H50" s="2"/>
      <c r="I50" s="2"/>
      <c r="J50" s="2"/>
      <c r="K50" s="2"/>
      <c r="L50" s="2"/>
      <c r="M50" s="2"/>
      <c r="N50" s="2"/>
      <c r="O50" s="2"/>
      <c r="P50" s="2"/>
      <c r="Q50" s="2"/>
      <c r="R50" s="2"/>
    </row>
    <row r="51" spans="1:18" ht="15.75">
      <c r="A51" s="2" t="s">
        <v>138</v>
      </c>
      <c r="B51" s="2"/>
      <c r="C51" s="2"/>
      <c r="D51" s="2"/>
      <c r="E51" s="2"/>
      <c r="F51" s="2"/>
      <c r="G51" s="2"/>
      <c r="H51" s="2"/>
      <c r="I51" s="2"/>
      <c r="J51" s="2"/>
      <c r="K51" s="2"/>
      <c r="L51" s="2"/>
      <c r="M51" s="2"/>
      <c r="N51" s="2"/>
      <c r="O51" s="2"/>
      <c r="P51" s="2"/>
      <c r="Q51" s="2"/>
      <c r="R51" s="2"/>
    </row>
    <row r="52" spans="1:18" ht="15.75">
      <c r="A52" s="2" t="s">
        <v>167</v>
      </c>
      <c r="B52" s="2"/>
      <c r="C52" s="2"/>
      <c r="D52" s="2"/>
      <c r="E52" s="2"/>
      <c r="F52" s="2"/>
      <c r="G52" s="2"/>
      <c r="H52" s="2"/>
      <c r="I52" s="2"/>
      <c r="J52" s="2"/>
      <c r="K52" s="2"/>
      <c r="L52" s="2"/>
      <c r="M52" s="2"/>
      <c r="N52" s="2"/>
      <c r="O52" s="2"/>
      <c r="P52" s="2"/>
      <c r="Q52" s="2"/>
      <c r="R52" s="2"/>
    </row>
    <row r="53" spans="1:18" ht="15.75">
      <c r="A53" s="2" t="s">
        <v>139</v>
      </c>
      <c r="B53" s="2"/>
      <c r="C53" s="2"/>
      <c r="D53" s="2"/>
      <c r="E53" s="2"/>
      <c r="F53" s="2"/>
      <c r="G53" s="2"/>
      <c r="H53" s="2"/>
      <c r="I53" s="2"/>
      <c r="J53" s="2"/>
      <c r="K53" s="2"/>
      <c r="L53" s="2"/>
      <c r="M53" s="2"/>
      <c r="N53" s="2"/>
      <c r="O53" s="2"/>
      <c r="P53" s="2"/>
      <c r="Q53" s="2"/>
      <c r="R53" s="2"/>
    </row>
    <row r="54" spans="1:18" ht="15.75">
      <c r="A54" s="2" t="s">
        <v>80</v>
      </c>
      <c r="B54" s="2"/>
      <c r="C54" s="2"/>
      <c r="D54" s="2"/>
      <c r="E54" s="2"/>
      <c r="F54" s="2"/>
      <c r="G54" s="2"/>
      <c r="H54" s="2"/>
      <c r="I54" s="2"/>
      <c r="J54" s="2"/>
      <c r="K54" s="2"/>
      <c r="L54" s="2"/>
      <c r="M54" s="2"/>
      <c r="N54" s="2"/>
      <c r="O54" s="2"/>
      <c r="P54" s="2"/>
      <c r="Q54" s="2"/>
      <c r="R54" s="2"/>
    </row>
    <row r="55" spans="1:18" ht="15.75">
      <c r="A55" s="2" t="s">
        <v>171</v>
      </c>
      <c r="B55" s="2"/>
      <c r="C55" s="2"/>
      <c r="D55" s="2"/>
      <c r="E55" s="2"/>
      <c r="F55" s="2"/>
      <c r="G55" s="2"/>
      <c r="H55" s="2"/>
      <c r="I55" s="2"/>
      <c r="J55" s="2"/>
      <c r="K55" s="2"/>
      <c r="L55" s="2"/>
      <c r="M55" s="2"/>
      <c r="N55" s="2"/>
      <c r="O55" s="2"/>
      <c r="P55" s="2"/>
      <c r="Q55" s="2"/>
      <c r="R55" s="2"/>
    </row>
    <row r="56" spans="1:18" ht="15.75">
      <c r="A56" s="2" t="s">
        <v>131</v>
      </c>
      <c r="B56" s="2"/>
      <c r="C56" s="2"/>
      <c r="D56" s="2"/>
      <c r="E56" s="2"/>
      <c r="F56" s="2"/>
      <c r="G56" s="2"/>
      <c r="H56" s="2"/>
      <c r="I56" s="2"/>
      <c r="J56" s="2"/>
      <c r="K56" s="2"/>
      <c r="L56" s="2"/>
      <c r="M56" s="2"/>
      <c r="N56" s="2"/>
      <c r="O56" s="2"/>
      <c r="P56" s="2"/>
      <c r="Q56" s="2"/>
      <c r="R56" s="2"/>
    </row>
    <row r="57" spans="1:18" ht="15.75">
      <c r="A57" s="2" t="s">
        <v>81</v>
      </c>
      <c r="B57" s="2"/>
      <c r="C57" s="2"/>
      <c r="D57" s="2"/>
      <c r="E57" s="2"/>
      <c r="F57" s="2"/>
      <c r="G57" s="2"/>
      <c r="H57" s="2"/>
      <c r="I57" s="2"/>
      <c r="J57" s="2"/>
      <c r="K57" s="2"/>
      <c r="L57" s="2"/>
      <c r="M57" s="2"/>
      <c r="N57" s="2"/>
      <c r="O57" s="2"/>
      <c r="P57" s="2"/>
      <c r="Q57" s="2"/>
      <c r="R57" s="2"/>
    </row>
    <row r="58" spans="1:18" ht="15.75">
      <c r="A58" s="2" t="s">
        <v>87</v>
      </c>
      <c r="B58" s="2"/>
      <c r="C58" s="2"/>
      <c r="D58" s="2"/>
      <c r="E58" s="2"/>
      <c r="F58" s="2"/>
      <c r="G58" s="2"/>
      <c r="H58" s="2"/>
      <c r="I58" s="2"/>
      <c r="J58" s="2"/>
      <c r="K58" s="2"/>
      <c r="L58" s="2"/>
      <c r="M58" s="2"/>
      <c r="N58" s="2"/>
      <c r="O58" s="2"/>
      <c r="P58" s="2"/>
      <c r="Q58" s="2"/>
      <c r="R58" s="2"/>
    </row>
    <row r="59" spans="1:18" ht="15.75">
      <c r="A59" s="2" t="s">
        <v>4</v>
      </c>
      <c r="B59" s="2"/>
      <c r="C59" s="2"/>
      <c r="D59" s="2"/>
      <c r="E59" s="2"/>
      <c r="F59" s="2"/>
      <c r="G59" s="2"/>
      <c r="H59" s="2"/>
      <c r="I59" s="2"/>
      <c r="J59" s="2"/>
      <c r="K59" s="2"/>
      <c r="L59" s="2"/>
      <c r="M59" s="2"/>
      <c r="N59" s="2"/>
      <c r="O59" s="2"/>
      <c r="P59" s="2"/>
      <c r="Q59" s="2"/>
      <c r="R59" s="2"/>
    </row>
    <row r="60" spans="1:18" ht="15.75">
      <c r="A60" s="2" t="s">
        <v>5</v>
      </c>
      <c r="B60" s="2"/>
      <c r="C60" s="2"/>
      <c r="D60" s="2"/>
      <c r="E60" s="2"/>
      <c r="F60" s="2"/>
      <c r="G60" s="2"/>
      <c r="H60" s="2"/>
      <c r="I60" s="2"/>
      <c r="J60" s="2"/>
      <c r="K60" s="2"/>
      <c r="L60" s="2"/>
      <c r="M60" s="2"/>
      <c r="N60" s="2"/>
      <c r="O60" s="2"/>
      <c r="P60" s="2"/>
      <c r="Q60" s="2"/>
      <c r="R60" s="2"/>
    </row>
    <row r="61" spans="1:18" ht="15.75">
      <c r="A61" s="2" t="s">
        <v>89</v>
      </c>
      <c r="B61" s="2"/>
      <c r="C61" s="2"/>
      <c r="D61" s="2"/>
      <c r="E61" s="2"/>
      <c r="F61" s="2"/>
      <c r="G61" s="2"/>
      <c r="H61" s="2"/>
      <c r="I61" s="2"/>
      <c r="J61" s="2"/>
      <c r="K61" s="2"/>
      <c r="L61" s="2"/>
      <c r="M61" s="2"/>
      <c r="N61" s="2"/>
      <c r="O61" s="2"/>
      <c r="P61" s="2"/>
      <c r="Q61" s="2"/>
      <c r="R61" s="2"/>
    </row>
    <row r="62" spans="1:18" ht="15.75">
      <c r="A62" s="2" t="s">
        <v>170</v>
      </c>
      <c r="B62" s="2"/>
      <c r="C62" s="2"/>
      <c r="D62" s="2"/>
      <c r="E62" s="2"/>
      <c r="F62" s="2"/>
      <c r="G62" s="2"/>
      <c r="H62" s="2"/>
      <c r="I62" s="2"/>
      <c r="J62" s="2"/>
      <c r="K62" s="2"/>
      <c r="L62" s="2"/>
      <c r="M62" s="2"/>
      <c r="N62" s="2"/>
      <c r="O62" s="2"/>
      <c r="P62" s="2"/>
      <c r="Q62" s="2"/>
      <c r="R62" s="2"/>
    </row>
    <row r="63" spans="1:18" ht="15.75">
      <c r="A63" s="2" t="s">
        <v>187</v>
      </c>
      <c r="B63" s="2"/>
      <c r="C63" s="2"/>
      <c r="D63" s="2"/>
      <c r="E63" s="2"/>
      <c r="F63" s="2"/>
      <c r="G63" s="2"/>
      <c r="H63" s="2"/>
      <c r="I63" s="2"/>
      <c r="J63" s="2"/>
      <c r="K63" s="2"/>
      <c r="L63" s="2"/>
      <c r="M63" s="2"/>
      <c r="N63" s="2"/>
      <c r="O63" s="2"/>
      <c r="P63" s="2"/>
      <c r="Q63" s="2"/>
      <c r="R63" s="2"/>
    </row>
    <row r="64" spans="1:18" ht="15.75">
      <c r="A64" s="2" t="s">
        <v>3</v>
      </c>
      <c r="B64" s="2"/>
      <c r="C64" s="2"/>
      <c r="D64" s="2"/>
      <c r="E64" s="2"/>
      <c r="F64" s="2"/>
      <c r="G64" s="2"/>
      <c r="H64" s="2"/>
      <c r="I64" s="2"/>
      <c r="J64" s="2"/>
      <c r="K64" s="2"/>
      <c r="L64" s="2"/>
      <c r="M64" s="2"/>
      <c r="N64" s="2"/>
      <c r="O64" s="2"/>
      <c r="P64" s="2"/>
      <c r="Q64" s="2"/>
      <c r="R64" s="2"/>
    </row>
    <row r="65" spans="1:18" ht="15.75">
      <c r="A65" s="2" t="s">
        <v>98</v>
      </c>
      <c r="B65" s="2"/>
      <c r="C65" s="2"/>
      <c r="D65" s="2"/>
      <c r="E65" s="2"/>
      <c r="F65" s="2"/>
      <c r="G65" s="2"/>
      <c r="H65" s="2"/>
      <c r="I65" s="2"/>
      <c r="J65" s="2"/>
      <c r="K65" s="2"/>
      <c r="L65" s="2"/>
      <c r="M65" s="2"/>
      <c r="N65" s="2"/>
      <c r="O65" s="2"/>
      <c r="P65" s="2"/>
      <c r="Q65" s="2"/>
      <c r="R65" s="2"/>
    </row>
    <row r="66" spans="1:18" ht="15.75">
      <c r="A66" s="2" t="s">
        <v>85</v>
      </c>
      <c r="B66" s="2"/>
      <c r="C66" s="2"/>
      <c r="D66" s="2"/>
      <c r="E66" s="2"/>
      <c r="F66" s="2"/>
      <c r="G66" s="2"/>
      <c r="H66" s="2"/>
      <c r="I66" s="2"/>
      <c r="J66" s="2"/>
      <c r="K66" s="2"/>
      <c r="L66" s="2"/>
      <c r="M66" s="2"/>
      <c r="N66" s="2"/>
      <c r="O66" s="2"/>
      <c r="P66" s="2"/>
      <c r="Q66" s="2"/>
      <c r="R66" s="2"/>
    </row>
    <row r="67" spans="1:18" ht="15.75">
      <c r="A67" s="2" t="s">
        <v>1</v>
      </c>
      <c r="B67" s="2"/>
      <c r="C67" s="2"/>
      <c r="D67" s="2"/>
      <c r="E67" s="2"/>
      <c r="F67" s="2"/>
      <c r="G67" s="2"/>
      <c r="H67" s="2"/>
      <c r="I67" s="2"/>
      <c r="J67" s="2"/>
      <c r="K67" s="2"/>
      <c r="L67" s="2"/>
      <c r="M67" s="2"/>
      <c r="N67" s="2"/>
      <c r="O67" s="2"/>
      <c r="P67" s="2"/>
      <c r="Q67" s="2"/>
      <c r="R67" s="2"/>
    </row>
    <row r="68" spans="1:18" ht="15.75">
      <c r="A68" s="2" t="s">
        <v>13</v>
      </c>
      <c r="B68" s="2"/>
      <c r="C68" s="2"/>
      <c r="D68" s="2"/>
      <c r="E68" s="2"/>
      <c r="F68" s="2"/>
      <c r="G68" s="2"/>
      <c r="H68" s="2"/>
      <c r="I68" s="2"/>
      <c r="J68" s="2"/>
      <c r="K68" s="2"/>
      <c r="L68" s="2"/>
      <c r="M68" s="2"/>
      <c r="N68" s="2"/>
      <c r="O68" s="2"/>
      <c r="P68" s="2"/>
      <c r="Q68" s="2"/>
      <c r="R68" s="2"/>
    </row>
    <row r="69" spans="1:18" ht="15.75">
      <c r="A69" s="2" t="s">
        <v>14</v>
      </c>
      <c r="B69" s="2"/>
      <c r="C69" s="2"/>
      <c r="D69" s="2"/>
      <c r="E69" s="2"/>
      <c r="F69" s="2"/>
      <c r="G69" s="2"/>
      <c r="H69" s="2"/>
      <c r="I69" s="2"/>
      <c r="J69" s="2"/>
      <c r="K69" s="2"/>
      <c r="L69" s="2"/>
      <c r="M69" s="2"/>
      <c r="N69" s="2"/>
      <c r="O69" s="2"/>
      <c r="P69" s="2"/>
      <c r="Q69" s="2"/>
      <c r="R69" s="2"/>
    </row>
    <row r="70" spans="1:18" ht="15.75">
      <c r="A70" s="2" t="s">
        <v>113</v>
      </c>
      <c r="B70" s="2"/>
      <c r="C70" s="2"/>
      <c r="D70" s="2"/>
      <c r="E70" s="2"/>
      <c r="F70" s="2"/>
      <c r="G70" s="2"/>
      <c r="H70" s="2"/>
      <c r="I70" s="2"/>
      <c r="J70" s="2"/>
      <c r="K70" s="2"/>
      <c r="L70" s="2"/>
      <c r="M70" s="2"/>
      <c r="N70" s="2"/>
      <c r="O70" s="2"/>
      <c r="P70" s="2"/>
      <c r="Q70" s="2"/>
      <c r="R70" s="2"/>
    </row>
    <row r="71" spans="1:18" ht="15.75">
      <c r="A71" s="2" t="s">
        <v>124</v>
      </c>
      <c r="B71" s="2"/>
      <c r="C71" s="2"/>
      <c r="D71" s="2"/>
      <c r="E71" s="2"/>
      <c r="F71" s="2"/>
      <c r="G71" s="2"/>
      <c r="H71" s="2"/>
      <c r="I71" s="2"/>
      <c r="J71" s="2"/>
      <c r="K71" s="2"/>
      <c r="L71" s="2"/>
      <c r="M71" s="2"/>
      <c r="N71" s="2"/>
      <c r="O71" s="2"/>
      <c r="P71" s="2"/>
      <c r="Q71" s="2"/>
      <c r="R71" s="2"/>
    </row>
    <row r="72" spans="1:18" ht="15.75">
      <c r="A72" s="2" t="s">
        <v>173</v>
      </c>
      <c r="B72" s="2"/>
      <c r="C72" s="2"/>
      <c r="D72" s="2"/>
      <c r="E72" s="2"/>
      <c r="F72" s="2"/>
      <c r="G72" s="2"/>
      <c r="H72" s="2"/>
      <c r="I72" s="2"/>
      <c r="J72" s="2"/>
      <c r="K72" s="2"/>
      <c r="L72" s="2"/>
      <c r="M72" s="2"/>
      <c r="N72" s="2"/>
      <c r="O72" s="2"/>
      <c r="P72" s="2"/>
      <c r="Q72" s="2"/>
      <c r="R72" s="2"/>
    </row>
    <row r="73" spans="1:18" ht="15.75">
      <c r="A73" s="2" t="s">
        <v>174</v>
      </c>
      <c r="B73" s="2"/>
      <c r="C73" s="2"/>
      <c r="D73" s="2"/>
      <c r="E73" s="2"/>
      <c r="F73" s="2"/>
      <c r="G73" s="2"/>
      <c r="H73" s="2"/>
      <c r="I73" s="2"/>
      <c r="J73" s="2"/>
      <c r="K73" s="2"/>
      <c r="L73" s="2"/>
      <c r="M73" s="2"/>
      <c r="N73" s="2"/>
      <c r="O73" s="2"/>
      <c r="P73" s="2"/>
      <c r="Q73" s="2"/>
      <c r="R73" s="2"/>
    </row>
    <row r="74" spans="1:18" ht="15.75">
      <c r="A74" s="2" t="s">
        <v>175</v>
      </c>
      <c r="B74" s="2"/>
      <c r="C74" s="2"/>
      <c r="D74" s="2"/>
      <c r="E74" s="2"/>
      <c r="F74" s="2"/>
      <c r="G74" s="2"/>
      <c r="H74" s="2"/>
      <c r="I74" s="2"/>
      <c r="J74" s="2"/>
      <c r="K74" s="2"/>
      <c r="L74" s="2"/>
      <c r="M74" s="2"/>
      <c r="N74" s="2"/>
      <c r="O74" s="2"/>
      <c r="P74" s="2"/>
      <c r="Q74" s="2"/>
      <c r="R74" s="2"/>
    </row>
    <row r="75" spans="1:18" ht="15.75">
      <c r="A75" s="2" t="s">
        <v>176</v>
      </c>
      <c r="B75" s="2"/>
      <c r="C75" s="2"/>
      <c r="D75" s="2"/>
      <c r="E75" s="2"/>
      <c r="F75" s="2"/>
      <c r="G75" s="2"/>
      <c r="H75" s="2"/>
      <c r="I75" s="2"/>
      <c r="J75" s="2"/>
      <c r="K75" s="2"/>
      <c r="L75" s="2"/>
      <c r="M75" s="2"/>
      <c r="N75" s="2"/>
      <c r="O75" s="2"/>
      <c r="P75" s="2"/>
      <c r="Q75" s="2"/>
      <c r="R75" s="2"/>
    </row>
    <row r="76" spans="1:18" ht="15.75">
      <c r="A76" s="2" t="s">
        <v>115</v>
      </c>
      <c r="B76" s="2"/>
      <c r="C76" s="2"/>
      <c r="D76" s="2"/>
      <c r="E76" s="2"/>
      <c r="F76" s="2"/>
      <c r="G76" s="2"/>
      <c r="H76" s="2"/>
      <c r="I76" s="2"/>
      <c r="J76" s="2"/>
      <c r="K76" s="2"/>
      <c r="L76" s="2"/>
      <c r="M76" s="2"/>
      <c r="N76" s="2"/>
      <c r="O76" s="2"/>
      <c r="P76" s="2"/>
      <c r="Q76" s="2"/>
      <c r="R76" s="2"/>
    </row>
    <row r="77" spans="1:18" ht="15.75">
      <c r="A77" s="2"/>
      <c r="B77" s="2"/>
      <c r="C77" s="2"/>
      <c r="D77" s="2"/>
      <c r="E77" s="2"/>
      <c r="F77" s="2"/>
      <c r="G77" s="2"/>
      <c r="H77" s="2"/>
      <c r="I77" s="2"/>
      <c r="J77" s="2"/>
      <c r="K77" s="2"/>
      <c r="L77" s="2"/>
      <c r="M77" s="2"/>
      <c r="N77" s="2"/>
      <c r="O77" s="2"/>
      <c r="P77" s="2"/>
      <c r="Q77" s="2"/>
      <c r="R77" s="2"/>
    </row>
    <row r="78" spans="1:18" ht="15.75">
      <c r="A78" s="2"/>
      <c r="B78" s="2"/>
      <c r="C78" s="2"/>
      <c r="D78" s="2"/>
      <c r="E78" s="2"/>
      <c r="F78" s="2"/>
      <c r="G78" s="2"/>
      <c r="H78" s="2"/>
      <c r="I78" s="2"/>
      <c r="J78" s="2"/>
      <c r="K78" s="2"/>
      <c r="L78" s="2"/>
      <c r="M78" s="2"/>
      <c r="N78" s="2"/>
      <c r="O78" s="2"/>
      <c r="P78" s="2"/>
      <c r="Q78" s="2"/>
      <c r="R78" s="2"/>
    </row>
    <row r="79" spans="1:18" ht="15.75">
      <c r="A79" s="2"/>
      <c r="B79" s="2"/>
      <c r="C79" s="2"/>
      <c r="D79" s="2"/>
      <c r="E79" s="2"/>
      <c r="F79" s="2"/>
      <c r="G79" s="2"/>
      <c r="H79" s="2"/>
      <c r="I79" s="2"/>
      <c r="J79" s="2"/>
      <c r="K79" s="2"/>
      <c r="L79" s="2"/>
      <c r="M79" s="2"/>
      <c r="N79" s="2"/>
      <c r="O79" s="2"/>
      <c r="P79" s="2"/>
      <c r="Q79" s="2"/>
      <c r="R79" s="2"/>
    </row>
    <row r="80" spans="1:18" ht="15.75">
      <c r="A80" s="2"/>
      <c r="B80" s="2"/>
      <c r="C80" s="2"/>
      <c r="D80" s="2"/>
      <c r="E80" s="2"/>
      <c r="F80" s="2"/>
      <c r="G80" s="2"/>
      <c r="H80" s="2"/>
      <c r="I80" s="2"/>
      <c r="J80" s="2"/>
      <c r="K80" s="2"/>
      <c r="L80" s="2"/>
      <c r="M80" s="2"/>
      <c r="N80" s="2"/>
      <c r="O80" s="2"/>
      <c r="P80" s="2"/>
      <c r="Q80" s="2"/>
      <c r="R80" s="2"/>
    </row>
    <row r="81" spans="1:18" ht="15.75">
      <c r="A81" s="2"/>
      <c r="B81" s="2"/>
      <c r="C81" s="2"/>
      <c r="D81" s="2"/>
      <c r="E81" s="2"/>
      <c r="F81" s="2"/>
      <c r="G81" s="2"/>
      <c r="H81" s="2"/>
      <c r="I81" s="2"/>
      <c r="J81" s="2"/>
      <c r="K81" s="2"/>
      <c r="L81" s="2"/>
      <c r="M81" s="2"/>
      <c r="N81" s="2"/>
      <c r="O81" s="2"/>
      <c r="P81" s="2"/>
      <c r="Q81" s="2"/>
      <c r="R81" s="2"/>
    </row>
    <row r="82" spans="1:18" ht="15.75">
      <c r="A82" s="2"/>
      <c r="B82" s="2"/>
      <c r="C82" s="2"/>
      <c r="D82" s="2"/>
      <c r="E82" s="2"/>
      <c r="F82" s="2"/>
      <c r="G82" s="2"/>
      <c r="H82" s="2"/>
      <c r="I82" s="2"/>
      <c r="J82" s="2"/>
      <c r="K82" s="2"/>
      <c r="L82" s="2"/>
      <c r="M82" s="2"/>
      <c r="N82" s="2"/>
      <c r="O82" s="2"/>
      <c r="P82" s="2"/>
      <c r="Q82" s="2"/>
      <c r="R82" s="2"/>
    </row>
    <row r="83" spans="1:18" ht="15.75">
      <c r="A83" s="2"/>
      <c r="B83" s="2"/>
      <c r="C83" s="2"/>
      <c r="D83" s="2"/>
      <c r="E83" s="2"/>
      <c r="F83" s="2"/>
      <c r="G83" s="2"/>
      <c r="H83" s="2"/>
      <c r="I83" s="2"/>
      <c r="J83" s="2"/>
      <c r="K83" s="2"/>
      <c r="L83" s="2"/>
      <c r="M83" s="2"/>
      <c r="N83" s="2"/>
      <c r="O83" s="2"/>
      <c r="P83" s="2"/>
      <c r="Q83" s="2"/>
      <c r="R83" s="2"/>
    </row>
    <row r="84" spans="1:18" ht="15.75">
      <c r="A84" s="2"/>
      <c r="B84" s="2"/>
      <c r="C84" s="2"/>
      <c r="D84" s="2"/>
      <c r="E84" s="2"/>
      <c r="F84" s="2"/>
      <c r="G84" s="2"/>
      <c r="H84" s="2"/>
      <c r="I84" s="2"/>
      <c r="J84" s="2"/>
      <c r="K84" s="2"/>
      <c r="L84" s="2"/>
      <c r="M84" s="2"/>
      <c r="N84" s="2"/>
      <c r="O84" s="2"/>
      <c r="P84" s="2"/>
      <c r="Q84" s="2"/>
      <c r="R84" s="2"/>
    </row>
    <row r="85" spans="1:18" ht="15.75">
      <c r="A85" s="2"/>
      <c r="B85" s="2"/>
      <c r="C85" s="2"/>
      <c r="D85" s="2"/>
      <c r="E85" s="2"/>
      <c r="F85" s="2"/>
      <c r="G85" s="2"/>
      <c r="H85" s="2"/>
      <c r="I85" s="2"/>
      <c r="J85" s="2"/>
      <c r="K85" s="2"/>
      <c r="L85" s="2"/>
      <c r="M85" s="2"/>
      <c r="N85" s="2"/>
      <c r="O85" s="2"/>
      <c r="P85" s="2"/>
      <c r="Q85" s="2"/>
      <c r="R85" s="2"/>
    </row>
  </sheetData>
  <printOptions/>
  <pageMargins left="0.75" right="0.75" top="1" bottom="1" header="0.5" footer="0.5"/>
  <pageSetup horizontalDpi="180" verticalDpi="180" orientation="portrait" paperSize="9"/>
</worksheet>
</file>

<file path=xl/worksheets/sheet9.xml><?xml version="1.0" encoding="utf-8"?>
<worksheet xmlns="http://schemas.openxmlformats.org/spreadsheetml/2006/main" xmlns:r="http://schemas.openxmlformats.org/officeDocument/2006/relationships">
  <dimension ref="A1:A14"/>
  <sheetViews>
    <sheetView workbookViewId="0" topLeftCell="A1">
      <selection activeCell="D24" sqref="D24"/>
    </sheetView>
  </sheetViews>
  <sheetFormatPr defaultColWidth="11.00390625" defaultRowHeight="12.75"/>
  <cols>
    <col min="1" max="16384" width="8.75390625" style="2" customWidth="1"/>
  </cols>
  <sheetData>
    <row r="1" ht="15">
      <c r="A1" s="2" t="s">
        <v>7</v>
      </c>
    </row>
    <row r="2" ht="15">
      <c r="A2" s="2" t="s">
        <v>8</v>
      </c>
    </row>
    <row r="4" ht="15.75">
      <c r="A4" s="3" t="s">
        <v>162</v>
      </c>
    </row>
    <row r="6" ht="15">
      <c r="A6" s="2" t="s">
        <v>312</v>
      </c>
    </row>
    <row r="7" ht="15">
      <c r="A7" s="2" t="s">
        <v>318</v>
      </c>
    </row>
    <row r="8" ht="15">
      <c r="A8" s="2" t="s">
        <v>0</v>
      </c>
    </row>
    <row r="10" ht="15">
      <c r="A10" s="2" t="s">
        <v>163</v>
      </c>
    </row>
    <row r="11" ht="15">
      <c r="A11" s="2" t="s">
        <v>164</v>
      </c>
    </row>
    <row r="12" ht="15">
      <c r="A12" s="2" t="s">
        <v>165</v>
      </c>
    </row>
    <row r="14" ht="15">
      <c r="A14" s="2" t="s">
        <v>400</v>
      </c>
    </row>
  </sheetData>
  <printOptions/>
  <pageMargins left="0.75" right="0.75" top="1" bottom="1" header="0.5" footer="0.5"/>
  <pageSetup horizontalDpi="180" verticalDpi="18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Boris N.Mironov</dc:creator>
  <cp:keywords/>
  <dc:description/>
  <cp:lastModifiedBy>Peter H. Lindert</cp:lastModifiedBy>
  <dcterms:created xsi:type="dcterms:W3CDTF">2001-09-10T11:33:49Z</dcterms:created>
  <dcterms:modified xsi:type="dcterms:W3CDTF">2001-11-21T13:45:52Z</dcterms:modified>
  <cp:category/>
  <cp:version/>
  <cp:contentType/>
  <cp:contentStatus/>
</cp:coreProperties>
</file>