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4020" yWindow="1580" windowWidth="23520" windowHeight="12060" activeTab="1"/>
  </bookViews>
  <sheets>
    <sheet name="Regional inc summary 1850" sheetId="1" r:id="rId1"/>
    <sheet name="Table 5-1 &amp; W-Y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6" i="2" l="1"/>
  <c r="Q26" i="2"/>
  <c r="R26" i="2"/>
  <c r="R25" i="2"/>
  <c r="O26" i="2"/>
  <c r="K26" i="2"/>
  <c r="J26" i="2"/>
  <c r="J25" i="2"/>
  <c r="K25" i="2"/>
  <c r="I25" i="2"/>
  <c r="Q25" i="2"/>
  <c r="Q24" i="2"/>
  <c r="P25" i="2"/>
  <c r="O25" i="2"/>
  <c r="P24" i="2"/>
  <c r="O24" i="2"/>
  <c r="Q22" i="2"/>
  <c r="Q21" i="2"/>
  <c r="Q20" i="2"/>
  <c r="Q18" i="2"/>
  <c r="Q17" i="2"/>
  <c r="Q16" i="2"/>
  <c r="Q15" i="2"/>
  <c r="Q14" i="2"/>
  <c r="Q9" i="2"/>
  <c r="Q10" i="2"/>
  <c r="Q11" i="2"/>
  <c r="Q12" i="2"/>
  <c r="Q8" i="2"/>
  <c r="P18" i="2"/>
  <c r="O18" i="2"/>
  <c r="O12" i="2"/>
  <c r="P22" i="2"/>
  <c r="O22" i="2"/>
  <c r="P21" i="2"/>
  <c r="O21" i="2"/>
  <c r="P20" i="2"/>
  <c r="O20" i="2"/>
  <c r="P17" i="2"/>
  <c r="O17" i="2"/>
  <c r="P16" i="2"/>
  <c r="O16" i="2"/>
  <c r="P15" i="2"/>
  <c r="O15" i="2"/>
  <c r="P14" i="2"/>
  <c r="O14" i="2"/>
  <c r="O9" i="2"/>
  <c r="P9" i="2"/>
  <c r="O10" i="2"/>
  <c r="P10" i="2"/>
  <c r="O11" i="2"/>
  <c r="P11" i="2"/>
  <c r="P12" i="2"/>
  <c r="P8" i="2"/>
  <c r="O8" i="2"/>
  <c r="F25" i="2"/>
  <c r="F24" i="2"/>
  <c r="F22" i="2"/>
  <c r="F21" i="2"/>
  <c r="F20" i="2"/>
  <c r="F18" i="2"/>
  <c r="F17" i="2"/>
  <c r="F16" i="2"/>
  <c r="F15" i="2"/>
  <c r="F14" i="2"/>
  <c r="F9" i="2"/>
  <c r="F10" i="2"/>
  <c r="F11" i="2"/>
  <c r="F12" i="2"/>
  <c r="F8" i="2"/>
  <c r="C25" i="2"/>
  <c r="D25" i="2"/>
  <c r="E25" i="2"/>
  <c r="B25" i="2"/>
  <c r="J24" i="2"/>
  <c r="K24" i="2"/>
  <c r="I24" i="2"/>
  <c r="J22" i="2"/>
  <c r="I22" i="2"/>
  <c r="K22" i="2"/>
  <c r="K21" i="2"/>
  <c r="K20" i="2"/>
  <c r="K18" i="2"/>
  <c r="I21" i="2"/>
  <c r="J21" i="2"/>
  <c r="J20" i="2"/>
  <c r="I20" i="2"/>
  <c r="J18" i="2"/>
  <c r="I18" i="2"/>
  <c r="K17" i="2"/>
  <c r="K16" i="2"/>
  <c r="K15" i="2"/>
  <c r="K14" i="2"/>
  <c r="I17" i="2"/>
  <c r="J17" i="2"/>
  <c r="J16" i="2"/>
  <c r="I16" i="2"/>
  <c r="I15" i="2"/>
  <c r="J15" i="2"/>
  <c r="J14" i="2"/>
  <c r="I14" i="2"/>
  <c r="K12" i="2"/>
  <c r="J12" i="2"/>
  <c r="I12" i="2"/>
  <c r="K10" i="2"/>
  <c r="K11" i="2"/>
  <c r="I11" i="2"/>
  <c r="J11" i="2"/>
  <c r="J10" i="2"/>
  <c r="K9" i="2"/>
  <c r="K8" i="2"/>
  <c r="I10" i="2"/>
  <c r="I9" i="2"/>
  <c r="J9" i="2"/>
  <c r="J8" i="2"/>
  <c r="I8" i="2"/>
  <c r="E22" i="2"/>
  <c r="D22" i="2"/>
  <c r="B20" i="2"/>
  <c r="B21" i="2"/>
  <c r="B22" i="2"/>
  <c r="C18" i="2"/>
  <c r="D18" i="2"/>
  <c r="E18" i="2"/>
  <c r="B14" i="2"/>
  <c r="B16" i="2"/>
  <c r="B17" i="2"/>
  <c r="B18" i="2"/>
  <c r="C12" i="2"/>
  <c r="D12" i="2"/>
  <c r="E12" i="2"/>
  <c r="B8" i="2"/>
  <c r="B9" i="2"/>
  <c r="B10" i="2"/>
  <c r="B11" i="2"/>
  <c r="B12" i="2"/>
  <c r="B15" i="2"/>
  <c r="B24" i="2"/>
  <c r="C24" i="2"/>
  <c r="B27" i="2"/>
  <c r="C27" i="2"/>
  <c r="D27" i="2"/>
  <c r="E27" i="2"/>
  <c r="F27" i="2"/>
  <c r="G50" i="1"/>
  <c r="H50" i="1"/>
  <c r="F50" i="1"/>
  <c r="D50" i="1"/>
  <c r="B50" i="1"/>
  <c r="B51" i="1"/>
  <c r="R32" i="1"/>
  <c r="R31" i="1"/>
  <c r="O32" i="1"/>
  <c r="P31" i="1"/>
  <c r="O31" i="1"/>
  <c r="M31" i="1"/>
  <c r="I32" i="1"/>
  <c r="I31" i="1"/>
  <c r="B31" i="1"/>
  <c r="B26" i="1"/>
  <c r="B27" i="1"/>
  <c r="B28" i="1"/>
  <c r="B14" i="1"/>
  <c r="B29" i="1"/>
  <c r="I14" i="1"/>
  <c r="I20" i="1"/>
  <c r="Q20" i="1"/>
  <c r="I19" i="1"/>
  <c r="Q19" i="1"/>
  <c r="P20" i="1"/>
  <c r="O8" i="1"/>
  <c r="O9" i="1"/>
  <c r="O10" i="1"/>
  <c r="O11" i="1"/>
  <c r="O12" i="1"/>
  <c r="O13" i="1"/>
  <c r="O14" i="1"/>
  <c r="O15" i="1"/>
  <c r="O16" i="1"/>
  <c r="O17" i="1"/>
  <c r="O19" i="1"/>
  <c r="O20" i="1"/>
  <c r="O7" i="1"/>
  <c r="B39" i="1"/>
  <c r="I39" i="1"/>
  <c r="B43" i="1"/>
  <c r="I43" i="1"/>
  <c r="B44" i="1"/>
  <c r="I44" i="1"/>
  <c r="I50" i="1"/>
  <c r="S50" i="1"/>
  <c r="Q50" i="1"/>
  <c r="R50" i="1"/>
  <c r="P50" i="1"/>
  <c r="N50" i="1"/>
  <c r="M50" i="1"/>
  <c r="N20" i="1"/>
  <c r="M20" i="1"/>
  <c r="G20" i="1"/>
  <c r="H20" i="1"/>
  <c r="F20" i="1"/>
  <c r="D20" i="1"/>
  <c r="B20" i="1"/>
  <c r="H11" i="1"/>
  <c r="H41" i="1"/>
  <c r="G11" i="1"/>
  <c r="G41" i="1"/>
  <c r="F11" i="1"/>
  <c r="F41" i="1"/>
  <c r="G7" i="1"/>
  <c r="G37" i="1"/>
  <c r="G8" i="1"/>
  <c r="G38" i="1"/>
  <c r="G9" i="1"/>
  <c r="G39" i="1"/>
  <c r="G12" i="1"/>
  <c r="G42" i="1"/>
  <c r="G13" i="1"/>
  <c r="G43" i="1"/>
  <c r="G14" i="1"/>
  <c r="G44" i="1"/>
  <c r="G15" i="1"/>
  <c r="G45" i="1"/>
  <c r="G16" i="1"/>
  <c r="G46" i="1"/>
  <c r="G49" i="1"/>
  <c r="H7" i="1"/>
  <c r="H37" i="1"/>
  <c r="H8" i="1"/>
  <c r="H38" i="1"/>
  <c r="H9" i="1"/>
  <c r="H39" i="1"/>
  <c r="H12" i="1"/>
  <c r="H42" i="1"/>
  <c r="H13" i="1"/>
  <c r="H43" i="1"/>
  <c r="H14" i="1"/>
  <c r="H44" i="1"/>
  <c r="H15" i="1"/>
  <c r="H45" i="1"/>
  <c r="H16" i="1"/>
  <c r="H46" i="1"/>
  <c r="H49" i="1"/>
  <c r="F7" i="1"/>
  <c r="F37" i="1"/>
  <c r="F8" i="1"/>
  <c r="F38" i="1"/>
  <c r="F9" i="1"/>
  <c r="F39" i="1"/>
  <c r="F12" i="1"/>
  <c r="F42" i="1"/>
  <c r="F13" i="1"/>
  <c r="F43" i="1"/>
  <c r="F14" i="1"/>
  <c r="F44" i="1"/>
  <c r="F15" i="1"/>
  <c r="F45" i="1"/>
  <c r="F16" i="1"/>
  <c r="F46" i="1"/>
  <c r="F49" i="1"/>
  <c r="B7" i="1"/>
  <c r="B37" i="1"/>
  <c r="D7" i="1"/>
  <c r="D37" i="1"/>
  <c r="I37" i="1"/>
  <c r="B8" i="1"/>
  <c r="B38" i="1"/>
  <c r="D8" i="1"/>
  <c r="D38" i="1"/>
  <c r="I38" i="1"/>
  <c r="B9" i="1"/>
  <c r="D9" i="1"/>
  <c r="D39" i="1"/>
  <c r="B11" i="1"/>
  <c r="B41" i="1"/>
  <c r="D11" i="1"/>
  <c r="D41" i="1"/>
  <c r="I41" i="1"/>
  <c r="B12" i="1"/>
  <c r="B30" i="1"/>
  <c r="B42" i="1"/>
  <c r="D12" i="1"/>
  <c r="D42" i="1"/>
  <c r="I42" i="1"/>
  <c r="B13" i="1"/>
  <c r="D13" i="1"/>
  <c r="D43" i="1"/>
  <c r="D14" i="1"/>
  <c r="D44" i="1"/>
  <c r="B15" i="1"/>
  <c r="B45" i="1"/>
  <c r="D15" i="1"/>
  <c r="D45" i="1"/>
  <c r="I45" i="1"/>
  <c r="B16" i="1"/>
  <c r="B46" i="1"/>
  <c r="D16" i="1"/>
  <c r="D46" i="1"/>
  <c r="I46" i="1"/>
  <c r="I49" i="1"/>
  <c r="B10" i="1"/>
  <c r="B40" i="1"/>
  <c r="D10" i="1"/>
  <c r="D40" i="1"/>
  <c r="H10" i="1"/>
  <c r="H40" i="1"/>
  <c r="I40" i="1"/>
  <c r="B47" i="1"/>
  <c r="D17" i="1"/>
  <c r="D47" i="1"/>
  <c r="H17" i="1"/>
  <c r="H47" i="1"/>
  <c r="I47" i="1"/>
  <c r="N7" i="1"/>
  <c r="N37" i="1"/>
  <c r="N8" i="1"/>
  <c r="N38" i="1"/>
  <c r="N9" i="1"/>
  <c r="M26" i="1"/>
  <c r="O26" i="1"/>
  <c r="N39" i="1"/>
  <c r="N11" i="1"/>
  <c r="N41" i="1"/>
  <c r="N12" i="1"/>
  <c r="M30" i="1"/>
  <c r="O30" i="1"/>
  <c r="N42" i="1"/>
  <c r="N13" i="1"/>
  <c r="M28" i="1"/>
  <c r="O28" i="1"/>
  <c r="N43" i="1"/>
  <c r="N14" i="1"/>
  <c r="M29" i="1"/>
  <c r="O29" i="1"/>
  <c r="N44" i="1"/>
  <c r="N15" i="1"/>
  <c r="N45" i="1"/>
  <c r="N16" i="1"/>
  <c r="N46" i="1"/>
  <c r="N49" i="1"/>
  <c r="M7" i="1"/>
  <c r="M37" i="1"/>
  <c r="M8" i="1"/>
  <c r="M38" i="1"/>
  <c r="M9" i="1"/>
  <c r="M39" i="1"/>
  <c r="M11" i="1"/>
  <c r="M41" i="1"/>
  <c r="M12" i="1"/>
  <c r="M42" i="1"/>
  <c r="M13" i="1"/>
  <c r="M43" i="1"/>
  <c r="M14" i="1"/>
  <c r="M44" i="1"/>
  <c r="M15" i="1"/>
  <c r="M45" i="1"/>
  <c r="M16" i="1"/>
  <c r="M46" i="1"/>
  <c r="M49" i="1"/>
  <c r="P49" i="1"/>
  <c r="S38" i="1"/>
  <c r="S39" i="1"/>
  <c r="M10" i="1"/>
  <c r="M27" i="1"/>
  <c r="M40" i="1"/>
  <c r="S40" i="1"/>
  <c r="S41" i="1"/>
  <c r="S42" i="1"/>
  <c r="S43" i="1"/>
  <c r="S44" i="1"/>
  <c r="S45" i="1"/>
  <c r="S46" i="1"/>
  <c r="M47" i="1"/>
  <c r="S47" i="1"/>
  <c r="S49" i="1"/>
  <c r="S37" i="1"/>
  <c r="P37" i="1"/>
  <c r="P38" i="1"/>
  <c r="P39" i="1"/>
  <c r="P41" i="1"/>
  <c r="P42" i="1"/>
  <c r="P43" i="1"/>
  <c r="P44" i="1"/>
  <c r="P45" i="1"/>
  <c r="P46" i="1"/>
  <c r="N10" i="1"/>
  <c r="O27" i="1"/>
  <c r="N40" i="1"/>
  <c r="N47" i="1"/>
  <c r="P47" i="1"/>
  <c r="P40" i="1"/>
  <c r="Q49" i="1"/>
  <c r="Q38" i="1"/>
  <c r="Q39" i="1"/>
  <c r="Q40" i="1"/>
  <c r="Q41" i="1"/>
  <c r="Q42" i="1"/>
  <c r="Q43" i="1"/>
  <c r="Q44" i="1"/>
  <c r="Q45" i="1"/>
  <c r="Q46" i="1"/>
  <c r="Q47" i="1"/>
  <c r="Q37" i="1"/>
  <c r="O37" i="1"/>
  <c r="H58" i="1"/>
  <c r="H59" i="1"/>
  <c r="H60" i="1"/>
  <c r="H62" i="1"/>
  <c r="H63" i="1"/>
  <c r="H64" i="1"/>
  <c r="H65" i="1"/>
  <c r="H66" i="1"/>
  <c r="H67" i="1"/>
  <c r="H69" i="1"/>
  <c r="G58" i="1"/>
  <c r="G59" i="1"/>
  <c r="G60" i="1"/>
  <c r="G62" i="1"/>
  <c r="G63" i="1"/>
  <c r="G64" i="1"/>
  <c r="G65" i="1"/>
  <c r="G66" i="1"/>
  <c r="G67" i="1"/>
  <c r="G69" i="1"/>
  <c r="F58" i="1"/>
  <c r="F59" i="1"/>
  <c r="F60" i="1"/>
  <c r="F62" i="1"/>
  <c r="F63" i="1"/>
  <c r="F64" i="1"/>
  <c r="F65" i="1"/>
  <c r="F66" i="1"/>
  <c r="F67" i="1"/>
  <c r="F69" i="1"/>
  <c r="D58" i="1"/>
  <c r="D59" i="1"/>
  <c r="D60" i="1"/>
  <c r="D62" i="1"/>
  <c r="D63" i="1"/>
  <c r="D64" i="1"/>
  <c r="D65" i="1"/>
  <c r="D66" i="1"/>
  <c r="D67" i="1"/>
  <c r="D69" i="1"/>
  <c r="B58" i="1"/>
  <c r="B59" i="1"/>
  <c r="B60" i="1"/>
  <c r="B62" i="1"/>
  <c r="B63" i="1"/>
  <c r="B64" i="1"/>
  <c r="B65" i="1"/>
  <c r="B66" i="1"/>
  <c r="B67" i="1"/>
  <c r="B69" i="1"/>
  <c r="H61" i="1"/>
  <c r="G61" i="1"/>
  <c r="F61" i="1"/>
  <c r="D61" i="1"/>
  <c r="B61" i="1"/>
  <c r="B49" i="1"/>
  <c r="D49" i="1"/>
  <c r="B32" i="1"/>
  <c r="I7" i="1"/>
  <c r="I8" i="1"/>
  <c r="I9" i="1"/>
  <c r="I11" i="1"/>
  <c r="I12" i="1"/>
  <c r="I13" i="1"/>
  <c r="I15" i="1"/>
  <c r="I16" i="1"/>
  <c r="B33" i="1"/>
  <c r="M32" i="1"/>
  <c r="I22" i="1"/>
  <c r="H19" i="1"/>
  <c r="H22" i="1"/>
  <c r="G19" i="1"/>
  <c r="G22" i="1"/>
  <c r="F19" i="1"/>
  <c r="F22" i="1"/>
  <c r="D19" i="1"/>
  <c r="D22" i="1"/>
  <c r="B19" i="1"/>
  <c r="B22" i="1"/>
  <c r="P7" i="1"/>
  <c r="P8" i="1"/>
  <c r="P9" i="1"/>
  <c r="P11" i="1"/>
  <c r="P12" i="1"/>
  <c r="P13" i="1"/>
  <c r="P14" i="1"/>
  <c r="P15" i="1"/>
  <c r="P16" i="1"/>
  <c r="P19" i="1"/>
  <c r="N19" i="1"/>
  <c r="M19" i="1"/>
  <c r="G10" i="1"/>
  <c r="F10" i="1"/>
  <c r="Q8" i="1"/>
  <c r="Q11" i="1"/>
  <c r="Q12" i="1"/>
  <c r="Q13" i="1"/>
  <c r="Q14" i="1"/>
  <c r="Q15" i="1"/>
  <c r="Q16" i="1"/>
  <c r="Q7" i="1"/>
  <c r="G40" i="1"/>
  <c r="I66" i="1"/>
  <c r="D80" i="1"/>
  <c r="I65" i="1"/>
  <c r="H79" i="1"/>
  <c r="I62" i="1"/>
  <c r="G68" i="1"/>
  <c r="I60" i="1"/>
  <c r="I59" i="1"/>
  <c r="H73" i="1"/>
  <c r="D73" i="1"/>
  <c r="B73" i="1"/>
  <c r="B68" i="1"/>
  <c r="H51" i="1"/>
  <c r="D51" i="1"/>
  <c r="R41" i="1"/>
  <c r="F40" i="1"/>
  <c r="P32" i="1"/>
  <c r="I30" i="1"/>
  <c r="I29" i="1"/>
  <c r="I28" i="1"/>
  <c r="I27" i="1"/>
  <c r="I26" i="1"/>
  <c r="M17" i="1"/>
  <c r="F17" i="1"/>
  <c r="F47" i="1"/>
  <c r="R44" i="1"/>
  <c r="R42" i="1"/>
  <c r="R38" i="1"/>
  <c r="B17" i="1"/>
  <c r="D79" i="1"/>
  <c r="B79" i="1"/>
  <c r="R40" i="1"/>
  <c r="P10" i="1"/>
  <c r="F80" i="1"/>
  <c r="G80" i="1"/>
  <c r="H80" i="1"/>
  <c r="I80" i="1"/>
  <c r="R46" i="1"/>
  <c r="F74" i="1"/>
  <c r="G74" i="1"/>
  <c r="H74" i="1"/>
  <c r="I74" i="1"/>
  <c r="F76" i="1"/>
  <c r="G76" i="1"/>
  <c r="H76" i="1"/>
  <c r="I76" i="1"/>
  <c r="D76" i="1"/>
  <c r="R45" i="1"/>
  <c r="D74" i="1"/>
  <c r="R39" i="1"/>
  <c r="R43" i="1"/>
  <c r="Q9" i="1"/>
  <c r="G17" i="1"/>
  <c r="G47" i="1"/>
  <c r="N17" i="1"/>
  <c r="P17" i="1"/>
  <c r="I58" i="1"/>
  <c r="I61" i="1"/>
  <c r="I75" i="1"/>
  <c r="I64" i="1"/>
  <c r="F68" i="1"/>
  <c r="G73" i="1"/>
  <c r="G75" i="1"/>
  <c r="G79" i="1"/>
  <c r="F73" i="1"/>
  <c r="B74" i="1"/>
  <c r="B76" i="1"/>
  <c r="F79" i="1"/>
  <c r="B80" i="1"/>
  <c r="I10" i="1"/>
  <c r="Q10" i="1"/>
  <c r="D68" i="1"/>
  <c r="I68" i="1"/>
  <c r="H68" i="1"/>
  <c r="I73" i="1"/>
  <c r="I79" i="1"/>
  <c r="I63" i="1"/>
  <c r="I67" i="1"/>
  <c r="H75" i="1"/>
  <c r="F75" i="1"/>
  <c r="I82" i="1"/>
  <c r="G82" i="1"/>
  <c r="B82" i="1"/>
  <c r="H81" i="1"/>
  <c r="I81" i="1"/>
  <c r="F81" i="1"/>
  <c r="G81" i="1"/>
  <c r="F78" i="1"/>
  <c r="G78" i="1"/>
  <c r="H78" i="1"/>
  <c r="I78" i="1"/>
  <c r="I52" i="1"/>
  <c r="R49" i="1"/>
  <c r="R37" i="1"/>
  <c r="F82" i="1"/>
  <c r="I17" i="1"/>
  <c r="Q17" i="1"/>
  <c r="B78" i="1"/>
  <c r="D75" i="1"/>
  <c r="I69" i="1"/>
  <c r="B83" i="1"/>
  <c r="D78" i="1"/>
  <c r="D81" i="1"/>
  <c r="F72" i="1"/>
  <c r="G72" i="1"/>
  <c r="H72" i="1"/>
  <c r="I72" i="1"/>
  <c r="H77" i="1"/>
  <c r="I77" i="1"/>
  <c r="F77" i="1"/>
  <c r="G77" i="1"/>
  <c r="B81" i="1"/>
  <c r="H82" i="1"/>
  <c r="D82" i="1"/>
  <c r="B72" i="1"/>
  <c r="D72" i="1"/>
  <c r="D77" i="1"/>
  <c r="R47" i="1"/>
  <c r="B75" i="1"/>
  <c r="B77" i="1"/>
  <c r="H83" i="1"/>
  <c r="I83" i="1"/>
  <c r="F83" i="1"/>
  <c r="G83" i="1"/>
  <c r="D83" i="1"/>
</calcChain>
</file>

<file path=xl/sharedStrings.xml><?xml version="1.0" encoding="utf-8"?>
<sst xmlns="http://schemas.openxmlformats.org/spreadsheetml/2006/main" count="257" uniqueCount="124">
  <si>
    <t>||</t>
    <phoneticPr fontId="0" type="noConversion"/>
  </si>
  <si>
    <t>Mar 2013, from</t>
    <phoneticPr fontId="0" type="noConversion"/>
  </si>
  <si>
    <t>size</t>
  </si>
  <si>
    <t>New England</t>
  </si>
  <si>
    <t>Mid Atlantic</t>
  </si>
  <si>
    <t>South Atlantic</t>
  </si>
  <si>
    <t>South Atlantic w/o FL</t>
  </si>
  <si>
    <t>ENC</t>
  </si>
  <si>
    <t>WNC</t>
  </si>
  <si>
    <t>ESC</t>
  </si>
  <si>
    <t>WSC</t>
  </si>
  <si>
    <t>Mountain</t>
  </si>
  <si>
    <t>Pacific</t>
  </si>
  <si>
    <t>Original 13</t>
  </si>
  <si>
    <t>Ave h'hold</t>
  </si>
  <si>
    <t>(millions of current dollars)</t>
  </si>
  <si>
    <t>Total pop'n,</t>
  </si>
  <si>
    <t>Regional income totals 1850, with "part time" work year assumptions</t>
  </si>
  <si>
    <t>Numbers of households 1850</t>
  </si>
  <si>
    <t>||</t>
  </si>
  <si>
    <t>the April 2012</t>
  </si>
  <si>
    <t>Implied</t>
  </si>
  <si>
    <t>Free households only</t>
  </si>
  <si>
    <t>IPUMS file:</t>
  </si>
  <si>
    <t>average</t>
  </si>
  <si>
    <t>Free labor</t>
  </si>
  <si>
    <t>Farm</t>
  </si>
  <si>
    <t>Realty</t>
  </si>
  <si>
    <t>Personalty</t>
  </si>
  <si>
    <t>Total prop-</t>
  </si>
  <si>
    <t>Stated total</t>
  </si>
  <si>
    <t>Free</t>
  </si>
  <si>
    <t>Free hh's</t>
  </si>
  <si>
    <t>Total perwt pop'n,</t>
  </si>
  <si>
    <t>household</t>
  </si>
  <si>
    <t>income</t>
  </si>
  <si>
    <t>profits</t>
  </si>
  <si>
    <t>erty income</t>
  </si>
  <si>
    <t>(millions)</t>
  </si>
  <si>
    <t>mlns, IPUMS</t>
  </si>
  <si>
    <t>US free</t>
  </si>
  <si>
    <t>percent of total national income</t>
  </si>
  <si>
    <t>Share of tot</t>
  </si>
  <si>
    <t>percent of free national income</t>
  </si>
  <si>
    <t>Slave hh**</t>
  </si>
  <si>
    <t>Implied total</t>
  </si>
  <si>
    <t>(**From 1860 file</t>
  </si>
  <si>
    <t>Slave retained earnings</t>
  </si>
  <si>
    <t>Slave</t>
  </si>
  <si>
    <t>pop'n (millions)</t>
  </si>
  <si>
    <t>"Slave HH totals by region")</t>
  </si>
  <si>
    <t>WNC (MO)</t>
  </si>
  <si>
    <t>US slave retained earnings</t>
  </si>
  <si>
    <t>All households</t>
  </si>
  <si>
    <t>IPUMS (mlns)</t>
  </si>
  <si>
    <t>Current $</t>
  </si>
  <si>
    <t>1840 $</t>
  </si>
  <si>
    <t>USA</t>
  </si>
  <si>
    <t>million $</t>
  </si>
  <si>
    <t>with slave retained earnings, no farm profits</t>
  </si>
  <si>
    <t>"Original 13" + FL =</t>
  </si>
  <si>
    <t>Share, 1800</t>
  </si>
  <si>
    <t>Share, 1774</t>
  </si>
  <si>
    <t>with slave retained earnings and farm profits</t>
  </si>
  <si>
    <t>Free households' farm incomes ($ millions)</t>
  </si>
  <si>
    <t>US total</t>
  </si>
  <si>
    <t>Free households' farm incomes (% shares of total income)</t>
  </si>
  <si>
    <t>Share, 1850</t>
  </si>
  <si>
    <t>fails to give</t>
  </si>
  <si>
    <t>a convenient</t>
  </si>
  <si>
    <t>inter-state</t>
  </si>
  <si>
    <t>summary)</t>
  </si>
  <si>
    <t>(omit the</t>
  </si>
  <si>
    <t>rest - HSUS</t>
  </si>
  <si>
    <t xml:space="preserve">|    </t>
  </si>
  <si>
    <t>All h'holds</t>
  </si>
  <si>
    <t>Part-time</t>
  </si>
  <si>
    <t>income per HH</t>
  </si>
  <si>
    <t>All USA</t>
  </si>
  <si>
    <t>Part-time income</t>
  </si>
  <si>
    <t>per capita in 1850</t>
  </si>
  <si>
    <t>Average 1850</t>
  </si>
  <si>
    <t>HH Income,</t>
  </si>
  <si>
    <t>free only</t>
  </si>
  <si>
    <r>
      <t xml:space="preserve">All </t>
    </r>
    <r>
      <rPr>
        <u/>
        <sz val="12"/>
        <rFont val="Cambria"/>
        <scheme val="major"/>
      </rPr>
      <t>(free + slave)</t>
    </r>
  </si>
  <si>
    <t>Oscar Méndez and</t>
  </si>
  <si>
    <t>Peter Lindert, 22 nov 2013</t>
  </si>
  <si>
    <t>South free</t>
  </si>
  <si>
    <t>South (excluding MO)</t>
  </si>
  <si>
    <t>South</t>
  </si>
  <si>
    <t>Income</t>
  </si>
  <si>
    <t>per capita</t>
  </si>
  <si>
    <t xml:space="preserve">USA slaves </t>
  </si>
  <si>
    <t>**</t>
  </si>
  <si>
    <t>Retained income per capita</t>
  </si>
  <si>
    <r>
      <t xml:space="preserve">HSUS </t>
    </r>
    <r>
      <rPr>
        <sz val="12"/>
        <rFont val="Cambria"/>
        <family val="1"/>
        <scheme val="major"/>
      </rPr>
      <t>(mlns)</t>
    </r>
  </si>
  <si>
    <t>All labor</t>
  </si>
  <si>
    <t>Total</t>
  </si>
  <si>
    <t>All prop-</t>
  </si>
  <si>
    <t>% of total</t>
  </si>
  <si>
    <t>South Atlantic, no FL</t>
  </si>
  <si>
    <t>Estimated American Personal Incomes in 1850</t>
  </si>
  <si>
    <t xml:space="preserve">Assembling Table 5-1. </t>
  </si>
  <si>
    <t>Computing Private Wealth 1860</t>
  </si>
  <si>
    <t>for comparison with Piketty-Zucman</t>
  </si>
  <si>
    <t>(current $ millions)</t>
  </si>
  <si>
    <t>Property</t>
  </si>
  <si>
    <t>Gross rates of return</t>
  </si>
  <si>
    <t>Implied private wealth</t>
  </si>
  <si>
    <t xml:space="preserve">    North</t>
  </si>
  <si>
    <t xml:space="preserve">    South</t>
  </si>
  <si>
    <t xml:space="preserve">    West</t>
  </si>
  <si>
    <t>LW 1850</t>
  </si>
  <si>
    <t>LW 1850, no slaves, assuming 50% exploitation ratio</t>
  </si>
  <si>
    <t>NB: cell formula's</t>
  </si>
  <si>
    <t>subtraction of slaves'</t>
  </si>
  <si>
    <t>retained half of earnings</t>
  </si>
  <si>
    <t>actually represents the</t>
  </si>
  <si>
    <t xml:space="preserve">other half, the half </t>
  </si>
  <si>
    <t>extracted by slaveholders.</t>
  </si>
  <si>
    <t>[Use 0.10 gross rate for slaves --&gt;]</t>
  </si>
  <si>
    <t xml:space="preserve">[That's 5% interest plus the </t>
  </si>
  <si>
    <t>5% depreciation rate used on</t>
  </si>
  <si>
    <t>slaveholding, all dates.]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</si>
</sst>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.0"/>
    <numFmt numFmtId="167" formatCode="#,##0.0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12"/>
      <color theme="5" tint="-0.499984740745262"/>
      <name val="Cambria"/>
      <family val="1"/>
      <scheme val="major"/>
    </font>
    <font>
      <sz val="12"/>
      <color rgb="FFFF0000"/>
      <name val="Cambria"/>
      <family val="1"/>
      <scheme val="major"/>
    </font>
    <font>
      <u/>
      <sz val="12"/>
      <name val="Cambria"/>
      <scheme val="major"/>
    </font>
    <font>
      <b/>
      <sz val="14"/>
      <color rgb="FFFF0000"/>
      <name val="Cambria"/>
      <scheme val="major"/>
    </font>
    <font>
      <sz val="11"/>
      <color rgb="FFFF0000"/>
      <name val="Cambria"/>
      <scheme val="major"/>
    </font>
    <font>
      <b/>
      <sz val="16"/>
      <color indexed="10"/>
      <name val="Cambria"/>
      <scheme val="major"/>
    </font>
    <font>
      <b/>
      <sz val="14"/>
      <color indexed="10"/>
      <name val="Cambria"/>
      <scheme val="major"/>
    </font>
    <font>
      <sz val="11"/>
      <color theme="1"/>
      <name val="Cambria"/>
      <scheme val="major"/>
    </font>
    <font>
      <sz val="11"/>
      <name val="Cambria"/>
      <scheme val="major"/>
    </font>
    <font>
      <sz val="10"/>
      <color theme="5" tint="-0.499984740745262"/>
      <name val="Cambria"/>
      <scheme val="major"/>
    </font>
    <font>
      <sz val="11"/>
      <color theme="5" tint="-0.499984740745262"/>
      <name val="Cambria"/>
      <scheme val="major"/>
    </font>
    <font>
      <sz val="10"/>
      <name val="Cambria"/>
      <scheme val="major"/>
    </font>
    <font>
      <b/>
      <u/>
      <sz val="14"/>
      <name val="Cambria"/>
      <scheme val="major"/>
    </font>
    <font>
      <i/>
      <sz val="12"/>
      <name val="Cambria"/>
      <scheme val="major"/>
    </font>
    <font>
      <b/>
      <sz val="12"/>
      <name val="Cambria"/>
      <scheme val="major"/>
    </font>
    <font>
      <b/>
      <u/>
      <sz val="10"/>
      <name val="Cambria"/>
      <scheme val="major"/>
    </font>
    <font>
      <b/>
      <sz val="12"/>
      <color theme="1"/>
      <name val="Cambria"/>
      <scheme val="major"/>
    </font>
    <font>
      <b/>
      <sz val="14"/>
      <color theme="1"/>
      <name val="Cambria"/>
    </font>
    <font>
      <b/>
      <sz val="14"/>
      <color theme="1"/>
      <name val="Cambria"/>
      <scheme val="major"/>
    </font>
    <font>
      <u/>
      <sz val="12"/>
      <color theme="1"/>
      <name val="Cambria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64" fontId="5" fillId="0" borderId="0" xfId="0" applyNumberFormat="1" applyFont="1"/>
    <xf numFmtId="165" fontId="6" fillId="0" borderId="0" xfId="0" applyNumberFormat="1" applyFont="1"/>
    <xf numFmtId="0" fontId="5" fillId="0" borderId="0" xfId="0" applyFont="1"/>
    <xf numFmtId="165" fontId="5" fillId="0" borderId="0" xfId="0" applyNumberFormat="1" applyFont="1" applyAlignment="1">
      <alignment horizontal="center"/>
    </xf>
    <xf numFmtId="164" fontId="4" fillId="0" borderId="0" xfId="0" applyNumberFormat="1" applyFont="1"/>
    <xf numFmtId="165" fontId="4" fillId="0" borderId="0" xfId="0" applyNumberFormat="1" applyFont="1" applyAlignment="1">
      <alignment horizontal="center"/>
    </xf>
    <xf numFmtId="17" fontId="4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/>
    <xf numFmtId="166" fontId="4" fillId="0" borderId="0" xfId="0" applyNumberFormat="1" applyFont="1"/>
    <xf numFmtId="1" fontId="8" fillId="0" borderId="0" xfId="0" applyNumberFormat="1" applyFont="1"/>
    <xf numFmtId="165" fontId="7" fillId="0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 applyAlignment="1">
      <alignment horizontal="right"/>
    </xf>
    <xf numFmtId="166" fontId="7" fillId="0" borderId="0" xfId="0" applyNumberFormat="1" applyFont="1"/>
    <xf numFmtId="2" fontId="4" fillId="0" borderId="0" xfId="0" applyNumberFormat="1" applyFont="1" applyBorder="1"/>
    <xf numFmtId="165" fontId="5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Fill="1"/>
    <xf numFmtId="165" fontId="5" fillId="0" borderId="0" xfId="0" applyNumberFormat="1" applyFont="1" applyFill="1"/>
    <xf numFmtId="166" fontId="4" fillId="0" borderId="0" xfId="0" applyNumberFormat="1" applyFont="1" applyFill="1"/>
    <xf numFmtId="2" fontId="4" fillId="0" borderId="0" xfId="0" applyNumberFormat="1" applyFont="1" applyFill="1" applyBorder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165" fontId="4" fillId="3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10" fillId="0" borderId="0" xfId="0" applyFont="1"/>
    <xf numFmtId="2" fontId="4" fillId="0" borderId="0" xfId="0" applyNumberFormat="1" applyFont="1"/>
    <xf numFmtId="167" fontId="4" fillId="0" borderId="0" xfId="0" applyNumberFormat="1" applyFont="1"/>
    <xf numFmtId="166" fontId="5" fillId="0" borderId="0" xfId="0" applyNumberFormat="1" applyFont="1"/>
    <xf numFmtId="0" fontId="11" fillId="0" borderId="0" xfId="0" applyFont="1"/>
    <xf numFmtId="164" fontId="12" fillId="0" borderId="0" xfId="0" applyNumberFormat="1" applyFont="1"/>
    <xf numFmtId="164" fontId="13" fillId="0" borderId="0" xfId="0" applyNumberFormat="1" applyFont="1"/>
    <xf numFmtId="164" fontId="14" fillId="0" borderId="0" xfId="0" applyNumberFormat="1" applyFont="1"/>
    <xf numFmtId="0" fontId="14" fillId="0" borderId="0" xfId="0" applyFont="1"/>
    <xf numFmtId="0" fontId="15" fillId="0" borderId="0" xfId="0" applyFont="1"/>
    <xf numFmtId="164" fontId="15" fillId="0" borderId="0" xfId="0" applyNumberFormat="1" applyFont="1"/>
    <xf numFmtId="164" fontId="3" fillId="0" borderId="0" xfId="0" applyNumberFormat="1" applyFont="1"/>
    <xf numFmtId="164" fontId="15" fillId="0" borderId="0" xfId="0" applyNumberFormat="1" applyFont="1" applyAlignment="1">
      <alignment horizontal="right"/>
    </xf>
    <xf numFmtId="164" fontId="16" fillId="0" borderId="0" xfId="0" applyNumberFormat="1" applyFont="1"/>
    <xf numFmtId="164" fontId="17" fillId="0" borderId="0" xfId="0" applyNumberFormat="1" applyFont="1"/>
    <xf numFmtId="167" fontId="15" fillId="0" borderId="0" xfId="0" applyNumberFormat="1" applyFont="1"/>
    <xf numFmtId="0" fontId="15" fillId="0" borderId="0" xfId="0" applyFont="1" applyFill="1"/>
    <xf numFmtId="164" fontId="16" fillId="0" borderId="0" xfId="0" applyNumberFormat="1" applyFont="1" applyFill="1"/>
    <xf numFmtId="0" fontId="14" fillId="0" borderId="0" xfId="0" applyFont="1" applyFill="1"/>
    <xf numFmtId="0" fontId="18" fillId="0" borderId="0" xfId="0" applyFont="1"/>
    <xf numFmtId="164" fontId="18" fillId="0" borderId="0" xfId="0" applyNumberFormat="1" applyFont="1"/>
    <xf numFmtId="166" fontId="15" fillId="0" borderId="0" xfId="0" applyNumberFormat="1" applyFont="1"/>
    <xf numFmtId="164" fontId="15" fillId="3" borderId="0" xfId="0" applyNumberFormat="1" applyFont="1" applyFill="1"/>
    <xf numFmtId="0" fontId="15" fillId="3" borderId="0" xfId="0" applyFont="1" applyFill="1"/>
    <xf numFmtId="164" fontId="15" fillId="3" borderId="0" xfId="0" applyNumberFormat="1" applyFont="1" applyFill="1" applyAlignment="1">
      <alignment horizontal="right"/>
    </xf>
    <xf numFmtId="164" fontId="19" fillId="0" borderId="0" xfId="0" applyNumberFormat="1" applyFont="1"/>
    <xf numFmtId="164" fontId="4" fillId="3" borderId="0" xfId="0" applyNumberFormat="1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2" fontId="21" fillId="0" borderId="0" xfId="0" applyNumberFormat="1" applyFont="1" applyBorder="1"/>
    <xf numFmtId="165" fontId="4" fillId="0" borderId="0" xfId="0" applyNumberFormat="1" applyFont="1" applyFill="1" applyAlignment="1">
      <alignment horizontal="right"/>
    </xf>
    <xf numFmtId="165" fontId="20" fillId="0" borderId="0" xfId="0" applyNumberFormat="1" applyFont="1" applyFill="1" applyAlignment="1">
      <alignment horizontal="right"/>
    </xf>
    <xf numFmtId="2" fontId="21" fillId="0" borderId="0" xfId="0" applyNumberFormat="1" applyFont="1" applyFill="1" applyBorder="1"/>
    <xf numFmtId="0" fontId="4" fillId="0" borderId="0" xfId="0" applyFont="1" applyFill="1"/>
    <xf numFmtId="0" fontId="21" fillId="0" borderId="0" xfId="0" applyFont="1" applyFill="1"/>
    <xf numFmtId="164" fontId="4" fillId="0" borderId="0" xfId="0" applyNumberFormat="1" applyFont="1" applyBorder="1"/>
    <xf numFmtId="164" fontId="4" fillId="3" borderId="0" xfId="0" applyNumberFormat="1" applyFont="1" applyFill="1" applyBorder="1"/>
    <xf numFmtId="2" fontId="21" fillId="0" borderId="0" xfId="0" applyNumberFormat="1" applyFont="1" applyFill="1"/>
    <xf numFmtId="164" fontId="14" fillId="3" borderId="0" xfId="0" applyNumberFormat="1" applyFont="1" applyFill="1"/>
    <xf numFmtId="0" fontId="14" fillId="3" borderId="0" xfId="0" applyFont="1" applyFill="1"/>
    <xf numFmtId="165" fontId="15" fillId="3" borderId="0" xfId="0" applyNumberFormat="1" applyFont="1" applyFill="1"/>
    <xf numFmtId="165" fontId="15" fillId="0" borderId="0" xfId="0" applyNumberFormat="1" applyFont="1"/>
    <xf numFmtId="0" fontId="3" fillId="2" borderId="0" xfId="0" applyFont="1" applyFill="1"/>
    <xf numFmtId="164" fontId="15" fillId="2" borderId="0" xfId="0" applyNumberFormat="1" applyFont="1" applyFill="1"/>
    <xf numFmtId="0" fontId="15" fillId="2" borderId="0" xfId="0" applyFont="1" applyFill="1"/>
    <xf numFmtId="164" fontId="17" fillId="2" borderId="0" xfId="0" applyNumberFormat="1" applyFont="1" applyFill="1"/>
    <xf numFmtId="0" fontId="18" fillId="2" borderId="0" xfId="0" applyFont="1" applyFill="1"/>
    <xf numFmtId="0" fontId="15" fillId="2" borderId="0" xfId="0" applyFont="1" applyFill="1" applyAlignment="1">
      <alignment horizontal="right"/>
    </xf>
    <xf numFmtId="164" fontId="15" fillId="2" borderId="1" xfId="0" applyNumberFormat="1" applyFont="1" applyFill="1" applyBorder="1"/>
    <xf numFmtId="164" fontId="14" fillId="0" borderId="0" xfId="0" applyNumberFormat="1" applyFont="1" applyFill="1"/>
    <xf numFmtId="165" fontId="14" fillId="0" borderId="0" xfId="0" applyNumberFormat="1" applyFont="1"/>
    <xf numFmtId="0" fontId="22" fillId="0" borderId="0" xfId="0" applyFont="1" applyFill="1"/>
    <xf numFmtId="166" fontId="23" fillId="0" borderId="6" xfId="0" applyNumberFormat="1" applyFont="1" applyBorder="1"/>
    <xf numFmtId="3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right"/>
    </xf>
    <xf numFmtId="0" fontId="25" fillId="0" borderId="0" xfId="0" applyFont="1"/>
    <xf numFmtId="0" fontId="5" fillId="0" borderId="0" xfId="0" applyFont="1" applyAlignment="1">
      <alignment horizontal="right"/>
    </xf>
    <xf numFmtId="0" fontId="26" fillId="0" borderId="0" xfId="0" applyFont="1"/>
    <xf numFmtId="2" fontId="5" fillId="0" borderId="0" xfId="0" applyNumberFormat="1" applyFont="1"/>
    <xf numFmtId="164" fontId="5" fillId="0" borderId="6" xfId="0" applyNumberFormat="1" applyFont="1" applyBorder="1"/>
    <xf numFmtId="164" fontId="5" fillId="0" borderId="0" xfId="0" applyNumberFormat="1" applyFont="1" applyFill="1"/>
  </cellXfs>
  <cellStyles count="1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64" workbookViewId="0">
      <selection activeCell="F37" sqref="F37:I38"/>
    </sheetView>
  </sheetViews>
  <sheetFormatPr baseColWidth="10" defaultColWidth="12.5" defaultRowHeight="13" x14ac:dyDescent="0"/>
  <cols>
    <col min="1" max="1" width="19.5" style="44" customWidth="1"/>
    <col min="2" max="2" width="14.33203125" style="43" customWidth="1"/>
    <col min="3" max="3" width="5.6640625" style="43" customWidth="1"/>
    <col min="4" max="4" width="8" style="43" customWidth="1"/>
    <col min="5" max="5" width="3.1640625" style="43" customWidth="1"/>
    <col min="6" max="7" width="12.5" style="43"/>
    <col min="8" max="8" width="12.6640625" style="43" bestFit="1" customWidth="1"/>
    <col min="9" max="9" width="13" style="43" bestFit="1" customWidth="1"/>
    <col min="10" max="11" width="4.83203125" style="43" customWidth="1"/>
    <col min="12" max="12" width="19.5" style="43" customWidth="1"/>
    <col min="13" max="13" width="14" style="86" customWidth="1"/>
    <col min="14" max="14" width="17.6640625" style="44" customWidth="1"/>
    <col min="15" max="15" width="12.5" style="44" customWidth="1"/>
    <col min="16" max="18" width="12.5" style="44"/>
    <col min="19" max="19" width="14.6640625" style="44" customWidth="1"/>
    <col min="20" max="20" width="4.83203125" style="44" customWidth="1"/>
    <col min="21" max="16384" width="12.5" style="44"/>
  </cols>
  <sheetData>
    <row r="1" spans="1:20" ht="20">
      <c r="A1" s="40" t="s">
        <v>85</v>
      </c>
      <c r="B1" s="41" t="s">
        <v>17</v>
      </c>
      <c r="C1" s="42"/>
      <c r="L1" s="4"/>
      <c r="M1" s="5" t="s">
        <v>18</v>
      </c>
      <c r="N1" s="6"/>
      <c r="O1" s="6"/>
      <c r="P1" s="6"/>
      <c r="Q1" s="6"/>
    </row>
    <row r="2" spans="1:20" ht="15">
      <c r="A2" s="40" t="s">
        <v>86</v>
      </c>
      <c r="L2" s="4"/>
      <c r="M2" s="7" t="s">
        <v>0</v>
      </c>
      <c r="N2" s="6" t="s">
        <v>1</v>
      </c>
      <c r="O2" s="6"/>
      <c r="P2" s="6"/>
      <c r="Q2" s="6"/>
    </row>
    <row r="3" spans="1:20" ht="15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8"/>
      <c r="M3" s="9" t="s">
        <v>19</v>
      </c>
      <c r="N3" s="10" t="s">
        <v>20</v>
      </c>
      <c r="O3" s="10"/>
      <c r="P3" s="2" t="s">
        <v>21</v>
      </c>
      <c r="Q3" s="2" t="s">
        <v>81</v>
      </c>
      <c r="R3" s="45"/>
      <c r="S3" s="45"/>
      <c r="T3" s="45"/>
    </row>
    <row r="4" spans="1:20" ht="15">
      <c r="A4" s="45"/>
      <c r="B4" s="47" t="s">
        <v>22</v>
      </c>
      <c r="C4" s="47"/>
      <c r="D4" s="46"/>
      <c r="E4" s="46"/>
      <c r="F4" s="46" t="s">
        <v>15</v>
      </c>
      <c r="G4" s="46"/>
      <c r="H4" s="46"/>
      <c r="I4" s="46"/>
      <c r="J4" s="46"/>
      <c r="K4" s="46"/>
      <c r="L4" s="8"/>
      <c r="M4" s="9" t="s">
        <v>19</v>
      </c>
      <c r="N4" s="3" t="s">
        <v>23</v>
      </c>
      <c r="O4" s="3"/>
      <c r="P4" s="2" t="s">
        <v>24</v>
      </c>
      <c r="Q4" s="2" t="s">
        <v>82</v>
      </c>
      <c r="R4" s="45"/>
      <c r="S4" s="45"/>
      <c r="T4" s="45"/>
    </row>
    <row r="5" spans="1:20" ht="15">
      <c r="A5" s="45"/>
      <c r="B5" s="48" t="s">
        <v>25</v>
      </c>
      <c r="C5" s="48"/>
      <c r="D5" s="48" t="s">
        <v>26</v>
      </c>
      <c r="E5" s="48"/>
      <c r="F5" s="48" t="s">
        <v>27</v>
      </c>
      <c r="G5" s="48" t="s">
        <v>28</v>
      </c>
      <c r="H5" s="48" t="s">
        <v>29</v>
      </c>
      <c r="I5" s="48" t="s">
        <v>30</v>
      </c>
      <c r="J5" s="48"/>
      <c r="K5" s="48"/>
      <c r="L5" s="1" t="s">
        <v>31</v>
      </c>
      <c r="M5" s="9" t="s">
        <v>32</v>
      </c>
      <c r="N5" s="2" t="s">
        <v>33</v>
      </c>
      <c r="O5" s="2" t="s">
        <v>90</v>
      </c>
      <c r="P5" s="2" t="s">
        <v>34</v>
      </c>
      <c r="Q5" s="2" t="s">
        <v>83</v>
      </c>
      <c r="R5" s="45"/>
      <c r="S5" s="45"/>
      <c r="T5" s="45"/>
    </row>
    <row r="6" spans="1:20" ht="15">
      <c r="A6" s="45"/>
      <c r="B6" s="48" t="s">
        <v>35</v>
      </c>
      <c r="C6" s="48"/>
      <c r="D6" s="48" t="s">
        <v>36</v>
      </c>
      <c r="E6" s="48"/>
      <c r="F6" s="48" t="s">
        <v>35</v>
      </c>
      <c r="G6" s="48" t="s">
        <v>35</v>
      </c>
      <c r="H6" s="48" t="s">
        <v>37</v>
      </c>
      <c r="I6" s="48" t="s">
        <v>35</v>
      </c>
      <c r="J6" s="48"/>
      <c r="K6" s="48"/>
      <c r="L6" s="3"/>
      <c r="M6" s="11" t="s">
        <v>38</v>
      </c>
      <c r="N6" s="2" t="s">
        <v>39</v>
      </c>
      <c r="O6" s="2" t="s">
        <v>91</v>
      </c>
      <c r="P6" s="2" t="s">
        <v>2</v>
      </c>
      <c r="Q6" s="3"/>
      <c r="R6" s="45"/>
      <c r="S6" s="45"/>
      <c r="T6" s="45"/>
    </row>
    <row r="7" spans="1:20" ht="15">
      <c r="A7" s="45" t="s">
        <v>3</v>
      </c>
      <c r="B7" s="49">
        <f>339694060.9252/1000000</f>
        <v>339.69406092520001</v>
      </c>
      <c r="C7" s="50"/>
      <c r="D7" s="50">
        <f>58529699.26563/1000000</f>
        <v>58.529699265630001</v>
      </c>
      <c r="E7" s="50"/>
      <c r="F7" s="50">
        <f>35137348.96142/1000000</f>
        <v>35.137348961420003</v>
      </c>
      <c r="G7" s="50">
        <f>16832491.79172/1000000</f>
        <v>16.832491791719999</v>
      </c>
      <c r="H7" s="50">
        <f>52191190.78924/1000000</f>
        <v>52.191190789240004</v>
      </c>
      <c r="I7" s="50">
        <f t="shared" ref="I7:I17" si="0">B7+D7+H7</f>
        <v>450.41495098007005</v>
      </c>
      <c r="J7" s="51"/>
      <c r="K7" s="51"/>
      <c r="L7" s="3" t="s">
        <v>3</v>
      </c>
      <c r="M7" s="12">
        <f>544058.6702957/1000000</f>
        <v>0.54405867029569999</v>
      </c>
      <c r="N7" s="12">
        <f>2727994.80146/1000000</f>
        <v>2.7279948014600004</v>
      </c>
      <c r="O7" s="13">
        <f>I7/N7</f>
        <v>165.10843449518734</v>
      </c>
      <c r="P7" s="13">
        <f t="shared" ref="P7:P17" si="1">N7/M7</f>
        <v>5.0141555504984687</v>
      </c>
      <c r="Q7" s="14">
        <f>I7/M7</f>
        <v>827.87937325815642</v>
      </c>
      <c r="R7" s="45"/>
      <c r="S7" s="45"/>
      <c r="T7" s="45"/>
    </row>
    <row r="8" spans="1:20" ht="15">
      <c r="A8" s="45" t="s">
        <v>4</v>
      </c>
      <c r="B8" s="49">
        <f>655783479.5002/1000000</f>
        <v>655.78347950020009</v>
      </c>
      <c r="C8" s="49"/>
      <c r="D8" s="49">
        <f>88989154.72559/1000000</f>
        <v>88.989154725590012</v>
      </c>
      <c r="E8" s="49"/>
      <c r="F8" s="49">
        <f>88258316.42178/1000000</f>
        <v>88.258316421780009</v>
      </c>
      <c r="G8" s="49">
        <f>39206823.8143/1000000</f>
        <v>39.206823814300002</v>
      </c>
      <c r="H8" s="49">
        <f>127465140.8927/1000000</f>
        <v>127.46514089270001</v>
      </c>
      <c r="I8" s="50">
        <f t="shared" si="0"/>
        <v>872.23777511849005</v>
      </c>
      <c r="J8" s="51"/>
      <c r="K8" s="51"/>
      <c r="L8" s="3" t="s">
        <v>4</v>
      </c>
      <c r="M8" s="12">
        <f>1127147.177345/1000000</f>
        <v>1.1271471773449999</v>
      </c>
      <c r="N8" s="12">
        <f>5898218.640106/1000000</f>
        <v>5.8982186401060002</v>
      </c>
      <c r="O8" s="13">
        <f t="shared" ref="O8:O20" si="2">I8/N8</f>
        <v>147.88156023711161</v>
      </c>
      <c r="P8" s="13">
        <f t="shared" si="1"/>
        <v>5.2328735400813224</v>
      </c>
      <c r="Q8" s="14">
        <f t="shared" ref="Q8:Q20" si="3">I8/M8</f>
        <v>773.84550363072367</v>
      </c>
      <c r="R8" s="45"/>
      <c r="S8" s="45"/>
      <c r="T8" s="45"/>
    </row>
    <row r="9" spans="1:20" ht="15">
      <c r="A9" s="45" t="s">
        <v>5</v>
      </c>
      <c r="B9" s="49">
        <f>257994464.899/1000000</f>
        <v>257.99446489899998</v>
      </c>
      <c r="C9" s="49"/>
      <c r="D9" s="49">
        <f>58948982.125/1000000</f>
        <v>58.948982125000001</v>
      </c>
      <c r="E9" s="49"/>
      <c r="F9" s="49">
        <f>36633892.3329/1000000</f>
        <v>36.633892332900004</v>
      </c>
      <c r="G9" s="49">
        <f>80176269.37451/1000000</f>
        <v>80.176269374509999</v>
      </c>
      <c r="H9" s="49">
        <f>116810161.5332/1000000</f>
        <v>116.8101615332</v>
      </c>
      <c r="I9" s="50">
        <f t="shared" si="0"/>
        <v>433.75360855719998</v>
      </c>
      <c r="J9" s="51"/>
      <c r="K9" s="51"/>
      <c r="L9" s="3" t="s">
        <v>5</v>
      </c>
      <c r="M9" s="12">
        <f>562986.189064/1000000</f>
        <v>0.562986189064</v>
      </c>
      <c r="N9" s="12">
        <f>3015644.702805/1000000</f>
        <v>3.015644702805</v>
      </c>
      <c r="O9" s="13">
        <f t="shared" si="2"/>
        <v>143.83445375834373</v>
      </c>
      <c r="P9" s="13">
        <f t="shared" si="1"/>
        <v>5.356516307831102</v>
      </c>
      <c r="Q9" s="14">
        <f t="shared" si="3"/>
        <v>770.4515971845467</v>
      </c>
      <c r="R9" s="45"/>
      <c r="S9" s="45"/>
      <c r="T9" s="45"/>
    </row>
    <row r="10" spans="1:20" ht="15">
      <c r="A10" s="45" t="s">
        <v>6</v>
      </c>
      <c r="B10" s="49">
        <f>253073559.7574/1000000</f>
        <v>253.07355975740001</v>
      </c>
      <c r="C10" s="49"/>
      <c r="D10" s="49">
        <f>58026906.63574/1000000</f>
        <v>58.026906635739998</v>
      </c>
      <c r="E10" s="49"/>
      <c r="F10" s="49">
        <f>36244943.63765/1000000</f>
        <v>36.244943637649996</v>
      </c>
      <c r="G10" s="49">
        <f>79335415.30377/1000000</f>
        <v>79.335415303770006</v>
      </c>
      <c r="H10" s="49">
        <f>115580358.7358/1000000</f>
        <v>115.5803587358</v>
      </c>
      <c r="I10" s="49">
        <f t="shared" si="0"/>
        <v>426.68082512894</v>
      </c>
      <c r="J10" s="51"/>
      <c r="K10" s="51"/>
      <c r="L10" s="3" t="s">
        <v>6</v>
      </c>
      <c r="M10" s="12">
        <f>552720.2592316/1000000</f>
        <v>0.55272025923159995</v>
      </c>
      <c r="N10" s="12">
        <f>2967400.003502/1000000</f>
        <v>2.9674000035020001</v>
      </c>
      <c r="O10" s="13">
        <f t="shared" si="2"/>
        <v>143.78945360429645</v>
      </c>
      <c r="P10" s="13">
        <f>N10/M10</f>
        <v>5.3687194452168701</v>
      </c>
      <c r="Q10" s="14">
        <f t="shared" si="3"/>
        <v>771.96523558249544</v>
      </c>
      <c r="R10" s="45"/>
      <c r="S10" s="45"/>
      <c r="T10" s="45"/>
    </row>
    <row r="11" spans="1:20" s="54" customFormat="1" ht="15">
      <c r="A11" s="52" t="s">
        <v>7</v>
      </c>
      <c r="B11" s="49">
        <f>368724267.4871/1000000</f>
        <v>368.72426748710001</v>
      </c>
      <c r="C11" s="53"/>
      <c r="D11" s="53">
        <f>88341027.05664/1000000</f>
        <v>88.341027056640002</v>
      </c>
      <c r="E11" s="53"/>
      <c r="F11" s="53">
        <f>44908369.0815/1000000</f>
        <v>44.908369081499998</v>
      </c>
      <c r="G11" s="53">
        <f>34336752.01949/1000000</f>
        <v>34.336752019490007</v>
      </c>
      <c r="H11" s="53">
        <f>79245120.82994/1000000</f>
        <v>79.245120829940007</v>
      </c>
      <c r="I11" s="53">
        <f t="shared" si="0"/>
        <v>536.31041537368003</v>
      </c>
      <c r="J11" s="51"/>
      <c r="K11" s="51"/>
      <c r="L11" s="3" t="s">
        <v>7</v>
      </c>
      <c r="M11" s="15">
        <f>819658.987339/1000000</f>
        <v>0.819658987339</v>
      </c>
      <c r="N11" s="15">
        <f>4523041.273102/1000000</f>
        <v>4.5230412731020007</v>
      </c>
      <c r="O11" s="13">
        <f t="shared" si="2"/>
        <v>118.57296517788939</v>
      </c>
      <c r="P11" s="13">
        <f t="shared" si="1"/>
        <v>5.5181988399662742</v>
      </c>
      <c r="Q11" s="14">
        <f t="shared" si="3"/>
        <v>654.30919889599068</v>
      </c>
      <c r="R11" s="52"/>
      <c r="S11" s="52"/>
      <c r="T11" s="52"/>
    </row>
    <row r="12" spans="1:20" ht="15">
      <c r="A12" s="55" t="s">
        <v>8</v>
      </c>
      <c r="B12" s="49">
        <f>71185177.13971/1000000</f>
        <v>71.185177139709992</v>
      </c>
      <c r="C12" s="49"/>
      <c r="D12" s="49">
        <f>13043329.4165/1000000</f>
        <v>13.043329416500001</v>
      </c>
      <c r="E12" s="49"/>
      <c r="F12" s="49">
        <f>5331782.148422/1000000</f>
        <v>5.3317821484219996</v>
      </c>
      <c r="G12" s="49">
        <f>5791465.496933/1000000</f>
        <v>5.7914654969330002</v>
      </c>
      <c r="H12" s="49">
        <f>11123247.68419/1000000</f>
        <v>11.12324768419</v>
      </c>
      <c r="I12" s="50">
        <f t="shared" si="0"/>
        <v>95.351754240399998</v>
      </c>
      <c r="J12" s="51"/>
      <c r="K12" s="51"/>
      <c r="L12" s="3" t="s">
        <v>8</v>
      </c>
      <c r="M12" s="12">
        <f>145937.0799103/1000000</f>
        <v>0.1459370799103</v>
      </c>
      <c r="N12" s="12">
        <f>792563.5290985/1000000</f>
        <v>0.79256352909850003</v>
      </c>
      <c r="O12" s="13">
        <f t="shared" si="2"/>
        <v>120.30802672545087</v>
      </c>
      <c r="P12" s="13">
        <f t="shared" si="1"/>
        <v>5.4308578024560168</v>
      </c>
      <c r="Q12" s="14">
        <f t="shared" si="3"/>
        <v>653.37578564000194</v>
      </c>
      <c r="R12" s="45"/>
      <c r="S12" s="45"/>
      <c r="T12" s="45"/>
    </row>
    <row r="13" spans="1:20" ht="15">
      <c r="A13" s="45" t="s">
        <v>9</v>
      </c>
      <c r="B13" s="49">
        <f>166375793.8039/1000000</f>
        <v>166.3757938039</v>
      </c>
      <c r="C13" s="49"/>
      <c r="D13" s="49">
        <f>41168651.99902/1000000</f>
        <v>41.16865199902</v>
      </c>
      <c r="E13" s="49"/>
      <c r="F13" s="49">
        <f>24439679.604/1000000</f>
        <v>24.439679603999998</v>
      </c>
      <c r="G13" s="49">
        <f>76699866.8764/1000000</f>
        <v>76.699866876399994</v>
      </c>
      <c r="H13" s="49">
        <f>101139547.209/1000000</f>
        <v>101.139547209</v>
      </c>
      <c r="I13" s="50">
        <f t="shared" si="0"/>
        <v>308.68399301191999</v>
      </c>
      <c r="J13" s="51"/>
      <c r="K13" s="51"/>
      <c r="L13" s="3" t="s">
        <v>9</v>
      </c>
      <c r="M13" s="12">
        <f>395086.9693375/1000000</f>
        <v>0.39508696933749998</v>
      </c>
      <c r="N13" s="12">
        <f>2259992.158348/1000000</f>
        <v>2.259992158348</v>
      </c>
      <c r="O13" s="13">
        <f t="shared" si="2"/>
        <v>136.58631153727566</v>
      </c>
      <c r="P13" s="13">
        <f t="shared" si="1"/>
        <v>5.720239678209734</v>
      </c>
      <c r="Q13" s="14">
        <f t="shared" si="3"/>
        <v>781.3064387558403</v>
      </c>
      <c r="R13" s="45"/>
      <c r="S13" s="45"/>
      <c r="T13" s="45"/>
    </row>
    <row r="14" spans="1:20" ht="15">
      <c r="A14" s="45" t="s">
        <v>10</v>
      </c>
      <c r="B14" s="49">
        <f>75481489.34003/1000000</f>
        <v>75.481489340029995</v>
      </c>
      <c r="C14" s="49"/>
      <c r="D14" s="49">
        <f>8867768.696777/1000000</f>
        <v>8.8677686967769986</v>
      </c>
      <c r="E14" s="49"/>
      <c r="F14" s="49">
        <f>14130350.68049/1000000</f>
        <v>14.13035068049</v>
      </c>
      <c r="G14" s="49">
        <f>13204990.86267/1000000</f>
        <v>13.20499086267</v>
      </c>
      <c r="H14" s="49">
        <f>27335340.63477/1000000</f>
        <v>27.335340634769999</v>
      </c>
      <c r="I14" s="50">
        <f t="shared" si="0"/>
        <v>111.68459867157699</v>
      </c>
      <c r="J14" s="51"/>
      <c r="K14" s="51"/>
      <c r="L14" s="3" t="s">
        <v>10</v>
      </c>
      <c r="M14" s="12">
        <f>120436.531189/1000000</f>
        <v>0.120436531189</v>
      </c>
      <c r="N14" s="12">
        <f>590152.1060944/1000000</f>
        <v>0.59015210609440005</v>
      </c>
      <c r="O14" s="13">
        <f t="shared" si="2"/>
        <v>189.24714072563532</v>
      </c>
      <c r="P14" s="13">
        <f t="shared" si="1"/>
        <v>4.9001087981210576</v>
      </c>
      <c r="Q14" s="14">
        <f t="shared" si="3"/>
        <v>927.33157928893957</v>
      </c>
      <c r="R14" s="45"/>
      <c r="S14" s="45"/>
      <c r="T14" s="45"/>
    </row>
    <row r="15" spans="1:20" ht="15">
      <c r="A15" s="45" t="s">
        <v>11</v>
      </c>
      <c r="B15" s="49">
        <f>11855261.27911/1000000</f>
        <v>11.85526127911</v>
      </c>
      <c r="C15" s="49"/>
      <c r="D15" s="49">
        <f>1530999.525391/1000000</f>
        <v>1.530999525391</v>
      </c>
      <c r="E15" s="49"/>
      <c r="F15" s="49">
        <f>141123.0804014/1000000</f>
        <v>0.14112308040139998</v>
      </c>
      <c r="G15" s="49">
        <f>570857.9055634/1000000</f>
        <v>0.57085790556339999</v>
      </c>
      <c r="H15" s="49">
        <f>711980.9737549/1000000</f>
        <v>0.71198097375489999</v>
      </c>
      <c r="I15" s="50">
        <f t="shared" si="0"/>
        <v>14.098241778255899</v>
      </c>
      <c r="J15" s="51"/>
      <c r="K15" s="51"/>
      <c r="L15" s="3" t="s">
        <v>11</v>
      </c>
      <c r="M15" s="12">
        <f>17583.17958069/1000000</f>
        <v>1.758317958069E-2</v>
      </c>
      <c r="N15" s="12">
        <f>72897.93796539/1000000</f>
        <v>7.289793796539E-2</v>
      </c>
      <c r="O15" s="13">
        <f t="shared" si="2"/>
        <v>193.39698998000969</v>
      </c>
      <c r="P15" s="13">
        <f t="shared" si="1"/>
        <v>4.1458905444750815</v>
      </c>
      <c r="Q15" s="14">
        <f t="shared" si="3"/>
        <v>801.80275208806427</v>
      </c>
      <c r="R15" s="45"/>
      <c r="S15" s="45"/>
      <c r="T15" s="45"/>
    </row>
    <row r="16" spans="1:20" ht="15">
      <c r="A16" s="45" t="s">
        <v>12</v>
      </c>
      <c r="B16" s="49">
        <f>99308141.44531/1000000</f>
        <v>99.30814144531</v>
      </c>
      <c r="C16" s="49"/>
      <c r="D16" s="49">
        <f>2425928.992188/1000000</f>
        <v>2.4259289921880001</v>
      </c>
      <c r="E16" s="49"/>
      <c r="F16" s="49">
        <f>1259251.04599/1000000</f>
        <v>1.2592510459899999</v>
      </c>
      <c r="G16" s="49">
        <f>1265055.505434/1000000</f>
        <v>1.265055505434</v>
      </c>
      <c r="H16" s="49">
        <f>2524306.643587/1000000</f>
        <v>2.5243066435870003</v>
      </c>
      <c r="I16" s="50">
        <f t="shared" si="0"/>
        <v>104.258377081085</v>
      </c>
      <c r="J16" s="51"/>
      <c r="K16" s="51"/>
      <c r="L16" s="3" t="s">
        <v>12</v>
      </c>
      <c r="M16" s="12">
        <f>28681.10979462/1000000</f>
        <v>2.8681109794619998E-2</v>
      </c>
      <c r="N16" s="12">
        <f>104684.1888275/1000000</f>
        <v>0.1046841888275</v>
      </c>
      <c r="O16" s="13">
        <f t="shared" si="2"/>
        <v>995.93241585778867</v>
      </c>
      <c r="P16" s="13">
        <f t="shared" si="1"/>
        <v>3.6499350819101379</v>
      </c>
      <c r="Q16" s="14">
        <f t="shared" si="3"/>
        <v>3635.0886638508591</v>
      </c>
      <c r="R16" s="45"/>
      <c r="S16" s="45"/>
      <c r="T16" s="45"/>
    </row>
    <row r="17" spans="1:20" ht="15">
      <c r="A17" s="45" t="s">
        <v>13</v>
      </c>
      <c r="B17" s="56">
        <f>B7+B8+B10</f>
        <v>1248.5511001828002</v>
      </c>
      <c r="C17" s="56"/>
      <c r="D17" s="56">
        <f>D7+D8+D10</f>
        <v>205.54576062696</v>
      </c>
      <c r="E17" s="56"/>
      <c r="F17" s="56">
        <f>F7+F8+F10</f>
        <v>159.64060902085001</v>
      </c>
      <c r="G17" s="56">
        <f>G7+G8+G10</f>
        <v>135.37473090979</v>
      </c>
      <c r="H17" s="56">
        <f>H7+H8+H10</f>
        <v>295.23669041774002</v>
      </c>
      <c r="I17" s="46">
        <f t="shared" si="0"/>
        <v>1749.3335512275</v>
      </c>
      <c r="J17" s="51"/>
      <c r="K17" s="51"/>
      <c r="L17" s="3" t="s">
        <v>13</v>
      </c>
      <c r="M17" s="11">
        <f>M7+M8+M10</f>
        <v>2.2239261068723</v>
      </c>
      <c r="N17" s="11">
        <f>N7+N8+N10</f>
        <v>11.593613445068002</v>
      </c>
      <c r="O17" s="13">
        <f t="shared" si="2"/>
        <v>150.88768997828524</v>
      </c>
      <c r="P17" s="13">
        <f t="shared" si="1"/>
        <v>5.2131288936452593</v>
      </c>
      <c r="Q17" s="14">
        <f t="shared" si="3"/>
        <v>786.59697632118696</v>
      </c>
      <c r="R17" s="45"/>
      <c r="S17" s="45"/>
      <c r="T17" s="45"/>
    </row>
    <row r="18" spans="1:20" ht="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3"/>
      <c r="M18" s="11"/>
      <c r="N18" s="11"/>
      <c r="O18" s="13"/>
      <c r="P18" s="2"/>
      <c r="Q18" s="3"/>
      <c r="R18" s="45"/>
      <c r="S18" s="45"/>
      <c r="T18" s="45"/>
    </row>
    <row r="19" spans="1:20" ht="15">
      <c r="A19" s="45" t="s">
        <v>40</v>
      </c>
      <c r="B19" s="46">
        <f>B7+B8+B9+B11+B12+B13+B14+B15+B16</f>
        <v>2046.40213581956</v>
      </c>
      <c r="C19" s="46"/>
      <c r="D19" s="46">
        <f>D7+D8+D9+D11+D12+D13+D14+D15+D16</f>
        <v>361.84554180273597</v>
      </c>
      <c r="E19" s="46"/>
      <c r="F19" s="46">
        <f>F7+F8+F9+F11+F12+F13+F14+F15+F16</f>
        <v>250.24011335690344</v>
      </c>
      <c r="G19" s="46">
        <f>G7+G8+G9+G11+G12+G13+G14+G15+G16</f>
        <v>268.08457364702042</v>
      </c>
      <c r="H19" s="46">
        <f>H7+H8+H9+H11+H12+H13+H14+H15+H16</f>
        <v>518.54603719038187</v>
      </c>
      <c r="I19" s="46">
        <f>I7+I8+I9+I11+I12+I13+I14+I15+I16</f>
        <v>2926.7937148126784</v>
      </c>
      <c r="J19" s="46"/>
      <c r="K19" s="46"/>
      <c r="L19" s="45" t="s">
        <v>40</v>
      </c>
      <c r="M19" s="38">
        <f>M7+M8+M9+M11+M12+M13+M14+M15+M16</f>
        <v>3.7615758938558099</v>
      </c>
      <c r="N19" s="8">
        <f>N7+N8+N9+N11+N12+N13+N14+N15+N16</f>
        <v>19.985189337806791</v>
      </c>
      <c r="O19" s="13">
        <f t="shared" si="2"/>
        <v>146.44813543377066</v>
      </c>
      <c r="P19" s="8">
        <f>AVERAGE(P7,P8,P9,P11,P12,P13,P14,P15,P16)</f>
        <v>4.9965306826165774</v>
      </c>
      <c r="Q19" s="14">
        <f t="shared" si="3"/>
        <v>778.07647576467309</v>
      </c>
      <c r="R19" s="45"/>
      <c r="S19" s="45"/>
      <c r="T19" s="45"/>
    </row>
    <row r="20" spans="1:20" ht="15">
      <c r="A20" s="45" t="s">
        <v>87</v>
      </c>
      <c r="B20" s="46">
        <f>B9+B13+B14</f>
        <v>499.85174804292996</v>
      </c>
      <c r="C20" s="46"/>
      <c r="D20" s="46">
        <f>D9+D13+D14</f>
        <v>108.98540282079699</v>
      </c>
      <c r="E20" s="46"/>
      <c r="F20" s="46">
        <f>F9+F13+F14</f>
        <v>75.203922617390006</v>
      </c>
      <c r="G20" s="46">
        <f t="shared" ref="G20:I20" si="4">G9+G13+G14</f>
        <v>170.08112711358001</v>
      </c>
      <c r="H20" s="46">
        <f t="shared" si="4"/>
        <v>245.28504937697002</v>
      </c>
      <c r="I20" s="46">
        <f t="shared" si="4"/>
        <v>854.122200240697</v>
      </c>
      <c r="J20" s="46"/>
      <c r="K20" s="46"/>
      <c r="L20" s="45" t="s">
        <v>87</v>
      </c>
      <c r="M20" s="38">
        <f t="shared" ref="M20:N20" si="5">M9+M13+M14</f>
        <v>1.0785096895905</v>
      </c>
      <c r="N20" s="51">
        <f t="shared" si="5"/>
        <v>5.8657889672473997</v>
      </c>
      <c r="O20" s="13">
        <f t="shared" si="2"/>
        <v>145.61079592358831</v>
      </c>
      <c r="P20" s="8">
        <f>N20/M20</f>
        <v>5.4387911614169964</v>
      </c>
      <c r="Q20" s="14">
        <f t="shared" si="3"/>
        <v>791.94670987610618</v>
      </c>
      <c r="R20" s="45"/>
      <c r="S20" s="45"/>
      <c r="T20" s="45"/>
    </row>
    <row r="21" spans="1:20" ht="15">
      <c r="A21" s="45"/>
      <c r="B21" s="46"/>
      <c r="C21" s="46" t="s">
        <v>41</v>
      </c>
      <c r="D21" s="46"/>
      <c r="E21" s="46"/>
      <c r="F21" s="46"/>
      <c r="G21" s="46"/>
      <c r="H21" s="46"/>
      <c r="I21" s="46"/>
      <c r="J21" s="46"/>
      <c r="K21" s="46"/>
      <c r="L21" s="3"/>
      <c r="M21" s="11"/>
      <c r="N21" s="3"/>
      <c r="O21" s="11"/>
      <c r="P21" s="3"/>
      <c r="Q21" s="3"/>
      <c r="R21" s="45"/>
      <c r="S21" s="57"/>
      <c r="T21" s="45"/>
    </row>
    <row r="22" spans="1:20" ht="15">
      <c r="A22" s="45" t="s">
        <v>42</v>
      </c>
      <c r="B22" s="46">
        <f>(B19/$I$19)*100</f>
        <v>69.919588984443834</v>
      </c>
      <c r="C22" s="46" t="s">
        <v>43</v>
      </c>
      <c r="D22" s="46">
        <f>(D19/$I$19)*100</f>
        <v>12.363206192886571</v>
      </c>
      <c r="E22" s="46"/>
      <c r="F22" s="46">
        <f>(F19/$I$19)*100</f>
        <v>8.549974399986688</v>
      </c>
      <c r="G22" s="46">
        <f>(G19/$I$19)*100</f>
        <v>9.1596675327758259</v>
      </c>
      <c r="H22" s="46">
        <f>(H19/$I$19)*100</f>
        <v>17.717204822669576</v>
      </c>
      <c r="I22" s="46">
        <f>(I19/$I$19)*100</f>
        <v>100</v>
      </c>
      <c r="J22" s="46"/>
      <c r="K22" s="46"/>
      <c r="L22" s="3"/>
      <c r="M22" s="11"/>
      <c r="N22" s="3"/>
      <c r="O22" s="11"/>
      <c r="P22" s="3"/>
      <c r="Q22" s="3"/>
      <c r="R22" s="45"/>
      <c r="S22" s="45"/>
      <c r="T22" s="45"/>
    </row>
    <row r="23" spans="1:20" ht="1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3"/>
      <c r="M23" s="11"/>
      <c r="N23" s="3"/>
      <c r="O23" s="11"/>
      <c r="P23" s="3"/>
      <c r="Q23" s="3"/>
      <c r="R23" s="45"/>
      <c r="S23" s="45"/>
      <c r="T23" s="45"/>
    </row>
    <row r="24" spans="1:20" ht="1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3"/>
      <c r="M24" s="17" t="s">
        <v>44</v>
      </c>
      <c r="N24" s="3"/>
      <c r="O24" s="17" t="s">
        <v>45</v>
      </c>
      <c r="P24" s="2" t="s">
        <v>14</v>
      </c>
      <c r="Q24" s="11" t="s">
        <v>46</v>
      </c>
      <c r="R24" s="45"/>
      <c r="S24" s="45"/>
      <c r="T24" s="45"/>
    </row>
    <row r="25" spans="1:20" ht="15">
      <c r="A25" s="45"/>
      <c r="B25" s="47" t="s">
        <v>47</v>
      </c>
      <c r="C25" s="47"/>
      <c r="D25" s="46"/>
      <c r="E25" s="46"/>
      <c r="F25" s="46" t="s">
        <v>15</v>
      </c>
      <c r="G25" s="46"/>
      <c r="H25" s="46"/>
      <c r="I25" s="46"/>
      <c r="J25" s="46"/>
      <c r="K25" s="46"/>
      <c r="L25" s="1" t="s">
        <v>48</v>
      </c>
      <c r="M25" s="17" t="s">
        <v>38</v>
      </c>
      <c r="N25" s="3"/>
      <c r="O25" s="17" t="s">
        <v>49</v>
      </c>
      <c r="P25" s="2" t="s">
        <v>2</v>
      </c>
      <c r="Q25" s="11" t="s">
        <v>50</v>
      </c>
      <c r="R25" s="45"/>
      <c r="S25" s="45"/>
      <c r="T25" s="45"/>
    </row>
    <row r="26" spans="1:20" ht="15">
      <c r="A26" s="45" t="s">
        <v>5</v>
      </c>
      <c r="B26" s="49">
        <f>44292824.8699855/1000000</f>
        <v>44.292824869985502</v>
      </c>
      <c r="C26" s="46"/>
      <c r="D26" s="46"/>
      <c r="E26" s="46"/>
      <c r="F26" s="46"/>
      <c r="G26" s="46"/>
      <c r="H26" s="46"/>
      <c r="I26" s="50">
        <f>B26</f>
        <v>44.292824869985502</v>
      </c>
      <c r="J26" s="46"/>
      <c r="K26" s="46"/>
      <c r="L26" s="3" t="s">
        <v>5</v>
      </c>
      <c r="M26" s="12">
        <f>383091.45/1000000</f>
        <v>0.38309145</v>
      </c>
      <c r="N26" s="3"/>
      <c r="O26" s="12">
        <f>M26*P26</f>
        <v>1.6056226149466875</v>
      </c>
      <c r="P26" s="18">
        <v>4.1912253978695881</v>
      </c>
      <c r="Q26" s="3" t="s">
        <v>93</v>
      </c>
      <c r="R26" s="45"/>
      <c r="S26" s="45"/>
      <c r="T26" s="45"/>
    </row>
    <row r="27" spans="1:20" ht="15">
      <c r="A27" s="45" t="s">
        <v>6</v>
      </c>
      <c r="B27" s="49">
        <f>43501279.3499826/1000000</f>
        <v>43.501279349982596</v>
      </c>
      <c r="C27" s="46"/>
      <c r="D27" s="46"/>
      <c r="E27" s="46"/>
      <c r="F27" s="46"/>
      <c r="G27" s="46"/>
      <c r="H27" s="46"/>
      <c r="I27" s="50">
        <f>B27</f>
        <v>43.501279349982596</v>
      </c>
      <c r="J27" s="46"/>
      <c r="K27" s="46"/>
      <c r="L27" s="3" t="s">
        <v>6</v>
      </c>
      <c r="M27" s="12">
        <f>376799.85/1000000</f>
        <v>0.37679984999999999</v>
      </c>
      <c r="N27" s="3"/>
      <c r="O27" s="12">
        <f>M27*P27</f>
        <v>1.578721</v>
      </c>
      <c r="P27" s="18">
        <v>4.1898132390445486</v>
      </c>
      <c r="Q27" s="3" t="s">
        <v>93</v>
      </c>
      <c r="R27" s="45"/>
      <c r="S27" s="45"/>
      <c r="T27" s="45"/>
    </row>
    <row r="28" spans="1:20" ht="15">
      <c r="A28" s="45" t="s">
        <v>9</v>
      </c>
      <c r="B28" s="50">
        <f>33907314.23/1000000</f>
        <v>33.907314229999997</v>
      </c>
      <c r="C28" s="46"/>
      <c r="D28" s="46"/>
      <c r="E28" s="46"/>
      <c r="F28" s="46"/>
      <c r="G28" s="46"/>
      <c r="H28" s="46"/>
      <c r="I28" s="50">
        <f t="shared" ref="I28:I30" si="6">B28</f>
        <v>33.907314229999997</v>
      </c>
      <c r="J28" s="46"/>
      <c r="K28" s="46"/>
      <c r="L28" s="3" t="s">
        <v>9</v>
      </c>
      <c r="M28" s="12">
        <f>256018.7/1000000</f>
        <v>0.25601869999999999</v>
      </c>
      <c r="N28" s="3"/>
      <c r="O28" s="12">
        <f>M28*P28</f>
        <v>1.082365</v>
      </c>
      <c r="P28" s="18">
        <v>4.2276794624767646</v>
      </c>
      <c r="Q28" s="3" t="s">
        <v>93</v>
      </c>
      <c r="R28" s="45"/>
      <c r="S28" s="45"/>
      <c r="T28" s="45"/>
    </row>
    <row r="29" spans="1:20" ht="15">
      <c r="A29" s="45" t="s">
        <v>10</v>
      </c>
      <c r="B29" s="50">
        <f>17339027.2000007/1000000</f>
        <v>17.3390272000007</v>
      </c>
      <c r="C29" s="46"/>
      <c r="D29" s="46"/>
      <c r="E29" s="46"/>
      <c r="F29" s="46"/>
      <c r="G29" s="46"/>
      <c r="H29" s="46"/>
      <c r="I29" s="50">
        <f t="shared" si="6"/>
        <v>17.3390272000007</v>
      </c>
      <c r="J29" s="46"/>
      <c r="K29" s="46"/>
      <c r="L29" s="3" t="s">
        <v>10</v>
      </c>
      <c r="M29" s="12">
        <f>84944.65/1000000</f>
        <v>8.4944649999999997E-2</v>
      </c>
      <c r="N29" s="3"/>
      <c r="O29" s="12">
        <f>M29*P29</f>
        <v>0.33892500000000003</v>
      </c>
      <c r="P29" s="18">
        <v>3.9899511034538375</v>
      </c>
      <c r="Q29" s="3" t="s">
        <v>93</v>
      </c>
      <c r="R29" s="45"/>
      <c r="S29" s="45"/>
      <c r="T29" s="45"/>
    </row>
    <row r="30" spans="1:20" ht="15">
      <c r="A30" s="45" t="s">
        <v>51</v>
      </c>
      <c r="B30" s="50">
        <f>2544323.20999993/1000000</f>
        <v>2.5443232099999302</v>
      </c>
      <c r="C30" s="46"/>
      <c r="D30" s="46"/>
      <c r="E30" s="46"/>
      <c r="F30" s="46"/>
      <c r="G30" s="46"/>
      <c r="H30" s="46"/>
      <c r="I30" s="50">
        <f t="shared" si="6"/>
        <v>2.5443232099999302</v>
      </c>
      <c r="J30" s="46"/>
      <c r="K30" s="46"/>
      <c r="L30" s="3" t="s">
        <v>51</v>
      </c>
      <c r="M30" s="12">
        <f>20561.1/1000000</f>
        <v>2.0561099999999999E-2</v>
      </c>
      <c r="N30" s="3"/>
      <c r="O30" s="12">
        <f>M30*P30</f>
        <v>8.9315999999999993E-2</v>
      </c>
      <c r="P30" s="18">
        <v>4.3439310153639639</v>
      </c>
      <c r="Q30" s="3" t="s">
        <v>93</v>
      </c>
      <c r="R30" s="45" t="s">
        <v>94</v>
      </c>
      <c r="S30" s="45"/>
      <c r="T30" s="45"/>
    </row>
    <row r="31" spans="1:20" ht="15">
      <c r="A31" s="45" t="s">
        <v>88</v>
      </c>
      <c r="B31" s="46">
        <f>B26+B28+B29</f>
        <v>95.539166299986206</v>
      </c>
      <c r="C31" s="46"/>
      <c r="D31" s="46"/>
      <c r="E31" s="46"/>
      <c r="F31" s="46"/>
      <c r="G31" s="46"/>
      <c r="H31" s="46"/>
      <c r="I31" s="46">
        <f>I26+I28+I29</f>
        <v>95.539166299986206</v>
      </c>
      <c r="J31" s="46"/>
      <c r="K31" s="46"/>
      <c r="L31" s="45" t="s">
        <v>88</v>
      </c>
      <c r="M31" s="20">
        <f>M26+M28+M29</f>
        <v>0.7240548</v>
      </c>
      <c r="O31" s="20">
        <f>O26+O28+O29</f>
        <v>3.0269126149466876</v>
      </c>
      <c r="P31" s="39">
        <f>O31/M31</f>
        <v>4.1805021041869868</v>
      </c>
      <c r="Q31" s="3"/>
      <c r="R31" s="37">
        <f>I31/O31</f>
        <v>31.563239000762803</v>
      </c>
      <c r="S31" s="45"/>
      <c r="T31" s="45"/>
    </row>
    <row r="32" spans="1:20" ht="15">
      <c r="A32" s="45" t="s">
        <v>52</v>
      </c>
      <c r="B32" s="50">
        <f>B26+B28+B29+B30</f>
        <v>98.083489509986137</v>
      </c>
      <c r="C32" s="46"/>
      <c r="D32" s="46"/>
      <c r="E32" s="46"/>
      <c r="F32" s="46"/>
      <c r="G32" s="46"/>
      <c r="H32" s="46"/>
      <c r="I32" s="50">
        <f>I26+I28+I29+I30</f>
        <v>98.083489509986137</v>
      </c>
      <c r="J32" s="46"/>
      <c r="K32" s="46"/>
      <c r="L32" s="45" t="s">
        <v>92</v>
      </c>
      <c r="M32" s="12">
        <f>M26+M28+M29+M30</f>
        <v>0.7446159</v>
      </c>
      <c r="N32" s="13"/>
      <c r="O32" s="12">
        <f>O30+O31</f>
        <v>3.1162286149466878</v>
      </c>
      <c r="P32" s="18">
        <f>O32/M32</f>
        <v>4.1850148713540607</v>
      </c>
      <c r="Q32" s="3"/>
      <c r="R32" s="37">
        <f>I32/O32</f>
        <v>31.475062208060798</v>
      </c>
      <c r="S32" s="45"/>
      <c r="T32" s="45"/>
    </row>
    <row r="33" spans="1:20" ht="15">
      <c r="A33" s="45"/>
      <c r="B33" s="46">
        <f>(B32/(B32+I19))*100</f>
        <v>3.2425610325543497</v>
      </c>
      <c r="C33" s="46" t="s">
        <v>41</v>
      </c>
      <c r="D33" s="46"/>
      <c r="E33" s="46"/>
      <c r="F33" s="46"/>
      <c r="G33" s="46"/>
      <c r="H33" s="46"/>
      <c r="I33" s="46"/>
      <c r="J33" s="46"/>
      <c r="K33" s="58"/>
      <c r="L33" s="34"/>
      <c r="M33" s="33"/>
      <c r="N33" s="35"/>
      <c r="O33" s="34"/>
      <c r="P33" s="34"/>
      <c r="Q33" s="34"/>
      <c r="R33" s="59"/>
      <c r="S33" s="59"/>
      <c r="T33" s="59"/>
    </row>
    <row r="34" spans="1:20" ht="17">
      <c r="A34" s="45"/>
      <c r="B34" s="48" t="s">
        <v>96</v>
      </c>
      <c r="C34" s="48"/>
      <c r="D34" s="48" t="s">
        <v>26</v>
      </c>
      <c r="E34" s="48"/>
      <c r="F34" s="48" t="s">
        <v>27</v>
      </c>
      <c r="G34" s="48" t="s">
        <v>28</v>
      </c>
      <c r="H34" s="48" t="s">
        <v>29</v>
      </c>
      <c r="I34" s="48" t="s">
        <v>30</v>
      </c>
      <c r="J34" s="48"/>
      <c r="K34" s="60"/>
      <c r="L34" s="36">
        <v>1850</v>
      </c>
      <c r="M34" s="11"/>
      <c r="N34" s="2"/>
      <c r="O34" s="2"/>
      <c r="P34" s="3"/>
      <c r="Q34" s="29" t="s">
        <v>79</v>
      </c>
      <c r="R34" s="30"/>
      <c r="S34" s="3" t="s">
        <v>76</v>
      </c>
      <c r="T34" s="59"/>
    </row>
    <row r="35" spans="1:20" ht="15">
      <c r="A35" s="45"/>
      <c r="B35" s="48" t="s">
        <v>35</v>
      </c>
      <c r="C35" s="48"/>
      <c r="D35" s="48" t="s">
        <v>36</v>
      </c>
      <c r="E35" s="48"/>
      <c r="F35" s="48" t="s">
        <v>35</v>
      </c>
      <c r="G35" s="48" t="s">
        <v>35</v>
      </c>
      <c r="H35" s="48" t="s">
        <v>37</v>
      </c>
      <c r="I35" s="48" t="s">
        <v>35</v>
      </c>
      <c r="J35" s="48"/>
      <c r="K35" s="60"/>
      <c r="L35" s="3"/>
      <c r="M35" s="9" t="s">
        <v>75</v>
      </c>
      <c r="N35" s="2" t="s">
        <v>16</v>
      </c>
      <c r="O35" s="2" t="s">
        <v>16</v>
      </c>
      <c r="P35" s="2" t="s">
        <v>14</v>
      </c>
      <c r="Q35" s="31" t="s">
        <v>80</v>
      </c>
      <c r="R35" s="32"/>
      <c r="S35" s="3" t="s">
        <v>77</v>
      </c>
      <c r="T35" s="59"/>
    </row>
    <row r="36" spans="1:20" s="3" customFormat="1" ht="17">
      <c r="B36" s="61" t="s">
        <v>53</v>
      </c>
      <c r="C36" s="8"/>
      <c r="D36" s="8"/>
      <c r="E36" s="8"/>
      <c r="F36" s="46" t="s">
        <v>15</v>
      </c>
      <c r="G36" s="8"/>
      <c r="H36" s="8"/>
      <c r="I36" s="8"/>
      <c r="J36" s="8"/>
      <c r="K36" s="62"/>
      <c r="L36" s="1" t="s">
        <v>84</v>
      </c>
      <c r="M36" s="2" t="s">
        <v>54</v>
      </c>
      <c r="N36" s="2" t="s">
        <v>54</v>
      </c>
      <c r="O36" s="63" t="s">
        <v>95</v>
      </c>
      <c r="P36" s="2" t="s">
        <v>2</v>
      </c>
      <c r="Q36" s="64" t="s">
        <v>55</v>
      </c>
      <c r="R36" s="2" t="s">
        <v>56</v>
      </c>
      <c r="S36" s="64" t="s">
        <v>55</v>
      </c>
      <c r="T36" s="34"/>
    </row>
    <row r="37" spans="1:20" s="3" customFormat="1" ht="15">
      <c r="A37" s="6" t="s">
        <v>3</v>
      </c>
      <c r="B37" s="4">
        <f>B7</f>
        <v>339.69406092520001</v>
      </c>
      <c r="C37" s="4"/>
      <c r="D37" s="4">
        <f t="shared" ref="D37:D47" si="7">D7</f>
        <v>58.529699265630001</v>
      </c>
      <c r="E37" s="4"/>
      <c r="F37" s="4">
        <f t="shared" ref="F37:H47" si="8">F7</f>
        <v>35.137348961420003</v>
      </c>
      <c r="G37" s="4">
        <f t="shared" si="8"/>
        <v>16.832491791719999</v>
      </c>
      <c r="H37" s="4">
        <f t="shared" si="8"/>
        <v>52.191190789240004</v>
      </c>
      <c r="I37" s="4">
        <f t="shared" ref="I37:I47" si="9">B37+D37+H37</f>
        <v>450.41495098007005</v>
      </c>
      <c r="J37" s="8"/>
      <c r="K37" s="62"/>
      <c r="L37" s="3" t="s">
        <v>3</v>
      </c>
      <c r="M37" s="11">
        <f>M7</f>
        <v>0.54405867029569999</v>
      </c>
      <c r="N37" s="20">
        <f>N7</f>
        <v>2.7279948014600004</v>
      </c>
      <c r="O37" s="16">
        <f>(370792+583169+994514+317976+147545+314120)/1000000</f>
        <v>2.728116</v>
      </c>
      <c r="P37" s="13">
        <f t="shared" ref="P37:P47" si="10">N37/M37</f>
        <v>5.0141555504984687</v>
      </c>
      <c r="Q37" s="65">
        <f>I37/N37</f>
        <v>165.10843449518734</v>
      </c>
      <c r="R37" s="19">
        <f>100*Q37/106</f>
        <v>155.76267405206352</v>
      </c>
      <c r="S37" s="21">
        <f>I37/M37</f>
        <v>827.87937325815642</v>
      </c>
      <c r="T37" s="34"/>
    </row>
    <row r="38" spans="1:20" s="3" customFormat="1" ht="15">
      <c r="A38" s="6" t="s">
        <v>4</v>
      </c>
      <c r="B38" s="4">
        <f>B8</f>
        <v>655.78347950020009</v>
      </c>
      <c r="C38" s="4"/>
      <c r="D38" s="4">
        <f t="shared" si="7"/>
        <v>88.989154725590012</v>
      </c>
      <c r="E38" s="4"/>
      <c r="F38" s="4">
        <f t="shared" si="8"/>
        <v>88.258316421780009</v>
      </c>
      <c r="G38" s="4">
        <f t="shared" si="8"/>
        <v>39.206823814300002</v>
      </c>
      <c r="H38" s="4">
        <f t="shared" si="8"/>
        <v>127.46514089270001</v>
      </c>
      <c r="I38" s="4">
        <f t="shared" si="9"/>
        <v>872.23777511849005</v>
      </c>
      <c r="J38" s="8"/>
      <c r="K38" s="62"/>
      <c r="L38" s="3" t="s">
        <v>4</v>
      </c>
      <c r="M38" s="11">
        <f>M8</f>
        <v>1.1271471773449999</v>
      </c>
      <c r="N38" s="20">
        <f>N8</f>
        <v>5.8982186401060002</v>
      </c>
      <c r="O38" s="66" t="s">
        <v>74</v>
      </c>
      <c r="P38" s="13">
        <f t="shared" si="10"/>
        <v>5.2328735400813224</v>
      </c>
      <c r="Q38" s="65">
        <f t="shared" ref="Q38:Q47" si="11">I38/N38</f>
        <v>147.88156023711161</v>
      </c>
      <c r="R38" s="19">
        <f t="shared" ref="R38:R49" si="12">100*Q38/106</f>
        <v>139.51090588406754</v>
      </c>
      <c r="S38" s="21">
        <f t="shared" ref="S38:S49" si="13">I38/M38</f>
        <v>773.84550363072367</v>
      </c>
      <c r="T38" s="34"/>
    </row>
    <row r="39" spans="1:20" s="3" customFormat="1" ht="15">
      <c r="A39" s="6" t="s">
        <v>5</v>
      </c>
      <c r="B39" s="4">
        <f>B9+B26</f>
        <v>302.28728976898549</v>
      </c>
      <c r="C39" s="4"/>
      <c r="D39" s="4">
        <f t="shared" si="7"/>
        <v>58.948982125000001</v>
      </c>
      <c r="E39" s="4"/>
      <c r="F39" s="4">
        <f t="shared" si="8"/>
        <v>36.633892332900004</v>
      </c>
      <c r="G39" s="4">
        <f t="shared" si="8"/>
        <v>80.176269374509999</v>
      </c>
      <c r="H39" s="4">
        <f t="shared" si="8"/>
        <v>116.8101615332</v>
      </c>
      <c r="I39" s="4">
        <f t="shared" si="9"/>
        <v>478.04643342718549</v>
      </c>
      <c r="J39" s="8"/>
      <c r="K39" s="62"/>
      <c r="L39" s="3" t="s">
        <v>5</v>
      </c>
      <c r="M39" s="11">
        <f>M9+M26</f>
        <v>0.946077639064</v>
      </c>
      <c r="N39" s="20">
        <f>N9+O26</f>
        <v>4.6212673177516876</v>
      </c>
      <c r="O39" s="63" t="s">
        <v>72</v>
      </c>
      <c r="P39" s="13">
        <f t="shared" si="10"/>
        <v>4.88465970120986</v>
      </c>
      <c r="Q39" s="65">
        <f t="shared" si="11"/>
        <v>103.4448778998056</v>
      </c>
      <c r="R39" s="19">
        <f t="shared" si="12"/>
        <v>97.589507452646785</v>
      </c>
      <c r="S39" s="21">
        <f t="shared" si="13"/>
        <v>505.29302637375486</v>
      </c>
      <c r="T39" s="34"/>
    </row>
    <row r="40" spans="1:20" s="3" customFormat="1" ht="15">
      <c r="A40" s="6" t="s">
        <v>6</v>
      </c>
      <c r="B40" s="4">
        <f>B10+B27</f>
        <v>296.57483910738262</v>
      </c>
      <c r="C40" s="4"/>
      <c r="D40" s="4">
        <f t="shared" si="7"/>
        <v>58.026906635739998</v>
      </c>
      <c r="E40" s="4"/>
      <c r="F40" s="4">
        <f t="shared" si="8"/>
        <v>36.244943637649996</v>
      </c>
      <c r="G40" s="4">
        <f t="shared" si="8"/>
        <v>79.335415303770006</v>
      </c>
      <c r="H40" s="4">
        <f t="shared" si="8"/>
        <v>115.5803587358</v>
      </c>
      <c r="I40" s="4">
        <f t="shared" si="9"/>
        <v>470.18210447892261</v>
      </c>
      <c r="J40" s="8"/>
      <c r="K40" s="62"/>
      <c r="L40" s="3" t="s">
        <v>6</v>
      </c>
      <c r="M40" s="11">
        <f>M10+M27</f>
        <v>0.92952010923159989</v>
      </c>
      <c r="N40" s="20">
        <f>N10+O27</f>
        <v>4.5461210035019999</v>
      </c>
      <c r="O40" s="67" t="s">
        <v>73</v>
      </c>
      <c r="P40" s="13">
        <f>N40/M40</f>
        <v>4.8908258770863071</v>
      </c>
      <c r="Q40" s="65">
        <f t="shared" si="11"/>
        <v>103.42489874702601</v>
      </c>
      <c r="R40" s="19">
        <f t="shared" si="12"/>
        <v>97.570659195307542</v>
      </c>
      <c r="S40" s="21">
        <f t="shared" si="13"/>
        <v>505.83317112698603</v>
      </c>
      <c r="T40" s="34"/>
    </row>
    <row r="41" spans="1:20" s="3" customFormat="1" ht="15">
      <c r="A41" s="6" t="s">
        <v>7</v>
      </c>
      <c r="B41" s="4">
        <f>B11</f>
        <v>368.72426748710001</v>
      </c>
      <c r="C41" s="4"/>
      <c r="D41" s="4">
        <f t="shared" si="7"/>
        <v>88.341027056640002</v>
      </c>
      <c r="E41" s="4"/>
      <c r="F41" s="4">
        <f t="shared" si="8"/>
        <v>44.908369081499998</v>
      </c>
      <c r="G41" s="4">
        <f t="shared" si="8"/>
        <v>34.336752019490007</v>
      </c>
      <c r="H41" s="4">
        <f t="shared" si="8"/>
        <v>79.245120829940007</v>
      </c>
      <c r="I41" s="4">
        <f t="shared" si="9"/>
        <v>536.31041537368003</v>
      </c>
      <c r="J41" s="8"/>
      <c r="K41" s="62"/>
      <c r="L41" s="3" t="s">
        <v>7</v>
      </c>
      <c r="M41" s="23">
        <f>M11</f>
        <v>0.819658987339</v>
      </c>
      <c r="N41" s="20">
        <f>N11</f>
        <v>4.5230412731020007</v>
      </c>
      <c r="O41" s="67" t="s">
        <v>68</v>
      </c>
      <c r="P41" s="13">
        <f t="shared" si="10"/>
        <v>5.5181988399662742</v>
      </c>
      <c r="Q41" s="65">
        <f t="shared" si="11"/>
        <v>118.57296517788939</v>
      </c>
      <c r="R41" s="19">
        <f t="shared" si="12"/>
        <v>111.86128790366922</v>
      </c>
      <c r="S41" s="22">
        <f t="shared" si="13"/>
        <v>654.30919889599068</v>
      </c>
      <c r="T41" s="34"/>
    </row>
    <row r="42" spans="1:20" s="3" customFormat="1" ht="15">
      <c r="A42" s="6" t="s">
        <v>8</v>
      </c>
      <c r="B42" s="4">
        <f>B12+B30</f>
        <v>73.729500349709923</v>
      </c>
      <c r="C42" s="4"/>
      <c r="D42" s="4">
        <f t="shared" si="7"/>
        <v>13.043329416500001</v>
      </c>
      <c r="E42" s="4"/>
      <c r="F42" s="4">
        <f t="shared" si="8"/>
        <v>5.3317821484219996</v>
      </c>
      <c r="G42" s="4">
        <f t="shared" si="8"/>
        <v>5.7914654969330002</v>
      </c>
      <c r="H42" s="4">
        <f t="shared" si="8"/>
        <v>11.12324768419</v>
      </c>
      <c r="I42" s="4">
        <f t="shared" si="9"/>
        <v>97.896077450399929</v>
      </c>
      <c r="J42" s="8"/>
      <c r="K42" s="62"/>
      <c r="L42" s="3" t="s">
        <v>8</v>
      </c>
      <c r="M42" s="11">
        <f>M12+M30</f>
        <v>0.1664981799103</v>
      </c>
      <c r="N42" s="20">
        <f>N12+O30</f>
        <v>0.88187952909849998</v>
      </c>
      <c r="O42" s="67" t="s">
        <v>69</v>
      </c>
      <c r="P42" s="13">
        <f t="shared" si="10"/>
        <v>5.296631648307554</v>
      </c>
      <c r="Q42" s="65">
        <f t="shared" si="11"/>
        <v>111.0084475489232</v>
      </c>
      <c r="R42" s="19">
        <f t="shared" si="12"/>
        <v>104.72495051785206</v>
      </c>
      <c r="S42" s="21">
        <f t="shared" si="13"/>
        <v>587.97085651711575</v>
      </c>
      <c r="T42" s="34"/>
    </row>
    <row r="43" spans="1:20" s="3" customFormat="1" ht="15">
      <c r="A43" s="6" t="s">
        <v>9</v>
      </c>
      <c r="B43" s="4">
        <f>B13+B28</f>
        <v>200.28310803389999</v>
      </c>
      <c r="C43" s="4"/>
      <c r="D43" s="4">
        <f t="shared" si="7"/>
        <v>41.16865199902</v>
      </c>
      <c r="E43" s="4"/>
      <c r="F43" s="4">
        <f t="shared" si="8"/>
        <v>24.439679603999998</v>
      </c>
      <c r="G43" s="4">
        <f t="shared" si="8"/>
        <v>76.699866876399994</v>
      </c>
      <c r="H43" s="4">
        <f t="shared" si="8"/>
        <v>101.139547209</v>
      </c>
      <c r="I43" s="4">
        <f t="shared" si="9"/>
        <v>342.59130724191999</v>
      </c>
      <c r="J43" s="8"/>
      <c r="K43" s="62"/>
      <c r="L43" s="3" t="s">
        <v>9</v>
      </c>
      <c r="M43" s="11">
        <f>M13+M28</f>
        <v>0.65110566933749991</v>
      </c>
      <c r="N43" s="20">
        <f>N13+O28</f>
        <v>3.3423571583480003</v>
      </c>
      <c r="O43" s="67" t="s">
        <v>70</v>
      </c>
      <c r="P43" s="13">
        <f t="shared" si="10"/>
        <v>5.133355944740658</v>
      </c>
      <c r="Q43" s="65">
        <f t="shared" si="11"/>
        <v>102.49990979756627</v>
      </c>
      <c r="R43" s="19">
        <f t="shared" si="12"/>
        <v>96.698028110911579</v>
      </c>
      <c r="S43" s="21">
        <f t="shared" si="13"/>
        <v>526.16852129471806</v>
      </c>
      <c r="T43" s="34"/>
    </row>
    <row r="44" spans="1:20" s="3" customFormat="1" ht="15">
      <c r="A44" s="6" t="s">
        <v>10</v>
      </c>
      <c r="B44" s="4">
        <f>B14+B29</f>
        <v>92.820516540030695</v>
      </c>
      <c r="C44" s="4"/>
      <c r="D44" s="4">
        <f t="shared" si="7"/>
        <v>8.8677686967769986</v>
      </c>
      <c r="E44" s="4"/>
      <c r="F44" s="4">
        <f t="shared" si="8"/>
        <v>14.13035068049</v>
      </c>
      <c r="G44" s="4">
        <f t="shared" si="8"/>
        <v>13.20499086267</v>
      </c>
      <c r="H44" s="4">
        <f t="shared" si="8"/>
        <v>27.335340634769999</v>
      </c>
      <c r="I44" s="4">
        <f t="shared" si="9"/>
        <v>129.02362587157771</v>
      </c>
      <c r="J44" s="8"/>
      <c r="K44" s="62"/>
      <c r="L44" s="3" t="s">
        <v>10</v>
      </c>
      <c r="M44" s="11">
        <f>M14+M29</f>
        <v>0.20538118118900001</v>
      </c>
      <c r="N44" s="20">
        <f>N14+O29</f>
        <v>0.92907710609440008</v>
      </c>
      <c r="O44" s="67" t="s">
        <v>71</v>
      </c>
      <c r="P44" s="13">
        <f t="shared" si="10"/>
        <v>4.5236720361415488</v>
      </c>
      <c r="Q44" s="65">
        <f t="shared" si="11"/>
        <v>138.87289335323271</v>
      </c>
      <c r="R44" s="19">
        <f t="shared" si="12"/>
        <v>131.01216354078559</v>
      </c>
      <c r="S44" s="21">
        <f t="shared" si="13"/>
        <v>628.21542424008646</v>
      </c>
      <c r="T44" s="34"/>
    </row>
    <row r="45" spans="1:20" s="3" customFormat="1" ht="15">
      <c r="A45" s="6" t="s">
        <v>11</v>
      </c>
      <c r="B45" s="4">
        <f>B15</f>
        <v>11.85526127911</v>
      </c>
      <c r="C45" s="4"/>
      <c r="D45" s="4">
        <f t="shared" si="7"/>
        <v>1.530999525391</v>
      </c>
      <c r="E45" s="4"/>
      <c r="F45" s="4">
        <f t="shared" si="8"/>
        <v>0.14112308040139998</v>
      </c>
      <c r="G45" s="4">
        <f t="shared" si="8"/>
        <v>0.57085790556339999</v>
      </c>
      <c r="H45" s="4">
        <f t="shared" si="8"/>
        <v>0.71198097375489999</v>
      </c>
      <c r="I45" s="4">
        <f t="shared" si="9"/>
        <v>14.098241778255899</v>
      </c>
      <c r="J45" s="8"/>
      <c r="K45" s="62"/>
      <c r="L45" s="3" t="s">
        <v>11</v>
      </c>
      <c r="M45" s="11">
        <f>M15</f>
        <v>1.758317958069E-2</v>
      </c>
      <c r="N45" s="20">
        <f>N15</f>
        <v>7.289793796539E-2</v>
      </c>
      <c r="O45" s="66" t="s">
        <v>74</v>
      </c>
      <c r="P45" s="13">
        <f t="shared" si="10"/>
        <v>4.1458905444750815</v>
      </c>
      <c r="Q45" s="65">
        <f t="shared" si="11"/>
        <v>193.39698998000969</v>
      </c>
      <c r="R45" s="19">
        <f t="shared" si="12"/>
        <v>182.44999054717894</v>
      </c>
      <c r="S45" s="21">
        <f t="shared" si="13"/>
        <v>801.80275208806427</v>
      </c>
      <c r="T45" s="34"/>
    </row>
    <row r="46" spans="1:20" s="3" customFormat="1" ht="15">
      <c r="A46" s="6" t="s">
        <v>12</v>
      </c>
      <c r="B46" s="4">
        <f>B16</f>
        <v>99.30814144531</v>
      </c>
      <c r="C46" s="4"/>
      <c r="D46" s="4">
        <f t="shared" si="7"/>
        <v>2.4259289921880001</v>
      </c>
      <c r="E46" s="4"/>
      <c r="F46" s="4">
        <f t="shared" si="8"/>
        <v>1.2592510459899999</v>
      </c>
      <c r="G46" s="4">
        <f t="shared" si="8"/>
        <v>1.265055505434</v>
      </c>
      <c r="H46" s="4">
        <f t="shared" si="8"/>
        <v>2.5243066435870003</v>
      </c>
      <c r="I46" s="4">
        <f t="shared" si="9"/>
        <v>104.258377081085</v>
      </c>
      <c r="J46" s="8"/>
      <c r="K46" s="62"/>
      <c r="L46" s="3" t="s">
        <v>12</v>
      </c>
      <c r="M46" s="11">
        <f>M16</f>
        <v>2.8681109794619998E-2</v>
      </c>
      <c r="N46" s="20">
        <f>N16</f>
        <v>0.1046841888275</v>
      </c>
      <c r="O46" s="66" t="s">
        <v>74</v>
      </c>
      <c r="P46" s="13">
        <f t="shared" si="10"/>
        <v>3.6499350819101379</v>
      </c>
      <c r="Q46" s="65">
        <f t="shared" si="11"/>
        <v>995.93241585778867</v>
      </c>
      <c r="R46" s="19">
        <f t="shared" si="12"/>
        <v>939.55888288470635</v>
      </c>
      <c r="S46" s="21">
        <f t="shared" si="13"/>
        <v>3635.0886638508591</v>
      </c>
      <c r="T46" s="34"/>
    </row>
    <row r="47" spans="1:20" s="3" customFormat="1" ht="15">
      <c r="A47" s="6" t="s">
        <v>13</v>
      </c>
      <c r="B47" s="4">
        <f>B37+B38+B40</f>
        <v>1292.0523795327827</v>
      </c>
      <c r="C47" s="4"/>
      <c r="D47" s="4">
        <f t="shared" si="7"/>
        <v>205.54576062696</v>
      </c>
      <c r="E47" s="4"/>
      <c r="F47" s="4">
        <f t="shared" si="8"/>
        <v>159.64060902085001</v>
      </c>
      <c r="G47" s="4">
        <f t="shared" si="8"/>
        <v>135.37473090979</v>
      </c>
      <c r="H47" s="4">
        <f t="shared" si="8"/>
        <v>295.23669041774002</v>
      </c>
      <c r="I47" s="4">
        <f t="shared" si="9"/>
        <v>1792.8348305774825</v>
      </c>
      <c r="J47" s="8"/>
      <c r="K47" s="62"/>
      <c r="L47" s="3" t="s">
        <v>13</v>
      </c>
      <c r="M47" s="16">
        <f>M37+M38+M40</f>
        <v>2.6007259568722998</v>
      </c>
      <c r="N47" s="23">
        <f>N37+N38+N40</f>
        <v>13.172334445068001</v>
      </c>
      <c r="O47" s="66" t="s">
        <v>74</v>
      </c>
      <c r="P47" s="24">
        <f t="shared" si="10"/>
        <v>5.0648682958159075</v>
      </c>
      <c r="Q47" s="68">
        <f t="shared" si="11"/>
        <v>136.10608188351591</v>
      </c>
      <c r="R47" s="25">
        <f t="shared" si="12"/>
        <v>128.40196404105274</v>
      </c>
      <c r="S47" s="22">
        <f t="shared" si="13"/>
        <v>689.35937899954365</v>
      </c>
      <c r="T47" s="34"/>
    </row>
    <row r="48" spans="1:20" s="3" customFormat="1" ht="16" thickBot="1">
      <c r="A48" s="6"/>
      <c r="B48" s="4"/>
      <c r="C48" s="4"/>
      <c r="D48" s="4"/>
      <c r="E48" s="4"/>
      <c r="F48" s="4"/>
      <c r="G48" s="4"/>
      <c r="H48" s="4"/>
      <c r="I48" s="4"/>
      <c r="J48" s="8"/>
      <c r="K48" s="62"/>
      <c r="L48" s="8"/>
      <c r="M48" s="16"/>
      <c r="N48" s="26"/>
      <c r="O48" s="69"/>
      <c r="P48" s="27"/>
      <c r="Q48" s="70"/>
      <c r="R48" s="25"/>
      <c r="S48" s="22"/>
      <c r="T48" s="34"/>
    </row>
    <row r="49" spans="1:20" s="3" customFormat="1" ht="16" thickBot="1">
      <c r="A49" s="6" t="s">
        <v>57</v>
      </c>
      <c r="B49" s="4">
        <f>B37+B38+B39+B41+B42+B43+B44+B45+B46</f>
        <v>2144.4856253295461</v>
      </c>
      <c r="C49" s="4"/>
      <c r="D49" s="4">
        <f>D37+D38+D39+D41+D42+D43+D44+D45+D46</f>
        <v>361.84554180273597</v>
      </c>
      <c r="E49" s="4"/>
      <c r="F49" s="39">
        <f>F37+F38+F39+SUM(F41:F46)</f>
        <v>250.24011335690341</v>
      </c>
      <c r="G49" s="39">
        <f t="shared" ref="G49:H49" si="14">G37+G38+G39+SUM(G41:G46)</f>
        <v>268.08457364702042</v>
      </c>
      <c r="H49" s="39">
        <f t="shared" si="14"/>
        <v>518.54603719038187</v>
      </c>
      <c r="I49" s="88">
        <f>I37+I38+I39+SUM(I41:I46)</f>
        <v>3024.8772043226645</v>
      </c>
      <c r="J49" s="71"/>
      <c r="K49" s="72"/>
      <c r="L49" s="8" t="s">
        <v>78</v>
      </c>
      <c r="M49" s="16">
        <f>M37+M38+M39+SUM(M41:M46)</f>
        <v>4.5061917938558107</v>
      </c>
      <c r="N49" s="23">
        <f>N37+N38+N39+SUM(N41:N46)</f>
        <v>23.101417952753479</v>
      </c>
      <c r="O49" s="66" t="s">
        <v>74</v>
      </c>
      <c r="P49" s="28">
        <f>N49/M49</f>
        <v>5.1265944747962671</v>
      </c>
      <c r="Q49" s="73">
        <f>I49/N49</f>
        <v>130.9390276609461</v>
      </c>
      <c r="R49" s="25">
        <f t="shared" si="12"/>
        <v>123.52738458579822</v>
      </c>
      <c r="S49" s="22">
        <f t="shared" si="13"/>
        <v>671.27129574180185</v>
      </c>
      <c r="T49" s="34"/>
    </row>
    <row r="50" spans="1:20" ht="15">
      <c r="A50" s="6" t="s">
        <v>89</v>
      </c>
      <c r="B50" s="4">
        <f>B39+B43+B44</f>
        <v>595.39091434291618</v>
      </c>
      <c r="C50" s="4"/>
      <c r="D50" s="4">
        <f>D39+D43+D44</f>
        <v>108.98540282079699</v>
      </c>
      <c r="E50" s="4"/>
      <c r="F50" s="4">
        <f>F39+F43+F44</f>
        <v>75.203922617390006</v>
      </c>
      <c r="G50" s="4">
        <f t="shared" ref="G50:H50" si="15">G39+G43+G44</f>
        <v>170.08112711358001</v>
      </c>
      <c r="H50" s="4">
        <f t="shared" si="15"/>
        <v>245.28504937697002</v>
      </c>
      <c r="I50" s="4">
        <f>I39+I43+I44</f>
        <v>949.66136654068316</v>
      </c>
      <c r="J50" s="46"/>
      <c r="K50" s="74"/>
      <c r="L50" s="43" t="s">
        <v>88</v>
      </c>
      <c r="M50" s="20">
        <f>M39+M43+M44</f>
        <v>1.8025644895905</v>
      </c>
      <c r="N50" s="20">
        <f>N39+N43+N44</f>
        <v>8.8927015821940874</v>
      </c>
      <c r="P50" s="28">
        <f>N50/M50</f>
        <v>4.9333611271873545</v>
      </c>
      <c r="Q50" s="73">
        <f>(I39+I43+I44)/N50</f>
        <v>106.79109804406302</v>
      </c>
      <c r="R50" s="25">
        <f t="shared" ref="R50" si="16">100*Q50/106</f>
        <v>100.74631890949341</v>
      </c>
      <c r="S50" s="22">
        <f>I50/M50</f>
        <v>526.83905182023409</v>
      </c>
      <c r="T50" s="75"/>
    </row>
    <row r="51" spans="1:20" ht="15">
      <c r="A51" s="6" t="s">
        <v>67</v>
      </c>
      <c r="B51" s="4">
        <f>100*B49/I49</f>
        <v>70.89496467046645</v>
      </c>
      <c r="C51" s="4" t="s">
        <v>59</v>
      </c>
      <c r="D51" s="4">
        <f>100*D49/$I49</f>
        <v>11.962321686501685</v>
      </c>
      <c r="E51" s="4"/>
      <c r="F51" s="4"/>
      <c r="G51" s="4"/>
      <c r="H51" s="4">
        <f>100*H49/$I49</f>
        <v>17.142713643031854</v>
      </c>
      <c r="I51" s="20" t="s">
        <v>60</v>
      </c>
      <c r="J51" s="11"/>
      <c r="K51" s="58"/>
      <c r="L51" s="58"/>
      <c r="M51" s="76"/>
      <c r="N51" s="76"/>
      <c r="O51" s="76"/>
      <c r="P51" s="76"/>
      <c r="Q51" s="76"/>
      <c r="R51" s="33"/>
      <c r="S51" s="33"/>
      <c r="T51" s="76"/>
    </row>
    <row r="52" spans="1:20" ht="15">
      <c r="A52" s="6" t="s">
        <v>61</v>
      </c>
      <c r="B52" s="4">
        <v>62.4</v>
      </c>
      <c r="C52" s="4" t="s">
        <v>59</v>
      </c>
      <c r="D52" s="89"/>
      <c r="E52" s="4"/>
      <c r="F52" s="4"/>
      <c r="G52" s="4"/>
      <c r="H52" s="4"/>
      <c r="I52" s="4">
        <f>I37+I38+I39</f>
        <v>1800.6991595257457</v>
      </c>
      <c r="J52" s="8"/>
      <c r="K52" s="8"/>
      <c r="L52" s="8" t="s">
        <v>58</v>
      </c>
      <c r="M52" s="77"/>
      <c r="N52" s="77"/>
      <c r="O52" s="77"/>
      <c r="P52" s="77"/>
      <c r="Q52" s="77"/>
      <c r="R52" s="77"/>
      <c r="S52" s="77"/>
      <c r="T52" s="77"/>
    </row>
    <row r="53" spans="1:20" ht="15">
      <c r="A53" s="6" t="s">
        <v>62</v>
      </c>
      <c r="B53" s="4">
        <v>77.430000000000007</v>
      </c>
      <c r="C53" s="4" t="s">
        <v>63</v>
      </c>
      <c r="D53" s="90"/>
      <c r="E53" s="4"/>
      <c r="F53" s="4"/>
      <c r="G53" s="4"/>
      <c r="H53" s="4"/>
      <c r="I53" s="4"/>
      <c r="J53" s="46"/>
      <c r="K53" s="46"/>
      <c r="L53" s="46"/>
      <c r="M53" s="77"/>
      <c r="N53" s="77"/>
      <c r="O53" s="77"/>
      <c r="P53" s="77"/>
      <c r="Q53" s="77"/>
      <c r="R53" s="77"/>
      <c r="S53" s="77"/>
      <c r="T53" s="77"/>
    </row>
    <row r="54" spans="1:20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77"/>
      <c r="N54" s="77"/>
      <c r="O54" s="77"/>
      <c r="P54" s="77"/>
      <c r="Q54" s="77"/>
      <c r="R54" s="77"/>
      <c r="S54" s="77"/>
      <c r="T54" s="77"/>
    </row>
    <row r="55" spans="1:20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77"/>
      <c r="N55" s="77"/>
      <c r="O55" s="77"/>
      <c r="P55" s="77"/>
      <c r="Q55" s="77"/>
      <c r="R55" s="77"/>
      <c r="S55" s="77"/>
      <c r="T55" s="77"/>
    </row>
    <row r="56" spans="1:20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77"/>
      <c r="N56" s="45"/>
      <c r="O56" s="45"/>
      <c r="P56" s="45"/>
      <c r="Q56" s="45"/>
      <c r="R56" s="45"/>
      <c r="S56" s="45"/>
      <c r="T56" s="45"/>
    </row>
    <row r="57" spans="1:20" ht="15">
      <c r="A57" s="78" t="s">
        <v>64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46"/>
      <c r="M57" s="77"/>
      <c r="N57" s="45"/>
      <c r="O57" s="45"/>
      <c r="P57" s="45"/>
      <c r="Q57" s="45"/>
      <c r="R57" s="45"/>
      <c r="S57" s="45"/>
      <c r="T57" s="45"/>
    </row>
    <row r="58" spans="1:20">
      <c r="A58" s="80" t="s">
        <v>3</v>
      </c>
      <c r="B58" s="81">
        <f>121592607.4316/1000000</f>
        <v>121.5926074316</v>
      </c>
      <c r="C58" s="81"/>
      <c r="D58" s="81">
        <f>58056000.72266/1000000</f>
        <v>58.056000722659995</v>
      </c>
      <c r="E58" s="81"/>
      <c r="F58" s="81">
        <f>17560488.88609/1000000</f>
        <v>17.560488886089999</v>
      </c>
      <c r="G58" s="81">
        <f>8556840.08609/1000000</f>
        <v>8.5568400860900002</v>
      </c>
      <c r="H58" s="81">
        <f>26117329.05409/1000000</f>
        <v>26.11732905409</v>
      </c>
      <c r="I58" s="81">
        <f>SUM(B58:G58)</f>
        <v>205.76593712644001</v>
      </c>
      <c r="J58" s="79"/>
      <c r="K58" s="79"/>
      <c r="L58" s="46"/>
      <c r="M58" s="77"/>
      <c r="N58" s="45"/>
      <c r="O58" s="45"/>
      <c r="P58" s="45"/>
      <c r="Q58" s="45"/>
      <c r="R58" s="45"/>
      <c r="S58" s="45"/>
      <c r="T58" s="45"/>
    </row>
    <row r="59" spans="1:20">
      <c r="A59" s="80" t="s">
        <v>4</v>
      </c>
      <c r="B59" s="81">
        <f>213285030.1328/1000000</f>
        <v>213.28503013280002</v>
      </c>
      <c r="C59" s="81"/>
      <c r="D59" s="81">
        <f>88669419.61621/1000000</f>
        <v>88.669419616209993</v>
      </c>
      <c r="E59" s="81"/>
      <c r="F59" s="81">
        <f>51411825.6096/1000000</f>
        <v>51.411825609600001</v>
      </c>
      <c r="G59" s="81">
        <f>19755824.44757/1000000</f>
        <v>19.755824447569999</v>
      </c>
      <c r="H59" s="81">
        <f>71167650.19727/1000000</f>
        <v>71.167650197270007</v>
      </c>
      <c r="I59" s="81">
        <f t="shared" ref="I59:I69" si="17">SUM(B59:G59)</f>
        <v>373.12209980617996</v>
      </c>
      <c r="J59" s="79"/>
      <c r="K59" s="79"/>
      <c r="L59" s="46"/>
      <c r="M59" s="77"/>
      <c r="N59" s="45"/>
      <c r="O59" s="45"/>
      <c r="P59" s="45"/>
      <c r="Q59" s="45"/>
      <c r="R59" s="45"/>
      <c r="S59" s="45"/>
      <c r="T59" s="45"/>
    </row>
    <row r="60" spans="1:20">
      <c r="A60" s="80" t="s">
        <v>5</v>
      </c>
      <c r="B60" s="81">
        <f>117558379.4741/1000000</f>
        <v>117.55837947409999</v>
      </c>
      <c r="C60" s="81"/>
      <c r="D60" s="81">
        <f>58751767.61621/1000000</f>
        <v>58.751767616209996</v>
      </c>
      <c r="E60" s="81"/>
      <c r="F60" s="81">
        <f>25672525.74525/1000000</f>
        <v>25.672525745250002</v>
      </c>
      <c r="G60" s="81">
        <f>56064055.00854/1000000</f>
        <v>56.064055008539995</v>
      </c>
      <c r="H60" s="81">
        <f>81736580.41992/1000000</f>
        <v>81.736580419920003</v>
      </c>
      <c r="I60" s="81">
        <f t="shared" si="17"/>
        <v>258.04672784409996</v>
      </c>
      <c r="J60" s="79"/>
      <c r="K60" s="79"/>
      <c r="L60" s="46"/>
      <c r="M60" s="77"/>
      <c r="N60" s="45"/>
      <c r="O60" s="45"/>
      <c r="P60" s="45"/>
      <c r="Q60" s="45"/>
      <c r="R60" s="45"/>
      <c r="S60" s="45"/>
      <c r="T60" s="45"/>
    </row>
    <row r="61" spans="1:20">
      <c r="A61" s="80" t="s">
        <v>6</v>
      </c>
      <c r="B61" s="81">
        <f>115574924.7583/1000000</f>
        <v>115.5749247583</v>
      </c>
      <c r="C61" s="81"/>
      <c r="D61" s="81">
        <f>57829692.12695/1000000</f>
        <v>57.82969212695</v>
      </c>
      <c r="E61" s="81"/>
      <c r="F61" s="81">
        <f>25329121.4753/1000000</f>
        <v>25.329121475299999</v>
      </c>
      <c r="G61" s="81">
        <f>55398610.61768/1000000</f>
        <v>55.398610617679999</v>
      </c>
      <c r="H61" s="81">
        <f>80727731.73755/1000000</f>
        <v>80.727731737550002</v>
      </c>
      <c r="I61" s="81">
        <f t="shared" si="17"/>
        <v>254.13234897822997</v>
      </c>
      <c r="J61" s="79"/>
      <c r="K61" s="79"/>
      <c r="L61" s="46"/>
      <c r="M61" s="77"/>
      <c r="N61" s="45"/>
      <c r="O61" s="45"/>
      <c r="P61" s="45"/>
      <c r="Q61" s="45"/>
      <c r="R61" s="45"/>
      <c r="S61" s="45"/>
      <c r="T61" s="45"/>
    </row>
    <row r="62" spans="1:20">
      <c r="A62" s="80" t="s">
        <v>7</v>
      </c>
      <c r="B62" s="81">
        <f>215414295.1533/1000000</f>
        <v>215.41429515329997</v>
      </c>
      <c r="C62" s="81"/>
      <c r="D62" s="81">
        <f>88259926.33594/1000000</f>
        <v>88.259926335940008</v>
      </c>
      <c r="E62" s="81"/>
      <c r="F62" s="81">
        <f>32500146.80293/1000000</f>
        <v>32.500146802930004</v>
      </c>
      <c r="G62" s="81">
        <f>23010462.07465/1000000</f>
        <v>23.01046207465</v>
      </c>
      <c r="H62" s="81">
        <f>55510608.9433/1000000</f>
        <v>55.510608943299999</v>
      </c>
      <c r="I62" s="81">
        <f t="shared" si="17"/>
        <v>359.18483036681999</v>
      </c>
      <c r="J62" s="79"/>
      <c r="K62" s="79"/>
      <c r="L62" s="46"/>
      <c r="M62" s="77"/>
      <c r="N62" s="45"/>
      <c r="O62" s="45"/>
      <c r="P62" s="45"/>
      <c r="Q62" s="45"/>
      <c r="R62" s="45"/>
      <c r="S62" s="45"/>
      <c r="T62" s="45"/>
    </row>
    <row r="63" spans="1:20">
      <c r="A63" s="82" t="s">
        <v>8</v>
      </c>
      <c r="B63" s="81">
        <f>38731838.2334/1000000</f>
        <v>38.731838233400005</v>
      </c>
      <c r="C63" s="81"/>
      <c r="D63" s="81">
        <f>13033871.54736/1000000</f>
        <v>13.033871547359999</v>
      </c>
      <c r="E63" s="81"/>
      <c r="F63" s="81">
        <f>4035130.290863/1000000</f>
        <v>4.035130290863</v>
      </c>
      <c r="G63" s="81">
        <f>4213703.502319/1000000</f>
        <v>4.2137035023189995</v>
      </c>
      <c r="H63" s="81">
        <f>8248833.838013/1000000</f>
        <v>8.2488338380130006</v>
      </c>
      <c r="I63" s="81">
        <f t="shared" si="17"/>
        <v>60.014543573942007</v>
      </c>
      <c r="J63" s="79"/>
      <c r="K63" s="79"/>
      <c r="L63" s="46"/>
      <c r="M63" s="77"/>
      <c r="N63" s="45"/>
      <c r="O63" s="45"/>
      <c r="P63" s="45"/>
      <c r="Q63" s="45"/>
      <c r="R63" s="45"/>
      <c r="S63" s="45"/>
      <c r="T63" s="45"/>
    </row>
    <row r="64" spans="1:20">
      <c r="A64" s="80" t="s">
        <v>9</v>
      </c>
      <c r="B64" s="81">
        <f>104161987.644/1000000</f>
        <v>104.16198764399999</v>
      </c>
      <c r="C64" s="81"/>
      <c r="D64" s="81">
        <f>41137995.08301/1000000</f>
        <v>41.137995083010004</v>
      </c>
      <c r="E64" s="81"/>
      <c r="F64" s="81">
        <f>17565116.09239/1000000</f>
        <v>17.565116092389999</v>
      </c>
      <c r="G64" s="81">
        <f>55532964.81732/1000000</f>
        <v>55.53296481732</v>
      </c>
      <c r="H64" s="81">
        <f>73098081.68658/1000000</f>
        <v>73.098081686580002</v>
      </c>
      <c r="I64" s="81">
        <f t="shared" si="17"/>
        <v>218.39806363671997</v>
      </c>
      <c r="J64" s="79"/>
      <c r="K64" s="79"/>
      <c r="L64" s="46"/>
      <c r="M64" s="77"/>
      <c r="N64" s="45"/>
      <c r="O64" s="45"/>
      <c r="P64" s="45"/>
      <c r="Q64" s="45"/>
      <c r="R64" s="45"/>
      <c r="S64" s="45"/>
      <c r="T64" s="45"/>
    </row>
    <row r="65" spans="1:20">
      <c r="A65" s="80" t="s">
        <v>10</v>
      </c>
      <c r="B65" s="81">
        <f>30898781.86621/1000000</f>
        <v>30.898781866209998</v>
      </c>
      <c r="C65" s="81"/>
      <c r="D65" s="81">
        <f>8890020.696777/1000000</f>
        <v>8.8900206967769986</v>
      </c>
      <c r="E65" s="81"/>
      <c r="F65" s="81">
        <f>10487784.31977/1000000</f>
        <v>10.48778431977</v>
      </c>
      <c r="G65" s="81">
        <f>12042309.67664/1000000</f>
        <v>12.04230967664</v>
      </c>
      <c r="H65" s="81">
        <f>22530093.43066/1000000</f>
        <v>22.530093430659999</v>
      </c>
      <c r="I65" s="81">
        <f t="shared" si="17"/>
        <v>62.318896559396997</v>
      </c>
      <c r="J65" s="79"/>
      <c r="K65" s="79"/>
      <c r="L65" s="46"/>
      <c r="M65" s="77"/>
      <c r="N65" s="45"/>
      <c r="O65" s="45"/>
      <c r="P65" s="45"/>
      <c r="Q65" s="45"/>
      <c r="R65" s="45"/>
      <c r="S65" s="45"/>
      <c r="T65" s="45"/>
    </row>
    <row r="66" spans="1:20">
      <c r="A66" s="80" t="s">
        <v>11</v>
      </c>
      <c r="B66" s="81">
        <f>4613449.529297/1000000</f>
        <v>4.6134495292970001</v>
      </c>
      <c r="C66" s="81"/>
      <c r="D66" s="81">
        <f>1530999.525391/1000000</f>
        <v>1.530999525391</v>
      </c>
      <c r="E66" s="81"/>
      <c r="F66" s="81">
        <f>90236.10715008/1000000</f>
        <v>9.023610715008E-2</v>
      </c>
      <c r="G66" s="81">
        <f>241990.4414063/1000000</f>
        <v>0.24199044140629999</v>
      </c>
      <c r="H66" s="81">
        <f>332226.5465088/1000000</f>
        <v>0.33222654650880001</v>
      </c>
      <c r="I66" s="81">
        <f t="shared" si="17"/>
        <v>6.47667560324438</v>
      </c>
      <c r="J66" s="79"/>
      <c r="K66" s="79"/>
      <c r="L66" s="46"/>
      <c r="M66" s="77"/>
      <c r="N66" s="45"/>
      <c r="O66" s="45"/>
      <c r="P66" s="45"/>
      <c r="Q66" s="45"/>
      <c r="R66" s="45"/>
      <c r="S66" s="45"/>
      <c r="T66" s="45"/>
    </row>
    <row r="67" spans="1:20">
      <c r="A67" s="80" t="s">
        <v>12</v>
      </c>
      <c r="B67" s="81">
        <f>7741138.476563/1000000</f>
        <v>7.741138476563</v>
      </c>
      <c r="C67" s="81"/>
      <c r="D67" s="81">
        <f>2425928.992188/1000000</f>
        <v>2.4259289921880001</v>
      </c>
      <c r="E67" s="81"/>
      <c r="F67" s="81">
        <f>204088.9501953/1000000</f>
        <v>0.20408895019530002</v>
      </c>
      <c r="G67" s="81">
        <f>251847.0299072/1000000</f>
        <v>0.25184702990719998</v>
      </c>
      <c r="H67" s="81">
        <f>455936.0054932/1000000</f>
        <v>0.45593600549319996</v>
      </c>
      <c r="I67" s="81">
        <f t="shared" si="17"/>
        <v>10.623003448853501</v>
      </c>
      <c r="J67" s="79"/>
      <c r="K67" s="79"/>
      <c r="L67" s="46"/>
      <c r="M67" s="77"/>
      <c r="N67" s="45"/>
      <c r="O67" s="45"/>
      <c r="P67" s="45"/>
      <c r="Q67" s="45"/>
      <c r="R67" s="45"/>
      <c r="S67" s="45"/>
      <c r="T67" s="45"/>
    </row>
    <row r="68" spans="1:20">
      <c r="A68" s="80" t="s">
        <v>13</v>
      </c>
      <c r="B68" s="81">
        <f>B58+B59+B61</f>
        <v>450.45256232270003</v>
      </c>
      <c r="C68" s="81"/>
      <c r="D68" s="81">
        <f>D58+D59+D61</f>
        <v>204.55511246581997</v>
      </c>
      <c r="E68" s="81"/>
      <c r="F68" s="81">
        <f>F58+F59+F61</f>
        <v>94.301435970989999</v>
      </c>
      <c r="G68" s="81">
        <f>G58+G59+G61</f>
        <v>83.711275151340004</v>
      </c>
      <c r="H68" s="81">
        <f>H58+H59+H61</f>
        <v>178.01271098890999</v>
      </c>
      <c r="I68" s="81">
        <f t="shared" si="17"/>
        <v>833.02038591085011</v>
      </c>
      <c r="J68" s="79"/>
      <c r="K68" s="79"/>
      <c r="L68" s="46"/>
      <c r="M68" s="77"/>
      <c r="N68" s="45"/>
      <c r="O68" s="45"/>
      <c r="P68" s="45"/>
      <c r="Q68" s="45"/>
      <c r="R68" s="45"/>
      <c r="S68" s="45"/>
      <c r="T68" s="45"/>
    </row>
    <row r="69" spans="1:20">
      <c r="A69" s="83" t="s">
        <v>65</v>
      </c>
      <c r="B69" s="81">
        <f>B58+B59+B60+B62+B63+B64+B65+B66+B67</f>
        <v>853.99750794126999</v>
      </c>
      <c r="C69" s="81"/>
      <c r="D69" s="81">
        <f>D58+D59+D60+D62+D63+D64+D65+D66+D67</f>
        <v>360.75593013574604</v>
      </c>
      <c r="E69" s="81"/>
      <c r="F69" s="81">
        <f>F58+F59+F60+F62+F63+F64+F65+F66+F67</f>
        <v>159.52734280423843</v>
      </c>
      <c r="G69" s="81">
        <f>G58+G59+G60+G62+G63+G64+G65+G66+G67</f>
        <v>179.66999708444249</v>
      </c>
      <c r="H69" s="81">
        <f>H58+H59+H60+H62+H63+H64+H65+H66+H67</f>
        <v>339.19734012183494</v>
      </c>
      <c r="I69" s="81">
        <f t="shared" si="17"/>
        <v>1553.9507779656969</v>
      </c>
      <c r="J69" s="79"/>
      <c r="K69" s="79"/>
      <c r="L69" s="46"/>
      <c r="M69" s="77"/>
      <c r="N69" s="45"/>
      <c r="O69" s="45"/>
      <c r="P69" s="45"/>
      <c r="Q69" s="45"/>
      <c r="R69" s="45"/>
      <c r="S69" s="45"/>
      <c r="T69" s="45"/>
    </row>
    <row r="70" spans="1:20">
      <c r="A70" s="80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46"/>
      <c r="M70" s="77"/>
      <c r="N70" s="45"/>
      <c r="O70" s="45"/>
      <c r="P70" s="45"/>
      <c r="Q70" s="45"/>
      <c r="R70" s="45"/>
      <c r="S70" s="45"/>
      <c r="T70" s="45"/>
    </row>
    <row r="71" spans="1:20" ht="15">
      <c r="A71" s="78" t="s">
        <v>66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46"/>
      <c r="M71" s="77"/>
      <c r="N71" s="45"/>
      <c r="O71" s="45"/>
      <c r="P71" s="45"/>
      <c r="Q71" s="45"/>
      <c r="R71" s="45"/>
      <c r="S71" s="45"/>
      <c r="T71" s="45"/>
    </row>
    <row r="72" spans="1:20">
      <c r="A72" s="80" t="s">
        <v>3</v>
      </c>
      <c r="B72" s="79">
        <f>100*B58/$I58</f>
        <v>59.092680319038045</v>
      </c>
      <c r="C72" s="79"/>
      <c r="D72" s="79">
        <f>100*D58/$I58</f>
        <v>28.214582808711178</v>
      </c>
      <c r="E72" s="79"/>
      <c r="F72" s="79">
        <f t="shared" ref="F72:I75" si="18">100*F58/$I58</f>
        <v>8.5342059678708377</v>
      </c>
      <c r="G72" s="79">
        <f t="shared" si="18"/>
        <v>4.1585309043799379</v>
      </c>
      <c r="H72" s="79">
        <f t="shared" si="18"/>
        <v>12.692736912058143</v>
      </c>
      <c r="I72" s="79">
        <f t="shared" si="18"/>
        <v>100</v>
      </c>
      <c r="J72" s="79"/>
      <c r="K72" s="79"/>
      <c r="L72" s="46"/>
      <c r="M72" s="77"/>
      <c r="N72" s="45"/>
      <c r="O72" s="45"/>
      <c r="P72" s="45"/>
      <c r="Q72" s="45"/>
      <c r="R72" s="45"/>
      <c r="S72" s="45"/>
      <c r="T72" s="45"/>
    </row>
    <row r="73" spans="1:20">
      <c r="A73" s="80" t="s">
        <v>4</v>
      </c>
      <c r="B73" s="79">
        <f>100*B59/$I59</f>
        <v>57.162261426914121</v>
      </c>
      <c r="C73" s="79"/>
      <c r="D73" s="79">
        <f>100*D59/$I59</f>
        <v>23.764183269302393</v>
      </c>
      <c r="E73" s="79"/>
      <c r="F73" s="79">
        <f t="shared" si="18"/>
        <v>13.778820830046282</v>
      </c>
      <c r="G73" s="79">
        <f t="shared" si="18"/>
        <v>5.2947344737372175</v>
      </c>
      <c r="H73" s="79">
        <f t="shared" si="18"/>
        <v>19.073555341331531</v>
      </c>
      <c r="I73" s="79">
        <f t="shared" si="18"/>
        <v>100</v>
      </c>
      <c r="J73" s="79"/>
      <c r="K73" s="79"/>
      <c r="L73" s="46"/>
      <c r="M73" s="77"/>
      <c r="N73" s="45"/>
      <c r="O73" s="45"/>
      <c r="P73" s="45"/>
      <c r="Q73" s="45"/>
      <c r="R73" s="45"/>
      <c r="S73" s="45"/>
      <c r="T73" s="45"/>
    </row>
    <row r="74" spans="1:20">
      <c r="A74" s="80" t="s">
        <v>5</v>
      </c>
      <c r="B74" s="79">
        <f>100*B60/$I60</f>
        <v>45.557012273034289</v>
      </c>
      <c r="C74" s="79"/>
      <c r="D74" s="79">
        <f>100*D60/$I60</f>
        <v>22.767879332190226</v>
      </c>
      <c r="E74" s="79"/>
      <c r="F74" s="79">
        <f t="shared" si="18"/>
        <v>9.9487894924054885</v>
      </c>
      <c r="G74" s="79">
        <f t="shared" si="18"/>
        <v>21.726318902370014</v>
      </c>
      <c r="H74" s="79">
        <f t="shared" si="18"/>
        <v>31.675108265391959</v>
      </c>
      <c r="I74" s="79">
        <f t="shared" si="18"/>
        <v>100</v>
      </c>
      <c r="J74" s="79"/>
      <c r="K74" s="79"/>
      <c r="L74" s="46"/>
      <c r="M74" s="77"/>
      <c r="N74" s="45"/>
      <c r="O74" s="45"/>
      <c r="P74" s="45"/>
      <c r="Q74" s="45"/>
      <c r="R74" s="45"/>
      <c r="S74" s="45"/>
      <c r="T74" s="45"/>
    </row>
    <row r="75" spans="1:20">
      <c r="A75" s="80" t="s">
        <v>6</v>
      </c>
      <c r="B75" s="79">
        <f>100*B61/$I61</f>
        <v>45.478242035295018</v>
      </c>
      <c r="C75" s="79"/>
      <c r="D75" s="79">
        <f>100*D61/$I61</f>
        <v>22.755738244053273</v>
      </c>
      <c r="E75" s="79"/>
      <c r="F75" s="79">
        <f t="shared" si="18"/>
        <v>9.9669017254744681</v>
      </c>
      <c r="G75" s="79">
        <f t="shared" si="18"/>
        <v>21.799117995177259</v>
      </c>
      <c r="H75" s="79">
        <f t="shared" si="18"/>
        <v>31.766019580791532</v>
      </c>
      <c r="I75" s="79">
        <f t="shared" si="18"/>
        <v>100</v>
      </c>
      <c r="J75" s="79"/>
      <c r="K75" s="79"/>
      <c r="L75" s="46"/>
      <c r="M75" s="77"/>
      <c r="N75" s="45"/>
      <c r="O75" s="45"/>
      <c r="P75" s="45"/>
      <c r="Q75" s="45"/>
      <c r="R75" s="45"/>
      <c r="S75" s="45"/>
      <c r="T75" s="45"/>
    </row>
    <row r="76" spans="1:20">
      <c r="A76" s="80" t="s">
        <v>7</v>
      </c>
      <c r="B76" s="79">
        <f t="shared" ref="B76:B82" si="19">100*B62/$I62</f>
        <v>59.973104914621985</v>
      </c>
      <c r="C76" s="79"/>
      <c r="D76" s="79">
        <f t="shared" ref="D76:D82" si="20">100*D62/$I62</f>
        <v>24.572286709826788</v>
      </c>
      <c r="E76" s="79"/>
      <c r="F76" s="79">
        <f t="shared" ref="F76:I82" si="21">100*F62/$I62</f>
        <v>9.0483071820541543</v>
      </c>
      <c r="G76" s="79">
        <f t="shared" si="21"/>
        <v>6.4063011934970655</v>
      </c>
      <c r="H76" s="79">
        <f t="shared" si="21"/>
        <v>15.454608393848206</v>
      </c>
      <c r="I76" s="79">
        <f t="shared" si="21"/>
        <v>100.00000000000001</v>
      </c>
      <c r="J76" s="79"/>
      <c r="K76" s="79"/>
      <c r="L76" s="46"/>
      <c r="M76" s="77"/>
      <c r="N76" s="45"/>
      <c r="O76" s="45"/>
      <c r="P76" s="45"/>
      <c r="Q76" s="45"/>
      <c r="R76" s="45"/>
      <c r="S76" s="45"/>
      <c r="T76" s="45"/>
    </row>
    <row r="77" spans="1:20">
      <c r="A77" s="82" t="s">
        <v>8</v>
      </c>
      <c r="B77" s="79">
        <f t="shared" si="19"/>
        <v>64.537420309928279</v>
      </c>
      <c r="C77" s="79"/>
      <c r="D77" s="79">
        <f t="shared" si="20"/>
        <v>21.717854991767755</v>
      </c>
      <c r="E77" s="79"/>
      <c r="F77" s="79">
        <f t="shared" si="21"/>
        <v>6.7235874015961556</v>
      </c>
      <c r="G77" s="79">
        <f t="shared" si="21"/>
        <v>7.0211372967078045</v>
      </c>
      <c r="H77" s="79">
        <f t="shared" si="21"/>
        <v>13.744724773004188</v>
      </c>
      <c r="I77" s="79">
        <f t="shared" si="21"/>
        <v>100</v>
      </c>
      <c r="J77" s="79"/>
      <c r="K77" s="79"/>
      <c r="L77" s="46"/>
      <c r="M77" s="77"/>
      <c r="N77" s="45"/>
      <c r="O77" s="45"/>
      <c r="P77" s="45"/>
      <c r="Q77" s="45"/>
      <c r="R77" s="45"/>
      <c r="S77" s="45"/>
      <c r="T77" s="45"/>
    </row>
    <row r="78" spans="1:20">
      <c r="A78" s="80" t="s">
        <v>9</v>
      </c>
      <c r="B78" s="79">
        <f t="shared" si="19"/>
        <v>47.693640643838982</v>
      </c>
      <c r="C78" s="79"/>
      <c r="D78" s="79">
        <f t="shared" si="20"/>
        <v>18.836245339353521</v>
      </c>
      <c r="E78" s="79"/>
      <c r="F78" s="79">
        <f t="shared" si="21"/>
        <v>8.0427068811413758</v>
      </c>
      <c r="G78" s="79">
        <f t="shared" si="21"/>
        <v>25.427407135666133</v>
      </c>
      <c r="H78" s="79">
        <f t="shared" si="21"/>
        <v>33.470114372520371</v>
      </c>
      <c r="I78" s="79">
        <f t="shared" si="21"/>
        <v>100</v>
      </c>
      <c r="J78" s="79"/>
      <c r="K78" s="79"/>
      <c r="L78" s="46"/>
      <c r="M78" s="77"/>
      <c r="N78" s="45"/>
      <c r="O78" s="45"/>
      <c r="P78" s="45"/>
      <c r="Q78" s="45"/>
      <c r="R78" s="45"/>
      <c r="S78" s="45"/>
      <c r="T78" s="45"/>
    </row>
    <row r="79" spans="1:20">
      <c r="A79" s="80" t="s">
        <v>10</v>
      </c>
      <c r="B79" s="79">
        <f t="shared" si="19"/>
        <v>49.581721712225672</v>
      </c>
      <c r="C79" s="79"/>
      <c r="D79" s="79">
        <f t="shared" si="20"/>
        <v>14.265369234039305</v>
      </c>
      <c r="E79" s="79"/>
      <c r="F79" s="79">
        <f t="shared" si="21"/>
        <v>16.829220186487014</v>
      </c>
      <c r="G79" s="79">
        <f t="shared" si="21"/>
        <v>19.323688867248009</v>
      </c>
      <c r="H79" s="79">
        <f t="shared" si="21"/>
        <v>36.152908145904441</v>
      </c>
      <c r="I79" s="79">
        <f t="shared" si="21"/>
        <v>100</v>
      </c>
      <c r="J79" s="79"/>
      <c r="K79" s="79"/>
      <c r="L79" s="46"/>
      <c r="M79" s="77"/>
      <c r="N79" s="45"/>
      <c r="O79" s="45"/>
      <c r="P79" s="45"/>
      <c r="Q79" s="45"/>
      <c r="R79" s="45"/>
      <c r="S79" s="45"/>
      <c r="T79" s="45"/>
    </row>
    <row r="80" spans="1:20">
      <c r="A80" s="80" t="s">
        <v>11</v>
      </c>
      <c r="B80" s="79">
        <f t="shared" si="19"/>
        <v>71.231752397572166</v>
      </c>
      <c r="C80" s="79"/>
      <c r="D80" s="79">
        <f t="shared" si="20"/>
        <v>23.638663091664988</v>
      </c>
      <c r="E80" s="79"/>
      <c r="F80" s="79">
        <f t="shared" si="21"/>
        <v>1.3932472873101402</v>
      </c>
      <c r="G80" s="79">
        <f t="shared" si="21"/>
        <v>3.7363372234527081</v>
      </c>
      <c r="H80" s="79">
        <f t="shared" si="21"/>
        <v>5.1295844791481731</v>
      </c>
      <c r="I80" s="79">
        <f t="shared" si="21"/>
        <v>100</v>
      </c>
      <c r="J80" s="79"/>
      <c r="K80" s="79"/>
      <c r="L80" s="46"/>
      <c r="M80" s="77"/>
      <c r="N80" s="45"/>
      <c r="O80" s="45"/>
      <c r="P80" s="45"/>
      <c r="Q80" s="45"/>
      <c r="R80" s="45"/>
      <c r="S80" s="45"/>
      <c r="T80" s="45"/>
    </row>
    <row r="81" spans="1:20">
      <c r="A81" s="80" t="s">
        <v>12</v>
      </c>
      <c r="B81" s="79">
        <f t="shared" si="19"/>
        <v>72.871467225198643</v>
      </c>
      <c r="C81" s="79"/>
      <c r="D81" s="79">
        <f t="shared" si="20"/>
        <v>22.836564102309701</v>
      </c>
      <c r="E81" s="79"/>
      <c r="F81" s="79">
        <f t="shared" si="21"/>
        <v>1.9211981919983894</v>
      </c>
      <c r="G81" s="79">
        <f t="shared" si="21"/>
        <v>2.3707704804932623</v>
      </c>
      <c r="H81" s="79">
        <f t="shared" si="21"/>
        <v>4.2919689115078592</v>
      </c>
      <c r="I81" s="79">
        <f t="shared" si="21"/>
        <v>100</v>
      </c>
      <c r="J81" s="79"/>
      <c r="K81" s="79"/>
      <c r="L81" s="46"/>
      <c r="M81" s="77"/>
      <c r="N81" s="45"/>
      <c r="O81" s="45"/>
      <c r="P81" s="45"/>
      <c r="Q81" s="45"/>
      <c r="R81" s="45"/>
      <c r="S81" s="45"/>
      <c r="T81" s="45"/>
    </row>
    <row r="82" spans="1:20">
      <c r="A82" s="80" t="s">
        <v>13</v>
      </c>
      <c r="B82" s="79">
        <f t="shared" si="19"/>
        <v>54.074614492196531</v>
      </c>
      <c r="C82" s="79"/>
      <c r="D82" s="79">
        <f t="shared" si="20"/>
        <v>24.555835118267019</v>
      </c>
      <c r="E82" s="79"/>
      <c r="F82" s="79">
        <f t="shared" si="21"/>
        <v>11.320423553365734</v>
      </c>
      <c r="G82" s="79">
        <f t="shared" si="21"/>
        <v>10.049126836170704</v>
      </c>
      <c r="H82" s="79">
        <f t="shared" si="21"/>
        <v>21.369550373520024</v>
      </c>
      <c r="I82" s="79">
        <f t="shared" si="21"/>
        <v>100</v>
      </c>
      <c r="J82" s="79"/>
      <c r="K82" s="79"/>
      <c r="L82" s="46"/>
      <c r="M82" s="77"/>
      <c r="N82" s="45"/>
      <c r="O82" s="45"/>
      <c r="P82" s="45"/>
      <c r="Q82" s="45"/>
      <c r="R82" s="45"/>
      <c r="S82" s="45"/>
      <c r="T82" s="45"/>
    </row>
    <row r="83" spans="1:20">
      <c r="A83" s="83" t="s">
        <v>65</v>
      </c>
      <c r="B83" s="79">
        <f>100*B69/$I69</f>
        <v>54.956535306687933</v>
      </c>
      <c r="C83" s="79"/>
      <c r="D83" s="84">
        <f>100*D69/$I69</f>
        <v>23.215402653101901</v>
      </c>
      <c r="E83" s="79"/>
      <c r="F83" s="79">
        <f>100*F69/$I69</f>
        <v>10.265919942012472</v>
      </c>
      <c r="G83" s="79">
        <f>100*G69/$I69</f>
        <v>11.562142098197697</v>
      </c>
      <c r="H83" s="79">
        <f>100*H69/$I69</f>
        <v>21.828062055214122</v>
      </c>
      <c r="I83" s="79">
        <f>100*I69/$I69</f>
        <v>100</v>
      </c>
      <c r="J83" s="79"/>
      <c r="K83" s="79"/>
      <c r="L83" s="46"/>
      <c r="M83" s="77"/>
      <c r="N83" s="45"/>
      <c r="O83" s="45"/>
      <c r="P83" s="45"/>
      <c r="Q83" s="45"/>
      <c r="R83" s="45"/>
      <c r="S83" s="45"/>
      <c r="T83" s="45"/>
    </row>
    <row r="84" spans="1:20">
      <c r="A84" s="54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</row>
    <row r="85" spans="1:20">
      <c r="A85" s="87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</row>
    <row r="86" spans="1:20">
      <c r="A86" s="54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</row>
    <row r="87" spans="1:20">
      <c r="A87" s="54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</row>
    <row r="88" spans="1:20">
      <c r="A88" s="54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</row>
    <row r="89" spans="1:20">
      <c r="A89" s="54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2"/>
  <sheetViews>
    <sheetView tabSelected="1" workbookViewId="0">
      <selection activeCell="F4" sqref="F4"/>
    </sheetView>
  </sheetViews>
  <sheetFormatPr baseColWidth="10" defaultRowHeight="15" x14ac:dyDescent="0"/>
  <cols>
    <col min="1" max="1" width="19.5" style="6" customWidth="1"/>
    <col min="2" max="2" width="10.83203125" style="39"/>
    <col min="3" max="3" width="9.33203125" style="39" customWidth="1"/>
    <col min="4" max="4" width="9.1640625" style="39" customWidth="1"/>
    <col min="5" max="5" width="11.5" style="39" customWidth="1"/>
    <col min="6" max="6" width="10.83203125" style="39"/>
    <col min="7" max="7" width="3.83203125" style="39" customWidth="1"/>
    <col min="8" max="8" width="10.83203125" style="39" customWidth="1"/>
    <col min="9" max="13" width="10.83203125" style="6"/>
    <col min="14" max="14" width="3.83203125" style="6" customWidth="1"/>
    <col min="15" max="16384" width="10.83203125" style="6"/>
  </cols>
  <sheetData>
    <row r="2" spans="1:17" ht="17">
      <c r="B2" s="94" t="s">
        <v>102</v>
      </c>
      <c r="C2" s="93" t="s">
        <v>101</v>
      </c>
      <c r="I2" s="95" t="s">
        <v>103</v>
      </c>
    </row>
    <row r="3" spans="1:17">
      <c r="I3" s="6" t="s">
        <v>104</v>
      </c>
    </row>
    <row r="4" spans="1:17">
      <c r="B4" s="6" t="s">
        <v>105</v>
      </c>
      <c r="I4" s="6" t="s">
        <v>105</v>
      </c>
    </row>
    <row r="5" spans="1:17">
      <c r="E5" s="92"/>
    </row>
    <row r="6" spans="1:17">
      <c r="A6" s="3"/>
      <c r="B6" s="91" t="s">
        <v>25</v>
      </c>
      <c r="C6" s="92" t="s">
        <v>48</v>
      </c>
      <c r="D6" s="92" t="s">
        <v>26</v>
      </c>
      <c r="E6" s="92" t="s">
        <v>98</v>
      </c>
      <c r="F6" s="92" t="s">
        <v>97</v>
      </c>
      <c r="I6" s="96" t="s">
        <v>27</v>
      </c>
      <c r="J6" s="96" t="s">
        <v>28</v>
      </c>
      <c r="K6" s="96" t="s">
        <v>106</v>
      </c>
      <c r="L6" s="97" t="s">
        <v>107</v>
      </c>
      <c r="O6" s="97" t="s">
        <v>108</v>
      </c>
    </row>
    <row r="7" spans="1:17">
      <c r="A7" s="3"/>
      <c r="B7" s="91" t="s">
        <v>35</v>
      </c>
      <c r="C7" s="92" t="s">
        <v>35</v>
      </c>
      <c r="D7" s="92" t="s">
        <v>36</v>
      </c>
      <c r="E7" s="92" t="s">
        <v>37</v>
      </c>
      <c r="F7" s="92" t="s">
        <v>35</v>
      </c>
      <c r="I7" s="96" t="s">
        <v>35</v>
      </c>
      <c r="J7" s="96" t="s">
        <v>35</v>
      </c>
      <c r="K7" s="96" t="s">
        <v>35</v>
      </c>
      <c r="L7" s="96" t="s">
        <v>27</v>
      </c>
      <c r="M7" s="96" t="s">
        <v>28</v>
      </c>
      <c r="N7" s="96"/>
      <c r="O7" s="96" t="s">
        <v>27</v>
      </c>
      <c r="P7" s="96" t="s">
        <v>28</v>
      </c>
      <c r="Q7" s="96" t="s">
        <v>97</v>
      </c>
    </row>
    <row r="8" spans="1:17">
      <c r="A8" s="6" t="s">
        <v>3</v>
      </c>
      <c r="B8" s="4">
        <f>339694060.9252/1000000</f>
        <v>339.69406092520001</v>
      </c>
      <c r="C8" s="4"/>
      <c r="D8" s="90">
        <v>58.529699265630001</v>
      </c>
      <c r="E8" s="4">
        <v>52.191190789240004</v>
      </c>
      <c r="F8" s="4">
        <f>SUM(B8:E8)</f>
        <v>450.41495098007005</v>
      </c>
      <c r="I8" s="39">
        <f>'Regional inc summary 1850'!F37</f>
        <v>35.137348961420003</v>
      </c>
      <c r="J8" s="39">
        <f>'Regional inc summary 1850'!G37</f>
        <v>16.832491791719999</v>
      </c>
      <c r="K8" s="39">
        <f>I8+J8</f>
        <v>51.969840753140005</v>
      </c>
      <c r="L8" s="98">
        <v>0.05</v>
      </c>
      <c r="M8" s="6">
        <v>7.2999999999999995E-2</v>
      </c>
      <c r="O8" s="4">
        <f>I8/L8</f>
        <v>702.74697922840005</v>
      </c>
      <c r="P8" s="4">
        <f>J8/M8</f>
        <v>230.58207933863014</v>
      </c>
      <c r="Q8" s="4">
        <f>O8+P8</f>
        <v>933.32905856703019</v>
      </c>
    </row>
    <row r="9" spans="1:17">
      <c r="A9" s="6" t="s">
        <v>4</v>
      </c>
      <c r="B9" s="4">
        <f>655783479.5002/1000000</f>
        <v>655.78347950020009</v>
      </c>
      <c r="C9" s="4"/>
      <c r="D9" s="90">
        <v>88.989154725590012</v>
      </c>
      <c r="E9" s="4">
        <v>127.46514089270001</v>
      </c>
      <c r="F9" s="4">
        <f t="shared" ref="F9:F12" si="0">SUM(B9:E9)</f>
        <v>872.23777511849005</v>
      </c>
      <c r="I9" s="39">
        <f>'Regional inc summary 1850'!F38</f>
        <v>88.258316421780009</v>
      </c>
      <c r="J9" s="39">
        <f>'Regional inc summary 1850'!G38</f>
        <v>39.206823814300002</v>
      </c>
      <c r="K9" s="39">
        <f>I9+J9</f>
        <v>127.46514023608</v>
      </c>
      <c r="L9" s="98">
        <v>0.05</v>
      </c>
      <c r="M9" s="6">
        <v>7.2999999999999995E-2</v>
      </c>
      <c r="O9" s="4">
        <f t="shared" ref="O9:O11" si="1">I9/L9</f>
        <v>1765.1663284356</v>
      </c>
      <c r="P9" s="4">
        <f t="shared" ref="P9:P12" si="2">J9/M9</f>
        <v>537.07977827808224</v>
      </c>
      <c r="Q9" s="4">
        <f t="shared" ref="Q9:Q12" si="3">O9+P9</f>
        <v>2302.2461067136824</v>
      </c>
    </row>
    <row r="10" spans="1:17">
      <c r="A10" s="26" t="s">
        <v>7</v>
      </c>
      <c r="B10" s="4">
        <f>368724267.4871/1000000</f>
        <v>368.72426748710001</v>
      </c>
      <c r="C10" s="4"/>
      <c r="D10" s="90">
        <v>88.341027056640002</v>
      </c>
      <c r="E10" s="4">
        <v>79.245120829940007</v>
      </c>
      <c r="F10" s="4">
        <f t="shared" si="0"/>
        <v>536.31041537368003</v>
      </c>
      <c r="I10" s="39">
        <f>'Regional inc summary 1850'!F41</f>
        <v>44.908369081499998</v>
      </c>
      <c r="J10" s="39">
        <f>'Regional inc summary 1850'!G41</f>
        <v>34.336752019490007</v>
      </c>
      <c r="K10" s="39">
        <f t="shared" ref="K10:K12" si="4">I10+J10</f>
        <v>79.245121100990005</v>
      </c>
      <c r="L10" s="98">
        <v>0.05</v>
      </c>
      <c r="M10" s="6">
        <v>7.2999999999999995E-2</v>
      </c>
      <c r="O10" s="4">
        <f t="shared" si="1"/>
        <v>898.16738162999991</v>
      </c>
      <c r="P10" s="4">
        <f t="shared" si="2"/>
        <v>470.36646602041105</v>
      </c>
      <c r="Q10" s="4">
        <f t="shared" si="3"/>
        <v>1368.533847650411</v>
      </c>
    </row>
    <row r="11" spans="1:17">
      <c r="A11" s="6" t="s">
        <v>8</v>
      </c>
      <c r="B11" s="4">
        <f>71185177.13971/1000000</f>
        <v>71.185177139709992</v>
      </c>
      <c r="C11" s="4">
        <v>2.5443232099999302</v>
      </c>
      <c r="D11" s="90">
        <v>13.043329416500001</v>
      </c>
      <c r="E11" s="4">
        <v>11.12324768419</v>
      </c>
      <c r="F11" s="4">
        <f t="shared" si="0"/>
        <v>97.896077450399929</v>
      </c>
      <c r="I11" s="39">
        <f>'Regional inc summary 1850'!F42</f>
        <v>5.3317821484219996</v>
      </c>
      <c r="J11" s="39">
        <f>'Regional inc summary 1850'!G42</f>
        <v>5.7914654969330002</v>
      </c>
      <c r="K11" s="39">
        <f t="shared" si="4"/>
        <v>11.123247645355001</v>
      </c>
      <c r="L11" s="98">
        <v>0.05</v>
      </c>
      <c r="M11" s="6">
        <v>7.2999999999999995E-2</v>
      </c>
      <c r="O11" s="4">
        <f t="shared" si="1"/>
        <v>106.63564296843998</v>
      </c>
      <c r="P11" s="4">
        <f t="shared" si="2"/>
        <v>79.335143793602754</v>
      </c>
      <c r="Q11" s="4">
        <f t="shared" si="3"/>
        <v>185.97078676204274</v>
      </c>
    </row>
    <row r="12" spans="1:17">
      <c r="A12" s="6" t="s">
        <v>109</v>
      </c>
      <c r="B12" s="4">
        <f>SUM(B8:B11)</f>
        <v>1435.3869850522101</v>
      </c>
      <c r="C12" s="4">
        <f t="shared" ref="C12:E12" si="5">SUM(C8:C11)</f>
        <v>2.5443232099999302</v>
      </c>
      <c r="D12" s="4">
        <f t="shared" si="5"/>
        <v>248.90321046436</v>
      </c>
      <c r="E12" s="4">
        <f t="shared" si="5"/>
        <v>270.02470019607</v>
      </c>
      <c r="F12" s="4">
        <f t="shared" si="0"/>
        <v>1956.8592189226399</v>
      </c>
      <c r="I12" s="39">
        <f>SUM(I8:I11)</f>
        <v>173.63581661312202</v>
      </c>
      <c r="J12" s="39">
        <f t="shared" ref="J12" si="6">SUM(J8:J11)</f>
        <v>96.167533122443004</v>
      </c>
      <c r="K12" s="39">
        <f t="shared" si="4"/>
        <v>269.80334973556501</v>
      </c>
      <c r="L12" s="98">
        <v>0.05</v>
      </c>
      <c r="M12" s="6">
        <v>7.2999999999999995E-2</v>
      </c>
      <c r="O12" s="4">
        <f>SUM(O8:O11)</f>
        <v>3472.7163322624401</v>
      </c>
      <c r="P12" s="4">
        <f t="shared" si="2"/>
        <v>1317.3634674307261</v>
      </c>
      <c r="Q12" s="4">
        <f t="shared" si="3"/>
        <v>4790.079799693166</v>
      </c>
    </row>
    <row r="13" spans="1:17">
      <c r="B13" s="4"/>
      <c r="C13" s="4"/>
      <c r="D13" s="90"/>
      <c r="E13" s="4"/>
      <c r="F13" s="4"/>
      <c r="L13" s="39"/>
    </row>
    <row r="14" spans="1:17">
      <c r="A14" s="6" t="s">
        <v>5</v>
      </c>
      <c r="B14" s="4">
        <f>257994464.899/1000000</f>
        <v>257.99446489899998</v>
      </c>
      <c r="C14" s="4">
        <v>44.292824869985502</v>
      </c>
      <c r="D14" s="90">
        <v>58.948982125000001</v>
      </c>
      <c r="E14" s="4">
        <v>116.8101615332</v>
      </c>
      <c r="F14" s="4">
        <f>SUM(B14:E14)</f>
        <v>478.04643342718549</v>
      </c>
      <c r="I14" s="39">
        <f>'Regional inc summary 1850'!F39</f>
        <v>36.633892332900004</v>
      </c>
      <c r="J14" s="39">
        <f>'Regional inc summary 1850'!G39</f>
        <v>80.176269374509999</v>
      </c>
      <c r="K14" s="39">
        <f>I14+J14</f>
        <v>116.81016170741</v>
      </c>
      <c r="L14" s="98">
        <v>0.05</v>
      </c>
      <c r="M14" s="6">
        <v>7.8E-2</v>
      </c>
      <c r="O14" s="4">
        <f>I14/L14</f>
        <v>732.67784665800002</v>
      </c>
      <c r="P14" s="4">
        <f>J14/M14</f>
        <v>1027.9008894167948</v>
      </c>
      <c r="Q14" s="4">
        <f>O14+P14</f>
        <v>1760.578736074795</v>
      </c>
    </row>
    <row r="15" spans="1:17">
      <c r="A15" s="6" t="s">
        <v>100</v>
      </c>
      <c r="B15" s="4">
        <f>253073559.7574/1000000</f>
        <v>253.07355975740001</v>
      </c>
      <c r="C15" s="4">
        <v>43.501279349982596</v>
      </c>
      <c r="D15" s="90">
        <v>58.026906635739998</v>
      </c>
      <c r="E15" s="4">
        <v>115.5803587358</v>
      </c>
      <c r="F15" s="4">
        <f t="shared" ref="F15:F25" si="7">SUM(B15:E15)</f>
        <v>470.18210447892261</v>
      </c>
      <c r="I15" s="39">
        <f>'Regional inc summary 1850'!F40</f>
        <v>36.244943637649996</v>
      </c>
      <c r="J15" s="39">
        <f>'Regional inc summary 1850'!G40</f>
        <v>79.335415303770006</v>
      </c>
      <c r="K15" s="39">
        <f>I15+J15</f>
        <v>115.58035894142</v>
      </c>
      <c r="L15" s="98">
        <v>0.05</v>
      </c>
      <c r="M15" s="6">
        <v>7.8E-2</v>
      </c>
      <c r="O15" s="4">
        <f t="shared" ref="O15:O17" si="8">I15/L15</f>
        <v>724.89887275299986</v>
      </c>
      <c r="P15" s="4">
        <f t="shared" ref="P15:P17" si="9">J15/M15</f>
        <v>1017.1207090226924</v>
      </c>
      <c r="Q15" s="4">
        <f t="shared" ref="Q15:Q26" si="10">O15+P15</f>
        <v>1742.0195817756921</v>
      </c>
    </row>
    <row r="16" spans="1:17">
      <c r="A16" s="6" t="s">
        <v>9</v>
      </c>
      <c r="B16" s="4">
        <f>166375793.8039/1000000</f>
        <v>166.3757938039</v>
      </c>
      <c r="C16" s="4">
        <v>33.907314229999997</v>
      </c>
      <c r="D16" s="90">
        <v>41.16865199902</v>
      </c>
      <c r="E16" s="4">
        <v>101.139547209</v>
      </c>
      <c r="F16" s="4">
        <f t="shared" si="7"/>
        <v>342.59130724191999</v>
      </c>
      <c r="I16" s="39">
        <f>'Regional inc summary 1850'!F43</f>
        <v>24.439679603999998</v>
      </c>
      <c r="J16" s="39">
        <f>'Regional inc summary 1850'!G43</f>
        <v>76.699866876399994</v>
      </c>
      <c r="K16" s="39">
        <f t="shared" ref="K16:K22" si="11">I16+J16</f>
        <v>101.13954648039999</v>
      </c>
      <c r="L16" s="98">
        <v>0.05</v>
      </c>
      <c r="M16" s="6">
        <v>7.8E-2</v>
      </c>
      <c r="O16" s="4">
        <f t="shared" si="8"/>
        <v>488.79359207999994</v>
      </c>
      <c r="P16" s="4">
        <f t="shared" si="9"/>
        <v>983.33162662051279</v>
      </c>
      <c r="Q16" s="4">
        <f t="shared" si="10"/>
        <v>1472.1252187005127</v>
      </c>
    </row>
    <row r="17" spans="1:19">
      <c r="A17" s="6" t="s">
        <v>10</v>
      </c>
      <c r="B17" s="4">
        <f>75481489.34003/1000000</f>
        <v>75.481489340029995</v>
      </c>
      <c r="C17" s="4">
        <v>17.3390272000007</v>
      </c>
      <c r="D17" s="90">
        <v>8.8677686967769986</v>
      </c>
      <c r="E17" s="4">
        <v>27.335340634769999</v>
      </c>
      <c r="F17" s="4">
        <f t="shared" si="7"/>
        <v>129.02362587157771</v>
      </c>
      <c r="I17" s="39">
        <f>'Regional inc summary 1850'!F44</f>
        <v>14.13035068049</v>
      </c>
      <c r="J17" s="39">
        <f>'Regional inc summary 1850'!G44</f>
        <v>13.20499086267</v>
      </c>
      <c r="K17" s="39">
        <f t="shared" si="11"/>
        <v>27.335341543159998</v>
      </c>
      <c r="L17" s="98">
        <v>0.05</v>
      </c>
      <c r="M17" s="6">
        <v>7.8E-2</v>
      </c>
      <c r="O17" s="4">
        <f t="shared" si="8"/>
        <v>282.60701360979999</v>
      </c>
      <c r="P17" s="4">
        <f t="shared" si="9"/>
        <v>169.29475464961538</v>
      </c>
      <c r="Q17" s="4">
        <f t="shared" si="10"/>
        <v>451.90176825941535</v>
      </c>
    </row>
    <row r="18" spans="1:19">
      <c r="A18" s="6" t="s">
        <v>110</v>
      </c>
      <c r="B18" s="4">
        <f>B14+B16+B17</f>
        <v>499.85174804292996</v>
      </c>
      <c r="C18" s="4">
        <f t="shared" ref="C18:E18" si="12">C14+C16+C17</f>
        <v>95.539166299986206</v>
      </c>
      <c r="D18" s="4">
        <f t="shared" si="12"/>
        <v>108.98540282079699</v>
      </c>
      <c r="E18" s="4">
        <f t="shared" si="12"/>
        <v>245.28504937697002</v>
      </c>
      <c r="F18" s="4">
        <f t="shared" si="7"/>
        <v>949.66136654068316</v>
      </c>
      <c r="I18" s="39">
        <f>I14+I16+I17</f>
        <v>75.203922617390006</v>
      </c>
      <c r="J18" s="39">
        <f t="shared" ref="J18" si="13">J14+J16+J17</f>
        <v>170.08112711358001</v>
      </c>
      <c r="K18" s="39">
        <f t="shared" si="11"/>
        <v>245.28504973097</v>
      </c>
      <c r="L18" s="98">
        <v>0.05</v>
      </c>
      <c r="M18" s="6">
        <v>7.8E-2</v>
      </c>
      <c r="O18" s="4">
        <f>O14+O16+O17</f>
        <v>1504.0784523478001</v>
      </c>
      <c r="P18" s="4">
        <f>P14+P16+P17</f>
        <v>2180.5272706869227</v>
      </c>
      <c r="Q18" s="4">
        <f t="shared" si="10"/>
        <v>3684.6057230347228</v>
      </c>
    </row>
    <row r="19" spans="1:19">
      <c r="B19" s="4"/>
      <c r="C19" s="4"/>
      <c r="D19" s="90"/>
      <c r="E19" s="4"/>
      <c r="F19" s="4"/>
    </row>
    <row r="20" spans="1:19">
      <c r="A20" s="6" t="s">
        <v>11</v>
      </c>
      <c r="B20" s="4">
        <f>11855261.27911/1000000</f>
        <v>11.85526127911</v>
      </c>
      <c r="C20" s="4"/>
      <c r="D20" s="90">
        <v>1.530999525391</v>
      </c>
      <c r="E20" s="4">
        <v>0.71198097375489999</v>
      </c>
      <c r="F20" s="4">
        <f t="shared" si="7"/>
        <v>14.098241778255899</v>
      </c>
      <c r="I20" s="39">
        <f>'Regional inc summary 1850'!F45</f>
        <v>0.14112308040139998</v>
      </c>
      <c r="J20" s="39">
        <f>'Regional inc summary 1850'!G45</f>
        <v>0.57085790556339999</v>
      </c>
      <c r="K20" s="39">
        <f t="shared" si="11"/>
        <v>0.71198098596479997</v>
      </c>
      <c r="L20" s="98">
        <v>0.05</v>
      </c>
      <c r="M20" s="6">
        <v>7.2999999999999995E-2</v>
      </c>
      <c r="O20" s="4">
        <f>I20/L20</f>
        <v>2.8224616080279996</v>
      </c>
      <c r="P20" s="4">
        <f>J20/M20</f>
        <v>7.8199713090876717</v>
      </c>
      <c r="Q20" s="4">
        <f t="shared" si="10"/>
        <v>10.642432917115672</v>
      </c>
    </row>
    <row r="21" spans="1:19">
      <c r="A21" s="6" t="s">
        <v>12</v>
      </c>
      <c r="B21" s="4">
        <f>99308141.44531/1000000</f>
        <v>99.30814144531</v>
      </c>
      <c r="C21" s="4"/>
      <c r="D21" s="90">
        <v>2.4259289921880001</v>
      </c>
      <c r="E21" s="4">
        <v>2.5243066435870003</v>
      </c>
      <c r="F21" s="4">
        <f t="shared" si="7"/>
        <v>104.258377081085</v>
      </c>
      <c r="I21" s="39">
        <f>'Regional inc summary 1850'!F46</f>
        <v>1.2592510459899999</v>
      </c>
      <c r="J21" s="39">
        <f>'Regional inc summary 1850'!G46</f>
        <v>1.265055505434</v>
      </c>
      <c r="K21" s="39">
        <f t="shared" si="11"/>
        <v>2.524306551424</v>
      </c>
      <c r="L21" s="98">
        <v>0.05</v>
      </c>
      <c r="M21" s="6">
        <v>7.2999999999999995E-2</v>
      </c>
      <c r="O21" s="4">
        <f t="shared" ref="O21:O22" si="14">I21/L21</f>
        <v>25.185020919799996</v>
      </c>
      <c r="P21" s="4">
        <f t="shared" ref="P21:P22" si="15">J21/M21</f>
        <v>17.329527471698633</v>
      </c>
      <c r="Q21" s="4">
        <f t="shared" si="10"/>
        <v>42.514548391498629</v>
      </c>
    </row>
    <row r="22" spans="1:19">
      <c r="A22" s="6" t="s">
        <v>111</v>
      </c>
      <c r="B22" s="4">
        <f>B20+B21</f>
        <v>111.16340272442</v>
      </c>
      <c r="C22" s="4"/>
      <c r="D22" s="4">
        <f>D20+D21</f>
        <v>3.9569285175790001</v>
      </c>
      <c r="E22" s="4">
        <f t="shared" ref="E22" si="16">E20+E21</f>
        <v>3.2362876173419002</v>
      </c>
      <c r="F22" s="4">
        <f t="shared" si="7"/>
        <v>118.3566188593409</v>
      </c>
      <c r="I22" s="39">
        <f>I20+I21</f>
        <v>1.4003741263913998</v>
      </c>
      <c r="J22" s="39">
        <f>J20+J21</f>
        <v>1.8359134109974</v>
      </c>
      <c r="K22" s="39">
        <f t="shared" si="11"/>
        <v>3.2362875373888</v>
      </c>
      <c r="L22" s="98">
        <v>0.05</v>
      </c>
      <c r="M22" s="6">
        <v>7.2999999999999995E-2</v>
      </c>
      <c r="O22" s="4">
        <f t="shared" si="14"/>
        <v>28.007482527827996</v>
      </c>
      <c r="P22" s="4">
        <f t="shared" si="15"/>
        <v>25.149498780786303</v>
      </c>
      <c r="Q22" s="4">
        <f t="shared" si="10"/>
        <v>53.156981308614299</v>
      </c>
    </row>
    <row r="23" spans="1:19">
      <c r="B23" s="4"/>
      <c r="C23" s="4"/>
      <c r="D23" s="90"/>
      <c r="E23" s="4"/>
      <c r="F23" s="4"/>
    </row>
    <row r="24" spans="1:19" ht="16" thickBot="1">
      <c r="A24" s="6" t="s">
        <v>13</v>
      </c>
      <c r="B24" s="4">
        <f>B8+B9+B15</f>
        <v>1248.5511001828002</v>
      </c>
      <c r="C24" s="4">
        <f>C8+C9+C15</f>
        <v>43.501279349982596</v>
      </c>
      <c r="D24" s="90">
        <v>205.54576062696</v>
      </c>
      <c r="E24" s="4">
        <v>295.23669041774002</v>
      </c>
      <c r="F24" s="4">
        <f t="shared" si="7"/>
        <v>1792.8348305774825</v>
      </c>
      <c r="I24" s="4">
        <f>I8+I9+I15</f>
        <v>159.64060902085001</v>
      </c>
      <c r="J24" s="4">
        <f t="shared" ref="J24:K24" si="17">J8+J9+J15</f>
        <v>135.37473090979</v>
      </c>
      <c r="K24" s="4">
        <f t="shared" si="17"/>
        <v>295.01533993064004</v>
      </c>
      <c r="O24" s="4">
        <f>O8+O9+O15</f>
        <v>3192.812180417</v>
      </c>
      <c r="P24" s="4">
        <f>P8+P9+P15</f>
        <v>1784.7825666394046</v>
      </c>
      <c r="Q24" s="4">
        <f t="shared" si="10"/>
        <v>4977.5947470564042</v>
      </c>
    </row>
    <row r="25" spans="1:19" ht="16" thickBot="1">
      <c r="A25" s="6" t="s">
        <v>57</v>
      </c>
      <c r="B25" s="4">
        <f>B12+B18+B22</f>
        <v>2046.40213581956</v>
      </c>
      <c r="C25" s="4">
        <f t="shared" ref="C25:E25" si="18">C12+C18+C22</f>
        <v>98.083489509986137</v>
      </c>
      <c r="D25" s="4">
        <f t="shared" si="18"/>
        <v>361.84554180273602</v>
      </c>
      <c r="E25" s="4">
        <f t="shared" si="18"/>
        <v>518.54603719038187</v>
      </c>
      <c r="F25" s="99">
        <f t="shared" si="7"/>
        <v>3024.8772043226641</v>
      </c>
      <c r="I25" s="4">
        <f t="shared" ref="I25:K25" si="19">I12+I18+I22</f>
        <v>250.24011335690341</v>
      </c>
      <c r="J25" s="4">
        <f t="shared" si="19"/>
        <v>268.08457364702042</v>
      </c>
      <c r="K25" s="4">
        <f t="shared" si="19"/>
        <v>518.32468700392383</v>
      </c>
      <c r="O25" s="4">
        <f>O12+O18+O22</f>
        <v>5004.8022671380677</v>
      </c>
      <c r="P25" s="4">
        <f>P12+P18+P22</f>
        <v>3523.0402368984351</v>
      </c>
      <c r="Q25" s="99">
        <f t="shared" si="10"/>
        <v>8527.8425040365037</v>
      </c>
      <c r="R25" s="39">
        <f>100*Q25/$F$25</f>
        <v>281.9235931908209</v>
      </c>
      <c r="S25" s="6" t="s">
        <v>112</v>
      </c>
    </row>
    <row r="26" spans="1:19">
      <c r="B26" s="4"/>
      <c r="C26" s="4"/>
      <c r="D26" s="90"/>
      <c r="E26" s="4"/>
      <c r="F26" s="4"/>
      <c r="J26" s="4">
        <f>J25-$C25</f>
        <v>170.0010841370343</v>
      </c>
      <c r="K26" s="4">
        <f>K25-$C25</f>
        <v>420.2411974939377</v>
      </c>
      <c r="L26" s="100" t="s">
        <v>120</v>
      </c>
      <c r="O26" s="4">
        <f>O25</f>
        <v>5004.8022671380677</v>
      </c>
      <c r="P26" s="100">
        <f>P25-((J25-J26)/0.1)</f>
        <v>2542.205341798574</v>
      </c>
      <c r="Q26" s="4">
        <f t="shared" si="10"/>
        <v>7547.0076089366412</v>
      </c>
      <c r="R26" s="39">
        <f>100*Q26/$F$25</f>
        <v>249.49798286527735</v>
      </c>
      <c r="S26" s="6" t="s">
        <v>113</v>
      </c>
    </row>
    <row r="27" spans="1:19">
      <c r="A27" s="6" t="s">
        <v>99</v>
      </c>
      <c r="B27" s="4">
        <f>100*B25/$F25</f>
        <v>67.652403637912101</v>
      </c>
      <c r="C27" s="4">
        <f t="shared" ref="C27:F27" si="20">100*C25/$F25</f>
        <v>3.2425610325543501</v>
      </c>
      <c r="D27" s="4">
        <f t="shared" si="20"/>
        <v>11.962321686501689</v>
      </c>
      <c r="E27" s="4">
        <f t="shared" si="20"/>
        <v>17.142713643031854</v>
      </c>
      <c r="F27" s="4">
        <f t="shared" si="20"/>
        <v>100</v>
      </c>
      <c r="J27" s="6" t="s">
        <v>114</v>
      </c>
      <c r="L27" s="6" t="s">
        <v>121</v>
      </c>
    </row>
    <row r="28" spans="1:19">
      <c r="B28" s="4"/>
      <c r="C28" s="4"/>
      <c r="D28" s="4"/>
      <c r="E28" s="4"/>
      <c r="F28" s="4"/>
      <c r="J28" s="6" t="s">
        <v>115</v>
      </c>
      <c r="L28" s="6" t="s">
        <v>122</v>
      </c>
    </row>
    <row r="29" spans="1:19">
      <c r="B29" s="6"/>
      <c r="C29" s="6"/>
      <c r="D29" s="6"/>
      <c r="E29" s="6"/>
      <c r="F29" s="6"/>
      <c r="J29" s="6" t="s">
        <v>116</v>
      </c>
      <c r="L29" s="6" t="s">
        <v>123</v>
      </c>
    </row>
    <row r="30" spans="1:19">
      <c r="J30" s="6" t="s">
        <v>117</v>
      </c>
    </row>
    <row r="31" spans="1:19">
      <c r="J31" s="6" t="s">
        <v>118</v>
      </c>
    </row>
    <row r="32" spans="1:19">
      <c r="J32" s="6" t="s">
        <v>119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Regional inc summary 1850</vt:lpstr>
      <vt:lpstr>Table 5-1 &amp; W-Y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oscarmendezm</dc:creator>
  <cp:lastModifiedBy>Peter Lindert</cp:lastModifiedBy>
  <dcterms:created xsi:type="dcterms:W3CDTF">2013-11-05T07:43:26Z</dcterms:created>
  <dcterms:modified xsi:type="dcterms:W3CDTF">2014-05-21T21:48:36Z</dcterms:modified>
</cp:coreProperties>
</file>