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7160" yWindow="-420" windowWidth="20260" windowHeight="15640"/>
  </bookViews>
  <sheets>
    <sheet name="Regional 1860 HH inc's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5" i="1"/>
  <c r="I25"/>
  <c r="B26"/>
  <c r="I26"/>
  <c r="B27"/>
  <c r="I27"/>
  <c r="B28"/>
  <c r="I28"/>
  <c r="I30"/>
  <c r="B9"/>
  <c r="B10"/>
  <c r="B11"/>
  <c r="B12"/>
  <c r="B13"/>
  <c r="B14"/>
  <c r="B15"/>
  <c r="B16"/>
  <c r="B17"/>
  <c r="B19"/>
  <c r="B36"/>
  <c r="D9"/>
  <c r="D36"/>
  <c r="I36"/>
  <c r="B37"/>
  <c r="D10"/>
  <c r="D37"/>
  <c r="H37"/>
  <c r="I37"/>
  <c r="B38"/>
  <c r="D11"/>
  <c r="D38"/>
  <c r="H38"/>
  <c r="I38"/>
  <c r="B39"/>
  <c r="D39"/>
  <c r="I39"/>
  <c r="B40"/>
  <c r="D13"/>
  <c r="D40"/>
  <c r="H40"/>
  <c r="I40"/>
  <c r="B41"/>
  <c r="D14"/>
  <c r="D41"/>
  <c r="H41"/>
  <c r="I41"/>
  <c r="B42"/>
  <c r="D15"/>
  <c r="D42"/>
  <c r="H42"/>
  <c r="I42"/>
  <c r="B43"/>
  <c r="D16"/>
  <c r="D43"/>
  <c r="H43"/>
  <c r="I43"/>
  <c r="B44"/>
  <c r="D17"/>
  <c r="D44"/>
  <c r="H44"/>
  <c r="I44"/>
  <c r="I46"/>
  <c r="B20"/>
  <c r="L28"/>
  <c r="M36"/>
  <c r="M37"/>
  <c r="M38"/>
  <c r="M39"/>
  <c r="M40"/>
  <c r="M41"/>
  <c r="M42"/>
  <c r="M43"/>
  <c r="M44"/>
  <c r="M46"/>
  <c r="L36"/>
  <c r="L37"/>
  <c r="L38"/>
  <c r="L39"/>
  <c r="L40"/>
  <c r="L41"/>
  <c r="L42"/>
  <c r="L43"/>
  <c r="L44"/>
  <c r="L46"/>
  <c r="M19"/>
  <c r="M29"/>
  <c r="G37"/>
  <c r="G40"/>
  <c r="G38"/>
  <c r="G41"/>
  <c r="G42"/>
  <c r="G43"/>
  <c r="G44"/>
  <c r="F37"/>
  <c r="F40"/>
  <c r="F38"/>
  <c r="F41"/>
  <c r="F42"/>
  <c r="F43"/>
  <c r="F44"/>
  <c r="B30"/>
  <c r="B46"/>
  <c r="Q44"/>
  <c r="R44"/>
  <c r="Q43"/>
  <c r="R43"/>
  <c r="Q42"/>
  <c r="R42"/>
  <c r="Q41"/>
  <c r="R41"/>
  <c r="Q40"/>
  <c r="R40"/>
  <c r="Q39"/>
  <c r="R39"/>
  <c r="G46"/>
  <c r="Q38"/>
  <c r="R38"/>
  <c r="H46"/>
  <c r="F46"/>
  <c r="Q37"/>
  <c r="R37"/>
  <c r="N28"/>
  <c r="N40"/>
  <c r="L27"/>
  <c r="N27"/>
  <c r="N42"/>
  <c r="L26"/>
  <c r="N26"/>
  <c r="N41"/>
  <c r="L25"/>
  <c r="N25"/>
  <c r="N19"/>
  <c r="L19"/>
  <c r="O19"/>
  <c r="H19"/>
  <c r="G19"/>
  <c r="F19"/>
  <c r="D19"/>
  <c r="O17"/>
  <c r="I17"/>
  <c r="O16"/>
  <c r="I16"/>
  <c r="O15"/>
  <c r="I15"/>
  <c r="O14"/>
  <c r="I14"/>
  <c r="O13"/>
  <c r="I13"/>
  <c r="O12"/>
  <c r="I12"/>
  <c r="O11"/>
  <c r="I11"/>
  <c r="O10"/>
  <c r="I10"/>
  <c r="O9"/>
  <c r="I9"/>
  <c r="I19"/>
  <c r="I21"/>
  <c r="N38"/>
  <c r="N46"/>
  <c r="N29"/>
  <c r="Q36"/>
  <c r="R36"/>
  <c r="Q46"/>
  <c r="R46"/>
  <c r="D46"/>
  <c r="L29"/>
  <c r="G21"/>
  <c r="H21"/>
  <c r="D21"/>
  <c r="F21"/>
  <c r="O29"/>
</calcChain>
</file>

<file path=xl/sharedStrings.xml><?xml version="1.0" encoding="utf-8"?>
<sst xmlns="http://schemas.openxmlformats.org/spreadsheetml/2006/main" count="136" uniqueCount="105">
  <si>
    <t>WNC (MO)</t>
    <phoneticPr fontId="0" type="noConversion"/>
  </si>
  <si>
    <t>US slave retained earnings</t>
    <phoneticPr fontId="0" type="noConversion"/>
  </si>
  <si>
    <t>Total pop'n,</t>
  </si>
  <si>
    <r>
      <t xml:space="preserve">HSUS </t>
    </r>
    <r>
      <rPr>
        <sz val="12"/>
        <rFont val="Cambria"/>
        <family val="1"/>
      </rPr>
      <t>(mlns)</t>
    </r>
  </si>
  <si>
    <t>New England</t>
    <phoneticPr fontId="0" type="noConversion"/>
  </si>
  <si>
    <t>Mid Atlantic</t>
    <phoneticPr fontId="0" type="noConversion"/>
  </si>
  <si>
    <t>South Atlantic</t>
    <phoneticPr fontId="0" type="noConversion"/>
  </si>
  <si>
    <t>ENC</t>
    <phoneticPr fontId="0" type="noConversion"/>
  </si>
  <si>
    <t>ESC</t>
    <phoneticPr fontId="0" type="noConversion"/>
  </si>
  <si>
    <t>WSC</t>
    <phoneticPr fontId="0" type="noConversion"/>
  </si>
  <si>
    <t>USA</t>
    <phoneticPr fontId="0" type="noConversion"/>
  </si>
  <si>
    <t>Subtotal</t>
    <phoneticPr fontId="0" type="noConversion"/>
  </si>
  <si>
    <t>pop'n (millions)</t>
    <phoneticPr fontId="0" type="noConversion"/>
  </si>
  <si>
    <t>size**</t>
    <phoneticPr fontId="0" type="noConversion"/>
  </si>
  <si>
    <t>Farm</t>
    <phoneticPr fontId="0" type="noConversion"/>
  </si>
  <si>
    <t>Realty</t>
    <phoneticPr fontId="0" type="noConversion"/>
  </si>
  <si>
    <t>Personalty</t>
    <phoneticPr fontId="0" type="noConversion"/>
  </si>
  <si>
    <t>Total prop-</t>
    <phoneticPr fontId="0" type="noConversion"/>
  </si>
  <si>
    <t>Stated total</t>
    <phoneticPr fontId="0" type="noConversion"/>
  </si>
  <si>
    <t>income</t>
    <phoneticPr fontId="0" type="noConversion"/>
  </si>
  <si>
    <t>profits</t>
    <phoneticPr fontId="0" type="noConversion"/>
  </si>
  <si>
    <t>erty income</t>
    <phoneticPr fontId="0" type="noConversion"/>
  </si>
  <si>
    <t>All hh's</t>
    <phoneticPr fontId="0" type="noConversion"/>
  </si>
  <si>
    <t>Total pop'n,</t>
    <phoneticPr fontId="0" type="noConversion"/>
  </si>
  <si>
    <t>Part-time income per capita</t>
    <phoneticPr fontId="0" type="noConversion"/>
  </si>
  <si>
    <t>All households</t>
    <phoneticPr fontId="0" type="noConversion"/>
  </si>
  <si>
    <t>All</t>
    <phoneticPr fontId="0" type="noConversion"/>
  </si>
  <si>
    <t>(millions)</t>
    <phoneticPr fontId="0" type="noConversion"/>
  </si>
  <si>
    <t>IPUMS (mlns)</t>
    <phoneticPr fontId="0" type="noConversion"/>
  </si>
  <si>
    <t>Current $</t>
    <phoneticPr fontId="0" type="noConversion"/>
  </si>
  <si>
    <t>1840 $</t>
    <phoneticPr fontId="0" type="noConversion"/>
  </si>
  <si>
    <t>Slave hh**</t>
    <phoneticPr fontId="0" type="noConversion"/>
  </si>
  <si>
    <t>Implied total</t>
    <phoneticPr fontId="0" type="noConversion"/>
  </si>
  <si>
    <t>(**From 1860 file</t>
    <phoneticPr fontId="0" type="noConversion"/>
  </si>
  <si>
    <t>Slave retained earnings</t>
    <phoneticPr fontId="0" type="noConversion"/>
  </si>
  <si>
    <t>Slave</t>
    <phoneticPr fontId="0" type="noConversion"/>
  </si>
  <si>
    <t>(millions)</t>
    <phoneticPr fontId="0" type="noConversion"/>
  </si>
  <si>
    <t>"Slave HH totals by region")</t>
    <phoneticPr fontId="0" type="noConversion"/>
  </si>
  <si>
    <t>South Atlantic</t>
    <phoneticPr fontId="0" type="noConversion"/>
  </si>
  <si>
    <t>ESC</t>
    <phoneticPr fontId="0" type="noConversion"/>
  </si>
  <si>
    <t>WSC</t>
    <phoneticPr fontId="0" type="noConversion"/>
  </si>
  <si>
    <t>WNC (MO)</t>
    <phoneticPr fontId="0" type="noConversion"/>
  </si>
  <si>
    <t>Subtotal</t>
    <phoneticPr fontId="0" type="noConversion"/>
  </si>
  <si>
    <t>Free households only</t>
    <phoneticPr fontId="0" type="noConversion"/>
  </si>
  <si>
    <t>(millions of current dollars)</t>
    <phoneticPr fontId="0" type="noConversion"/>
  </si>
  <si>
    <t>IPUMS file:</t>
    <phoneticPr fontId="0" type="noConversion"/>
  </si>
  <si>
    <t>average</t>
    <phoneticPr fontId="0" type="noConversion"/>
  </si>
  <si>
    <t>Free labor</t>
    <phoneticPr fontId="0" type="noConversion"/>
  </si>
  <si>
    <t>mlns, IPUMS</t>
    <phoneticPr fontId="0" type="noConversion"/>
  </si>
  <si>
    <t>||</t>
    <phoneticPr fontId="0" type="noConversion"/>
  </si>
  <si>
    <t>Mar 2013, from</t>
    <phoneticPr fontId="0" type="noConversion"/>
  </si>
  <si>
    <t>the April 2012</t>
    <phoneticPr fontId="0" type="noConversion"/>
  </si>
  <si>
    <t>Implied</t>
    <phoneticPr fontId="0" type="noConversion"/>
  </si>
  <si>
    <t>Incomes agree with</t>
    <phoneticPr fontId="9" type="noConversion"/>
  </si>
  <si>
    <t>table 5-2 in PUP book.</t>
    <phoneticPr fontId="9" type="noConversion"/>
  </si>
  <si>
    <t>Revisions, 8 June 2012 and 2 September 2012 by Brock Smith; 13 March 2013 and 30 September 2013</t>
    <phoneticPr fontId="9" type="noConversion"/>
  </si>
  <si>
    <t xml:space="preserve"> by Oscar Méndez Medina; labor force added by Oscar Méndez and Peter Lindert 22may2014. </t>
    <phoneticPr fontId="9" type="noConversion"/>
  </si>
  <si>
    <t>Slight editing by PL, 16dec2015 = trimming auxiliary exhibits that used pastings from older estimates.</t>
    <phoneticPr fontId="9" type="noConversion"/>
  </si>
  <si>
    <t>All labor</t>
  </si>
  <si>
    <t>Total</t>
  </si>
  <si>
    <t>(persons)</t>
  </si>
  <si>
    <t>Slave</t>
  </si>
  <si>
    <t>labor force</t>
  </si>
  <si>
    <t>LW broad def'n</t>
  </si>
  <si>
    <t>of free</t>
  </si>
  <si>
    <t>&lt;-- million $</t>
  </si>
  <si>
    <t>Regional income totals 1860, with "part time" work year assumptions</t>
    <phoneticPr fontId="0" type="noConversion"/>
  </si>
  <si>
    <t>Numbers of households 1860</t>
    <phoneticPr fontId="0" type="noConversion"/>
  </si>
  <si>
    <t>% of tot nat'l inc</t>
    <phoneticPr fontId="0" type="noConversion"/>
  </si>
  <si>
    <t>Farm</t>
    <phoneticPr fontId="0" type="noConversion"/>
  </si>
  <si>
    <t>Realty</t>
    <phoneticPr fontId="0" type="noConversion"/>
  </si>
  <si>
    <t>Personalty</t>
    <phoneticPr fontId="0" type="noConversion"/>
  </si>
  <si>
    <t>Total prop-</t>
    <phoneticPr fontId="0" type="noConversion"/>
  </si>
  <si>
    <t>Stated total</t>
    <phoneticPr fontId="0" type="noConversion"/>
  </si>
  <si>
    <t>Free</t>
    <phoneticPr fontId="0" type="noConversion"/>
  </si>
  <si>
    <t>Free hh's</t>
    <phoneticPr fontId="0" type="noConversion"/>
  </si>
  <si>
    <t>Total perwt pop'n,</t>
    <phoneticPr fontId="0" type="noConversion"/>
  </si>
  <si>
    <t>household</t>
    <phoneticPr fontId="0" type="noConversion"/>
  </si>
  <si>
    <t>income</t>
    <phoneticPr fontId="0" type="noConversion"/>
  </si>
  <si>
    <t>profits</t>
    <phoneticPr fontId="0" type="noConversion"/>
  </si>
  <si>
    <t>erty income</t>
    <phoneticPr fontId="0" type="noConversion"/>
  </si>
  <si>
    <t>(millions)</t>
    <phoneticPr fontId="0" type="noConversion"/>
  </si>
  <si>
    <t>size</t>
  </si>
  <si>
    <t>New England</t>
    <phoneticPr fontId="0" type="noConversion"/>
  </si>
  <si>
    <t>New England</t>
  </si>
  <si>
    <t>Mid Atlantic</t>
    <phoneticPr fontId="0" type="noConversion"/>
  </si>
  <si>
    <t>Mid Atlantic</t>
  </si>
  <si>
    <t>South Atlantic</t>
    <phoneticPr fontId="0" type="noConversion"/>
  </si>
  <si>
    <t>South Atlantic</t>
  </si>
  <si>
    <t>ENC</t>
    <phoneticPr fontId="0" type="noConversion"/>
  </si>
  <si>
    <t>ENC</t>
  </si>
  <si>
    <t>WNC</t>
    <phoneticPr fontId="0" type="noConversion"/>
  </si>
  <si>
    <t>WNC</t>
  </si>
  <si>
    <t>ESC</t>
    <phoneticPr fontId="0" type="noConversion"/>
  </si>
  <si>
    <t>ESC</t>
  </si>
  <si>
    <t>WSC</t>
    <phoneticPr fontId="0" type="noConversion"/>
  </si>
  <si>
    <t>WSC</t>
  </si>
  <si>
    <t>Mountain</t>
    <phoneticPr fontId="0" type="noConversion"/>
  </si>
  <si>
    <t>Mountain</t>
  </si>
  <si>
    <t>Pacific</t>
    <phoneticPr fontId="0" type="noConversion"/>
  </si>
  <si>
    <t>Pacific</t>
  </si>
  <si>
    <t>US free</t>
    <phoneticPr fontId="0" type="noConversion"/>
  </si>
  <si>
    <t>percent of free national income</t>
    <phoneticPr fontId="0" type="noConversion"/>
  </si>
  <si>
    <t>Ave h'hold</t>
  </si>
  <si>
    <t>(millions of current dollars)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</si>
</sst>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#,##0.0"/>
    <numFmt numFmtId="169" formatCode="0.000"/>
    <numFmt numFmtId="170" formatCode="0.0"/>
    <numFmt numFmtId="171" formatCode="#,##0.000"/>
    <numFmt numFmtId="172" formatCode="#,##0.0000"/>
  </numFmts>
  <fonts count="15">
    <font>
      <sz val="11"/>
      <color theme="1"/>
      <name val="Calibri"/>
      <family val="2"/>
      <scheme val="minor"/>
    </font>
    <font>
      <b/>
      <sz val="14"/>
      <color indexed="10"/>
      <name val="Verdana"/>
      <family val="2"/>
    </font>
    <font>
      <sz val="12"/>
      <name val="Cambria"/>
      <family val="1"/>
    </font>
    <font>
      <sz val="10"/>
      <name val="Verdana"/>
    </font>
    <font>
      <i/>
      <sz val="12"/>
      <name val="Cambria"/>
      <family val="1"/>
    </font>
    <font>
      <sz val="12"/>
      <color indexed="1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mbria"/>
      <scheme val="major"/>
    </font>
    <font>
      <sz val="8"/>
      <name val="Verdana"/>
    </font>
    <font>
      <sz val="11"/>
      <color indexed="10"/>
      <name val="Calibri"/>
      <family val="2"/>
    </font>
    <font>
      <sz val="11"/>
      <color indexed="8"/>
      <name val="Cambria"/>
    </font>
    <font>
      <b/>
      <u/>
      <sz val="12"/>
      <name val="Cambria"/>
    </font>
    <font>
      <sz val="12"/>
      <color indexed="56"/>
      <name val="Cambria"/>
      <family val="1"/>
    </font>
    <font>
      <sz val="12"/>
      <color indexed="8"/>
      <name val="Cambr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168" fontId="1" fillId="0" borderId="0" xfId="0" applyNumberFormat="1" applyFont="1"/>
    <xf numFmtId="168" fontId="0" fillId="0" borderId="0" xfId="0" applyNumberFormat="1"/>
    <xf numFmtId="169" fontId="1" fillId="0" borderId="0" xfId="0" applyNumberFormat="1" applyFont="1"/>
    <xf numFmtId="0" fontId="2" fillId="0" borderId="0" xfId="0" applyFont="1" applyAlignment="1">
      <alignment horizontal="right"/>
    </xf>
    <xf numFmtId="169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0" xfId="0" applyFont="1"/>
    <xf numFmtId="168" fontId="2" fillId="0" borderId="0" xfId="0" applyNumberFormat="1" applyFont="1"/>
    <xf numFmtId="0" fontId="4" fillId="0" borderId="0" xfId="0" applyFont="1" applyAlignment="1">
      <alignment horizontal="right"/>
    </xf>
    <xf numFmtId="169" fontId="2" fillId="0" borderId="0" xfId="0" applyNumberFormat="1" applyFont="1"/>
    <xf numFmtId="170" fontId="2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2" fontId="2" fillId="0" borderId="0" xfId="0" applyNumberFormat="1" applyFont="1"/>
    <xf numFmtId="168" fontId="5" fillId="0" borderId="4" xfId="0" applyNumberFormat="1" applyFont="1" applyBorder="1"/>
    <xf numFmtId="168" fontId="5" fillId="0" borderId="0" xfId="0" applyNumberFormat="1" applyFont="1" applyBorder="1"/>
    <xf numFmtId="172" fontId="0" fillId="0" borderId="0" xfId="0" applyNumberFormat="1"/>
    <xf numFmtId="0" fontId="8" fillId="0" borderId="0" xfId="0" applyFont="1"/>
    <xf numFmtId="3" fontId="2" fillId="0" borderId="0" xfId="0" applyNumberFormat="1" applyFont="1"/>
    <xf numFmtId="169" fontId="8" fillId="0" borderId="0" xfId="0" applyNumberFormat="1" applyFont="1"/>
    <xf numFmtId="0" fontId="10" fillId="0" borderId="0" xfId="0" applyFont="1" applyFill="1"/>
    <xf numFmtId="168" fontId="10" fillId="0" borderId="0" xfId="0" applyNumberFormat="1" applyFont="1"/>
    <xf numFmtId="168" fontId="11" fillId="0" borderId="0" xfId="0" applyNumberFormat="1" applyFont="1"/>
    <xf numFmtId="169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168" fontId="12" fillId="0" borderId="0" xfId="0" applyNumberFormat="1" applyFont="1"/>
    <xf numFmtId="0" fontId="12" fillId="0" borderId="0" xfId="0" applyFont="1"/>
    <xf numFmtId="168" fontId="11" fillId="0" borderId="0" xfId="0" applyNumberFormat="1" applyFont="1" applyAlignment="1">
      <alignment horizontal="right"/>
    </xf>
    <xf numFmtId="169" fontId="11" fillId="0" borderId="0" xfId="0" applyNumberFormat="1" applyFont="1" applyAlignment="1">
      <alignment horizontal="center"/>
    </xf>
    <xf numFmtId="168" fontId="13" fillId="0" borderId="0" xfId="0" applyNumberFormat="1" applyFont="1"/>
    <xf numFmtId="169" fontId="14" fillId="0" borderId="0" xfId="0" applyNumberFormat="1" applyFont="1"/>
    <xf numFmtId="3" fontId="14" fillId="0" borderId="0" xfId="0" applyNumberFormat="1" applyFont="1"/>
    <xf numFmtId="168" fontId="14" fillId="0" borderId="0" xfId="0" applyNumberFormat="1" applyFont="1"/>
    <xf numFmtId="170" fontId="14" fillId="0" borderId="0" xfId="0" applyNumberFormat="1" applyFont="1"/>
    <xf numFmtId="0" fontId="14" fillId="0" borderId="0" xfId="0" applyFont="1"/>
    <xf numFmtId="168" fontId="14" fillId="0" borderId="0" xfId="0" applyNumberFormat="1" applyFont="1" applyFill="1"/>
    <xf numFmtId="168" fontId="5" fillId="0" borderId="0" xfId="0" applyNumberFormat="1" applyFont="1" applyFill="1"/>
    <xf numFmtId="169" fontId="14" fillId="0" borderId="0" xfId="0" applyNumberFormat="1" applyFont="1" applyFill="1"/>
    <xf numFmtId="3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Alignment="1">
      <alignment horizontal="right"/>
    </xf>
    <xf numFmtId="171" fontId="14" fillId="0" borderId="0" xfId="0" applyNumberFormat="1" applyFont="1"/>
    <xf numFmtId="3" fontId="14" fillId="0" borderId="0" xfId="0" applyNumberFormat="1" applyFont="1" applyAlignment="1">
      <alignment horizontal="right"/>
    </xf>
    <xf numFmtId="169" fontId="14" fillId="0" borderId="0" xfId="0" applyNumberFormat="1" applyFont="1" applyAlignment="1">
      <alignment horizontal="right"/>
    </xf>
    <xf numFmtId="169" fontId="13" fillId="0" borderId="0" xfId="0" applyNumberFormat="1" applyFont="1"/>
    <xf numFmtId="168" fontId="14" fillId="0" borderId="0" xfId="0" applyNumberFormat="1" applyFont="1" applyAlignment="1">
      <alignment horizontal="right"/>
    </xf>
    <xf numFmtId="16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4"/>
  <sheetViews>
    <sheetView tabSelected="1" topLeftCell="A17" workbookViewId="0">
      <selection activeCell="I42" sqref="I42"/>
    </sheetView>
  </sheetViews>
  <sheetFormatPr baseColWidth="10" defaultColWidth="12.5" defaultRowHeight="14"/>
  <cols>
    <col min="1" max="1" width="17.1640625" customWidth="1"/>
    <col min="2" max="2" width="14.33203125" style="2" customWidth="1"/>
    <col min="3" max="3" width="3.83203125" style="2" customWidth="1"/>
    <col min="4" max="4" width="8" style="2" customWidth="1"/>
    <col min="5" max="5" width="3.1640625" style="2" customWidth="1"/>
    <col min="6" max="6" width="10.33203125" style="2" customWidth="1"/>
    <col min="7" max="7" width="10.83203125" style="2" customWidth="1"/>
    <col min="8" max="8" width="10.1640625" style="2" customWidth="1"/>
    <col min="9" max="10" width="10.83203125" style="2" customWidth="1"/>
    <col min="11" max="11" width="13.6640625" style="2" customWidth="1"/>
    <col min="12" max="12" width="10.1640625" style="5" customWidth="1"/>
    <col min="13" max="13" width="13.5" customWidth="1"/>
    <col min="14" max="14" width="16.33203125" customWidth="1"/>
  </cols>
  <sheetData>
    <row r="1" spans="1:18" ht="18">
      <c r="A1" s="7"/>
      <c r="B1" s="1" t="s">
        <v>66</v>
      </c>
    </row>
    <row r="2" spans="1:18" ht="18">
      <c r="A2" s="7"/>
      <c r="B2" s="25" t="s">
        <v>55</v>
      </c>
      <c r="C2" s="1"/>
    </row>
    <row r="3" spans="1:18" ht="18">
      <c r="A3" s="24" t="s">
        <v>53</v>
      </c>
      <c r="B3" s="25" t="s">
        <v>56</v>
      </c>
      <c r="L3" s="3" t="s">
        <v>67</v>
      </c>
    </row>
    <row r="4" spans="1:18" ht="15">
      <c r="A4" s="24" t="s">
        <v>54</v>
      </c>
      <c r="B4" s="25" t="s">
        <v>57</v>
      </c>
      <c r="K4" s="37"/>
      <c r="L4" s="51" t="s">
        <v>49</v>
      </c>
      <c r="M4" s="39"/>
      <c r="N4" s="52" t="s">
        <v>50</v>
      </c>
      <c r="O4" s="39"/>
      <c r="P4" s="39"/>
    </row>
    <row r="5" spans="1:18" ht="15">
      <c r="A5" s="24"/>
      <c r="K5" s="37"/>
      <c r="L5" s="51" t="s">
        <v>49</v>
      </c>
      <c r="M5" s="39" t="s">
        <v>63</v>
      </c>
      <c r="N5" s="53" t="s">
        <v>51</v>
      </c>
      <c r="O5" s="45" t="s">
        <v>52</v>
      </c>
      <c r="P5" s="39"/>
    </row>
    <row r="6" spans="1:18" ht="15">
      <c r="A6" s="7"/>
      <c r="B6" s="30" t="s">
        <v>43</v>
      </c>
      <c r="C6" s="30"/>
      <c r="D6" s="26"/>
      <c r="E6" s="26"/>
      <c r="F6" s="26" t="s">
        <v>44</v>
      </c>
      <c r="G6" s="26"/>
      <c r="H6" s="26"/>
      <c r="I6" s="26"/>
      <c r="J6" s="26"/>
      <c r="K6" s="37"/>
      <c r="L6" s="51" t="s">
        <v>49</v>
      </c>
      <c r="M6" s="45" t="s">
        <v>64</v>
      </c>
      <c r="N6" s="52" t="s">
        <v>45</v>
      </c>
      <c r="O6" s="45" t="s">
        <v>46</v>
      </c>
      <c r="P6" s="39"/>
    </row>
    <row r="7" spans="1:18" ht="15">
      <c r="B7" s="32" t="s">
        <v>47</v>
      </c>
      <c r="C7" s="32"/>
      <c r="D7" s="32" t="s">
        <v>69</v>
      </c>
      <c r="E7" s="32"/>
      <c r="F7" s="32" t="s">
        <v>70</v>
      </c>
      <c r="G7" s="32" t="s">
        <v>71</v>
      </c>
      <c r="H7" s="32" t="s">
        <v>72</v>
      </c>
      <c r="I7" s="32" t="s">
        <v>73</v>
      </c>
      <c r="J7" s="32"/>
      <c r="K7" s="31" t="s">
        <v>74</v>
      </c>
      <c r="L7" s="33" t="s">
        <v>75</v>
      </c>
      <c r="M7" s="29" t="s">
        <v>62</v>
      </c>
      <c r="N7" s="4" t="s">
        <v>76</v>
      </c>
      <c r="O7" s="4" t="s">
        <v>77</v>
      </c>
      <c r="P7" s="28"/>
    </row>
    <row r="8" spans="1:18" ht="15">
      <c r="B8" s="32" t="s">
        <v>78</v>
      </c>
      <c r="C8" s="32"/>
      <c r="D8" s="32" t="s">
        <v>79</v>
      </c>
      <c r="E8" s="32"/>
      <c r="F8" s="32" t="s">
        <v>78</v>
      </c>
      <c r="G8" s="32" t="s">
        <v>78</v>
      </c>
      <c r="H8" s="32" t="s">
        <v>80</v>
      </c>
      <c r="I8" s="32" t="s">
        <v>78</v>
      </c>
      <c r="J8" s="32"/>
      <c r="K8" s="28"/>
      <c r="L8" s="27" t="s">
        <v>81</v>
      </c>
      <c r="M8" s="29" t="s">
        <v>60</v>
      </c>
      <c r="N8" s="4" t="s">
        <v>48</v>
      </c>
      <c r="O8" s="4" t="s">
        <v>82</v>
      </c>
      <c r="P8" s="28"/>
    </row>
    <row r="9" spans="1:18" ht="15">
      <c r="A9" t="s">
        <v>83</v>
      </c>
      <c r="B9" s="34">
        <f>422544490.0651/1000000</f>
        <v>422.54449006510004</v>
      </c>
      <c r="C9" s="37"/>
      <c r="D9" s="34">
        <f>69405122.08789/1000000</f>
        <v>69.405122087889993</v>
      </c>
      <c r="E9" s="37"/>
      <c r="F9" s="37">
        <v>51.867625870600016</v>
      </c>
      <c r="G9" s="37">
        <v>46.117878991029933</v>
      </c>
      <c r="H9" s="37">
        <v>97.985505145079415</v>
      </c>
      <c r="I9" s="37">
        <f t="shared" ref="I9:I17" si="0">B9+D9+H9</f>
        <v>589.93511729806949</v>
      </c>
      <c r="J9" s="37"/>
      <c r="K9" s="6" t="s">
        <v>84</v>
      </c>
      <c r="L9" s="35">
        <v>0.66734580999996573</v>
      </c>
      <c r="M9" s="36">
        <v>1077377.9099999999</v>
      </c>
      <c r="N9" s="35">
        <v>3.1177708000002169</v>
      </c>
      <c r="O9" s="38">
        <f t="shared" ref="O9:O17" si="1">N9/L9</f>
        <v>4.6718968685820883</v>
      </c>
      <c r="P9" s="39"/>
      <c r="Q9" s="39"/>
      <c r="R9" s="39"/>
    </row>
    <row r="10" spans="1:18" ht="15">
      <c r="A10" t="s">
        <v>85</v>
      </c>
      <c r="B10" s="34">
        <f>1054119166.125/1000000</f>
        <v>1054.119166125</v>
      </c>
      <c r="C10" s="37"/>
      <c r="D10" s="34">
        <f>137022551.5957/1000000</f>
        <v>137.02255159570001</v>
      </c>
      <c r="E10" s="34"/>
      <c r="F10" s="37">
        <v>157.65345827340983</v>
      </c>
      <c r="G10" s="37">
        <v>103.8332157478896</v>
      </c>
      <c r="H10" s="37">
        <v>261.48667314882914</v>
      </c>
      <c r="I10" s="37">
        <f t="shared" si="0"/>
        <v>1452.6283908695291</v>
      </c>
      <c r="J10" s="37"/>
      <c r="K10" s="6" t="s">
        <v>86</v>
      </c>
      <c r="L10" s="35">
        <v>1.498550559999952</v>
      </c>
      <c r="M10" s="36">
        <v>2395745.2600000002</v>
      </c>
      <c r="N10" s="35">
        <v>7.4328767899973549</v>
      </c>
      <c r="O10" s="38">
        <f t="shared" si="1"/>
        <v>4.9600440508310868</v>
      </c>
      <c r="P10" s="39"/>
      <c r="Q10" s="39"/>
      <c r="R10" s="39"/>
    </row>
    <row r="11" spans="1:18" ht="15">
      <c r="A11" t="s">
        <v>87</v>
      </c>
      <c r="B11" s="34">
        <f>333856712.932/1000000</f>
        <v>333.85671293199999</v>
      </c>
      <c r="C11" s="37"/>
      <c r="D11" s="34">
        <f>84679365.49414/1000000</f>
        <v>84.679365494140001</v>
      </c>
      <c r="E11" s="37"/>
      <c r="F11" s="37">
        <v>71.979684058600043</v>
      </c>
      <c r="G11" s="37">
        <v>166.34668963551039</v>
      </c>
      <c r="H11" s="37">
        <v>238.32637276819088</v>
      </c>
      <c r="I11" s="37">
        <f t="shared" si="0"/>
        <v>656.86245119433079</v>
      </c>
      <c r="J11" s="37"/>
      <c r="K11" s="6" t="s">
        <v>88</v>
      </c>
      <c r="L11" s="35">
        <v>0.66719432999997774</v>
      </c>
      <c r="M11" s="36">
        <v>988129.11</v>
      </c>
      <c r="N11" s="35">
        <v>3.5001147500000118</v>
      </c>
      <c r="O11" s="38">
        <f t="shared" si="1"/>
        <v>5.2460199264585006</v>
      </c>
      <c r="P11" s="39"/>
      <c r="Q11" s="39"/>
      <c r="R11" s="39"/>
    </row>
    <row r="12" spans="1:18" s="7" customFormat="1" ht="15">
      <c r="A12" s="7" t="s">
        <v>89</v>
      </c>
      <c r="B12" s="34">
        <f>636266043.7774/1000000</f>
        <v>636.2660437774</v>
      </c>
      <c r="C12" s="40"/>
      <c r="D12" s="40">
        <v>175.96117599399798</v>
      </c>
      <c r="E12" s="40"/>
      <c r="F12" s="40">
        <v>129.61295268299989</v>
      </c>
      <c r="G12" s="40">
        <v>58.371256183559964</v>
      </c>
      <c r="H12" s="40">
        <v>187.98420898660945</v>
      </c>
      <c r="I12" s="40">
        <f t="shared" si="0"/>
        <v>1000.2114287580075</v>
      </c>
      <c r="J12" s="41"/>
      <c r="K12" s="6" t="s">
        <v>90</v>
      </c>
      <c r="L12" s="42">
        <v>1.3182299799999995</v>
      </c>
      <c r="M12" s="43">
        <v>1967166.5999999999</v>
      </c>
      <c r="N12" s="42">
        <v>6.8962973600018547</v>
      </c>
      <c r="O12" s="38">
        <f t="shared" si="1"/>
        <v>5.2314827189727984</v>
      </c>
      <c r="P12" s="39"/>
      <c r="Q12" s="44"/>
      <c r="R12" s="44"/>
    </row>
    <row r="13" spans="1:18" ht="15">
      <c r="A13" s="8" t="s">
        <v>91</v>
      </c>
      <c r="B13" s="34">
        <f>206461777.6567/1000000</f>
        <v>206.46177765669998</v>
      </c>
      <c r="C13" s="37"/>
      <c r="D13" s="34">
        <f>48860173.18115/1000000</f>
        <v>48.860173181149996</v>
      </c>
      <c r="E13" s="37"/>
      <c r="F13" s="37">
        <v>30.87707266049998</v>
      </c>
      <c r="G13" s="37">
        <v>24.336269816140003</v>
      </c>
      <c r="H13" s="37">
        <v>55.213342646540113</v>
      </c>
      <c r="I13" s="37">
        <f t="shared" si="0"/>
        <v>310.53529348439008</v>
      </c>
      <c r="J13" s="37"/>
      <c r="K13" s="6" t="s">
        <v>92</v>
      </c>
      <c r="L13" s="35">
        <v>0.3861530600000036</v>
      </c>
      <c r="M13" s="36">
        <v>588135.17999999993</v>
      </c>
      <c r="N13" s="35">
        <v>2.0287468799997854</v>
      </c>
      <c r="O13" s="38">
        <f t="shared" si="1"/>
        <v>5.2537376759354606</v>
      </c>
      <c r="P13" s="39"/>
      <c r="Q13" s="39"/>
      <c r="R13" s="39"/>
    </row>
    <row r="14" spans="1:18" ht="15">
      <c r="A14" t="s">
        <v>93</v>
      </c>
      <c r="B14" s="34">
        <f>234165597.6176/1000000</f>
        <v>234.16559761759999</v>
      </c>
      <c r="C14" s="37"/>
      <c r="D14" s="34">
        <f>74275367.23926/1000000</f>
        <v>74.275367239260007</v>
      </c>
      <c r="E14" s="37"/>
      <c r="F14" s="37">
        <v>58.556457078300021</v>
      </c>
      <c r="G14" s="37">
        <v>135.82807554347997</v>
      </c>
      <c r="H14" s="37">
        <v>194.38453293240022</v>
      </c>
      <c r="I14" s="37">
        <f t="shared" si="0"/>
        <v>502.82549778926023</v>
      </c>
      <c r="J14" s="37"/>
      <c r="K14" s="6" t="s">
        <v>94</v>
      </c>
      <c r="L14" s="35">
        <v>0.48454365999999083</v>
      </c>
      <c r="M14" s="36">
        <v>723959.88</v>
      </c>
      <c r="N14" s="35">
        <v>2.6395764500004324</v>
      </c>
      <c r="O14" s="38">
        <f t="shared" si="1"/>
        <v>5.4475513104443101</v>
      </c>
      <c r="P14" s="39"/>
      <c r="Q14" s="39"/>
      <c r="R14" s="39"/>
    </row>
    <row r="15" spans="1:18" ht="15">
      <c r="A15" t="s">
        <v>95</v>
      </c>
      <c r="B15" s="34">
        <f>144497377.7096/1000000</f>
        <v>144.49737770959999</v>
      </c>
      <c r="C15" s="37"/>
      <c r="D15" s="34">
        <f>29744044.08984/1000000</f>
        <v>29.744044089839999</v>
      </c>
      <c r="E15" s="37"/>
      <c r="F15" s="37">
        <v>38.958123635000021</v>
      </c>
      <c r="G15" s="37">
        <v>63.140286450899993</v>
      </c>
      <c r="H15" s="37">
        <v>102.0984116280998</v>
      </c>
      <c r="I15" s="37">
        <f t="shared" si="0"/>
        <v>276.33983342753982</v>
      </c>
      <c r="J15" s="37"/>
      <c r="K15" s="6" t="s">
        <v>96</v>
      </c>
      <c r="L15" s="35">
        <v>0.21436752000000073</v>
      </c>
      <c r="M15" s="36">
        <v>323515.32</v>
      </c>
      <c r="N15" s="35">
        <v>1.1140502899999458</v>
      </c>
      <c r="O15" s="38">
        <f t="shared" si="1"/>
        <v>5.1969173781547786</v>
      </c>
      <c r="P15" s="39"/>
      <c r="Q15" s="39"/>
      <c r="R15" s="39"/>
    </row>
    <row r="16" spans="1:18" ht="15">
      <c r="A16" t="s">
        <v>97</v>
      </c>
      <c r="B16" s="34">
        <f>37237296.09961/1000000</f>
        <v>37.237296099609999</v>
      </c>
      <c r="C16" s="37"/>
      <c r="D16" s="34">
        <f>2334517.502441/1000000</f>
        <v>2.3345175024410003</v>
      </c>
      <c r="E16" s="37"/>
      <c r="F16" s="37">
        <v>0.43399802939999987</v>
      </c>
      <c r="G16" s="37">
        <v>2.1533697019100004</v>
      </c>
      <c r="H16" s="37">
        <v>2.5873677311999992</v>
      </c>
      <c r="I16" s="37">
        <f t="shared" si="0"/>
        <v>42.159181333250999</v>
      </c>
      <c r="J16" s="37"/>
      <c r="K16" s="6" t="s">
        <v>98</v>
      </c>
      <c r="L16" s="35">
        <v>4.2000000000000003E-2</v>
      </c>
      <c r="M16" s="36">
        <v>60894.57</v>
      </c>
      <c r="N16" s="35">
        <v>0.17365929999999705</v>
      </c>
      <c r="O16" s="38">
        <f t="shared" si="1"/>
        <v>4.1347452380951673</v>
      </c>
      <c r="P16" s="39"/>
      <c r="Q16" s="39"/>
      <c r="R16" s="39"/>
    </row>
    <row r="17" spans="1:18" ht="15">
      <c r="A17" t="s">
        <v>99</v>
      </c>
      <c r="B17" s="34">
        <f>212850508.203/1000000</f>
        <v>212.850508203</v>
      </c>
      <c r="C17" s="37"/>
      <c r="D17" s="34">
        <f>15222502.20313/1000000</f>
        <v>15.222502203129999</v>
      </c>
      <c r="E17" s="37"/>
      <c r="F17" s="37">
        <v>5.0010678640999995</v>
      </c>
      <c r="G17" s="37">
        <v>9.4892240374999925</v>
      </c>
      <c r="H17" s="37">
        <v>14.49029199479998</v>
      </c>
      <c r="I17" s="37">
        <f t="shared" si="0"/>
        <v>242.56330240092998</v>
      </c>
      <c r="J17" s="37"/>
      <c r="K17" s="6" t="s">
        <v>100</v>
      </c>
      <c r="L17" s="35">
        <v>0.12664056999999959</v>
      </c>
      <c r="M17" s="36">
        <v>245501.38</v>
      </c>
      <c r="N17" s="35">
        <v>0.43520532000001821</v>
      </c>
      <c r="O17" s="38">
        <f t="shared" si="1"/>
        <v>3.4365394912548135</v>
      </c>
      <c r="P17" s="39"/>
      <c r="Q17" s="39"/>
      <c r="R17" s="39"/>
    </row>
    <row r="18" spans="1:18" ht="15">
      <c r="B18" s="37"/>
      <c r="C18" s="37"/>
      <c r="D18" s="37"/>
      <c r="E18" s="37"/>
      <c r="F18" s="37"/>
      <c r="G18" s="37"/>
      <c r="H18" s="37"/>
      <c r="I18" s="37"/>
      <c r="J18" s="37"/>
      <c r="K18" s="39"/>
      <c r="L18" s="35"/>
      <c r="M18" s="36"/>
      <c r="N18" s="35"/>
      <c r="O18" s="45"/>
      <c r="P18" s="39"/>
      <c r="Q18" s="39"/>
      <c r="R18" s="39"/>
    </row>
    <row r="19" spans="1:18" ht="15">
      <c r="A19" t="s">
        <v>101</v>
      </c>
      <c r="B19" s="34">
        <f>SUM(B9:B17)</f>
        <v>3281.99897018601</v>
      </c>
      <c r="C19" s="37"/>
      <c r="D19" s="37">
        <f>SUM(D9:D17)</f>
        <v>637.50481938754911</v>
      </c>
      <c r="E19" s="37"/>
      <c r="F19" s="37">
        <f>SUM(F9:F17)</f>
        <v>544.94044015290979</v>
      </c>
      <c r="G19" s="37">
        <f>SUM(G9:G17)</f>
        <v>609.61626610791984</v>
      </c>
      <c r="H19" s="37">
        <f>SUM(H9:H17)</f>
        <v>1154.5567069817489</v>
      </c>
      <c r="I19" s="37">
        <f>SUM(I9:I17)</f>
        <v>5074.0604965553084</v>
      </c>
      <c r="J19" s="37"/>
      <c r="K19" s="45" t="s">
        <v>11</v>
      </c>
      <c r="L19" s="46">
        <f>SUM(L9:L17)</f>
        <v>5.4050254899998889</v>
      </c>
      <c r="M19" s="46">
        <f>SUM(M9:M17)</f>
        <v>8370425.21</v>
      </c>
      <c r="N19" s="35">
        <f>SUM(N9:N17)</f>
        <v>27.33829793999962</v>
      </c>
      <c r="O19" s="38">
        <f>N19/L19</f>
        <v>5.0579406129683546</v>
      </c>
      <c r="P19" s="39"/>
      <c r="Q19" s="39"/>
      <c r="R19" s="39"/>
    </row>
    <row r="20" spans="1:18" ht="15">
      <c r="A20" s="2" t="s">
        <v>68</v>
      </c>
      <c r="B20" s="37">
        <f>100*B19/I46</f>
        <v>62.564625250782264</v>
      </c>
      <c r="C20" s="37"/>
      <c r="D20" s="37"/>
      <c r="E20" s="37"/>
      <c r="F20" s="37"/>
      <c r="G20" s="37"/>
      <c r="H20" s="37"/>
      <c r="I20" s="37"/>
      <c r="J20" s="37"/>
      <c r="K20" s="39"/>
      <c r="L20" s="35"/>
      <c r="M20" s="36"/>
      <c r="N20" s="35"/>
      <c r="O20" s="39"/>
      <c r="P20" s="39"/>
      <c r="Q20" s="39"/>
      <c r="R20" s="39"/>
    </row>
    <row r="21" spans="1:18" ht="15">
      <c r="A21" s="2" t="s">
        <v>102</v>
      </c>
      <c r="B21" s="37">
        <v>62.817336808859032</v>
      </c>
      <c r="C21" s="37"/>
      <c r="D21" s="37">
        <f>100*D19/$I19</f>
        <v>12.563997213283917</v>
      </c>
      <c r="E21" s="37"/>
      <c r="F21" s="37">
        <f>100*F19/$I19</f>
        <v>10.73973084323414</v>
      </c>
      <c r="G21" s="37">
        <f>100*G19/$I19</f>
        <v>12.014367320251262</v>
      </c>
      <c r="H21" s="37">
        <f>100*H19/$I19</f>
        <v>22.754098177693336</v>
      </c>
      <c r="I21" s="37">
        <f>100*I19/$I19</f>
        <v>100</v>
      </c>
      <c r="J21" s="37"/>
      <c r="K21" s="39"/>
      <c r="L21" s="35"/>
      <c r="M21" s="36"/>
      <c r="N21" s="35"/>
      <c r="O21" s="39"/>
      <c r="P21" s="39"/>
      <c r="Q21" s="39"/>
      <c r="R21" s="39"/>
    </row>
    <row r="22" spans="1:18" ht="15">
      <c r="B22" s="37"/>
      <c r="C22" s="37"/>
      <c r="D22" s="37"/>
      <c r="E22" s="37"/>
      <c r="F22" s="37"/>
      <c r="G22" s="37"/>
      <c r="H22" s="37"/>
      <c r="I22" s="37"/>
      <c r="J22" s="37"/>
      <c r="K22" s="39"/>
      <c r="L22" s="35"/>
      <c r="M22" s="47" t="s">
        <v>61</v>
      </c>
      <c r="N22" s="35"/>
      <c r="O22" s="39"/>
      <c r="P22" s="39"/>
      <c r="Q22" s="39"/>
      <c r="R22" s="39"/>
    </row>
    <row r="23" spans="1:18" ht="15">
      <c r="B23" s="37"/>
      <c r="C23" s="37"/>
      <c r="D23" s="37"/>
      <c r="E23" s="37"/>
      <c r="F23" s="37"/>
      <c r="G23" s="37"/>
      <c r="H23" s="37"/>
      <c r="I23" s="37"/>
      <c r="J23" s="37"/>
      <c r="K23" s="39"/>
      <c r="L23" s="48" t="s">
        <v>31</v>
      </c>
      <c r="M23" s="47" t="s">
        <v>62</v>
      </c>
      <c r="N23" s="48" t="s">
        <v>32</v>
      </c>
      <c r="O23" s="4" t="s">
        <v>103</v>
      </c>
      <c r="P23" s="35" t="s">
        <v>33</v>
      </c>
      <c r="Q23" s="39"/>
      <c r="R23" s="39"/>
    </row>
    <row r="24" spans="1:18" ht="15">
      <c r="B24" s="30" t="s">
        <v>34</v>
      </c>
      <c r="C24" s="30"/>
      <c r="D24" s="37"/>
      <c r="E24" s="37"/>
      <c r="F24" s="37" t="s">
        <v>104</v>
      </c>
      <c r="G24" s="37"/>
      <c r="H24" s="37"/>
      <c r="I24" s="37"/>
      <c r="J24" s="37"/>
      <c r="K24" s="31" t="s">
        <v>35</v>
      </c>
      <c r="L24" s="48" t="s">
        <v>36</v>
      </c>
      <c r="M24" s="47" t="s">
        <v>60</v>
      </c>
      <c r="N24" s="48" t="s">
        <v>12</v>
      </c>
      <c r="O24" s="4" t="s">
        <v>13</v>
      </c>
      <c r="P24" s="35" t="s">
        <v>37</v>
      </c>
      <c r="Q24" s="39"/>
      <c r="R24" s="39"/>
    </row>
    <row r="25" spans="1:18" ht="15">
      <c r="A25" t="s">
        <v>87</v>
      </c>
      <c r="B25" s="34">
        <f>61655555.5699975/1000000</f>
        <v>61.655555569997496</v>
      </c>
      <c r="C25" s="37"/>
      <c r="D25" s="37"/>
      <c r="E25" s="37"/>
      <c r="F25" s="37"/>
      <c r="G25" s="37"/>
      <c r="H25" s="37"/>
      <c r="I25" s="37">
        <f>B25</f>
        <v>61.655555569997496</v>
      </c>
      <c r="J25" s="37"/>
      <c r="K25" s="39" t="s">
        <v>38</v>
      </c>
      <c r="L25" s="11">
        <f>439344.15/1000000</f>
        <v>0.43934415000000004</v>
      </c>
      <c r="M25" s="36">
        <v>1129695.3</v>
      </c>
      <c r="N25" s="35">
        <f>L25*O25</f>
        <v>1.8415950000000001</v>
      </c>
      <c r="O25" s="38">
        <v>4.1916911833240524</v>
      </c>
      <c r="P25" s="39"/>
      <c r="Q25" s="39"/>
      <c r="R25" s="39"/>
    </row>
    <row r="26" spans="1:18" ht="15">
      <c r="A26" t="s">
        <v>93</v>
      </c>
      <c r="B26" s="34">
        <f>66141540.7200068/1000000</f>
        <v>66.141540720006802</v>
      </c>
      <c r="C26" s="37"/>
      <c r="D26" s="37"/>
      <c r="E26" s="37"/>
      <c r="F26" s="37"/>
      <c r="G26" s="37"/>
      <c r="H26" s="37"/>
      <c r="I26" s="37">
        <f t="shared" ref="I26:I28" si="2">B26</f>
        <v>66.141540720006802</v>
      </c>
      <c r="J26" s="37"/>
      <c r="K26" s="39" t="s">
        <v>39</v>
      </c>
      <c r="L26" s="11">
        <f>324013.9/1000000</f>
        <v>0.32401390000000002</v>
      </c>
      <c r="M26" s="36">
        <v>833220.9</v>
      </c>
      <c r="N26" s="35">
        <f>L26*O26</f>
        <v>1.3673410000000004</v>
      </c>
      <c r="O26" s="38">
        <v>4.2200072280849685</v>
      </c>
      <c r="P26" s="39"/>
      <c r="Q26" s="39"/>
      <c r="R26" s="39"/>
    </row>
    <row r="27" spans="1:18" ht="15">
      <c r="A27" t="s">
        <v>95</v>
      </c>
      <c r="B27" s="34">
        <f>38677412.759999/1000000</f>
        <v>38.677412759999001</v>
      </c>
      <c r="C27" s="37"/>
      <c r="D27" s="37"/>
      <c r="E27" s="37"/>
      <c r="F27" s="37"/>
      <c r="G27" s="37"/>
      <c r="H27" s="37"/>
      <c r="I27" s="37">
        <f t="shared" si="2"/>
        <v>38.677412759999001</v>
      </c>
      <c r="J27" s="37"/>
      <c r="K27" s="39" t="s">
        <v>40</v>
      </c>
      <c r="L27" s="11">
        <f>152821.55/1000000</f>
        <v>0.15282155</v>
      </c>
      <c r="M27" s="36">
        <v>392969.7</v>
      </c>
      <c r="N27" s="35">
        <f>L27*O27</f>
        <v>0.62185699999999999</v>
      </c>
      <c r="O27" s="38">
        <v>4.0691708728252003</v>
      </c>
      <c r="P27" s="39"/>
      <c r="Q27" s="39"/>
      <c r="R27" s="39"/>
    </row>
    <row r="28" spans="1:18" ht="15">
      <c r="A28" t="s">
        <v>0</v>
      </c>
      <c r="B28" s="34">
        <f>5239195.11999995/1000000</f>
        <v>5.23919511999995</v>
      </c>
      <c r="C28" s="37"/>
      <c r="D28" s="37"/>
      <c r="E28" s="37"/>
      <c r="F28" s="37"/>
      <c r="G28" s="37"/>
      <c r="H28" s="37"/>
      <c r="I28" s="37">
        <f t="shared" si="2"/>
        <v>5.23919511999995</v>
      </c>
      <c r="J28" s="37"/>
      <c r="K28" s="39" t="s">
        <v>41</v>
      </c>
      <c r="L28" s="49">
        <f>28924/1000000</f>
        <v>2.8923999999999998E-2</v>
      </c>
      <c r="M28" s="36">
        <v>74375.100000000006</v>
      </c>
      <c r="N28" s="35">
        <f>L28*O28</f>
        <v>0.12342549353210953</v>
      </c>
      <c r="O28" s="38">
        <v>4.2672345986761702</v>
      </c>
      <c r="P28" s="39"/>
      <c r="Q28" s="39"/>
      <c r="R28" s="39"/>
    </row>
    <row r="29" spans="1:18" ht="15">
      <c r="B29" s="40"/>
      <c r="C29" s="37"/>
      <c r="D29" s="37"/>
      <c r="E29" s="37"/>
      <c r="F29" s="37"/>
      <c r="G29" s="37"/>
      <c r="H29" s="37"/>
      <c r="I29" s="37"/>
      <c r="J29" s="37"/>
      <c r="K29" s="45" t="s">
        <v>42</v>
      </c>
      <c r="L29" s="35">
        <f>SUM(L25:L28)</f>
        <v>0.94510360000000004</v>
      </c>
      <c r="M29" s="36">
        <f>SUM(M25:M28)</f>
        <v>2430261.0000000005</v>
      </c>
      <c r="N29" s="35">
        <f>SUM(N25:N28)</f>
        <v>3.9542184935321099</v>
      </c>
      <c r="O29" s="38">
        <f>N29/L29</f>
        <v>4.1838995148596512</v>
      </c>
      <c r="P29" s="39"/>
      <c r="Q29" s="39"/>
      <c r="R29" s="39"/>
    </row>
    <row r="30" spans="1:18" ht="15">
      <c r="A30" t="s">
        <v>1</v>
      </c>
      <c r="B30" s="40">
        <f>SUM(B25:B28)</f>
        <v>171.71370417000324</v>
      </c>
      <c r="C30" s="37"/>
      <c r="D30" s="37"/>
      <c r="E30" s="37"/>
      <c r="F30" s="37"/>
      <c r="G30" s="37"/>
      <c r="H30" s="37"/>
      <c r="I30" s="40">
        <f>SUM(I25:I28)</f>
        <v>171.71370417000324</v>
      </c>
      <c r="J30" s="37"/>
      <c r="K30" s="39"/>
      <c r="L30" s="35"/>
      <c r="M30" s="36"/>
      <c r="N30" s="39"/>
      <c r="O30" s="39"/>
      <c r="P30" s="39"/>
      <c r="Q30" s="39"/>
      <c r="R30" s="39"/>
    </row>
    <row r="31" spans="1:18" ht="15">
      <c r="A31" s="2" t="s">
        <v>68</v>
      </c>
      <c r="B31" s="37">
        <v>2.8993227106953636</v>
      </c>
      <c r="C31" s="37"/>
      <c r="D31" s="37"/>
      <c r="E31" s="37"/>
      <c r="F31" s="37"/>
      <c r="G31" s="37"/>
      <c r="H31" s="37"/>
      <c r="I31" s="37"/>
      <c r="J31" s="37"/>
      <c r="K31" s="39"/>
      <c r="L31" s="35"/>
      <c r="M31" s="47"/>
      <c r="N31" s="39"/>
      <c r="O31" s="39"/>
      <c r="P31" s="39"/>
      <c r="Q31" s="39"/>
      <c r="R31" s="39"/>
    </row>
    <row r="32" spans="1:18" ht="15">
      <c r="B32" s="37"/>
      <c r="C32" s="37"/>
      <c r="D32" s="37"/>
      <c r="E32" s="37"/>
      <c r="F32" s="37"/>
      <c r="G32" s="37"/>
      <c r="H32" s="37"/>
      <c r="I32" s="37"/>
      <c r="J32" s="37"/>
      <c r="K32" s="39"/>
      <c r="L32" s="35"/>
      <c r="M32" s="47"/>
      <c r="N32" s="39"/>
      <c r="O32" s="39"/>
      <c r="P32" s="39"/>
      <c r="Q32" s="39"/>
      <c r="R32" s="39"/>
    </row>
    <row r="33" spans="1:20" ht="15">
      <c r="B33" s="50" t="s">
        <v>58</v>
      </c>
      <c r="C33" s="50"/>
      <c r="D33" s="50" t="s">
        <v>14</v>
      </c>
      <c r="E33" s="50"/>
      <c r="F33" s="50" t="s">
        <v>15</v>
      </c>
      <c r="G33" s="50" t="s">
        <v>16</v>
      </c>
      <c r="H33" s="50" t="s">
        <v>17</v>
      </c>
      <c r="I33" s="50" t="s">
        <v>18</v>
      </c>
      <c r="J33" s="50"/>
      <c r="K33" s="39"/>
      <c r="L33" s="35"/>
      <c r="M33" s="47" t="s">
        <v>59</v>
      </c>
      <c r="N33" s="4"/>
      <c r="O33" s="6"/>
      <c r="P33" s="39"/>
      <c r="Q33" s="39"/>
      <c r="R33" s="39"/>
    </row>
    <row r="34" spans="1:20" ht="15">
      <c r="B34" s="50" t="s">
        <v>19</v>
      </c>
      <c r="C34" s="50"/>
      <c r="D34" s="50" t="s">
        <v>20</v>
      </c>
      <c r="E34" s="50"/>
      <c r="F34" s="50" t="s">
        <v>19</v>
      </c>
      <c r="G34" s="50" t="s">
        <v>19</v>
      </c>
      <c r="H34" s="50" t="s">
        <v>21</v>
      </c>
      <c r="I34" s="50" t="s">
        <v>19</v>
      </c>
      <c r="J34" s="50"/>
      <c r="K34" s="39"/>
      <c r="L34" s="51" t="s">
        <v>22</v>
      </c>
      <c r="M34" s="47" t="s">
        <v>62</v>
      </c>
      <c r="N34" s="4" t="s">
        <v>23</v>
      </c>
      <c r="O34" s="4" t="s">
        <v>2</v>
      </c>
      <c r="P34" s="4" t="s">
        <v>103</v>
      </c>
      <c r="Q34" s="39" t="s">
        <v>24</v>
      </c>
      <c r="R34" s="39"/>
    </row>
    <row r="35" spans="1:20" s="6" customFormat="1" ht="15">
      <c r="B35" s="30" t="s">
        <v>25</v>
      </c>
      <c r="C35" s="9"/>
      <c r="D35" s="9"/>
      <c r="E35" s="9"/>
      <c r="F35" s="37" t="s">
        <v>104</v>
      </c>
      <c r="G35" s="9"/>
      <c r="H35" s="9"/>
      <c r="I35" s="9"/>
      <c r="J35" s="9"/>
      <c r="K35" s="31" t="s">
        <v>26</v>
      </c>
      <c r="L35" s="35" t="s">
        <v>27</v>
      </c>
      <c r="M35" s="47" t="s">
        <v>60</v>
      </c>
      <c r="N35" s="4" t="s">
        <v>28</v>
      </c>
      <c r="O35" s="10" t="s">
        <v>3</v>
      </c>
      <c r="P35" s="4" t="s">
        <v>82</v>
      </c>
      <c r="Q35" s="4" t="s">
        <v>29</v>
      </c>
      <c r="R35" s="4" t="s">
        <v>30</v>
      </c>
    </row>
    <row r="36" spans="1:20" s="6" customFormat="1" ht="15">
      <c r="A36" s="6" t="s">
        <v>4</v>
      </c>
      <c r="B36" s="34">
        <f>422544490.0651/1000000</f>
        <v>422.54449006510004</v>
      </c>
      <c r="C36" s="9"/>
      <c r="D36" s="9">
        <f t="shared" ref="D36:D44" si="3">D9</f>
        <v>69.405122087889993</v>
      </c>
      <c r="E36" s="9"/>
      <c r="F36" s="9">
        <v>51.867625870600016</v>
      </c>
      <c r="G36" s="9">
        <v>46.117878991029933</v>
      </c>
      <c r="H36" s="9">
        <v>97.985505145079415</v>
      </c>
      <c r="I36" s="9">
        <f t="shared" ref="I36:I44" si="4">B36+D36+H36</f>
        <v>589.93511729806949</v>
      </c>
      <c r="J36" s="9"/>
      <c r="K36" s="6" t="s">
        <v>84</v>
      </c>
      <c r="L36" s="11">
        <f t="shared" ref="L36:L44" si="5">O36/P36</f>
        <v>0.66734580999996573</v>
      </c>
      <c r="M36" s="22">
        <f>M9</f>
        <v>1077377.9099999999</v>
      </c>
      <c r="N36" s="35">
        <v>3.1177708000002169</v>
      </c>
      <c r="O36" s="11">
        <v>3.1352829999999998</v>
      </c>
      <c r="P36" s="12">
        <v>4.6981384359035099</v>
      </c>
      <c r="Q36" s="13">
        <f t="shared" ref="Q36:Q44" si="6">I36/O36</f>
        <v>188.16008548449039</v>
      </c>
      <c r="R36" s="14">
        <f>100*Q36/106</f>
        <v>177.50951460800982</v>
      </c>
    </row>
    <row r="37" spans="1:20" s="6" customFormat="1" ht="15">
      <c r="A37" s="6" t="s">
        <v>5</v>
      </c>
      <c r="B37" s="34">
        <f>1054119166.125/1000000</f>
        <v>1054.119166125</v>
      </c>
      <c r="C37" s="9"/>
      <c r="D37" s="9">
        <f t="shared" si="3"/>
        <v>137.02255159570001</v>
      </c>
      <c r="E37" s="9"/>
      <c r="F37" s="9">
        <f t="shared" ref="F37:H44" si="7">F10</f>
        <v>157.65345827340983</v>
      </c>
      <c r="G37" s="9">
        <f t="shared" si="7"/>
        <v>103.8332157478896</v>
      </c>
      <c r="H37" s="9">
        <f t="shared" si="7"/>
        <v>261.48667314882914</v>
      </c>
      <c r="I37" s="9">
        <f t="shared" si="4"/>
        <v>1452.6283908695291</v>
      </c>
      <c r="J37" s="9"/>
      <c r="K37" s="6" t="s">
        <v>86</v>
      </c>
      <c r="L37" s="11">
        <f t="shared" si="5"/>
        <v>1.498550559999952</v>
      </c>
      <c r="M37" s="22">
        <f>M10</f>
        <v>2395745.2600000002</v>
      </c>
      <c r="N37" s="35">
        <v>7.4328767899973549</v>
      </c>
      <c r="O37" s="11">
        <v>7.4589850000000002</v>
      </c>
      <c r="P37" s="12">
        <v>4.9774663592266375</v>
      </c>
      <c r="Q37" s="15">
        <f t="shared" si="6"/>
        <v>194.74880172966283</v>
      </c>
      <c r="R37" s="14">
        <f t="shared" ref="R37:R46" si="8">100*Q37/106</f>
        <v>183.72528465062533</v>
      </c>
    </row>
    <row r="38" spans="1:20" s="6" customFormat="1" ht="15">
      <c r="A38" s="6" t="s">
        <v>6</v>
      </c>
      <c r="B38" s="34">
        <f>B11+B25</f>
        <v>395.51226850199748</v>
      </c>
      <c r="C38" s="9"/>
      <c r="D38" s="9">
        <f t="shared" si="3"/>
        <v>84.679365494140001</v>
      </c>
      <c r="E38" s="9"/>
      <c r="F38" s="9">
        <f t="shared" si="7"/>
        <v>71.979684058600043</v>
      </c>
      <c r="G38" s="9">
        <f t="shared" si="7"/>
        <v>166.34668963551039</v>
      </c>
      <c r="H38" s="9">
        <f t="shared" si="7"/>
        <v>238.32637276819088</v>
      </c>
      <c r="I38" s="9">
        <f t="shared" si="4"/>
        <v>718.51800676432845</v>
      </c>
      <c r="J38" s="9"/>
      <c r="K38" s="6" t="s">
        <v>88</v>
      </c>
      <c r="L38" s="11">
        <f t="shared" si="5"/>
        <v>1.1065384799999778</v>
      </c>
      <c r="M38" s="22">
        <f>M11+M25</f>
        <v>2117824.41</v>
      </c>
      <c r="N38" s="11">
        <f>N11+N25</f>
        <v>5.3417097500000121</v>
      </c>
      <c r="O38" s="11">
        <v>5.3647030000000004</v>
      </c>
      <c r="P38" s="12">
        <v>4.848184764437752</v>
      </c>
      <c r="Q38" s="16">
        <f t="shared" si="6"/>
        <v>133.93434953702533</v>
      </c>
      <c r="R38" s="14">
        <f t="shared" si="8"/>
        <v>126.35315994058992</v>
      </c>
    </row>
    <row r="39" spans="1:20" s="6" customFormat="1" ht="15">
      <c r="A39" s="6" t="s">
        <v>7</v>
      </c>
      <c r="B39" s="34">
        <f>636266043.7774/1000000</f>
        <v>636.2660437774</v>
      </c>
      <c r="C39" s="9"/>
      <c r="D39" s="9">
        <f t="shared" si="3"/>
        <v>175.96117599399798</v>
      </c>
      <c r="E39" s="9"/>
      <c r="F39" s="9">
        <v>129.61295268299989</v>
      </c>
      <c r="G39" s="9">
        <v>58.371256183559993</v>
      </c>
      <c r="H39" s="9">
        <v>187.9842089866095</v>
      </c>
      <c r="I39" s="9">
        <f t="shared" si="4"/>
        <v>1000.2114287580075</v>
      </c>
      <c r="J39" s="9"/>
      <c r="K39" s="6" t="s">
        <v>90</v>
      </c>
      <c r="L39" s="11">
        <f t="shared" si="5"/>
        <v>1.3182299799999995</v>
      </c>
      <c r="M39" s="22">
        <f>M12</f>
        <v>1967166.5999999999</v>
      </c>
      <c r="N39" s="42">
        <v>6.8962973600018547</v>
      </c>
      <c r="O39" s="11">
        <v>6.9268840000000003</v>
      </c>
      <c r="P39" s="12">
        <v>5.254685529151752</v>
      </c>
      <c r="Q39" s="17">
        <f t="shared" si="6"/>
        <v>144.3955794204158</v>
      </c>
      <c r="R39" s="14">
        <f t="shared" si="8"/>
        <v>136.22224473624132</v>
      </c>
    </row>
    <row r="40" spans="1:20" s="6" customFormat="1" ht="15">
      <c r="A40" s="6" t="s">
        <v>91</v>
      </c>
      <c r="B40" s="34">
        <f>B13+B28</f>
        <v>211.70097277669993</v>
      </c>
      <c r="C40" s="9"/>
      <c r="D40" s="9">
        <f t="shared" si="3"/>
        <v>48.860173181149996</v>
      </c>
      <c r="E40" s="9"/>
      <c r="F40" s="9">
        <f t="shared" si="7"/>
        <v>30.87707266049998</v>
      </c>
      <c r="G40" s="9">
        <f t="shared" si="7"/>
        <v>24.336269816140003</v>
      </c>
      <c r="H40" s="9">
        <f t="shared" si="7"/>
        <v>55.213342646540113</v>
      </c>
      <c r="I40" s="9">
        <f t="shared" si="4"/>
        <v>315.77448860439006</v>
      </c>
      <c r="J40" s="9"/>
      <c r="K40" s="6" t="s">
        <v>92</v>
      </c>
      <c r="L40" s="11">
        <f t="shared" si="5"/>
        <v>0.42935146000000363</v>
      </c>
      <c r="M40" s="22">
        <f>M13+M28</f>
        <v>662510.27999999991</v>
      </c>
      <c r="N40" s="11">
        <f>N13+N28</f>
        <v>2.1521723735318949</v>
      </c>
      <c r="O40" s="11">
        <v>2.169832</v>
      </c>
      <c r="P40" s="12">
        <v>5.0537431501921102</v>
      </c>
      <c r="Q40" s="17">
        <f t="shared" si="6"/>
        <v>145.52946431078078</v>
      </c>
      <c r="R40" s="14">
        <f t="shared" si="8"/>
        <v>137.29194746300075</v>
      </c>
    </row>
    <row r="41" spans="1:20" s="6" customFormat="1" ht="15">
      <c r="A41" s="6" t="s">
        <v>8</v>
      </c>
      <c r="B41" s="34">
        <f>B14+B26</f>
        <v>300.30713833760677</v>
      </c>
      <c r="C41" s="9"/>
      <c r="D41" s="9">
        <f t="shared" si="3"/>
        <v>74.275367239260007</v>
      </c>
      <c r="E41" s="9"/>
      <c r="F41" s="9">
        <f t="shared" si="7"/>
        <v>58.556457078300021</v>
      </c>
      <c r="G41" s="9">
        <f t="shared" si="7"/>
        <v>135.82807554347997</v>
      </c>
      <c r="H41" s="9">
        <f t="shared" si="7"/>
        <v>194.38453293240022</v>
      </c>
      <c r="I41" s="9">
        <f t="shared" si="4"/>
        <v>568.96703850926701</v>
      </c>
      <c r="J41" s="9"/>
      <c r="K41" s="6" t="s">
        <v>94</v>
      </c>
      <c r="L41" s="11">
        <f t="shared" si="5"/>
        <v>0.80855755999999079</v>
      </c>
      <c r="M41" s="22">
        <f>M14+M26</f>
        <v>1557180.78</v>
      </c>
      <c r="N41" s="11">
        <f>N14+N26</f>
        <v>4.006917450000433</v>
      </c>
      <c r="O41" s="11">
        <v>4.0209910000000004</v>
      </c>
      <c r="P41" s="12">
        <v>4.9730423644793404</v>
      </c>
      <c r="Q41" s="17">
        <f t="shared" si="6"/>
        <v>141.49920716292749</v>
      </c>
      <c r="R41" s="14">
        <f t="shared" si="8"/>
        <v>133.48981807823347</v>
      </c>
    </row>
    <row r="42" spans="1:20" s="6" customFormat="1" ht="15">
      <c r="A42" s="6" t="s">
        <v>9</v>
      </c>
      <c r="B42" s="34">
        <f>B15+B27</f>
        <v>183.17479046959897</v>
      </c>
      <c r="C42" s="9"/>
      <c r="D42" s="9">
        <f t="shared" si="3"/>
        <v>29.744044089839999</v>
      </c>
      <c r="E42" s="9"/>
      <c r="F42" s="9">
        <f t="shared" si="7"/>
        <v>38.958123635000021</v>
      </c>
      <c r="G42" s="9">
        <f t="shared" si="7"/>
        <v>63.140286450899993</v>
      </c>
      <c r="H42" s="9">
        <f t="shared" si="7"/>
        <v>102.0984116280998</v>
      </c>
      <c r="I42" s="9">
        <f t="shared" si="4"/>
        <v>315.01724618753877</v>
      </c>
      <c r="J42" s="9"/>
      <c r="K42" s="6" t="s">
        <v>96</v>
      </c>
      <c r="L42" s="11">
        <f t="shared" si="5"/>
        <v>0.36718907000000073</v>
      </c>
      <c r="M42" s="22">
        <f>M15+M27</f>
        <v>716485.02</v>
      </c>
      <c r="N42" s="11">
        <f>N15+N27</f>
        <v>1.7359072899999459</v>
      </c>
      <c r="O42" s="11">
        <v>1.7476670000000001</v>
      </c>
      <c r="P42" s="12">
        <v>4.7595833939174623</v>
      </c>
      <c r="Q42" s="17">
        <f t="shared" si="6"/>
        <v>180.25015416983828</v>
      </c>
      <c r="R42" s="14">
        <f t="shared" si="8"/>
        <v>170.04731525456441</v>
      </c>
    </row>
    <row r="43" spans="1:20" s="6" customFormat="1" ht="15">
      <c r="A43" s="6" t="s">
        <v>97</v>
      </c>
      <c r="B43" s="34">
        <f>37237296.09961/1000000</f>
        <v>37.237296099609999</v>
      </c>
      <c r="C43" s="9"/>
      <c r="D43" s="9">
        <f t="shared" si="3"/>
        <v>2.3345175024410003</v>
      </c>
      <c r="E43" s="9"/>
      <c r="F43" s="9">
        <f t="shared" si="7"/>
        <v>0.43399802939999987</v>
      </c>
      <c r="G43" s="9">
        <f t="shared" si="7"/>
        <v>2.1533697019100004</v>
      </c>
      <c r="H43" s="9">
        <f t="shared" si="7"/>
        <v>2.5873677311999992</v>
      </c>
      <c r="I43" s="9">
        <f t="shared" si="4"/>
        <v>42.159181333250999</v>
      </c>
      <c r="J43" s="9"/>
      <c r="K43" s="6" t="s">
        <v>98</v>
      </c>
      <c r="L43" s="11">
        <f t="shared" si="5"/>
        <v>4.2000000000000003E-2</v>
      </c>
      <c r="M43" s="22">
        <f>M16</f>
        <v>60894.57</v>
      </c>
      <c r="N43" s="35">
        <v>0.17365929999999705</v>
      </c>
      <c r="O43" s="11">
        <v>0.174923</v>
      </c>
      <c r="P43" s="12">
        <v>4.1648333333333332</v>
      </c>
      <c r="Q43" s="17">
        <f t="shared" si="6"/>
        <v>241.01565450656003</v>
      </c>
      <c r="R43" s="14">
        <f t="shared" si="8"/>
        <v>227.37325896845286</v>
      </c>
    </row>
    <row r="44" spans="1:20" s="6" customFormat="1" ht="15">
      <c r="A44" s="6" t="s">
        <v>99</v>
      </c>
      <c r="B44" s="34">
        <f>212850508.203/1000000</f>
        <v>212.850508203</v>
      </c>
      <c r="C44" s="9"/>
      <c r="D44" s="9">
        <f t="shared" si="3"/>
        <v>15.222502203129999</v>
      </c>
      <c r="E44" s="9"/>
      <c r="F44" s="9">
        <f t="shared" si="7"/>
        <v>5.0010678640999995</v>
      </c>
      <c r="G44" s="9">
        <f t="shared" si="7"/>
        <v>9.4892240374999925</v>
      </c>
      <c r="H44" s="9">
        <f t="shared" si="7"/>
        <v>14.49029199479998</v>
      </c>
      <c r="I44" s="9">
        <f t="shared" si="4"/>
        <v>242.56330240092998</v>
      </c>
      <c r="J44" s="9"/>
      <c r="K44" s="6" t="s">
        <v>100</v>
      </c>
      <c r="L44" s="11">
        <f t="shared" si="5"/>
        <v>0.12664056999999959</v>
      </c>
      <c r="M44" s="22">
        <f>M17</f>
        <v>245501.38</v>
      </c>
      <c r="N44" s="35">
        <v>0.43520532000001821</v>
      </c>
      <c r="O44" s="11">
        <v>0.44405299999999998</v>
      </c>
      <c r="P44" s="12">
        <v>3.5064039904432001</v>
      </c>
      <c r="Q44" s="17">
        <f t="shared" si="6"/>
        <v>546.24853880264288</v>
      </c>
      <c r="R44" s="14">
        <f t="shared" si="8"/>
        <v>515.32881019117247</v>
      </c>
    </row>
    <row r="45" spans="1:20" s="6" customFormat="1" ht="15">
      <c r="B45" s="9"/>
      <c r="C45" s="9"/>
      <c r="D45" s="9"/>
      <c r="E45" s="9"/>
      <c r="F45" s="9"/>
      <c r="G45" s="9"/>
      <c r="H45" s="9"/>
      <c r="I45" s="9"/>
      <c r="J45" s="9"/>
      <c r="K45" s="9"/>
      <c r="L45" s="11"/>
      <c r="M45" s="11"/>
      <c r="N45" s="11"/>
      <c r="O45" s="11"/>
      <c r="P45" s="11"/>
      <c r="Q45" s="11"/>
      <c r="R45" s="11"/>
    </row>
    <row r="46" spans="1:20" s="6" customFormat="1" ht="15">
      <c r="A46" s="6" t="s">
        <v>10</v>
      </c>
      <c r="B46" s="34">
        <f>SUM(B36:B44)</f>
        <v>3453.7126743560134</v>
      </c>
      <c r="C46" s="9"/>
      <c r="D46" s="9">
        <f>SUM(D36:D44)</f>
        <v>637.50481938754911</v>
      </c>
      <c r="E46" s="9"/>
      <c r="F46" s="9">
        <f>SUM(F36:F44)</f>
        <v>544.94044015290979</v>
      </c>
      <c r="G46" s="9">
        <f>SUM(G36:G44)</f>
        <v>609.61626610791984</v>
      </c>
      <c r="H46" s="9">
        <f>SUM(H36:H44)</f>
        <v>1154.5567069817489</v>
      </c>
      <c r="I46" s="18">
        <f>SUM(I36:I44)</f>
        <v>5245.7742007253119</v>
      </c>
      <c r="J46" s="19"/>
      <c r="K46" s="9" t="s">
        <v>65</v>
      </c>
      <c r="L46" s="35">
        <f>SUM(L36:L44)</f>
        <v>6.3644034899998898</v>
      </c>
      <c r="M46" s="36">
        <f>SUM(M36:M44)</f>
        <v>10800686.210000001</v>
      </c>
      <c r="N46" s="11">
        <f>SUM(N36:N44)</f>
        <v>31.292516433531731</v>
      </c>
      <c r="O46" s="11">
        <v>31.443321000000001</v>
      </c>
      <c r="P46" s="12">
        <v>4.9404977307622815</v>
      </c>
      <c r="Q46" s="17">
        <f>I46/O46</f>
        <v>166.83270195044958</v>
      </c>
      <c r="R46" s="14">
        <f t="shared" si="8"/>
        <v>157.38934146268829</v>
      </c>
    </row>
    <row r="47" spans="1:20" ht="15">
      <c r="F47" s="20"/>
      <c r="L47" s="23"/>
      <c r="M47" s="21"/>
      <c r="N47" s="23"/>
      <c r="O47" s="21"/>
      <c r="P47" s="21"/>
      <c r="Q47" s="21"/>
      <c r="R47" s="21"/>
      <c r="S47" s="6"/>
      <c r="T47" s="6"/>
    </row>
    <row r="48" spans="1:20" ht="15">
      <c r="F48" s="20"/>
      <c r="L48" s="23"/>
      <c r="M48" s="21"/>
      <c r="N48" s="23"/>
      <c r="O48" s="21"/>
      <c r="P48" s="21"/>
      <c r="Q48" s="21"/>
      <c r="R48" s="21"/>
    </row>
    <row r="49" spans="6:18" ht="15">
      <c r="F49" s="20"/>
      <c r="L49" s="23"/>
      <c r="M49" s="21"/>
      <c r="N49" s="21"/>
      <c r="O49" s="21"/>
      <c r="P49" s="21"/>
      <c r="Q49" s="21"/>
      <c r="R49" s="21"/>
    </row>
    <row r="50" spans="6:18" ht="15">
      <c r="F50" s="20"/>
      <c r="L50" s="23"/>
      <c r="M50" s="21"/>
      <c r="N50" s="21"/>
      <c r="O50" s="21"/>
      <c r="P50" s="21"/>
      <c r="Q50" s="21"/>
      <c r="R50" s="21"/>
    </row>
    <row r="51" spans="6:18" ht="15">
      <c r="F51" s="20"/>
      <c r="L51" s="23"/>
      <c r="M51" s="21"/>
      <c r="N51" s="21"/>
      <c r="O51" s="21"/>
      <c r="P51" s="21"/>
      <c r="Q51" s="21"/>
      <c r="R51" s="21"/>
    </row>
    <row r="52" spans="6:18">
      <c r="F52" s="20"/>
    </row>
    <row r="53" spans="6:18">
      <c r="F53" s="20"/>
    </row>
    <row r="54" spans="6:18">
      <c r="F54" s="20"/>
    </row>
  </sheetData>
  <sheetCalcPr fullCalcOnLoad="1"/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1860 HH inc's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oscarmendezm</dc:creator>
  <cp:lastModifiedBy>Peter Lindert</cp:lastModifiedBy>
  <dcterms:created xsi:type="dcterms:W3CDTF">2013-10-01T07:58:29Z</dcterms:created>
  <dcterms:modified xsi:type="dcterms:W3CDTF">2015-12-16T18:24:32Z</dcterms:modified>
</cp:coreProperties>
</file>