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5440" windowHeight="14740" tabRatio="788" activeTab="2"/>
  </bookViews>
  <sheets>
    <sheet name="Sources &amp; notes " sheetId="8" r:id="rId1"/>
    <sheet name="peasant income summary" sheetId="7" r:id="rId2"/>
    <sheet name="T 4 Peasant incomes 50 prov's" sheetId="9" r:id="rId3"/>
    <sheet name="peasant income details" sheetId="1" r:id="rId4"/>
    <sheet name="Voronezh sample 1897" sheetId="4" r:id="rId5"/>
    <sheet name="Voronezh province 1904 detail" sheetId="5" r:id="rId6"/>
    <sheet name="Voronezh province 1904 summary" sheetId="6" r:id="rId7"/>
    <sheet name="some ave's 6 zemstvo studies" sheetId="3" r:id="rId8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D381" i="1"/>
  <c r="BC381"/>
  <c r="BB381"/>
  <c r="BA381"/>
  <c r="AZ381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BD380"/>
  <c r="BC380"/>
  <c r="BB380"/>
  <c r="BA380"/>
  <c r="AZ380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BD379"/>
  <c r="BC379"/>
  <c r="BB379"/>
  <c r="BA379"/>
  <c r="AZ379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BD378"/>
  <c r="BC378"/>
  <c r="BB378"/>
  <c r="BA378"/>
  <c r="AZ378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BD377"/>
  <c r="BC377"/>
  <c r="BB377"/>
  <c r="BA377"/>
  <c r="AZ377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BD376"/>
  <c r="BC376"/>
  <c r="BB376"/>
  <c r="BA376"/>
  <c r="AZ376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BD375"/>
  <c r="BC375"/>
  <c r="BB375"/>
  <c r="BA375"/>
  <c r="AZ375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BD374"/>
  <c r="BC374"/>
  <c r="BB374"/>
  <c r="BA374"/>
  <c r="AZ374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BD373"/>
  <c r="BC373"/>
  <c r="BB373"/>
  <c r="BA373"/>
  <c r="AZ373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BD367"/>
  <c r="BD362"/>
  <c r="BC362"/>
  <c r="BB362"/>
  <c r="BA362"/>
  <c r="AZ362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BD361"/>
  <c r="BC361"/>
  <c r="BB361"/>
  <c r="BA361"/>
  <c r="AZ361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BD360"/>
  <c r="BC360"/>
  <c r="BB360"/>
  <c r="BA360"/>
  <c r="AZ360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BD358"/>
  <c r="BC358"/>
  <c r="BB358"/>
  <c r="BA358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BD357"/>
  <c r="BC357"/>
  <c r="BB357"/>
  <c r="BA357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BD356"/>
  <c r="BC356"/>
  <c r="BB356"/>
  <c r="BA356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BD355"/>
  <c r="BC355"/>
  <c r="BB355"/>
  <c r="BA355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BD354"/>
  <c r="BC354"/>
  <c r="BB354"/>
  <c r="BA354"/>
  <c r="AZ354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BD348"/>
  <c r="BC348"/>
  <c r="BB348"/>
  <c r="BA348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BD347"/>
  <c r="BC347"/>
  <c r="BB347"/>
  <c r="BA347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BD346"/>
  <c r="BC346"/>
  <c r="BB346"/>
  <c r="BA346"/>
  <c r="AZ346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BD344"/>
  <c r="BC344"/>
  <c r="BB344"/>
  <c r="BA344"/>
  <c r="AZ344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BD343"/>
  <c r="BC343"/>
  <c r="BB343"/>
  <c r="BA343"/>
  <c r="AZ343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BD342"/>
  <c r="BC342"/>
  <c r="BB342"/>
  <c r="BA342"/>
  <c r="AZ342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BD341"/>
  <c r="BC341"/>
  <c r="BB341"/>
  <c r="BA341"/>
  <c r="AZ341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BD340"/>
  <c r="BC340"/>
  <c r="BB340"/>
  <c r="BA340"/>
  <c r="AZ340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BD339"/>
  <c r="BC339"/>
  <c r="BB339"/>
  <c r="BA339"/>
  <c r="AZ339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BD335"/>
  <c r="BC335"/>
  <c r="BB335"/>
  <c r="BA335"/>
  <c r="AZ335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BD323"/>
  <c r="BC323"/>
  <c r="BB323"/>
  <c r="BA323"/>
  <c r="AZ323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BD322"/>
  <c r="BC322"/>
  <c r="BB322"/>
  <c r="BA322"/>
  <c r="AZ322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BD321"/>
  <c r="BC321"/>
  <c r="BB321"/>
  <c r="BA321"/>
  <c r="AZ321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BD320"/>
  <c r="BC320"/>
  <c r="BB320"/>
  <c r="BA320"/>
  <c r="AZ320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BD319"/>
  <c r="BC319"/>
  <c r="BB319"/>
  <c r="BA319"/>
  <c r="AZ319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BD318"/>
  <c r="BC318"/>
  <c r="BB318"/>
  <c r="BA318"/>
  <c r="AZ318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BD316"/>
  <c r="BC316"/>
  <c r="BB316"/>
  <c r="BA316"/>
  <c r="AZ316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BD315"/>
  <c r="BC315"/>
  <c r="BB315"/>
  <c r="BA315"/>
  <c r="AZ315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BD314"/>
  <c r="BC314"/>
  <c r="BB314"/>
  <c r="BA314"/>
  <c r="AZ314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BD313"/>
  <c r="BC313"/>
  <c r="BB313"/>
  <c r="BA313"/>
  <c r="AZ313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BD312"/>
  <c r="BC312"/>
  <c r="BB312"/>
  <c r="BA312"/>
  <c r="AZ312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BD309"/>
  <c r="BC309"/>
  <c r="BE306"/>
  <c r="BD306"/>
  <c r="BC306"/>
  <c r="BB306"/>
  <c r="BA306"/>
  <c r="AZ306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BD304"/>
  <c r="BC304"/>
  <c r="BB304"/>
  <c r="BA304"/>
  <c r="AZ304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BD303"/>
  <c r="BC303"/>
  <c r="BB303"/>
  <c r="BA303"/>
  <c r="AZ303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BD302"/>
  <c r="BC302"/>
  <c r="BB302"/>
  <c r="BA302"/>
  <c r="AZ302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BD301"/>
  <c r="BC301"/>
  <c r="BB301"/>
  <c r="BA301"/>
  <c r="AZ301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BD300"/>
  <c r="BC300"/>
  <c r="BB300"/>
  <c r="BA300"/>
  <c r="AZ300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BD299"/>
  <c r="BC299"/>
  <c r="BB299"/>
  <c r="BA299"/>
  <c r="AZ299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BD297"/>
  <c r="BC297"/>
  <c r="BB297"/>
  <c r="BA297"/>
  <c r="AZ297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BD296"/>
  <c r="BC296"/>
  <c r="BB296"/>
  <c r="BA296"/>
  <c r="AZ296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BD295"/>
  <c r="BC295"/>
  <c r="BB295"/>
  <c r="BA295"/>
  <c r="AZ295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BD291"/>
  <c r="BC291"/>
  <c r="BB291"/>
  <c r="BA291"/>
  <c r="AZ291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BD286"/>
  <c r="BC286"/>
  <c r="BB286"/>
  <c r="BA286"/>
  <c r="AZ286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BD285"/>
  <c r="BC285"/>
  <c r="BB285"/>
  <c r="BA285"/>
  <c r="AZ285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BD284"/>
  <c r="BC284"/>
  <c r="BB284"/>
  <c r="BA284"/>
  <c r="AZ284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BD283"/>
  <c r="BC283"/>
  <c r="BB283"/>
  <c r="BA283"/>
  <c r="AZ283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BD282"/>
  <c r="BC282"/>
  <c r="BB282"/>
  <c r="BA282"/>
  <c r="AZ282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BD281"/>
  <c r="BC281"/>
  <c r="BB281"/>
  <c r="BA281"/>
  <c r="AZ281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BD280"/>
  <c r="BC280"/>
  <c r="BB280"/>
  <c r="BA280"/>
  <c r="AZ280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BD279"/>
  <c r="BC279"/>
  <c r="BB279"/>
  <c r="BA279"/>
  <c r="AZ279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I275"/>
  <c r="I274"/>
  <c r="BD273"/>
  <c r="BC273"/>
  <c r="BB273"/>
  <c r="BA273"/>
  <c r="AZ273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BD272"/>
  <c r="BC272"/>
  <c r="BB272"/>
  <c r="BA272"/>
  <c r="AZ272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BD270"/>
  <c r="BC270"/>
  <c r="BB270"/>
  <c r="BA270"/>
  <c r="AZ270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BD269"/>
  <c r="BC269"/>
  <c r="BB269"/>
  <c r="BA269"/>
  <c r="AZ269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N268"/>
  <c r="M268"/>
  <c r="L268"/>
  <c r="K268"/>
  <c r="J268"/>
  <c r="I268"/>
  <c r="H268"/>
  <c r="G268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N267"/>
  <c r="M267"/>
  <c r="L267"/>
  <c r="K267"/>
  <c r="J267"/>
  <c r="I267"/>
  <c r="H267"/>
  <c r="G267"/>
  <c r="BD266"/>
  <c r="BC266"/>
  <c r="BB266"/>
  <c r="BA266"/>
  <c r="AZ266"/>
  <c r="AY266"/>
  <c r="AX266"/>
  <c r="AW266"/>
  <c r="AV266"/>
  <c r="AU266"/>
  <c r="AS266"/>
  <c r="AQ266"/>
  <c r="AP266"/>
  <c r="AO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N266"/>
  <c r="M266"/>
  <c r="L266"/>
  <c r="K266"/>
  <c r="J266"/>
  <c r="H266"/>
  <c r="G266"/>
  <c r="BD265"/>
  <c r="BC265"/>
  <c r="BB265"/>
  <c r="BA265"/>
  <c r="AZ265"/>
  <c r="AY265"/>
  <c r="AW265"/>
  <c r="AV265"/>
  <c r="AO265"/>
  <c r="AJ265"/>
  <c r="AI265"/>
  <c r="AF265"/>
  <c r="AE265"/>
  <c r="AD265"/>
  <c r="AC265"/>
  <c r="AB265"/>
  <c r="AA265"/>
  <c r="Z265"/>
  <c r="V265"/>
  <c r="U265"/>
  <c r="T265"/>
  <c r="S265"/>
  <c r="R265"/>
  <c r="P265"/>
  <c r="N265"/>
  <c r="M265"/>
  <c r="L265"/>
  <c r="K265"/>
  <c r="J265"/>
  <c r="H265"/>
  <c r="BD264"/>
  <c r="BC264"/>
  <c r="BB264"/>
  <c r="BA264"/>
  <c r="AZ264"/>
  <c r="AY264"/>
  <c r="AI264"/>
  <c r="AG264"/>
  <c r="AE264"/>
  <c r="AB264"/>
  <c r="Z264"/>
  <c r="X264"/>
  <c r="V264"/>
  <c r="U264"/>
  <c r="P264"/>
  <c r="H264"/>
  <c r="BD263"/>
  <c r="BB263"/>
  <c r="BA263"/>
  <c r="AZ263"/>
  <c r="P263"/>
  <c r="H263"/>
  <c r="BD260"/>
  <c r="BC260"/>
  <c r="BB260"/>
  <c r="BA260"/>
  <c r="AZ260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BD258"/>
  <c r="BC258"/>
  <c r="BB258"/>
  <c r="BA258"/>
  <c r="AZ258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BD256"/>
  <c r="BC256"/>
  <c r="BB256"/>
  <c r="BA256"/>
  <c r="AZ256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BD254"/>
  <c r="BC254"/>
  <c r="BB254"/>
  <c r="BA254"/>
  <c r="AZ254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BD253"/>
  <c r="BC253"/>
  <c r="BB253"/>
  <c r="BA253"/>
  <c r="AZ253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N221"/>
  <c r="M221"/>
  <c r="L221"/>
  <c r="K221"/>
  <c r="J221"/>
  <c r="I221"/>
  <c r="H221"/>
  <c r="G221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N220"/>
  <c r="M220"/>
  <c r="L220"/>
  <c r="K220"/>
  <c r="J220"/>
  <c r="I220"/>
  <c r="H220"/>
  <c r="G220"/>
  <c r="BD219"/>
  <c r="BC219"/>
  <c r="BB219"/>
  <c r="BA219"/>
  <c r="AZ219"/>
  <c r="AY219"/>
  <c r="AX219"/>
  <c r="AW219"/>
  <c r="AV219"/>
  <c r="AU219"/>
  <c r="AS219"/>
  <c r="AQ219"/>
  <c r="AP219"/>
  <c r="AO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N219"/>
  <c r="M219"/>
  <c r="L219"/>
  <c r="K219"/>
  <c r="J219"/>
  <c r="H219"/>
  <c r="G219"/>
  <c r="BD218"/>
  <c r="BC218"/>
  <c r="BB218"/>
  <c r="BA218"/>
  <c r="AZ218"/>
  <c r="AY218"/>
  <c r="AW218"/>
  <c r="AV218"/>
  <c r="AO218"/>
  <c r="AJ218"/>
  <c r="AI218"/>
  <c r="AF218"/>
  <c r="AE218"/>
  <c r="AD218"/>
  <c r="AC218"/>
  <c r="AB218"/>
  <c r="AA218"/>
  <c r="Z218"/>
  <c r="V218"/>
  <c r="U218"/>
  <c r="T218"/>
  <c r="S218"/>
  <c r="R218"/>
  <c r="P218"/>
  <c r="N218"/>
  <c r="M218"/>
  <c r="L218"/>
  <c r="K218"/>
  <c r="J218"/>
  <c r="H218"/>
  <c r="BD217"/>
  <c r="BC217"/>
  <c r="BB217"/>
  <c r="BA217"/>
  <c r="AZ217"/>
  <c r="AY217"/>
  <c r="AI217"/>
  <c r="AG217"/>
  <c r="AE217"/>
  <c r="AB217"/>
  <c r="Z217"/>
  <c r="X217"/>
  <c r="V217"/>
  <c r="U217"/>
  <c r="P217"/>
  <c r="H217"/>
  <c r="BD216"/>
  <c r="BB216"/>
  <c r="BA216"/>
  <c r="AZ216"/>
  <c r="P216"/>
  <c r="H216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BD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H151"/>
  <c r="G151"/>
  <c r="F151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H143"/>
  <c r="G143"/>
  <c r="F143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H135"/>
  <c r="G135"/>
  <c r="F135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BE100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BD90"/>
  <c r="BD89"/>
  <c r="BD88"/>
  <c r="BD87"/>
  <c r="BD86"/>
  <c r="BD85"/>
  <c r="BD82"/>
  <c r="BD81"/>
  <c r="BD80"/>
  <c r="BD79"/>
  <c r="BD78"/>
  <c r="BD77"/>
  <c r="BD76"/>
  <c r="BD73"/>
  <c r="BD72"/>
  <c r="BD71"/>
  <c r="BD70"/>
  <c r="BD69"/>
  <c r="BD68"/>
  <c r="BD67"/>
  <c r="BD61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BG40"/>
  <c r="BF40"/>
  <c r="BG31"/>
  <c r="BF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BD2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BD17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BE312"/>
  <c r="BE313"/>
  <c r="BE314"/>
  <c r="BE315"/>
  <c r="BE316"/>
  <c r="BE317"/>
  <c r="BE318"/>
  <c r="BE319"/>
  <c r="BE320"/>
  <c r="BE321"/>
  <c r="BE322"/>
  <c r="BE323"/>
  <c r="BD328"/>
  <c r="F351"/>
  <c r="F352"/>
  <c r="F353"/>
  <c r="F363"/>
  <c r="F364"/>
  <c r="G351"/>
  <c r="G352"/>
  <c r="G353"/>
  <c r="G363"/>
  <c r="G364"/>
  <c r="H351"/>
  <c r="H352"/>
  <c r="H353"/>
  <c r="H363"/>
  <c r="H364"/>
  <c r="I351"/>
  <c r="I352"/>
  <c r="I353"/>
  <c r="I363"/>
  <c r="I364"/>
  <c r="J351"/>
  <c r="J352"/>
  <c r="J353"/>
  <c r="J363"/>
  <c r="J364"/>
  <c r="K351"/>
  <c r="K352"/>
  <c r="K353"/>
  <c r="K363"/>
  <c r="K364"/>
  <c r="L351"/>
  <c r="L352"/>
  <c r="L353"/>
  <c r="L363"/>
  <c r="L364"/>
  <c r="M351"/>
  <c r="M352"/>
  <c r="M353"/>
  <c r="M363"/>
  <c r="M364"/>
  <c r="N351"/>
  <c r="N352"/>
  <c r="N353"/>
  <c r="N363"/>
  <c r="N364"/>
  <c r="O351"/>
  <c r="O352"/>
  <c r="O353"/>
  <c r="O363"/>
  <c r="O364"/>
  <c r="P351"/>
  <c r="P352"/>
  <c r="P353"/>
  <c r="P363"/>
  <c r="P364"/>
  <c r="Q351"/>
  <c r="Q352"/>
  <c r="Q353"/>
  <c r="Q363"/>
  <c r="Q364"/>
  <c r="R351"/>
  <c r="R352"/>
  <c r="R353"/>
  <c r="R363"/>
  <c r="R364"/>
  <c r="S351"/>
  <c r="S352"/>
  <c r="S353"/>
  <c r="S363"/>
  <c r="S364"/>
  <c r="T351"/>
  <c r="T352"/>
  <c r="T353"/>
  <c r="T363"/>
  <c r="T364"/>
  <c r="U351"/>
  <c r="U352"/>
  <c r="U353"/>
  <c r="U363"/>
  <c r="U364"/>
  <c r="V351"/>
  <c r="V352"/>
  <c r="V353"/>
  <c r="V363"/>
  <c r="V364"/>
  <c r="W351"/>
  <c r="W352"/>
  <c r="W353"/>
  <c r="W363"/>
  <c r="W364"/>
  <c r="X351"/>
  <c r="X352"/>
  <c r="X353"/>
  <c r="X363"/>
  <c r="X364"/>
  <c r="Y351"/>
  <c r="Y352"/>
  <c r="Y353"/>
  <c r="Y363"/>
  <c r="Y364"/>
  <c r="Z351"/>
  <c r="Z352"/>
  <c r="Z353"/>
  <c r="Z363"/>
  <c r="Z364"/>
  <c r="AA351"/>
  <c r="AA352"/>
  <c r="AA353"/>
  <c r="AA363"/>
  <c r="AA364"/>
  <c r="AB351"/>
  <c r="AB352"/>
  <c r="AB353"/>
  <c r="AB363"/>
  <c r="AB364"/>
  <c r="AC351"/>
  <c r="AC352"/>
  <c r="AC353"/>
  <c r="AC363"/>
  <c r="AC364"/>
  <c r="AD351"/>
  <c r="AD352"/>
  <c r="AD353"/>
  <c r="AD363"/>
  <c r="AD364"/>
  <c r="AE351"/>
  <c r="AE352"/>
  <c r="AE353"/>
  <c r="AE363"/>
  <c r="AE364"/>
  <c r="AF351"/>
  <c r="AF352"/>
  <c r="AF353"/>
  <c r="AF363"/>
  <c r="AF364"/>
  <c r="AG351"/>
  <c r="AG352"/>
  <c r="AG353"/>
  <c r="AG363"/>
  <c r="AG364"/>
  <c r="AH351"/>
  <c r="AH352"/>
  <c r="AH353"/>
  <c r="AH363"/>
  <c r="AH364"/>
  <c r="AI351"/>
  <c r="AI352"/>
  <c r="AI353"/>
  <c r="AI363"/>
  <c r="AI364"/>
  <c r="AJ351"/>
  <c r="AJ352"/>
  <c r="AJ353"/>
  <c r="AJ363"/>
  <c r="AJ364"/>
  <c r="AK351"/>
  <c r="AK352"/>
  <c r="AK353"/>
  <c r="AK363"/>
  <c r="AK364"/>
  <c r="AL351"/>
  <c r="AL352"/>
  <c r="AL353"/>
  <c r="AL363"/>
  <c r="AL364"/>
  <c r="AM351"/>
  <c r="AM352"/>
  <c r="AM353"/>
  <c r="AM363"/>
  <c r="AM364"/>
  <c r="AN351"/>
  <c r="AN352"/>
  <c r="AN353"/>
  <c r="AN363"/>
  <c r="AN364"/>
  <c r="AO351"/>
  <c r="AO352"/>
  <c r="AO353"/>
  <c r="AO363"/>
  <c r="AO364"/>
  <c r="AP351"/>
  <c r="AP352"/>
  <c r="AP353"/>
  <c r="AP363"/>
  <c r="AP364"/>
  <c r="AQ351"/>
  <c r="AQ352"/>
  <c r="AQ353"/>
  <c r="AQ363"/>
  <c r="AQ364"/>
  <c r="AR351"/>
  <c r="AR352"/>
  <c r="AR353"/>
  <c r="AR363"/>
  <c r="AR364"/>
  <c r="AS351"/>
  <c r="AS352"/>
  <c r="AS353"/>
  <c r="AS363"/>
  <c r="AS364"/>
  <c r="AT351"/>
  <c r="AT352"/>
  <c r="AT353"/>
  <c r="AT363"/>
  <c r="AT364"/>
  <c r="AU351"/>
  <c r="AU352"/>
  <c r="AU353"/>
  <c r="AU363"/>
  <c r="AU364"/>
  <c r="AV351"/>
  <c r="AV352"/>
  <c r="AV353"/>
  <c r="AV363"/>
  <c r="AV364"/>
  <c r="AW351"/>
  <c r="AW352"/>
  <c r="AW353"/>
  <c r="AW363"/>
  <c r="AW364"/>
  <c r="AX351"/>
  <c r="AX352"/>
  <c r="AX353"/>
  <c r="AX363"/>
  <c r="AX364"/>
  <c r="AY351"/>
  <c r="AY352"/>
  <c r="AY353"/>
  <c r="AY363"/>
  <c r="AY364"/>
  <c r="AZ351"/>
  <c r="AZ352"/>
  <c r="AZ353"/>
  <c r="AZ363"/>
  <c r="AZ364"/>
  <c r="BA351"/>
  <c r="BA352"/>
  <c r="BA353"/>
  <c r="BA363"/>
  <c r="BA364"/>
  <c r="BB351"/>
  <c r="BB352"/>
  <c r="BB353"/>
  <c r="BB363"/>
  <c r="BB364"/>
  <c r="BC351"/>
  <c r="BC352"/>
  <c r="BC353"/>
  <c r="BC363"/>
  <c r="BC364"/>
  <c r="BD363"/>
  <c r="BD351"/>
  <c r="BD352"/>
  <c r="BD353"/>
  <c r="BD364"/>
  <c r="F370"/>
  <c r="G370"/>
  <c r="H370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X370"/>
  <c r="AY370"/>
  <c r="AZ370"/>
  <c r="BA370"/>
  <c r="BB370"/>
  <c r="BC370"/>
  <c r="BD370"/>
  <c r="BE370"/>
  <c r="F371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BB371"/>
  <c r="BC371"/>
  <c r="BD371"/>
  <c r="BE371"/>
  <c r="F372"/>
  <c r="G372"/>
  <c r="H372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AS372"/>
  <c r="AT372"/>
  <c r="AU372"/>
  <c r="AV372"/>
  <c r="AW372"/>
  <c r="AX372"/>
  <c r="AY372"/>
  <c r="AZ372"/>
  <c r="BA372"/>
  <c r="BB372"/>
  <c r="BC372"/>
  <c r="BD372"/>
  <c r="BE372"/>
  <c r="BE373"/>
  <c r="BE374"/>
  <c r="BE375"/>
  <c r="BE376"/>
  <c r="BE377"/>
  <c r="BE378"/>
  <c r="BE379"/>
  <c r="BE380"/>
  <c r="BE381"/>
  <c r="F382"/>
  <c r="F383"/>
  <c r="G382"/>
  <c r="G383"/>
  <c r="H382"/>
  <c r="H383"/>
  <c r="I382"/>
  <c r="I383"/>
  <c r="J382"/>
  <c r="J383"/>
  <c r="K382"/>
  <c r="K383"/>
  <c r="L382"/>
  <c r="L383"/>
  <c r="M382"/>
  <c r="M383"/>
  <c r="N382"/>
  <c r="N383"/>
  <c r="O382"/>
  <c r="O383"/>
  <c r="P382"/>
  <c r="P383"/>
  <c r="Q382"/>
  <c r="Q383"/>
  <c r="R382"/>
  <c r="R383"/>
  <c r="S382"/>
  <c r="S383"/>
  <c r="T382"/>
  <c r="T383"/>
  <c r="U382"/>
  <c r="U383"/>
  <c r="V382"/>
  <c r="V383"/>
  <c r="W382"/>
  <c r="W383"/>
  <c r="X382"/>
  <c r="X383"/>
  <c r="Y382"/>
  <c r="Y383"/>
  <c r="Z382"/>
  <c r="Z383"/>
  <c r="AA382"/>
  <c r="AA383"/>
  <c r="AB382"/>
  <c r="AB383"/>
  <c r="AC382"/>
  <c r="AC383"/>
  <c r="AD382"/>
  <c r="AD383"/>
  <c r="AE382"/>
  <c r="AE383"/>
  <c r="AF382"/>
  <c r="AF383"/>
  <c r="AG382"/>
  <c r="AG383"/>
  <c r="AH382"/>
  <c r="AH383"/>
  <c r="AI382"/>
  <c r="AI383"/>
  <c r="AJ382"/>
  <c r="AJ383"/>
  <c r="AK382"/>
  <c r="AK383"/>
  <c r="AL382"/>
  <c r="AL383"/>
  <c r="AM382"/>
  <c r="AM383"/>
  <c r="AN382"/>
  <c r="AN383"/>
  <c r="AO382"/>
  <c r="AO383"/>
  <c r="AP382"/>
  <c r="AP383"/>
  <c r="AQ382"/>
  <c r="AQ383"/>
  <c r="AR382"/>
  <c r="AR383"/>
  <c r="AS382"/>
  <c r="AS383"/>
  <c r="AT382"/>
  <c r="AT383"/>
  <c r="AU382"/>
  <c r="AU383"/>
  <c r="AV382"/>
  <c r="AV383"/>
  <c r="AW382"/>
  <c r="AW383"/>
  <c r="AX382"/>
  <c r="AX383"/>
  <c r="AY382"/>
  <c r="AY383"/>
  <c r="AZ382"/>
  <c r="AZ383"/>
  <c r="BA382"/>
  <c r="BA383"/>
  <c r="BB382"/>
  <c r="BB383"/>
  <c r="BC382"/>
  <c r="BC383"/>
  <c r="BD382"/>
  <c r="BD383"/>
  <c r="BD386"/>
  <c r="BB9" i="7"/>
  <c r="BB10"/>
  <c r="BB11"/>
  <c r="BB12"/>
  <c r="BB13"/>
  <c r="BB14"/>
  <c r="BB15"/>
  <c r="BB16"/>
  <c r="BB17"/>
  <c r="BB18"/>
  <c r="BB19"/>
  <c r="BB20"/>
  <c r="BB22"/>
  <c r="FF22"/>
  <c r="FF27"/>
  <c r="DB9"/>
  <c r="DB10"/>
  <c r="DB11"/>
  <c r="DB12"/>
  <c r="DB13"/>
  <c r="DB14"/>
  <c r="DB15"/>
  <c r="DB16"/>
  <c r="DB17"/>
  <c r="DB18"/>
  <c r="DB19"/>
  <c r="DB20"/>
  <c r="DB22"/>
  <c r="DB37"/>
  <c r="DA9"/>
  <c r="DA10"/>
  <c r="DA11"/>
  <c r="DA12"/>
  <c r="DA13"/>
  <c r="DA14"/>
  <c r="DA15"/>
  <c r="DA16"/>
  <c r="DA17"/>
  <c r="DA18"/>
  <c r="DA19"/>
  <c r="DA20"/>
  <c r="DA22"/>
  <c r="DA37"/>
  <c r="CZ9"/>
  <c r="CZ10"/>
  <c r="CZ11"/>
  <c r="CZ12"/>
  <c r="CZ13"/>
  <c r="CZ14"/>
  <c r="CZ15"/>
  <c r="CZ16"/>
  <c r="CZ17"/>
  <c r="CZ18"/>
  <c r="CZ19"/>
  <c r="CZ20"/>
  <c r="CZ22"/>
  <c r="CZ37"/>
  <c r="CY9"/>
  <c r="CY10"/>
  <c r="CY11"/>
  <c r="CY12"/>
  <c r="CY13"/>
  <c r="CY14"/>
  <c r="CY15"/>
  <c r="CY16"/>
  <c r="CY17"/>
  <c r="CY18"/>
  <c r="CY19"/>
  <c r="CY20"/>
  <c r="CY22"/>
  <c r="CY37"/>
  <c r="CX9"/>
  <c r="CX10"/>
  <c r="CX11"/>
  <c r="CX12"/>
  <c r="CX13"/>
  <c r="CX14"/>
  <c r="CX15"/>
  <c r="CX16"/>
  <c r="CX17"/>
  <c r="CX18"/>
  <c r="CX19"/>
  <c r="CX20"/>
  <c r="CX22"/>
  <c r="CX37"/>
  <c r="CW9"/>
  <c r="CW10"/>
  <c r="CW11"/>
  <c r="CW12"/>
  <c r="CW13"/>
  <c r="CW14"/>
  <c r="CW15"/>
  <c r="CW16"/>
  <c r="CW17"/>
  <c r="CW18"/>
  <c r="CW19"/>
  <c r="CW20"/>
  <c r="CW22"/>
  <c r="CW37"/>
  <c r="CV9"/>
  <c r="CV10"/>
  <c r="CV11"/>
  <c r="CV12"/>
  <c r="CV13"/>
  <c r="CV14"/>
  <c r="CV15"/>
  <c r="CV16"/>
  <c r="CV17"/>
  <c r="CV18"/>
  <c r="CV19"/>
  <c r="CV20"/>
  <c r="CV22"/>
  <c r="CV37"/>
  <c r="CU9"/>
  <c r="CU10"/>
  <c r="CU11"/>
  <c r="CU12"/>
  <c r="CU13"/>
  <c r="CU14"/>
  <c r="CU15"/>
  <c r="CU16"/>
  <c r="CU17"/>
  <c r="CU18"/>
  <c r="CU19"/>
  <c r="CU20"/>
  <c r="CU22"/>
  <c r="CU37"/>
  <c r="CT9"/>
  <c r="CT10"/>
  <c r="CT11"/>
  <c r="CT12"/>
  <c r="CT13"/>
  <c r="CT14"/>
  <c r="CT15"/>
  <c r="CT16"/>
  <c r="CT17"/>
  <c r="CT18"/>
  <c r="CT19"/>
  <c r="CT20"/>
  <c r="CT22"/>
  <c r="CT37"/>
  <c r="CS9"/>
  <c r="CS10"/>
  <c r="CS11"/>
  <c r="CS12"/>
  <c r="CS13"/>
  <c r="CS14"/>
  <c r="CS15"/>
  <c r="CS16"/>
  <c r="CS17"/>
  <c r="CS18"/>
  <c r="CS19"/>
  <c r="CS20"/>
  <c r="CS22"/>
  <c r="CS37"/>
  <c r="CR9"/>
  <c r="CR10"/>
  <c r="CR11"/>
  <c r="CR12"/>
  <c r="CR13"/>
  <c r="CR14"/>
  <c r="CR15"/>
  <c r="CR16"/>
  <c r="CR17"/>
  <c r="CR18"/>
  <c r="CR19"/>
  <c r="CR20"/>
  <c r="CR22"/>
  <c r="CR37"/>
  <c r="CQ9"/>
  <c r="CQ10"/>
  <c r="CQ11"/>
  <c r="CQ12"/>
  <c r="CQ13"/>
  <c r="CQ14"/>
  <c r="CQ15"/>
  <c r="CQ16"/>
  <c r="CQ17"/>
  <c r="CQ18"/>
  <c r="CQ19"/>
  <c r="CQ20"/>
  <c r="CQ22"/>
  <c r="CQ37"/>
  <c r="CP9"/>
  <c r="CP10"/>
  <c r="CP11"/>
  <c r="CP12"/>
  <c r="CP13"/>
  <c r="CP14"/>
  <c r="CP15"/>
  <c r="CP16"/>
  <c r="CP17"/>
  <c r="CP18"/>
  <c r="CP19"/>
  <c r="CP20"/>
  <c r="CP22"/>
  <c r="CP37"/>
  <c r="CO9"/>
  <c r="CO10"/>
  <c r="CO11"/>
  <c r="CO12"/>
  <c r="CO13"/>
  <c r="CO14"/>
  <c r="CO15"/>
  <c r="CO16"/>
  <c r="CO17"/>
  <c r="CO18"/>
  <c r="CO19"/>
  <c r="CO20"/>
  <c r="CO22"/>
  <c r="CO37"/>
  <c r="CN9"/>
  <c r="CN10"/>
  <c r="CN11"/>
  <c r="CN12"/>
  <c r="CN13"/>
  <c r="CN14"/>
  <c r="CN15"/>
  <c r="CN16"/>
  <c r="CN17"/>
  <c r="CN18"/>
  <c r="CN19"/>
  <c r="CN20"/>
  <c r="CN22"/>
  <c r="CN37"/>
  <c r="CM9"/>
  <c r="CM10"/>
  <c r="CM11"/>
  <c r="CM12"/>
  <c r="CM13"/>
  <c r="CM14"/>
  <c r="CM15"/>
  <c r="CM16"/>
  <c r="CM17"/>
  <c r="CM18"/>
  <c r="CM19"/>
  <c r="CM20"/>
  <c r="CM22"/>
  <c r="CM37"/>
  <c r="CL9"/>
  <c r="CL10"/>
  <c r="CL11"/>
  <c r="CL12"/>
  <c r="CL13"/>
  <c r="CL14"/>
  <c r="CL15"/>
  <c r="CL16"/>
  <c r="CL17"/>
  <c r="CL18"/>
  <c r="CL19"/>
  <c r="CL20"/>
  <c r="CL22"/>
  <c r="CL37"/>
  <c r="CK9"/>
  <c r="CK10"/>
  <c r="CK11"/>
  <c r="CK12"/>
  <c r="CK13"/>
  <c r="CK14"/>
  <c r="CK15"/>
  <c r="CK16"/>
  <c r="CK17"/>
  <c r="CK18"/>
  <c r="CK19"/>
  <c r="CK20"/>
  <c r="CK22"/>
  <c r="CK37"/>
  <c r="CJ9"/>
  <c r="CJ10"/>
  <c r="CJ11"/>
  <c r="CJ12"/>
  <c r="CJ13"/>
  <c r="CJ14"/>
  <c r="CJ15"/>
  <c r="CJ16"/>
  <c r="CJ17"/>
  <c r="CJ18"/>
  <c r="CJ19"/>
  <c r="CJ20"/>
  <c r="CJ22"/>
  <c r="CJ37"/>
  <c r="CI9"/>
  <c r="CI10"/>
  <c r="CI11"/>
  <c r="CI12"/>
  <c r="CI13"/>
  <c r="CI14"/>
  <c r="CI15"/>
  <c r="CI16"/>
  <c r="CI17"/>
  <c r="CI18"/>
  <c r="CI19"/>
  <c r="CI20"/>
  <c r="CI22"/>
  <c r="CI37"/>
  <c r="CH9"/>
  <c r="CH10"/>
  <c r="CH11"/>
  <c r="CH12"/>
  <c r="CH13"/>
  <c r="CH14"/>
  <c r="CH15"/>
  <c r="CH16"/>
  <c r="CH17"/>
  <c r="CH18"/>
  <c r="CH19"/>
  <c r="CH20"/>
  <c r="CH22"/>
  <c r="CH37"/>
  <c r="CG9"/>
  <c r="CG10"/>
  <c r="CG11"/>
  <c r="CG12"/>
  <c r="CG13"/>
  <c r="CG14"/>
  <c r="CG15"/>
  <c r="CG16"/>
  <c r="CG17"/>
  <c r="CG18"/>
  <c r="CG19"/>
  <c r="CG20"/>
  <c r="CG22"/>
  <c r="CG37"/>
  <c r="CF9"/>
  <c r="CF10"/>
  <c r="CF11"/>
  <c r="CF12"/>
  <c r="CF13"/>
  <c r="CF14"/>
  <c r="CF15"/>
  <c r="CF16"/>
  <c r="CF17"/>
  <c r="CF18"/>
  <c r="CF19"/>
  <c r="CF20"/>
  <c r="CF22"/>
  <c r="CF37"/>
  <c r="CE9"/>
  <c r="CE10"/>
  <c r="CE11"/>
  <c r="CE12"/>
  <c r="CE13"/>
  <c r="CE14"/>
  <c r="CE15"/>
  <c r="CE16"/>
  <c r="CE17"/>
  <c r="CE18"/>
  <c r="CE19"/>
  <c r="CE20"/>
  <c r="CE22"/>
  <c r="CE37"/>
  <c r="CD9"/>
  <c r="CD10"/>
  <c r="CD11"/>
  <c r="CD12"/>
  <c r="CD13"/>
  <c r="CD14"/>
  <c r="CD15"/>
  <c r="CD16"/>
  <c r="CD17"/>
  <c r="CD18"/>
  <c r="CD19"/>
  <c r="CD20"/>
  <c r="CD22"/>
  <c r="CD37"/>
  <c r="CC9"/>
  <c r="CC10"/>
  <c r="CC11"/>
  <c r="CC12"/>
  <c r="CC13"/>
  <c r="CC14"/>
  <c r="CC15"/>
  <c r="CC16"/>
  <c r="CC17"/>
  <c r="CC18"/>
  <c r="CC19"/>
  <c r="CC20"/>
  <c r="CC22"/>
  <c r="CC37"/>
  <c r="CB9"/>
  <c r="CB10"/>
  <c r="CB11"/>
  <c r="CB12"/>
  <c r="CB13"/>
  <c r="CB14"/>
  <c r="CB15"/>
  <c r="CB16"/>
  <c r="CB17"/>
  <c r="CB18"/>
  <c r="CB19"/>
  <c r="CB20"/>
  <c r="CB22"/>
  <c r="CB37"/>
  <c r="CA9"/>
  <c r="CA10"/>
  <c r="CA11"/>
  <c r="CA12"/>
  <c r="CA13"/>
  <c r="CA14"/>
  <c r="CA15"/>
  <c r="CA16"/>
  <c r="CA17"/>
  <c r="CA18"/>
  <c r="CA19"/>
  <c r="CA20"/>
  <c r="CA22"/>
  <c r="CA37"/>
  <c r="BZ9"/>
  <c r="BZ10"/>
  <c r="BZ11"/>
  <c r="BZ12"/>
  <c r="BZ13"/>
  <c r="BZ14"/>
  <c r="BZ15"/>
  <c r="BZ16"/>
  <c r="BZ17"/>
  <c r="BZ18"/>
  <c r="BZ19"/>
  <c r="BZ20"/>
  <c r="BZ22"/>
  <c r="BZ37"/>
  <c r="BY9"/>
  <c r="BY10"/>
  <c r="BY11"/>
  <c r="BY12"/>
  <c r="BY13"/>
  <c r="BY14"/>
  <c r="BY15"/>
  <c r="BY16"/>
  <c r="BY17"/>
  <c r="BY18"/>
  <c r="BY19"/>
  <c r="BY20"/>
  <c r="BY22"/>
  <c r="BY37"/>
  <c r="BX9"/>
  <c r="BX10"/>
  <c r="BX11"/>
  <c r="BX12"/>
  <c r="BX13"/>
  <c r="BX14"/>
  <c r="BX15"/>
  <c r="BX16"/>
  <c r="BX17"/>
  <c r="BX18"/>
  <c r="BX19"/>
  <c r="BX20"/>
  <c r="BX22"/>
  <c r="BX37"/>
  <c r="BW9"/>
  <c r="BW10"/>
  <c r="BW11"/>
  <c r="BW12"/>
  <c r="BW13"/>
  <c r="BW14"/>
  <c r="BW15"/>
  <c r="BW16"/>
  <c r="BW17"/>
  <c r="BW18"/>
  <c r="BW19"/>
  <c r="BW20"/>
  <c r="BW22"/>
  <c r="BW37"/>
  <c r="BV9"/>
  <c r="BV10"/>
  <c r="BV11"/>
  <c r="BV12"/>
  <c r="BV13"/>
  <c r="BV14"/>
  <c r="BV15"/>
  <c r="BV16"/>
  <c r="BV17"/>
  <c r="BV18"/>
  <c r="BV19"/>
  <c r="BV20"/>
  <c r="BV22"/>
  <c r="BV37"/>
  <c r="BU9"/>
  <c r="BU10"/>
  <c r="BU11"/>
  <c r="BU12"/>
  <c r="BU13"/>
  <c r="BU14"/>
  <c r="BU15"/>
  <c r="BU16"/>
  <c r="BU17"/>
  <c r="BU18"/>
  <c r="BU19"/>
  <c r="BU20"/>
  <c r="BU22"/>
  <c r="BU37"/>
  <c r="BT9"/>
  <c r="BT10"/>
  <c r="BT11"/>
  <c r="BT12"/>
  <c r="BT13"/>
  <c r="BT14"/>
  <c r="BT15"/>
  <c r="BT16"/>
  <c r="BT17"/>
  <c r="BT18"/>
  <c r="BT19"/>
  <c r="BT20"/>
  <c r="BT22"/>
  <c r="BT37"/>
  <c r="BS9"/>
  <c r="BS10"/>
  <c r="BS11"/>
  <c r="BS12"/>
  <c r="BS13"/>
  <c r="BS14"/>
  <c r="BS15"/>
  <c r="BS16"/>
  <c r="BS17"/>
  <c r="BS18"/>
  <c r="BS19"/>
  <c r="BS20"/>
  <c r="BS22"/>
  <c r="BS37"/>
  <c r="BR9"/>
  <c r="BR10"/>
  <c r="BR11"/>
  <c r="BR12"/>
  <c r="BR13"/>
  <c r="BR14"/>
  <c r="BR15"/>
  <c r="BR16"/>
  <c r="BR17"/>
  <c r="BR18"/>
  <c r="BR19"/>
  <c r="BR20"/>
  <c r="BR22"/>
  <c r="BR37"/>
  <c r="BQ9"/>
  <c r="BQ10"/>
  <c r="BQ11"/>
  <c r="BQ12"/>
  <c r="BQ13"/>
  <c r="BQ14"/>
  <c r="BQ15"/>
  <c r="BQ16"/>
  <c r="BQ17"/>
  <c r="BQ18"/>
  <c r="BQ19"/>
  <c r="BQ20"/>
  <c r="BQ22"/>
  <c r="BQ37"/>
  <c r="BP9"/>
  <c r="BP10"/>
  <c r="BP11"/>
  <c r="BP12"/>
  <c r="BP13"/>
  <c r="BP14"/>
  <c r="BP15"/>
  <c r="BP16"/>
  <c r="BP17"/>
  <c r="BP18"/>
  <c r="BP19"/>
  <c r="BP20"/>
  <c r="BP22"/>
  <c r="BP37"/>
  <c r="BO9"/>
  <c r="BO10"/>
  <c r="BO11"/>
  <c r="BO12"/>
  <c r="BO13"/>
  <c r="BO14"/>
  <c r="BO15"/>
  <c r="BO16"/>
  <c r="BO17"/>
  <c r="BO18"/>
  <c r="BO19"/>
  <c r="BO20"/>
  <c r="BO22"/>
  <c r="BO37"/>
  <c r="BN9"/>
  <c r="BN10"/>
  <c r="BN11"/>
  <c r="BN12"/>
  <c r="BN13"/>
  <c r="BN14"/>
  <c r="BN15"/>
  <c r="BN16"/>
  <c r="BN17"/>
  <c r="BN18"/>
  <c r="BN19"/>
  <c r="BN20"/>
  <c r="BN22"/>
  <c r="BN37"/>
  <c r="BM9"/>
  <c r="BM10"/>
  <c r="BM11"/>
  <c r="BM12"/>
  <c r="BM13"/>
  <c r="BM14"/>
  <c r="BM15"/>
  <c r="BM16"/>
  <c r="BM17"/>
  <c r="BM18"/>
  <c r="BM19"/>
  <c r="BM20"/>
  <c r="BM22"/>
  <c r="BM37"/>
  <c r="BL9"/>
  <c r="BL10"/>
  <c r="BL11"/>
  <c r="BL12"/>
  <c r="BL13"/>
  <c r="BL14"/>
  <c r="BL15"/>
  <c r="BL16"/>
  <c r="BL17"/>
  <c r="BL18"/>
  <c r="BL19"/>
  <c r="BL20"/>
  <c r="BL22"/>
  <c r="BL37"/>
  <c r="BK9"/>
  <c r="BK10"/>
  <c r="BK11"/>
  <c r="BK12"/>
  <c r="BK13"/>
  <c r="BK14"/>
  <c r="BK15"/>
  <c r="BK16"/>
  <c r="BK17"/>
  <c r="BK18"/>
  <c r="BK19"/>
  <c r="BK20"/>
  <c r="BK22"/>
  <c r="BK37"/>
  <c r="BJ9"/>
  <c r="BJ10"/>
  <c r="BJ11"/>
  <c r="BJ12"/>
  <c r="BJ13"/>
  <c r="BJ14"/>
  <c r="BJ15"/>
  <c r="BJ16"/>
  <c r="BJ17"/>
  <c r="BJ18"/>
  <c r="BJ19"/>
  <c r="BJ20"/>
  <c r="BJ22"/>
  <c r="BJ37"/>
  <c r="BI9"/>
  <c r="BI10"/>
  <c r="BI11"/>
  <c r="BI12"/>
  <c r="BI13"/>
  <c r="BI14"/>
  <c r="BI15"/>
  <c r="BI16"/>
  <c r="BI17"/>
  <c r="BI18"/>
  <c r="BI19"/>
  <c r="BI20"/>
  <c r="BI22"/>
  <c r="BI37"/>
  <c r="BH9"/>
  <c r="BH10"/>
  <c r="BH11"/>
  <c r="BH12"/>
  <c r="BH13"/>
  <c r="BH14"/>
  <c r="BH15"/>
  <c r="BH16"/>
  <c r="BH17"/>
  <c r="BH18"/>
  <c r="BH19"/>
  <c r="BH20"/>
  <c r="BH22"/>
  <c r="BH37"/>
  <c r="BG9"/>
  <c r="BG10"/>
  <c r="BG11"/>
  <c r="BG12"/>
  <c r="BG13"/>
  <c r="BG14"/>
  <c r="BG15"/>
  <c r="BG16"/>
  <c r="BG17"/>
  <c r="BG18"/>
  <c r="BG19"/>
  <c r="BG20"/>
  <c r="BG22"/>
  <c r="BG37"/>
  <c r="BF9"/>
  <c r="BF10"/>
  <c r="BF11"/>
  <c r="BF12"/>
  <c r="BF13"/>
  <c r="BF14"/>
  <c r="BF15"/>
  <c r="BF16"/>
  <c r="BF17"/>
  <c r="BF18"/>
  <c r="BF19"/>
  <c r="BF20"/>
  <c r="BF22"/>
  <c r="BF37"/>
  <c r="BE9"/>
  <c r="BE10"/>
  <c r="BE11"/>
  <c r="BE12"/>
  <c r="BE13"/>
  <c r="BE14"/>
  <c r="BE15"/>
  <c r="BE16"/>
  <c r="BE17"/>
  <c r="BE18"/>
  <c r="BE19"/>
  <c r="BE20"/>
  <c r="BE22"/>
  <c r="BE37"/>
  <c r="BD9"/>
  <c r="BD10"/>
  <c r="BD11"/>
  <c r="BD12"/>
  <c r="BD13"/>
  <c r="BD14"/>
  <c r="BD15"/>
  <c r="BD16"/>
  <c r="BD17"/>
  <c r="BD18"/>
  <c r="BD19"/>
  <c r="BD20"/>
  <c r="BD22"/>
  <c r="BD37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B31"/>
  <c r="BA9"/>
  <c r="BA10"/>
  <c r="BA11"/>
  <c r="BA12"/>
  <c r="BA13"/>
  <c r="BA14"/>
  <c r="BA15"/>
  <c r="BA16"/>
  <c r="BA17"/>
  <c r="BA18"/>
  <c r="BA19"/>
  <c r="BA20"/>
  <c r="BA22"/>
  <c r="BA31"/>
  <c r="AZ9"/>
  <c r="AZ10"/>
  <c r="AZ11"/>
  <c r="AZ12"/>
  <c r="AZ13"/>
  <c r="AZ14"/>
  <c r="AZ15"/>
  <c r="AZ16"/>
  <c r="AZ17"/>
  <c r="AZ18"/>
  <c r="AZ19"/>
  <c r="AZ20"/>
  <c r="AZ22"/>
  <c r="AZ31"/>
  <c r="AY9"/>
  <c r="AY10"/>
  <c r="AY11"/>
  <c r="AY12"/>
  <c r="AY13"/>
  <c r="AY14"/>
  <c r="AY15"/>
  <c r="AY16"/>
  <c r="AY17"/>
  <c r="AY18"/>
  <c r="AY19"/>
  <c r="AY20"/>
  <c r="AY22"/>
  <c r="AY31"/>
  <c r="AX9"/>
  <c r="AX10"/>
  <c r="AX11"/>
  <c r="AX12"/>
  <c r="AX13"/>
  <c r="AX14"/>
  <c r="AX15"/>
  <c r="AX16"/>
  <c r="AX17"/>
  <c r="AX18"/>
  <c r="AX19"/>
  <c r="AX20"/>
  <c r="AX22"/>
  <c r="AX31"/>
  <c r="AW9"/>
  <c r="AW10"/>
  <c r="AW11"/>
  <c r="AW12"/>
  <c r="AW13"/>
  <c r="AW14"/>
  <c r="AW15"/>
  <c r="AW16"/>
  <c r="AW17"/>
  <c r="AW18"/>
  <c r="AW19"/>
  <c r="AW20"/>
  <c r="AW22"/>
  <c r="AW31"/>
  <c r="AV9"/>
  <c r="AV10"/>
  <c r="AV11"/>
  <c r="AV12"/>
  <c r="AV13"/>
  <c r="AV14"/>
  <c r="AV15"/>
  <c r="AV16"/>
  <c r="AV17"/>
  <c r="AV18"/>
  <c r="AV19"/>
  <c r="AV20"/>
  <c r="AV22"/>
  <c r="AV31"/>
  <c r="AU9"/>
  <c r="AU10"/>
  <c r="AU11"/>
  <c r="AU12"/>
  <c r="AU13"/>
  <c r="AU14"/>
  <c r="AU15"/>
  <c r="AU16"/>
  <c r="AU17"/>
  <c r="AU18"/>
  <c r="AU19"/>
  <c r="AU20"/>
  <c r="AU22"/>
  <c r="AU31"/>
  <c r="AT9"/>
  <c r="AT10"/>
  <c r="AT11"/>
  <c r="AT12"/>
  <c r="AT13"/>
  <c r="AT14"/>
  <c r="AT15"/>
  <c r="AT16"/>
  <c r="AT17"/>
  <c r="AT18"/>
  <c r="AT19"/>
  <c r="AT20"/>
  <c r="AT22"/>
  <c r="AT31"/>
  <c r="AS9"/>
  <c r="AS10"/>
  <c r="AS11"/>
  <c r="AS12"/>
  <c r="AS13"/>
  <c r="AS14"/>
  <c r="AS15"/>
  <c r="AS16"/>
  <c r="AS17"/>
  <c r="AS18"/>
  <c r="AS19"/>
  <c r="AS20"/>
  <c r="AS22"/>
  <c r="AS31"/>
  <c r="AR9"/>
  <c r="AR10"/>
  <c r="AR11"/>
  <c r="AR12"/>
  <c r="AR13"/>
  <c r="AR14"/>
  <c r="AR15"/>
  <c r="AR16"/>
  <c r="AR17"/>
  <c r="AR18"/>
  <c r="AR19"/>
  <c r="AR20"/>
  <c r="AR22"/>
  <c r="AR31"/>
  <c r="AQ9"/>
  <c r="AQ10"/>
  <c r="AQ11"/>
  <c r="AQ12"/>
  <c r="AQ13"/>
  <c r="AQ14"/>
  <c r="AQ15"/>
  <c r="AQ16"/>
  <c r="AQ17"/>
  <c r="AQ18"/>
  <c r="AQ19"/>
  <c r="AQ20"/>
  <c r="AQ22"/>
  <c r="AQ31"/>
  <c r="AP9"/>
  <c r="AP10"/>
  <c r="AP11"/>
  <c r="AP12"/>
  <c r="AP13"/>
  <c r="AP14"/>
  <c r="AP15"/>
  <c r="AP16"/>
  <c r="AP17"/>
  <c r="AP18"/>
  <c r="AP19"/>
  <c r="AP20"/>
  <c r="AP22"/>
  <c r="AP31"/>
  <c r="AO9"/>
  <c r="AO10"/>
  <c r="AO11"/>
  <c r="AO12"/>
  <c r="AO13"/>
  <c r="AO14"/>
  <c r="AO15"/>
  <c r="AO16"/>
  <c r="AO17"/>
  <c r="AO18"/>
  <c r="AO19"/>
  <c r="AO20"/>
  <c r="AO22"/>
  <c r="AO31"/>
  <c r="AN9"/>
  <c r="AN10"/>
  <c r="AN11"/>
  <c r="AN12"/>
  <c r="AN13"/>
  <c r="AN14"/>
  <c r="AN15"/>
  <c r="AN16"/>
  <c r="AN17"/>
  <c r="AN18"/>
  <c r="AN19"/>
  <c r="AN20"/>
  <c r="AN22"/>
  <c r="AN31"/>
  <c r="AM9"/>
  <c r="AM10"/>
  <c r="AM11"/>
  <c r="AM12"/>
  <c r="AM13"/>
  <c r="AM14"/>
  <c r="AM15"/>
  <c r="AM16"/>
  <c r="AM17"/>
  <c r="AM18"/>
  <c r="AM19"/>
  <c r="AM20"/>
  <c r="AM22"/>
  <c r="AM31"/>
  <c r="AL9"/>
  <c r="AL10"/>
  <c r="AL11"/>
  <c r="AL12"/>
  <c r="AL13"/>
  <c r="AL14"/>
  <c r="AL15"/>
  <c r="AL16"/>
  <c r="AL17"/>
  <c r="AL18"/>
  <c r="AL19"/>
  <c r="AL20"/>
  <c r="AL22"/>
  <c r="AL31"/>
  <c r="AK9"/>
  <c r="AK10"/>
  <c r="AK11"/>
  <c r="AK12"/>
  <c r="AK13"/>
  <c r="AK14"/>
  <c r="AK15"/>
  <c r="AK16"/>
  <c r="AK17"/>
  <c r="AK18"/>
  <c r="AK19"/>
  <c r="AK20"/>
  <c r="AK22"/>
  <c r="AK31"/>
  <c r="AJ9"/>
  <c r="AJ10"/>
  <c r="AJ11"/>
  <c r="AJ12"/>
  <c r="AJ13"/>
  <c r="AJ14"/>
  <c r="AJ15"/>
  <c r="AJ16"/>
  <c r="AJ17"/>
  <c r="AJ18"/>
  <c r="AJ19"/>
  <c r="AJ20"/>
  <c r="AJ22"/>
  <c r="AJ31"/>
  <c r="AI9"/>
  <c r="AI10"/>
  <c r="AI11"/>
  <c r="AI12"/>
  <c r="AI13"/>
  <c r="AI14"/>
  <c r="AI15"/>
  <c r="AI16"/>
  <c r="AI17"/>
  <c r="AI18"/>
  <c r="AI19"/>
  <c r="AI20"/>
  <c r="AI22"/>
  <c r="AI31"/>
  <c r="AH9"/>
  <c r="AH10"/>
  <c r="AH11"/>
  <c r="AH12"/>
  <c r="AH13"/>
  <c r="AH14"/>
  <c r="AH15"/>
  <c r="AH16"/>
  <c r="AH17"/>
  <c r="AH18"/>
  <c r="AH19"/>
  <c r="AH20"/>
  <c r="AH22"/>
  <c r="AH31"/>
  <c r="AG9"/>
  <c r="AG10"/>
  <c r="AG11"/>
  <c r="AG12"/>
  <c r="AG13"/>
  <c r="AG14"/>
  <c r="AG15"/>
  <c r="AG16"/>
  <c r="AG17"/>
  <c r="AG18"/>
  <c r="AG19"/>
  <c r="AG20"/>
  <c r="AG22"/>
  <c r="AG31"/>
  <c r="AF9"/>
  <c r="AF10"/>
  <c r="AF11"/>
  <c r="AF12"/>
  <c r="AF13"/>
  <c r="AF14"/>
  <c r="AF15"/>
  <c r="AF16"/>
  <c r="AF17"/>
  <c r="AF18"/>
  <c r="AF19"/>
  <c r="AF20"/>
  <c r="AF22"/>
  <c r="AF31"/>
  <c r="AE9"/>
  <c r="AE10"/>
  <c r="AE11"/>
  <c r="AE12"/>
  <c r="AE13"/>
  <c r="AE14"/>
  <c r="AE15"/>
  <c r="AE16"/>
  <c r="AE17"/>
  <c r="AE18"/>
  <c r="AE19"/>
  <c r="AE20"/>
  <c r="AE22"/>
  <c r="AE31"/>
  <c r="AD9"/>
  <c r="AD10"/>
  <c r="AD11"/>
  <c r="AD12"/>
  <c r="AD13"/>
  <c r="AD14"/>
  <c r="AD15"/>
  <c r="AD16"/>
  <c r="AD17"/>
  <c r="AD18"/>
  <c r="AD19"/>
  <c r="AD20"/>
  <c r="AD22"/>
  <c r="AD31"/>
  <c r="AC9"/>
  <c r="AC10"/>
  <c r="AC11"/>
  <c r="AC12"/>
  <c r="AC13"/>
  <c r="AC14"/>
  <c r="AC15"/>
  <c r="AC16"/>
  <c r="AC17"/>
  <c r="AC18"/>
  <c r="AC19"/>
  <c r="AC20"/>
  <c r="AC22"/>
  <c r="AC31"/>
  <c r="AB9"/>
  <c r="AB10"/>
  <c r="AB11"/>
  <c r="AB12"/>
  <c r="AB13"/>
  <c r="AB14"/>
  <c r="AB15"/>
  <c r="AB16"/>
  <c r="AB17"/>
  <c r="AB18"/>
  <c r="AB19"/>
  <c r="AB20"/>
  <c r="AB22"/>
  <c r="AB31"/>
  <c r="AA9"/>
  <c r="AA10"/>
  <c r="AA11"/>
  <c r="AA12"/>
  <c r="AA13"/>
  <c r="AA14"/>
  <c r="AA15"/>
  <c r="AA16"/>
  <c r="AA17"/>
  <c r="AA18"/>
  <c r="AA19"/>
  <c r="AA20"/>
  <c r="AA22"/>
  <c r="AA31"/>
  <c r="Z9"/>
  <c r="Z10"/>
  <c r="Z11"/>
  <c r="Z12"/>
  <c r="Z13"/>
  <c r="Z14"/>
  <c r="Z15"/>
  <c r="Z16"/>
  <c r="Z17"/>
  <c r="Z18"/>
  <c r="Z19"/>
  <c r="Z20"/>
  <c r="Z22"/>
  <c r="Z31"/>
  <c r="Y9"/>
  <c r="Y10"/>
  <c r="Y11"/>
  <c r="Y12"/>
  <c r="Y13"/>
  <c r="Y14"/>
  <c r="Y15"/>
  <c r="Y16"/>
  <c r="Y17"/>
  <c r="Y18"/>
  <c r="Y19"/>
  <c r="Y20"/>
  <c r="Y22"/>
  <c r="Y31"/>
  <c r="X9"/>
  <c r="X10"/>
  <c r="X11"/>
  <c r="X12"/>
  <c r="X13"/>
  <c r="X14"/>
  <c r="X15"/>
  <c r="X16"/>
  <c r="X17"/>
  <c r="X18"/>
  <c r="X19"/>
  <c r="X20"/>
  <c r="X22"/>
  <c r="X31"/>
  <c r="W9"/>
  <c r="W10"/>
  <c r="W11"/>
  <c r="W12"/>
  <c r="W13"/>
  <c r="W14"/>
  <c r="W15"/>
  <c r="W16"/>
  <c r="W17"/>
  <c r="W18"/>
  <c r="W19"/>
  <c r="W20"/>
  <c r="W22"/>
  <c r="W31"/>
  <c r="V9"/>
  <c r="V10"/>
  <c r="V11"/>
  <c r="V12"/>
  <c r="V13"/>
  <c r="V14"/>
  <c r="V15"/>
  <c r="V16"/>
  <c r="V17"/>
  <c r="V18"/>
  <c r="V19"/>
  <c r="V20"/>
  <c r="V22"/>
  <c r="V31"/>
  <c r="U9"/>
  <c r="U10"/>
  <c r="U11"/>
  <c r="U12"/>
  <c r="U13"/>
  <c r="U14"/>
  <c r="U15"/>
  <c r="U16"/>
  <c r="U17"/>
  <c r="U18"/>
  <c r="U19"/>
  <c r="U20"/>
  <c r="U22"/>
  <c r="U31"/>
  <c r="T9"/>
  <c r="T10"/>
  <c r="T11"/>
  <c r="T12"/>
  <c r="T13"/>
  <c r="T14"/>
  <c r="T15"/>
  <c r="T16"/>
  <c r="T17"/>
  <c r="T18"/>
  <c r="T19"/>
  <c r="T20"/>
  <c r="T22"/>
  <c r="T31"/>
  <c r="S9"/>
  <c r="S10"/>
  <c r="S11"/>
  <c r="S12"/>
  <c r="S13"/>
  <c r="S14"/>
  <c r="S15"/>
  <c r="S16"/>
  <c r="S17"/>
  <c r="S18"/>
  <c r="S19"/>
  <c r="S20"/>
  <c r="S22"/>
  <c r="S31"/>
  <c r="R9"/>
  <c r="R10"/>
  <c r="R11"/>
  <c r="R12"/>
  <c r="R13"/>
  <c r="R14"/>
  <c r="R15"/>
  <c r="R16"/>
  <c r="R17"/>
  <c r="R18"/>
  <c r="R19"/>
  <c r="R20"/>
  <c r="R22"/>
  <c r="R31"/>
  <c r="Q9"/>
  <c r="Q10"/>
  <c r="Q11"/>
  <c r="Q12"/>
  <c r="Q13"/>
  <c r="Q14"/>
  <c r="Q15"/>
  <c r="Q16"/>
  <c r="Q17"/>
  <c r="Q18"/>
  <c r="Q19"/>
  <c r="Q20"/>
  <c r="Q22"/>
  <c r="Q31"/>
  <c r="P9"/>
  <c r="P10"/>
  <c r="P11"/>
  <c r="P12"/>
  <c r="P13"/>
  <c r="P14"/>
  <c r="P15"/>
  <c r="P16"/>
  <c r="P17"/>
  <c r="P18"/>
  <c r="P19"/>
  <c r="P20"/>
  <c r="P22"/>
  <c r="P31"/>
  <c r="O9"/>
  <c r="O10"/>
  <c r="O11"/>
  <c r="O12"/>
  <c r="O13"/>
  <c r="O14"/>
  <c r="O15"/>
  <c r="O16"/>
  <c r="O17"/>
  <c r="O18"/>
  <c r="O19"/>
  <c r="O20"/>
  <c r="O22"/>
  <c r="O31"/>
  <c r="N9"/>
  <c r="N10"/>
  <c r="N11"/>
  <c r="N12"/>
  <c r="N13"/>
  <c r="N14"/>
  <c r="N15"/>
  <c r="N16"/>
  <c r="N17"/>
  <c r="N18"/>
  <c r="N19"/>
  <c r="N20"/>
  <c r="N22"/>
  <c r="N31"/>
  <c r="M9"/>
  <c r="M10"/>
  <c r="M11"/>
  <c r="M12"/>
  <c r="M13"/>
  <c r="M14"/>
  <c r="M15"/>
  <c r="M16"/>
  <c r="M17"/>
  <c r="M18"/>
  <c r="M19"/>
  <c r="M20"/>
  <c r="M22"/>
  <c r="M31"/>
  <c r="L9"/>
  <c r="L10"/>
  <c r="L11"/>
  <c r="L12"/>
  <c r="L13"/>
  <c r="L14"/>
  <c r="L15"/>
  <c r="L16"/>
  <c r="L17"/>
  <c r="L18"/>
  <c r="L19"/>
  <c r="L20"/>
  <c r="L22"/>
  <c r="L31"/>
  <c r="K9"/>
  <c r="K10"/>
  <c r="K11"/>
  <c r="K12"/>
  <c r="K13"/>
  <c r="K14"/>
  <c r="K15"/>
  <c r="K16"/>
  <c r="K17"/>
  <c r="K18"/>
  <c r="K19"/>
  <c r="K20"/>
  <c r="K22"/>
  <c r="K31"/>
  <c r="J9"/>
  <c r="J10"/>
  <c r="J11"/>
  <c r="J12"/>
  <c r="J13"/>
  <c r="J14"/>
  <c r="J15"/>
  <c r="J16"/>
  <c r="J17"/>
  <c r="J18"/>
  <c r="J19"/>
  <c r="J20"/>
  <c r="J22"/>
  <c r="J31"/>
  <c r="I9"/>
  <c r="I10"/>
  <c r="I11"/>
  <c r="I12"/>
  <c r="I13"/>
  <c r="I14"/>
  <c r="I15"/>
  <c r="I16"/>
  <c r="I17"/>
  <c r="I18"/>
  <c r="I19"/>
  <c r="I20"/>
  <c r="I22"/>
  <c r="I31"/>
  <c r="H9"/>
  <c r="H10"/>
  <c r="H11"/>
  <c r="H12"/>
  <c r="H13"/>
  <c r="H14"/>
  <c r="H15"/>
  <c r="H16"/>
  <c r="H17"/>
  <c r="H18"/>
  <c r="H19"/>
  <c r="H20"/>
  <c r="H22"/>
  <c r="H31"/>
  <c r="G9"/>
  <c r="G10"/>
  <c r="G11"/>
  <c r="G12"/>
  <c r="G13"/>
  <c r="G14"/>
  <c r="G15"/>
  <c r="G16"/>
  <c r="G17"/>
  <c r="G18"/>
  <c r="G19"/>
  <c r="G20"/>
  <c r="G22"/>
  <c r="G31"/>
  <c r="F9"/>
  <c r="F10"/>
  <c r="F11"/>
  <c r="F12"/>
  <c r="F13"/>
  <c r="F14"/>
  <c r="F15"/>
  <c r="F16"/>
  <c r="F17"/>
  <c r="F18"/>
  <c r="F19"/>
  <c r="F20"/>
  <c r="F22"/>
  <c r="F31"/>
  <c r="E9"/>
  <c r="E10"/>
  <c r="E11"/>
  <c r="E12"/>
  <c r="E13"/>
  <c r="E14"/>
  <c r="E15"/>
  <c r="E16"/>
  <c r="E17"/>
  <c r="E18"/>
  <c r="E19"/>
  <c r="E20"/>
  <c r="E22"/>
  <c r="E31"/>
  <c r="D9"/>
  <c r="D10"/>
  <c r="D11"/>
  <c r="D12"/>
  <c r="D13"/>
  <c r="D14"/>
  <c r="D15"/>
  <c r="D16"/>
  <c r="D17"/>
  <c r="D18"/>
  <c r="D19"/>
  <c r="D20"/>
  <c r="D22"/>
  <c r="D31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FB22"/>
  <c r="FH22"/>
  <c r="FG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FB20"/>
  <c r="FH20"/>
  <c r="FG20"/>
  <c r="FF20"/>
  <c r="EZ20"/>
  <c r="EY20"/>
  <c r="EX20"/>
  <c r="DN20"/>
  <c r="DF20"/>
  <c r="FB19"/>
  <c r="FH19"/>
  <c r="FG19"/>
  <c r="FF19"/>
  <c r="FA19"/>
  <c r="EZ19"/>
  <c r="EY19"/>
  <c r="EX19"/>
  <c r="EW19"/>
  <c r="EG19"/>
  <c r="EC19"/>
  <c r="DZ19"/>
  <c r="DX19"/>
  <c r="DV19"/>
  <c r="DT19"/>
  <c r="DS19"/>
  <c r="DN19"/>
  <c r="DF19"/>
  <c r="FB18"/>
  <c r="FH18"/>
  <c r="FG18"/>
  <c r="FF18"/>
  <c r="FA18"/>
  <c r="EZ18"/>
  <c r="EY18"/>
  <c r="EX18"/>
  <c r="EW18"/>
  <c r="EU18"/>
  <c r="ET18"/>
  <c r="EM18"/>
  <c r="EH18"/>
  <c r="EG18"/>
  <c r="ED18"/>
  <c r="EC18"/>
  <c r="EB18"/>
  <c r="EA18"/>
  <c r="DZ18"/>
  <c r="DY18"/>
  <c r="DX18"/>
  <c r="DT18"/>
  <c r="DS18"/>
  <c r="DR18"/>
  <c r="DQ18"/>
  <c r="DP18"/>
  <c r="DN18"/>
  <c r="DL18"/>
  <c r="DK18"/>
  <c r="DJ18"/>
  <c r="DI18"/>
  <c r="DH18"/>
  <c r="DF18"/>
  <c r="FB17"/>
  <c r="FH17"/>
  <c r="FG17"/>
  <c r="FF17"/>
  <c r="FA17"/>
  <c r="EZ17"/>
  <c r="EY17"/>
  <c r="EX17"/>
  <c r="EW17"/>
  <c r="EV17"/>
  <c r="EU17"/>
  <c r="ET17"/>
  <c r="ES17"/>
  <c r="EQ17"/>
  <c r="EO17"/>
  <c r="EN17"/>
  <c r="EM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L17"/>
  <c r="DK17"/>
  <c r="DJ17"/>
  <c r="DI17"/>
  <c r="DH17"/>
  <c r="DF17"/>
  <c r="DE17"/>
  <c r="FB16"/>
  <c r="FH16"/>
  <c r="FG16"/>
  <c r="FF16"/>
  <c r="FA16"/>
  <c r="EZ16"/>
  <c r="EY16"/>
  <c r="EX16"/>
  <c r="EW16"/>
  <c r="EV16"/>
  <c r="EU16"/>
  <c r="ET16"/>
  <c r="ES16"/>
  <c r="ER16"/>
  <c r="EQ16"/>
  <c r="EP16"/>
  <c r="EO16"/>
  <c r="EN16"/>
  <c r="EM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L16"/>
  <c r="DK16"/>
  <c r="DJ16"/>
  <c r="DI16"/>
  <c r="DH16"/>
  <c r="DG16"/>
  <c r="DF16"/>
  <c r="DE16"/>
  <c r="FB15"/>
  <c r="FH15"/>
  <c r="FG15"/>
  <c r="FF15"/>
  <c r="FA15"/>
  <c r="EZ15"/>
  <c r="EY15"/>
  <c r="EX15"/>
  <c r="EW15"/>
  <c r="EV15"/>
  <c r="EU15"/>
  <c r="ET15"/>
  <c r="ES15"/>
  <c r="ER15"/>
  <c r="EQ15"/>
  <c r="EP15"/>
  <c r="EO15"/>
  <c r="EN15"/>
  <c r="EM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L15"/>
  <c r="DK15"/>
  <c r="DJ15"/>
  <c r="DI15"/>
  <c r="DH15"/>
  <c r="DG15"/>
  <c r="DF15"/>
  <c r="DE15"/>
  <c r="FB14"/>
  <c r="FH14"/>
  <c r="FG14"/>
  <c r="FF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FB13"/>
  <c r="FH13"/>
  <c r="FG13"/>
  <c r="FF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FB12"/>
  <c r="FH12"/>
  <c r="FG12"/>
  <c r="FF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FB11"/>
  <c r="FH11"/>
  <c r="FG11"/>
  <c r="FF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FB10"/>
  <c r="FH10"/>
  <c r="FG10"/>
  <c r="FF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FB9"/>
  <c r="FH9"/>
  <c r="FG9"/>
  <c r="FF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J14" i="3"/>
  <c r="I14"/>
  <c r="H14"/>
  <c r="G14"/>
  <c r="F14"/>
  <c r="E14"/>
  <c r="D14"/>
  <c r="J13"/>
  <c r="I13"/>
  <c r="H13"/>
  <c r="G13"/>
  <c r="F13"/>
  <c r="E13"/>
  <c r="D13"/>
  <c r="J10"/>
  <c r="H10"/>
  <c r="J9"/>
  <c r="H9"/>
  <c r="J8"/>
  <c r="H8"/>
  <c r="J7"/>
  <c r="H7"/>
  <c r="J6"/>
  <c r="H6"/>
  <c r="J5"/>
  <c r="H5"/>
  <c r="G104" i="8"/>
  <c r="F104"/>
  <c r="E104"/>
  <c r="D104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0"/>
  <c r="F90"/>
  <c r="E90"/>
  <c r="D90"/>
  <c r="J82"/>
  <c r="G79"/>
  <c r="F79"/>
  <c r="E79"/>
  <c r="D79"/>
  <c r="F7" i="9"/>
  <c r="F8"/>
  <c r="F9"/>
  <c r="F10"/>
  <c r="F11"/>
  <c r="F12"/>
  <c r="F13"/>
  <c r="F14"/>
  <c r="F15"/>
  <c r="F16"/>
  <c r="F17"/>
  <c r="F19"/>
  <c r="F6"/>
  <c r="AX54" i="5"/>
  <c r="AW54"/>
  <c r="AV54"/>
  <c r="AU54"/>
  <c r="AX53"/>
  <c r="AW53"/>
  <c r="AV53"/>
  <c r="AX52"/>
  <c r="AW52"/>
  <c r="AV52"/>
  <c r="AX51"/>
  <c r="AW51"/>
  <c r="AV51"/>
  <c r="AX50"/>
  <c r="AW50"/>
  <c r="AV50"/>
  <c r="AX49"/>
  <c r="AW49"/>
  <c r="AV49"/>
  <c r="AX48"/>
  <c r="AW48"/>
  <c r="AV48"/>
  <c r="C20"/>
  <c r="C21"/>
  <c r="C22"/>
  <c r="C23"/>
  <c r="C12"/>
  <c r="C13"/>
  <c r="C26"/>
  <c r="C39"/>
  <c r="AR37"/>
  <c r="C37"/>
  <c r="C36"/>
  <c r="C35"/>
  <c r="C34"/>
  <c r="C33"/>
  <c r="C32"/>
  <c r="C31"/>
  <c r="BA30"/>
  <c r="AX29"/>
  <c r="AW29"/>
  <c r="AV29"/>
  <c r="AU29"/>
  <c r="AQ29"/>
  <c r="AV28"/>
  <c r="AQ28"/>
  <c r="AG12"/>
  <c r="BB22"/>
  <c r="BH22"/>
  <c r="BH26"/>
  <c r="AC12"/>
  <c r="BC22"/>
  <c r="BC23"/>
  <c r="BC24"/>
  <c r="BC26"/>
  <c r="AD12"/>
  <c r="BD22"/>
  <c r="BD23"/>
  <c r="BD24"/>
  <c r="BD26"/>
  <c r="BC12"/>
  <c r="BE22"/>
  <c r="BE23"/>
  <c r="BE24"/>
  <c r="BE26"/>
  <c r="BD12"/>
  <c r="BF22"/>
  <c r="BF24"/>
  <c r="BF26"/>
  <c r="AF12"/>
  <c r="BG22"/>
  <c r="BG23"/>
  <c r="BG24"/>
  <c r="BG26"/>
  <c r="BH27"/>
  <c r="AV27"/>
  <c r="C8"/>
  <c r="B20"/>
  <c r="C9"/>
  <c r="B21"/>
  <c r="C10"/>
  <c r="B22"/>
  <c r="C11"/>
  <c r="B23"/>
  <c r="B26"/>
  <c r="B27"/>
  <c r="BB26"/>
  <c r="BI26"/>
  <c r="AV26"/>
  <c r="BC25"/>
  <c r="BD25"/>
  <c r="BE25"/>
  <c r="BG25"/>
  <c r="BM25"/>
  <c r="AV25"/>
  <c r="X25"/>
  <c r="W25"/>
  <c r="V25"/>
  <c r="U25"/>
  <c r="T25"/>
  <c r="S25"/>
  <c r="R25"/>
  <c r="Q25"/>
  <c r="P25"/>
  <c r="O25"/>
  <c r="N25"/>
  <c r="M25"/>
  <c r="C25"/>
  <c r="BJ24"/>
  <c r="BI24"/>
  <c r="BH24"/>
  <c r="BB24"/>
  <c r="AV24"/>
  <c r="X24"/>
  <c r="W24"/>
  <c r="V24"/>
  <c r="U24"/>
  <c r="T24"/>
  <c r="S24"/>
  <c r="R24"/>
  <c r="Q24"/>
  <c r="P24"/>
  <c r="O24"/>
  <c r="N24"/>
  <c r="M24"/>
  <c r="C24"/>
  <c r="BM23"/>
  <c r="BH23"/>
  <c r="BF23"/>
  <c r="AV23"/>
  <c r="AG23"/>
  <c r="AF23"/>
  <c r="AE23"/>
  <c r="AD23"/>
  <c r="AC23"/>
  <c r="X23"/>
  <c r="W23"/>
  <c r="V23"/>
  <c r="U23"/>
  <c r="T23"/>
  <c r="S23"/>
  <c r="R23"/>
  <c r="Q23"/>
  <c r="P23"/>
  <c r="O23"/>
  <c r="N23"/>
  <c r="M23"/>
  <c r="BJ22"/>
  <c r="BI22"/>
  <c r="AM22"/>
  <c r="AG22"/>
  <c r="AF22"/>
  <c r="AE22"/>
  <c r="AD22"/>
  <c r="AC22"/>
  <c r="X22"/>
  <c r="W22"/>
  <c r="V22"/>
  <c r="U22"/>
  <c r="T22"/>
  <c r="S22"/>
  <c r="R22"/>
  <c r="Q22"/>
  <c r="P22"/>
  <c r="O22"/>
  <c r="N22"/>
  <c r="M22"/>
  <c r="AM21"/>
  <c r="AG21"/>
  <c r="AF21"/>
  <c r="AE21"/>
  <c r="AD21"/>
  <c r="AC21"/>
  <c r="X21"/>
  <c r="W21"/>
  <c r="V21"/>
  <c r="U21"/>
  <c r="T21"/>
  <c r="S21"/>
  <c r="R21"/>
  <c r="Q21"/>
  <c r="P21"/>
  <c r="O21"/>
  <c r="N21"/>
  <c r="M21"/>
  <c r="AG20"/>
  <c r="AF20"/>
  <c r="AE20"/>
  <c r="AD20"/>
  <c r="AC20"/>
  <c r="X20"/>
  <c r="W20"/>
  <c r="V20"/>
  <c r="U20"/>
  <c r="T20"/>
  <c r="S20"/>
  <c r="R20"/>
  <c r="Q20"/>
  <c r="P20"/>
  <c r="O20"/>
  <c r="N20"/>
  <c r="M20"/>
  <c r="AG19"/>
  <c r="AF19"/>
  <c r="AE19"/>
  <c r="AD19"/>
  <c r="AC19"/>
  <c r="AG18"/>
  <c r="AF18"/>
  <c r="AE18"/>
  <c r="AD18"/>
  <c r="AC18"/>
  <c r="AE12"/>
  <c r="AG14"/>
  <c r="AF14"/>
  <c r="BE13"/>
  <c r="BD13"/>
  <c r="BC13"/>
  <c r="AK13"/>
  <c r="AZ13"/>
  <c r="AM13"/>
  <c r="AP13"/>
  <c r="BA13"/>
  <c r="BB13"/>
  <c r="AR13"/>
  <c r="AJ13"/>
  <c r="AT13"/>
  <c r="AQ13"/>
  <c r="AO13"/>
  <c r="AN13"/>
  <c r="AL13"/>
  <c r="AG13"/>
  <c r="AF13"/>
  <c r="AE13"/>
  <c r="AD13"/>
  <c r="AC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BE12"/>
  <c r="AK12"/>
  <c r="AZ12"/>
  <c r="AM12"/>
  <c r="AP12"/>
  <c r="BA12"/>
  <c r="BB12"/>
  <c r="AR12"/>
  <c r="AJ12"/>
  <c r="AT12"/>
  <c r="AQ12"/>
  <c r="AO12"/>
  <c r="AN12"/>
  <c r="AL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BE11"/>
  <c r="BD11"/>
  <c r="BC11"/>
  <c r="AK11"/>
  <c r="AZ11"/>
  <c r="AM11"/>
  <c r="AP11"/>
  <c r="BA11"/>
  <c r="BB11"/>
  <c r="AR11"/>
  <c r="AJ11"/>
  <c r="AT11"/>
  <c r="AQ11"/>
  <c r="AO11"/>
  <c r="AN11"/>
  <c r="AL11"/>
  <c r="AG11"/>
  <c r="AF11"/>
  <c r="AE11"/>
  <c r="AD11"/>
  <c r="AC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BE10"/>
  <c r="BD10"/>
  <c r="BC10"/>
  <c r="AK10"/>
  <c r="AZ10"/>
  <c r="AM10"/>
  <c r="AP10"/>
  <c r="BA10"/>
  <c r="BB10"/>
  <c r="AR10"/>
  <c r="AJ10"/>
  <c r="AT10"/>
  <c r="AQ10"/>
  <c r="AO10"/>
  <c r="AN10"/>
  <c r="AL10"/>
  <c r="AG10"/>
  <c r="AF10"/>
  <c r="AE10"/>
  <c r="AD10"/>
  <c r="AC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BE9"/>
  <c r="BD9"/>
  <c r="BC9"/>
  <c r="AK9"/>
  <c r="AZ9"/>
  <c r="AM9"/>
  <c r="AP9"/>
  <c r="BA9"/>
  <c r="BB9"/>
  <c r="AR9"/>
  <c r="AJ9"/>
  <c r="AT9"/>
  <c r="AQ9"/>
  <c r="AO9"/>
  <c r="AN9"/>
  <c r="AL9"/>
  <c r="AG9"/>
  <c r="AF9"/>
  <c r="AE9"/>
  <c r="AD9"/>
  <c r="AC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AG8"/>
  <c r="AF8"/>
  <c r="AE8"/>
  <c r="AD8"/>
  <c r="AC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P14" i="6"/>
  <c r="L14"/>
  <c r="O25"/>
  <c r="P19"/>
  <c r="L22"/>
  <c r="L11"/>
  <c r="M11"/>
  <c r="L20"/>
  <c r="B7"/>
  <c r="C7"/>
  <c r="D7"/>
  <c r="B8"/>
  <c r="C8"/>
  <c r="D8"/>
  <c r="B9"/>
  <c r="C9"/>
  <c r="D9"/>
  <c r="B10"/>
  <c r="C10"/>
  <c r="D10"/>
  <c r="B11"/>
  <c r="C11"/>
  <c r="D11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D20"/>
  <c r="B13"/>
  <c r="B20"/>
  <c r="C20"/>
  <c r="L19"/>
  <c r="N19"/>
  <c r="O19"/>
  <c r="Q19"/>
  <c r="R19"/>
  <c r="S19"/>
  <c r="J19"/>
  <c r="I19"/>
  <c r="H19"/>
  <c r="G19"/>
  <c r="E19"/>
  <c r="P18"/>
  <c r="L18"/>
  <c r="N18"/>
  <c r="O18"/>
  <c r="Q18"/>
  <c r="R18"/>
  <c r="S18"/>
  <c r="J18"/>
  <c r="I18"/>
  <c r="H18"/>
  <c r="G18"/>
  <c r="E18"/>
  <c r="P17"/>
  <c r="L17"/>
  <c r="N17"/>
  <c r="O17"/>
  <c r="Q17"/>
  <c r="R17"/>
  <c r="S17"/>
  <c r="J17"/>
  <c r="I17"/>
  <c r="H17"/>
  <c r="G17"/>
  <c r="E17"/>
  <c r="P16"/>
  <c r="L16"/>
  <c r="N16"/>
  <c r="O16"/>
  <c r="Q16"/>
  <c r="R16"/>
  <c r="S16"/>
  <c r="J16"/>
  <c r="I16"/>
  <c r="H16"/>
  <c r="G16"/>
  <c r="E16"/>
  <c r="P15"/>
  <c r="L15"/>
  <c r="N15"/>
  <c r="O15"/>
  <c r="Q15"/>
  <c r="R15"/>
  <c r="S15"/>
  <c r="J15"/>
  <c r="I15"/>
  <c r="H15"/>
  <c r="G15"/>
  <c r="E15"/>
  <c r="N14"/>
  <c r="O14"/>
  <c r="Q14"/>
  <c r="R14"/>
  <c r="S14"/>
  <c r="J14"/>
  <c r="I14"/>
  <c r="H14"/>
  <c r="G14"/>
  <c r="E14"/>
  <c r="C13"/>
  <c r="Q11"/>
  <c r="N11"/>
  <c r="O11"/>
  <c r="P11"/>
  <c r="S11"/>
  <c r="R3"/>
  <c r="R11"/>
  <c r="E11"/>
  <c r="F11"/>
  <c r="G11"/>
  <c r="H11"/>
  <c r="I11"/>
  <c r="J11"/>
  <c r="Q10"/>
  <c r="L10"/>
  <c r="M10"/>
  <c r="N10"/>
  <c r="O10"/>
  <c r="P10"/>
  <c r="S10"/>
  <c r="R10"/>
  <c r="E10"/>
  <c r="F10"/>
  <c r="G10"/>
  <c r="H10"/>
  <c r="I10"/>
  <c r="J10"/>
  <c r="Q9"/>
  <c r="L9"/>
  <c r="M9"/>
  <c r="N9"/>
  <c r="O9"/>
  <c r="P9"/>
  <c r="S9"/>
  <c r="R9"/>
  <c r="E9"/>
  <c r="F9"/>
  <c r="G9"/>
  <c r="H9"/>
  <c r="I9"/>
  <c r="J9"/>
  <c r="Q8"/>
  <c r="L8"/>
  <c r="M8"/>
  <c r="N8"/>
  <c r="O8"/>
  <c r="P8"/>
  <c r="S8"/>
  <c r="R8"/>
  <c r="E8"/>
  <c r="F8"/>
  <c r="G8"/>
  <c r="H8"/>
  <c r="I8"/>
  <c r="J8"/>
  <c r="Q7"/>
  <c r="L7"/>
  <c r="M7"/>
  <c r="N7"/>
  <c r="P7"/>
  <c r="S7"/>
  <c r="R7"/>
  <c r="E7"/>
  <c r="F7"/>
  <c r="G7"/>
  <c r="H7"/>
  <c r="I7"/>
  <c r="J7"/>
  <c r="Y40" i="4"/>
  <c r="X40"/>
  <c r="W40"/>
  <c r="V40"/>
  <c r="U40"/>
  <c r="T40"/>
  <c r="S40"/>
  <c r="R40"/>
  <c r="Q40"/>
  <c r="P40"/>
  <c r="O40"/>
  <c r="N40"/>
  <c r="Y39"/>
  <c r="X39"/>
  <c r="W39"/>
  <c r="V39"/>
  <c r="U39"/>
  <c r="T39"/>
  <c r="S39"/>
  <c r="R39"/>
  <c r="Q39"/>
  <c r="P39"/>
  <c r="O39"/>
  <c r="N39"/>
  <c r="Y38"/>
  <c r="X38"/>
  <c r="W38"/>
  <c r="V38"/>
  <c r="U38"/>
  <c r="T38"/>
  <c r="S38"/>
  <c r="R38"/>
  <c r="Q38"/>
  <c r="P38"/>
  <c r="O38"/>
  <c r="N38"/>
  <c r="AW37"/>
  <c r="AV37"/>
  <c r="AU37"/>
  <c r="AT37"/>
  <c r="AS37"/>
  <c r="AR37"/>
  <c r="Y37"/>
  <c r="X37"/>
  <c r="W37"/>
  <c r="V37"/>
  <c r="U37"/>
  <c r="T37"/>
  <c r="S37"/>
  <c r="R37"/>
  <c r="Q37"/>
  <c r="P37"/>
  <c r="O37"/>
  <c r="N37"/>
  <c r="AW36"/>
  <c r="AV36"/>
  <c r="AU36"/>
  <c r="AT36"/>
  <c r="AS36"/>
  <c r="AR36"/>
  <c r="Y36"/>
  <c r="X36"/>
  <c r="W36"/>
  <c r="V36"/>
  <c r="U36"/>
  <c r="T36"/>
  <c r="S36"/>
  <c r="R36"/>
  <c r="Q36"/>
  <c r="P36"/>
  <c r="O36"/>
  <c r="N36"/>
  <c r="AW35"/>
  <c r="AV35"/>
  <c r="AU35"/>
  <c r="AT35"/>
  <c r="AS35"/>
  <c r="AR35"/>
  <c r="Y35"/>
  <c r="X35"/>
  <c r="W35"/>
  <c r="V35"/>
  <c r="U35"/>
  <c r="T35"/>
  <c r="S35"/>
  <c r="R35"/>
  <c r="Q35"/>
  <c r="P35"/>
  <c r="O35"/>
  <c r="N35"/>
  <c r="AW34"/>
  <c r="AV34"/>
  <c r="AU34"/>
  <c r="AT34"/>
  <c r="AS34"/>
  <c r="AR34"/>
  <c r="AW33"/>
  <c r="AV33"/>
  <c r="AU33"/>
  <c r="AT33"/>
  <c r="AS33"/>
  <c r="AR33"/>
  <c r="AW32"/>
  <c r="AV32"/>
  <c r="AU32"/>
  <c r="AT32"/>
  <c r="AS32"/>
  <c r="AR32"/>
  <c r="H32"/>
  <c r="AN29"/>
  <c r="AL29"/>
  <c r="Z29"/>
  <c r="Y29"/>
  <c r="X29"/>
  <c r="W29"/>
  <c r="V29"/>
  <c r="U29"/>
  <c r="T29"/>
  <c r="S29"/>
  <c r="R29"/>
  <c r="Q29"/>
  <c r="P29"/>
  <c r="O29"/>
  <c r="N29"/>
  <c r="K29"/>
  <c r="J29"/>
  <c r="I29"/>
  <c r="D29"/>
  <c r="AV27"/>
  <c r="AU27"/>
  <c r="AT27"/>
  <c r="AS27"/>
  <c r="AR27"/>
  <c r="AN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L27"/>
  <c r="K27"/>
  <c r="J27"/>
  <c r="I27"/>
  <c r="G27"/>
  <c r="F27"/>
  <c r="E27"/>
  <c r="D27"/>
  <c r="C27"/>
  <c r="AV26"/>
  <c r="AU26"/>
  <c r="AT26"/>
  <c r="AS26"/>
  <c r="AR26"/>
  <c r="AN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L26"/>
  <c r="K26"/>
  <c r="J26"/>
  <c r="I26"/>
  <c r="G26"/>
  <c r="F26"/>
  <c r="E26"/>
  <c r="D26"/>
  <c r="C26"/>
  <c r="AV25"/>
  <c r="AU25"/>
  <c r="AT25"/>
  <c r="AS25"/>
  <c r="AR25"/>
  <c r="AN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L25"/>
  <c r="K25"/>
  <c r="J25"/>
  <c r="I25"/>
  <c r="G25"/>
  <c r="F25"/>
  <c r="E25"/>
  <c r="D25"/>
  <c r="C25"/>
  <c r="AV24"/>
  <c r="AU24"/>
  <c r="AT24"/>
  <c r="AS24"/>
  <c r="AR24"/>
  <c r="AN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L24"/>
  <c r="K24"/>
  <c r="J24"/>
  <c r="I24"/>
  <c r="G24"/>
  <c r="F24"/>
  <c r="E24"/>
  <c r="D24"/>
  <c r="C24"/>
  <c r="AV23"/>
  <c r="AU23"/>
  <c r="AT23"/>
  <c r="AS23"/>
  <c r="AR23"/>
  <c r="AN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L23"/>
  <c r="K23"/>
  <c r="J23"/>
  <c r="I23"/>
  <c r="G23"/>
  <c r="F23"/>
  <c r="E23"/>
  <c r="D23"/>
  <c r="C23"/>
  <c r="AV22"/>
  <c r="AU22"/>
  <c r="AT22"/>
  <c r="AS22"/>
  <c r="AR22"/>
  <c r="AN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L22"/>
  <c r="K22"/>
  <c r="J22"/>
  <c r="I22"/>
  <c r="G22"/>
  <c r="F22"/>
  <c r="E22"/>
  <c r="D22"/>
  <c r="C22"/>
  <c r="AW16"/>
  <c r="AV16"/>
  <c r="AU16"/>
  <c r="AT16"/>
  <c r="AS16"/>
  <c r="AR16"/>
  <c r="AQ16"/>
  <c r="AP16"/>
  <c r="AO16"/>
  <c r="Y16"/>
  <c r="X16"/>
  <c r="W16"/>
  <c r="V16"/>
  <c r="U16"/>
  <c r="T16"/>
  <c r="S16"/>
  <c r="R16"/>
  <c r="Q16"/>
  <c r="P16"/>
  <c r="O16"/>
  <c r="N16"/>
  <c r="K16"/>
  <c r="J16"/>
  <c r="I16"/>
  <c r="H16"/>
  <c r="G16"/>
  <c r="F16"/>
  <c r="E16"/>
  <c r="D16"/>
  <c r="C16"/>
  <c r="BK15"/>
  <c r="BJ15"/>
  <c r="BI15"/>
  <c r="BH15"/>
  <c r="BG15"/>
  <c r="BF15"/>
  <c r="BE15"/>
  <c r="AY15"/>
  <c r="AL15"/>
  <c r="AK15"/>
  <c r="AJ15"/>
  <c r="AI15"/>
  <c r="AH15"/>
  <c r="AG15"/>
  <c r="AF15"/>
  <c r="AE15"/>
  <c r="AD15"/>
  <c r="AC15"/>
  <c r="AB15"/>
  <c r="AA15"/>
  <c r="K15"/>
  <c r="J15"/>
  <c r="I15"/>
  <c r="BK14"/>
  <c r="BJ14"/>
  <c r="BI14"/>
  <c r="BH14"/>
  <c r="BG14"/>
  <c r="BF14"/>
  <c r="BE14"/>
  <c r="AY14"/>
  <c r="AL14"/>
  <c r="AK14"/>
  <c r="AJ14"/>
  <c r="AI14"/>
  <c r="AH14"/>
  <c r="AG14"/>
  <c r="AF14"/>
  <c r="AE14"/>
  <c r="AD14"/>
  <c r="AC14"/>
  <c r="AB14"/>
  <c r="AA14"/>
  <c r="K14"/>
  <c r="J14"/>
  <c r="I14"/>
  <c r="BK13"/>
  <c r="BJ13"/>
  <c r="BI13"/>
  <c r="BH13"/>
  <c r="BG13"/>
  <c r="BF13"/>
  <c r="BE13"/>
  <c r="AY13"/>
  <c r="AL13"/>
  <c r="AK13"/>
  <c r="AJ13"/>
  <c r="AI13"/>
  <c r="AH13"/>
  <c r="AG13"/>
  <c r="AF13"/>
  <c r="AE13"/>
  <c r="AD13"/>
  <c r="AC13"/>
  <c r="AB13"/>
  <c r="AA13"/>
  <c r="K13"/>
  <c r="J13"/>
  <c r="I13"/>
  <c r="BK12"/>
  <c r="BJ12"/>
  <c r="BI12"/>
  <c r="BH12"/>
  <c r="BG12"/>
  <c r="BF12"/>
  <c r="BE12"/>
  <c r="AY12"/>
  <c r="AL12"/>
  <c r="AK12"/>
  <c r="AJ12"/>
  <c r="AI12"/>
  <c r="AH12"/>
  <c r="AG12"/>
  <c r="AF12"/>
  <c r="AE12"/>
  <c r="AD12"/>
  <c r="AC12"/>
  <c r="AB12"/>
  <c r="AA12"/>
  <c r="K12"/>
  <c r="J12"/>
  <c r="I12"/>
  <c r="BK11"/>
  <c r="BJ11"/>
  <c r="BI11"/>
  <c r="BH11"/>
  <c r="BG11"/>
  <c r="BF11"/>
  <c r="BE11"/>
  <c r="AY11"/>
  <c r="AL11"/>
  <c r="AK11"/>
  <c r="AJ11"/>
  <c r="AI11"/>
  <c r="AH11"/>
  <c r="AG11"/>
  <c r="AF11"/>
  <c r="AE11"/>
  <c r="AD11"/>
  <c r="AC11"/>
  <c r="AB11"/>
  <c r="AA11"/>
  <c r="K11"/>
  <c r="J11"/>
  <c r="I11"/>
  <c r="BK10"/>
  <c r="AL10"/>
  <c r="AK10"/>
  <c r="AJ10"/>
  <c r="AI10"/>
  <c r="AH10"/>
  <c r="AG10"/>
  <c r="AF10"/>
  <c r="AE10"/>
  <c r="AD10"/>
  <c r="AC10"/>
  <c r="AB10"/>
  <c r="AA10"/>
  <c r="K10"/>
  <c r="J10"/>
  <c r="I10"/>
</calcChain>
</file>

<file path=xl/sharedStrings.xml><?xml version="1.0" encoding="utf-8"?>
<sst xmlns="http://schemas.openxmlformats.org/spreadsheetml/2006/main" count="1985" uniqueCount="920">
  <si>
    <t>Source for 1897 population and household counts by sector: [Senator] Troinitskii, N.A. (ed.), Protsentnoe raspredelenie nalichnogo nacelenia Imperii oboego pola po gruppam zanyatia,</t>
  </si>
  <si>
    <t>pokazannykh pri perepici glavnymi, kak dostavlyayushchia glavneishchia sredstvo sushchestvovania (St. Petersburg, 1905), vypuska 8.</t>
  </si>
  <si>
    <t>Source for adjustment of populations from 1897 to 1904 (1 January 1905): 1905 Statisticheskii Ezhegodnik/ Annuaire Statistique, pp. 40-53.</t>
  </si>
  <si>
    <t>Source for zemsvo annual wage, 1891-1900: Russia, Department okladnykh sborov, Ministervo Finansov. Materialy Vysochaishe Uchrezhdennoi 16 Noiabria 1901 G. Kommissii Po Izsledovaniiu Voprosa O Dvizhenii S 1861 G. Po 1900 G. Blagosostoianiia Sel'skago Naseleniia Srednezemledel'cheskikh Gubernii, Sravnitel'no S Drugimi Mestnostiami Evropeiskoi Rossii. 3 vols. St. Petersburg, Russia: P.P. Soikina, 1903. p. 199; 234-237</t>
  </si>
  <si>
    <t>Zemstvo studies' average incomes per peasant household</t>
  </si>
  <si>
    <t xml:space="preserve">As shown in the Appendix on Stratifying Peasant Incomes, such studies yielded usable average household incomes for six provinces from the 1890s and start of the twentieth century.  </t>
  </si>
  <si>
    <t xml:space="preserve">See that appendix, plus the derivations in the Excel File "Peasant incomes 1904 23mar12.xlsx" at http://gpih.ucdavis.edu, under Russia.  </t>
    <phoneticPr fontId="1" type="noConversion"/>
  </si>
  <si>
    <t>Estimated Peasant Household Incomes 1904</t>
    <phoneticPr fontId="1" type="noConversion"/>
  </si>
  <si>
    <r>
      <t>Sources and notes for Table 4</t>
    </r>
    <r>
      <rPr>
        <sz val="12"/>
        <rFont val="Cambria"/>
      </rPr>
      <t>:</t>
    </r>
    <phoneticPr fontId="1" type="noConversion"/>
  </si>
  <si>
    <t>NNP, Variant 1</t>
    <phoneticPr fontId="1" type="noConversion"/>
  </si>
  <si>
    <t>Implied price of non-farm prod's</t>
    <phoneticPr fontId="1" type="noConversion"/>
  </si>
  <si>
    <t>Nafziger-Lindert</t>
    <phoneticPr fontId="1" type="noConversion"/>
  </si>
  <si>
    <t>Shcherbina's study for 1897 offers nadel areas, privately purchased land, chetvertnaia lands, total cultivable land, and land currently under cultivation.</t>
    <phoneticPr fontId="1" type="noConversion"/>
  </si>
  <si>
    <t xml:space="preserve">No combination of land types makes the totals from the two sources the same.  </t>
    <phoneticPr fontId="1" type="noConversion"/>
  </si>
  <si>
    <t xml:space="preserve">Accordingly, we link all other provinces' nadel lands in the 1905 census to the Voronezh 1905 nadel lands </t>
    <phoneticPr fontId="1" type="noConversion"/>
  </si>
  <si>
    <t>Poor farmless peasant laborers</t>
    <phoneticPr fontId="1" type="noConversion"/>
  </si>
  <si>
    <t>Lower farm operators</t>
    <phoneticPr fontId="1" type="noConversion"/>
  </si>
  <si>
    <t>Middle farm operators</t>
    <phoneticPr fontId="1" type="noConversion"/>
  </si>
  <si>
    <t>Upper farm operators</t>
    <phoneticPr fontId="1" type="noConversion"/>
  </si>
  <si>
    <t>Top farmers not private owners</t>
    <phoneticPr fontId="1" type="noConversion"/>
  </si>
  <si>
    <t>positive &lt;1k private owners</t>
    <phoneticPr fontId="1" type="noConversion"/>
  </si>
  <si>
    <t>1k-2k private owners</t>
    <phoneticPr fontId="1" type="noConversion"/>
  </si>
  <si>
    <t>2k-5k private owners</t>
    <phoneticPr fontId="1" type="noConversion"/>
  </si>
  <si>
    <t>5k-10k private owners</t>
    <phoneticPr fontId="1" type="noConversion"/>
  </si>
  <si>
    <t>10k-20k private owners</t>
    <phoneticPr fontId="1" type="noConversion"/>
  </si>
  <si>
    <t>20k-50k private owners</t>
    <phoneticPr fontId="1" type="noConversion"/>
  </si>
  <si>
    <t>50k-up private owners</t>
    <phoneticPr fontId="1" type="noConversion"/>
  </si>
  <si>
    <t xml:space="preserve">Table 4.  </t>
    <phoneticPr fontId="1" type="noConversion"/>
  </si>
  <si>
    <t>(1000s)</t>
    <phoneticPr fontId="1" type="noConversion"/>
  </si>
  <si>
    <t>(1000 r)</t>
    <phoneticPr fontId="1" type="noConversion"/>
  </si>
  <si>
    <t>Table added, 23 mar 2012</t>
    <phoneticPr fontId="1" type="noConversion"/>
  </si>
  <si>
    <t>depends on the landholding concept.  The 1905 census offers private individual holdings, obshchestva-tovarishchva, and nadel areas.</t>
    <phoneticPr fontId="1" type="noConversion"/>
  </si>
  <si>
    <t xml:space="preserve">As shown in the Appendix on Stratifying Peasant Incomes, such studies yielded usable average household incomes for six provinces from the 1890s and start of the twentieth century.  </t>
    <phoneticPr fontId="1" type="noConversion"/>
  </si>
  <si>
    <r>
      <t>Kostroma</t>
    </r>
    <r>
      <rPr>
        <sz val="12"/>
        <rFont val="Arial"/>
      </rPr>
      <t xml:space="preserve">: </t>
    </r>
    <phoneticPr fontId="1" type="noConversion"/>
  </si>
  <si>
    <t>We have not used the Kostroma figures, which Johnson acknowledges may be outliers because of the sample selection in the original zemstvo study.</t>
    <phoneticPr fontId="1" type="noConversion"/>
  </si>
  <si>
    <t>Private collectives (obshchestvennaia i tovarishchvennaia) landownership for peasant farm-operating households</t>
    <phoneticPr fontId="1" type="noConversion"/>
  </si>
  <si>
    <t>Institutionally, these land holdings tended to be distributed in proportion to the household labor force, as with the shared nadel lands.</t>
    <phoneticPr fontId="1" type="noConversion"/>
  </si>
  <si>
    <t xml:space="preserve">We therefore calculate the ratio of (collective private)/(nadel) rental values for each province seperately, and use it to calculate the </t>
    <phoneticPr fontId="1" type="noConversion"/>
  </si>
  <si>
    <t>rental values of that province's private collective (ob.&amp; tovar.) lands used by peasants.</t>
    <phoneticPr fontId="1" type="noConversion"/>
  </si>
  <si>
    <r>
      <t xml:space="preserve">These are derived from the current-price and 1913-price national accounts in Paul R. Gregory, </t>
    </r>
    <r>
      <rPr>
        <i/>
        <sz val="12"/>
        <rFont val="Arial"/>
      </rPr>
      <t>Russian National Income 1885-1913</t>
    </r>
    <r>
      <rPr>
        <sz val="12"/>
        <rFont val="Arial"/>
      </rPr>
      <t xml:space="preserve"> (Cambridge: Cambridge University Press, 1982), pp. 56-59.</t>
    </r>
    <phoneticPr fontId="1" type="noConversion"/>
  </si>
  <si>
    <t>(millions of credit rubles)</t>
    <phoneticPr fontId="1" type="noConversion"/>
  </si>
  <si>
    <t>Current P's</t>
    <phoneticPr fontId="1" type="noConversion"/>
  </si>
  <si>
    <t>All retail sales</t>
    <phoneticPr fontId="1" type="noConversion"/>
  </si>
  <si>
    <t>Urban housing rents</t>
    <phoneticPr fontId="1" type="noConversion"/>
  </si>
  <si>
    <t>Rural housing rents</t>
    <phoneticPr fontId="1" type="noConversion"/>
  </si>
  <si>
    <t>Farm products, cons in kind</t>
    <phoneticPr fontId="1" type="noConversion"/>
  </si>
  <si>
    <t>Grain products</t>
    <phoneticPr fontId="1" type="noConversion"/>
  </si>
  <si>
    <t>Implied non-grain farm prod's</t>
    <phoneticPr fontId="1" type="noConversion"/>
  </si>
  <si>
    <t>All personal consumption, V1</t>
    <phoneticPr fontId="1" type="noConversion"/>
  </si>
  <si>
    <t>NNP, Variant 1</t>
    <phoneticPr fontId="1" type="noConversion"/>
  </si>
  <si>
    <t>NNP per capita, Variant 1</t>
    <phoneticPr fontId="1" type="noConversion"/>
  </si>
  <si>
    <t>Ratio 1904/1897 =</t>
    <phoneticPr fontId="1" type="noConversion"/>
  </si>
  <si>
    <t>Price index</t>
    <phoneticPr fontId="1" type="noConversion"/>
  </si>
  <si>
    <t>Ratios, 1904/1897</t>
    <phoneticPr fontId="1" type="noConversion"/>
  </si>
  <si>
    <t>Non-farm prod's</t>
    <phoneticPr fontId="1" type="noConversion"/>
  </si>
  <si>
    <t>Price index</t>
    <phoneticPr fontId="1" type="noConversion"/>
  </si>
  <si>
    <t>Implied non-grain farm prod's</t>
    <phoneticPr fontId="1" type="noConversion"/>
  </si>
  <si>
    <t>(Using a geometric decomposition of all farm product prices into the prices of grain and non-grain products.)</t>
    <phoneticPr fontId="1" type="noConversion"/>
  </si>
  <si>
    <t>All personal consumption, V1</t>
    <phoneticPr fontId="1" type="noConversion"/>
  </si>
  <si>
    <r>
      <t xml:space="preserve">Source for zemsvo annual wage, 1891-1900: Russia, Department okladnykh sborov, Ministervo Finansov. </t>
    </r>
    <r>
      <rPr>
        <i/>
        <sz val="12"/>
        <rFont val="Arial"/>
      </rPr>
      <t>Materialy Vysochaishe Uchrezhdennoi 16 Noiabria 1901 G. Kommissii Po Izsledovaniiu Voprosa O Dvizhenii S 1861 G. Po 1900 G. Blagosostoianiia Sel'skago Naseleniia Srednezemledel'cheskikh Gubernii, Sravnitel'no S Drugimi Mestnostiami Evropeiskoi Rossii.</t>
    </r>
    <r>
      <rPr>
        <sz val="12"/>
        <rFont val="Arial"/>
      </rPr>
      <t xml:space="preserve"> 3 vols. St. Petersburg, Russia: P.P. Soikina, 1903. p. 199; 234-237</t>
    </r>
    <phoneticPr fontId="1" type="noConversion"/>
  </si>
  <si>
    <t>Zemstvo studies' average incomes per peasant household</t>
    <phoneticPr fontId="1" type="noConversion"/>
  </si>
  <si>
    <t>in the same census, not using the Shcherbina nadel (or other) lands for Voronezh.</t>
    <phoneticPr fontId="1" type="noConversion"/>
  </si>
  <si>
    <r>
      <t>(IV.A) Poor farmless peasant laborers</t>
    </r>
    <r>
      <rPr>
        <sz val="12"/>
        <rFont val="Arial"/>
      </rPr>
      <t xml:space="preserve">:  </t>
    </r>
    <phoneticPr fontId="1" type="noConversion"/>
  </si>
  <si>
    <t>Mixed income = exp((0.545*ln(this province's agricultural income relative to Voronezh))+(0.455*ln(this province's industrial income relative to Voronezh))).</t>
    <phoneticPr fontId="1" type="noConversion"/>
  </si>
  <si>
    <r>
      <t>Price deflators for 1897-1904</t>
    </r>
    <r>
      <rPr>
        <sz val="12"/>
        <rFont val="Arial"/>
      </rPr>
      <t xml:space="preserve"> (only the NNP per capita series was used in this peasant incomes file):</t>
    </r>
    <phoneticPr fontId="1" type="noConversion"/>
  </si>
  <si>
    <t>This formula will be used for the non-peasant classes, for which our best clues to LF/HH are the populations per household at the province level.</t>
    <phoneticPr fontId="1" type="noConversion"/>
  </si>
  <si>
    <t>For peasant households, however, we borrow the peasant-specific Voronezh 1896 ratios of LF to HH offered by Shcherbina.</t>
    <phoneticPr fontId="1" type="noConversion"/>
  </si>
  <si>
    <t>That might be true to the extent that peasant households had a higher dependency ratio.  We note, however, that our assumption can be challenged.</t>
    <phoneticPr fontId="1" type="noConversion"/>
  </si>
  <si>
    <r>
      <t>Private individual landownership for peasant households owning under 1,000 rubles</t>
    </r>
    <r>
      <rPr>
        <sz val="12"/>
        <rFont val="Arial"/>
      </rPr>
      <t xml:space="preserve"> (in "peasant income details" worksheet):</t>
    </r>
    <phoneticPr fontId="1" type="noConversion"/>
  </si>
  <si>
    <t>per owner having less than 1,000 rubles seemed mor reliable.  That this 384 rubles is above the averages for peasants owning under 1,000 seems plausible.</t>
    <phoneticPr fontId="1" type="noConversion"/>
  </si>
  <si>
    <t>Land area mismatches for Voronezh province:</t>
    <phoneticPr fontId="1" type="noConversion"/>
  </si>
  <si>
    <t xml:space="preserve">The owned areas recorded in the 1905 land census for Voronezh province do not match the land areas </t>
    <phoneticPr fontId="1" type="noConversion"/>
  </si>
  <si>
    <t>estimated by inflating from the Shcherbina sample to the province.  Which source gives the higher area</t>
    <phoneticPr fontId="1" type="noConversion"/>
  </si>
  <si>
    <t>The seven peasant landowning ranges</t>
    <phoneticPr fontId="1" type="noConversion"/>
  </si>
  <si>
    <t>Workers per</t>
    <phoneticPr fontId="1" type="noConversion"/>
  </si>
  <si>
    <t>household</t>
    <phoneticPr fontId="1" type="noConversion"/>
  </si>
  <si>
    <t>private lands as for nadel, there is no easy way to translate the 1897</t>
    <phoneticPr fontId="1" type="noConversion"/>
  </si>
  <si>
    <t xml:space="preserve">land areas (or their rental equivalents) from Shcherbina into the </t>
    <phoneticPr fontId="1" type="noConversion"/>
  </si>
  <si>
    <t>Original</t>
    <phoneticPr fontId="1" type="noConversion"/>
  </si>
  <si>
    <t>nadel total =</t>
    <phoneticPr fontId="1" type="noConversion"/>
  </si>
  <si>
    <t>group</t>
    <phoneticPr fontId="1" type="noConversion"/>
  </si>
  <si>
    <t>households</t>
    <phoneticPr fontId="1" type="noConversion"/>
  </si>
  <si>
    <t>income</t>
    <phoneticPr fontId="1" type="noConversion"/>
  </si>
  <si>
    <t>residual</t>
    <phoneticPr fontId="1" type="noConversion"/>
  </si>
  <si>
    <t xml:space="preserve">Average peasant incomes per household </t>
    <phoneticPr fontId="1" type="noConversion"/>
  </si>
  <si>
    <t>private landowners:</t>
    <phoneticPr fontId="1" type="noConversion"/>
  </si>
  <si>
    <t xml:space="preserve">Instead we borrowed the Kaluga average for use in Kostroma.  </t>
    <phoneticPr fontId="1" type="noConversion"/>
  </si>
  <si>
    <r>
      <t>Olonets</t>
    </r>
    <r>
      <rPr>
        <sz val="12"/>
        <rFont val="Arial"/>
      </rPr>
      <t>:</t>
    </r>
    <phoneticPr fontId="1" type="noConversion"/>
  </si>
  <si>
    <t>Olonets is a legitimate special case, because it has a massive area of nadel per household. Even at its modest given</t>
    <phoneticPr fontId="1" type="noConversion"/>
  </si>
  <si>
    <t xml:space="preserve">rental rate per desiatin, it was worth 225-505 rubles per household per year, depending on household size.  Olonets is not one of the provinces for which we were supplied </t>
    <phoneticPr fontId="1" type="noConversion"/>
  </si>
  <si>
    <t>average peasant incomes.  It was estimated, however, that the average industrial household in Olonets earned 578.6 rubles a year in 1898-1899.</t>
    <phoneticPr fontId="1" type="noConversion"/>
  </si>
  <si>
    <t>Converting this into a maximum of 600 rubles for 1904 for the top farm operators who did not own private lands,</t>
    <phoneticPr fontId="1" type="noConversion"/>
  </si>
  <si>
    <r>
      <t>Labor force per household ("LF per HH"</t>
    </r>
    <r>
      <rPr>
        <sz val="12"/>
        <color indexed="8"/>
        <rFont val="Arial"/>
      </rPr>
      <t>):</t>
    </r>
    <phoneticPr fontId="1" type="noConversion"/>
  </si>
  <si>
    <t>Assume labor force participation rates such that the first person in the household contributes 1.0 to the labor force,</t>
    <phoneticPr fontId="1" type="noConversion"/>
  </si>
  <si>
    <t>the second person contributed 0.8, and each additional person contributes 0.5.</t>
    <phoneticPr fontId="1" type="noConversion"/>
  </si>
  <si>
    <t>Collective land income, total rental value</t>
    <phoneticPr fontId="1" type="noConversion"/>
  </si>
  <si>
    <t>[Assuming peasants had no income from urban realty, non-land non-agricultural assets, or free professions.]</t>
    <phoneticPr fontId="1" type="noConversion"/>
  </si>
  <si>
    <t>Sources and notes</t>
    <phoneticPr fontId="1" type="noConversion"/>
  </si>
  <si>
    <r>
      <t>pokazannykh pri perepici glavnymi, kak dostavlyayushchia glavneishchia sredstvo sushchestvovania</t>
    </r>
    <r>
      <rPr>
        <sz val="12"/>
        <color indexed="8"/>
        <rFont val="Arial"/>
      </rPr>
      <t xml:space="preserve"> (St. Petersburg, 1905), vypuska 8.</t>
    </r>
    <phoneticPr fontId="10" type="noConversion"/>
  </si>
  <si>
    <r>
      <t xml:space="preserve">Source for adjustment of populations from 1897 to 1904 (1 January 1905): 1905 </t>
    </r>
    <r>
      <rPr>
        <i/>
        <sz val="12"/>
        <color indexed="8"/>
        <rFont val="Arial"/>
      </rPr>
      <t>Statisticheskii Ezhegodnik/ Annuaire Statistique</t>
    </r>
    <r>
      <rPr>
        <sz val="12"/>
        <color indexed="8"/>
        <rFont val="Arial"/>
      </rPr>
      <t>, pp. 40-53.</t>
    </r>
    <phoneticPr fontId="1" type="noConversion"/>
  </si>
  <si>
    <t>Grain products</t>
  </si>
  <si>
    <t xml:space="preserve">One other difference from Shcherbina: The 1905 land census implies 99.5% landless in Kazan and 98.2% landless in Voronezh.  So the Shcherbina sample must have concentrated on landowning peasants.  </t>
    <phoneticPr fontId="1" type="noConversion"/>
  </si>
  <si>
    <t>Estimated total non-land income per HH =</t>
    <phoneticPr fontId="1" type="noConversion"/>
  </si>
  <si>
    <t>Total incomes</t>
    <phoneticPr fontId="1" type="noConversion"/>
  </si>
  <si>
    <t>Total incomes per household</t>
    <phoneticPr fontId="1" type="noConversion"/>
  </si>
  <si>
    <t>All seven landowning classes</t>
  </si>
  <si>
    <t>All seven landowning classes</t>
    <phoneticPr fontId="1" type="noConversion"/>
  </si>
  <si>
    <t>Labor force</t>
    <phoneticPr fontId="1" type="noConversion"/>
  </si>
  <si>
    <t>non-land incomes averaging 946.75 rubles, plus some rental</t>
    <phoneticPr fontId="1" type="noConversion"/>
  </si>
  <si>
    <t>income from collective land entitlements.</t>
    <phoneticPr fontId="1" type="noConversion"/>
  </si>
  <si>
    <t>Their incomes were absorbed into the top class's average</t>
    <phoneticPr fontId="1" type="noConversion"/>
  </si>
  <si>
    <t>Allocated in proportion to gov't admin, which =</t>
    <phoneticPr fontId="1" type="noConversion"/>
  </si>
  <si>
    <t>overestim.</t>
  </si>
  <si>
    <t>overestim.</t>
    <phoneticPr fontId="1" type="noConversion"/>
  </si>
  <si>
    <t>Consistency checks, continued:</t>
    <phoneticPr fontId="1" type="noConversion"/>
  </si>
  <si>
    <t>[see under total income values =&gt;]</t>
    <phoneticPr fontId="1" type="noConversion"/>
  </si>
  <si>
    <t>equals</t>
    <phoneticPr fontId="1" type="noConversion"/>
  </si>
  <si>
    <t>The rest of the top land-users</t>
    <phoneticPr fontId="1" type="noConversion"/>
  </si>
  <si>
    <t>2nd largest</t>
    <phoneticPr fontId="1" type="noConversion"/>
  </si>
  <si>
    <t>ation, not ownership.)</t>
    <phoneticPr fontId="1" type="noConversion"/>
  </si>
  <si>
    <t>"by nadel lands"*</t>
    <phoneticPr fontId="1" type="noConversion"/>
  </si>
  <si>
    <t>males</t>
    <phoneticPr fontId="1" type="noConversion"/>
  </si>
  <si>
    <t>females</t>
    <phoneticPr fontId="1" type="noConversion"/>
  </si>
  <si>
    <t>Males</t>
    <phoneticPr fontId="1" type="noConversion"/>
  </si>
  <si>
    <t>[Parameter used here: nadel rents per top 25% of HH =]</t>
    <phoneticPr fontId="1" type="noConversion"/>
  </si>
  <si>
    <t>Share of HH in "upper" &amp; above</t>
    <phoneticPr fontId="1" type="noConversion"/>
  </si>
  <si>
    <t>using the Gregory series for nominal NNP per capita)</t>
    <phoneticPr fontId="1" type="noConversion"/>
  </si>
  <si>
    <t xml:space="preserve">Entire peasantry, ratio of these </t>
    <phoneticPr fontId="1" type="noConversion"/>
  </si>
  <si>
    <t>average implied totals in (II.)</t>
    <phoneticPr fontId="1" type="noConversion"/>
  </si>
  <si>
    <r>
      <t>(I.)</t>
    </r>
    <r>
      <rPr>
        <sz val="12"/>
        <rFont val="Arial"/>
      </rPr>
      <t xml:space="preserve"> &amp;</t>
    </r>
    <r>
      <rPr>
        <b/>
        <sz val="12"/>
        <rFont val="Arial"/>
      </rPr>
      <t xml:space="preserve"> (J.)</t>
    </r>
    <r>
      <rPr>
        <sz val="12"/>
        <rFont val="Arial"/>
      </rPr>
      <t xml:space="preserve"> =&gt; Ob-tovar collective lands / nadel lands</t>
    </r>
    <phoneticPr fontId="1" type="noConversion"/>
  </si>
  <si>
    <t>Collective land incomes (nadel + ob. + tovar.) / HH, @   (  "  )</t>
    <phoneticPr fontId="1" type="noConversion"/>
  </si>
  <si>
    <t>56th largest</t>
    <phoneticPr fontId="1" type="noConversion"/>
  </si>
  <si>
    <t>The difference between the "L" and "M" estimates shows up only here, in the farmless peasant laborers.</t>
    <phoneticPr fontId="1" type="noConversion"/>
  </si>
  <si>
    <t>Absorbed into</t>
    <phoneticPr fontId="1" type="noConversion"/>
  </si>
  <si>
    <t>top-class inc's</t>
    <phoneticPr fontId="1" type="noConversion"/>
  </si>
  <si>
    <t>See the Voronezh 1897 and 1904 worksheets =&gt;</t>
    <phoneticPr fontId="1" type="noConversion"/>
  </si>
  <si>
    <t xml:space="preserve">Could allocate the 44,308 peasant administrators about these two ranges.  </t>
    <phoneticPr fontId="1" type="noConversion"/>
  </si>
  <si>
    <t>Average salary.</t>
    <phoneticPr fontId="1" type="noConversion"/>
  </si>
  <si>
    <t>ratio, "H"/"M"</t>
    <phoneticPr fontId="1" type="noConversion"/>
  </si>
  <si>
    <t>private purchased plus chetvertnaya lands. Thus, for these</t>
    <phoneticPr fontId="1" type="noConversion"/>
  </si>
  <si>
    <t>value per member of labor force</t>
    <phoneticPr fontId="1" type="noConversion"/>
  </si>
  <si>
    <t>Average size of household</t>
    <phoneticPr fontId="1" type="noConversion"/>
  </si>
  <si>
    <t>Total population of these land-owning households</t>
    <phoneticPr fontId="1" type="noConversion"/>
  </si>
  <si>
    <t>Vologda</t>
    <phoneticPr fontId="1" type="noConversion"/>
  </si>
  <si>
    <t>Donskogo B. oblasty'</t>
    <phoneticPr fontId="0" type="noConversion"/>
  </si>
  <si>
    <t>Taurida</t>
    <phoneticPr fontId="1" type="noConversion"/>
  </si>
  <si>
    <t>Purchased</t>
    <phoneticPr fontId="1" type="noConversion"/>
  </si>
  <si>
    <t>&amp; chet. Lands</t>
    <phoneticPr fontId="1" type="noConversion"/>
  </si>
  <si>
    <t>Incomes (in 1904 rubles)</t>
    <phoneticPr fontId="1" type="noConversion"/>
  </si>
  <si>
    <t xml:space="preserve">Appendix Table ___. </t>
    <phoneticPr fontId="1" type="noConversion"/>
  </si>
  <si>
    <t>Incomes (in 1897 rubles)</t>
    <phoneticPr fontId="1" type="noConversion"/>
  </si>
  <si>
    <t>non-nadel</t>
    <phoneticPr fontId="1" type="noConversion"/>
  </si>
  <si>
    <t>From land</t>
    <phoneticPr fontId="1" type="noConversion"/>
  </si>
  <si>
    <t>census 1905</t>
    <phoneticPr fontId="1" type="noConversion"/>
  </si>
  <si>
    <t>Nadel</t>
    <phoneticPr fontId="1" type="noConversion"/>
  </si>
  <si>
    <t>Nadel</t>
    <phoneticPr fontId="1" type="noConversion"/>
  </si>
  <si>
    <t>4th-5th largest</t>
    <phoneticPr fontId="1" type="noConversion"/>
  </si>
  <si>
    <t xml:space="preserve">to the whole province.  The 1905 returns imply 2,380,786 rubles of private </t>
    <phoneticPr fontId="1" type="noConversion"/>
  </si>
  <si>
    <t>Olonets: See</t>
    <phoneticPr fontId="1" type="noConversion"/>
  </si>
  <si>
    <t>notes</t>
    <phoneticPr fontId="1" type="noConversion"/>
  </si>
  <si>
    <t>Could use these 44,308:</t>
    <phoneticPr fontId="1" type="noConversion"/>
  </si>
  <si>
    <t>Did not use.</t>
    <phoneticPr fontId="1" type="noConversion"/>
  </si>
  <si>
    <t>1904 rubles</t>
    <phoneticPr fontId="1" type="noConversion"/>
  </si>
  <si>
    <t>Decomposition of Household Income into Sectors and</t>
    <phoneticPr fontId="1" type="noConversion"/>
  </si>
  <si>
    <t>livestock</t>
    <phoneticPr fontId="1" type="noConversion"/>
  </si>
  <si>
    <t>non-land income,</t>
    <phoneticPr fontId="1" type="noConversion"/>
  </si>
  <si>
    <t>minus</t>
    <phoneticPr fontId="1" type="noConversion"/>
  </si>
  <si>
    <t>7 peasant landowning groups</t>
    <phoneticPr fontId="1" type="noConversion"/>
  </si>
  <si>
    <t>Voronezh province top land-using group</t>
    <phoneticPr fontId="1" type="noConversion"/>
  </si>
  <si>
    <t>Price ratios, 1904/1897</t>
    <phoneticPr fontId="1" type="noConversion"/>
  </si>
  <si>
    <t>Both</t>
    <phoneticPr fontId="1" type="noConversion"/>
  </si>
  <si>
    <t>crops</t>
    <phoneticPr fontId="1" type="noConversion"/>
  </si>
  <si>
    <t>Set the 1905-based</t>
    <phoneticPr fontId="1" type="noConversion"/>
  </si>
  <si>
    <t>Females</t>
    <phoneticPr fontId="1" type="noConversion"/>
  </si>
  <si>
    <t>of the peasant detailed income</t>
    <phoneticPr fontId="1" type="noConversion"/>
  </si>
  <si>
    <t>These totals minus landowning</t>
    <phoneticPr fontId="1" type="noConversion"/>
  </si>
  <si>
    <t>rental income, divided by the</t>
    <phoneticPr fontId="1" type="noConversion"/>
  </si>
  <si>
    <t>zemstvo-based peasant totals</t>
    <phoneticPr fontId="1" type="noConversion"/>
  </si>
  <si>
    <t>plus nadel rental income), divided by the</t>
    <phoneticPr fontId="1" type="noConversion"/>
  </si>
  <si>
    <t>These totals minus (landowning</t>
    <phoneticPr fontId="1" type="noConversion"/>
  </si>
  <si>
    <t>totals to the initial 1904 zemstvo</t>
    <phoneticPr fontId="1" type="noConversion"/>
  </si>
  <si>
    <t>not used here. See notes.</t>
    <phoneticPr fontId="1" type="noConversion"/>
  </si>
  <si>
    <t>Stated Kostroma ave. was</t>
    <phoneticPr fontId="1" type="noConversion"/>
  </si>
  <si>
    <t>worksheet</t>
    <phoneticPr fontId="1" type="noConversion"/>
  </si>
  <si>
    <t>Consistency checks:</t>
    <phoneticPr fontId="1" type="noConversion"/>
  </si>
  <si>
    <t>Largest</t>
    <phoneticPr fontId="1" type="noConversion"/>
  </si>
  <si>
    <t>Labor force, @ 3.24 workers/HH</t>
    <phoneticPr fontId="1" type="noConversion"/>
  </si>
  <si>
    <t>Labor force, @ 4.30 workers/HH</t>
    <phoneticPr fontId="1" type="noConversion"/>
  </si>
  <si>
    <t>Labor force, @ 5.95 workers/HH</t>
    <phoneticPr fontId="1" type="noConversion"/>
  </si>
  <si>
    <t>Total rental value of ALL non-urban lands, private plus nadel</t>
    <phoneticPr fontId="1" type="noConversion"/>
  </si>
  <si>
    <t>(IV.C.1)</t>
    <phoneticPr fontId="1" type="noConversion"/>
  </si>
  <si>
    <t>(IV.C.2)</t>
    <phoneticPr fontId="1" type="noConversion"/>
  </si>
  <si>
    <t>(IV.C.3)</t>
    <phoneticPr fontId="1" type="noConversion"/>
  </si>
  <si>
    <t>(IV.C.4)</t>
    <phoneticPr fontId="1" type="noConversion"/>
  </si>
  <si>
    <t>(IV.C.5)</t>
    <phoneticPr fontId="1" type="noConversion"/>
  </si>
  <si>
    <t>(IV.C.6)</t>
    <phoneticPr fontId="1" type="noConversion"/>
  </si>
  <si>
    <t>(IV.C.7)</t>
    <phoneticPr fontId="1" type="noConversion"/>
  </si>
  <si>
    <t>3rd largest</t>
    <phoneticPr fontId="1" type="noConversion"/>
  </si>
  <si>
    <t>LF formula</t>
    <phoneticPr fontId="1" type="noConversion"/>
  </si>
  <si>
    <t>by N&amp;L**</t>
    <phoneticPr fontId="1" type="noConversion"/>
  </si>
  <si>
    <t>From kustar (promyslov)</t>
    <phoneticPr fontId="1" type="noConversion"/>
  </si>
  <si>
    <t>[**Using 1 for the first household member, 0.8 for</t>
    <phoneticPr fontId="1" type="noConversion"/>
  </si>
  <si>
    <t>Plowed des.</t>
    <phoneticPr fontId="1" type="noConversion"/>
  </si>
  <si>
    <t>Estlyand</t>
  </si>
  <si>
    <t>Mogilev</t>
  </si>
  <si>
    <t>Kiev</t>
  </si>
  <si>
    <t>Astrakhan</t>
  </si>
  <si>
    <t>[Black print = reported; red print = cloned from data-supplying provinces.]</t>
    <phoneticPr fontId="1" type="noConversion"/>
  </si>
  <si>
    <t>Ekaterinoslav</t>
  </si>
  <si>
    <t>Kazan 1898-99</t>
    <phoneticPr fontId="1" type="noConversion"/>
  </si>
  <si>
    <t>Non-grain farm products</t>
    <phoneticPr fontId="1" type="noConversion"/>
  </si>
  <si>
    <t>Non-farm pers consumption</t>
    <phoneticPr fontId="1" type="noConversion"/>
  </si>
  <si>
    <t>Incomes per household (1897 rubles) --</t>
    <phoneticPr fontId="1" type="noConversion"/>
  </si>
  <si>
    <t>according to their labor force.  These 3,965 households are assumed to</t>
    <phoneticPr fontId="1" type="noConversion"/>
  </si>
  <si>
    <t>Income / HH, based on Voronezh,  based on indus wage</t>
    <phoneticPr fontId="1" type="noConversion"/>
  </si>
  <si>
    <t>(4.5% of peasants, in Voronezh baseline case)</t>
    <phoneticPr fontId="1" type="noConversion"/>
  </si>
  <si>
    <t xml:space="preserve">behave like the rest of Voronezh's top land-using group regarding everything </t>
    <phoneticPr fontId="1" type="noConversion"/>
  </si>
  <si>
    <t>concept measured in the 1905 census.</t>
    <phoneticPr fontId="1" type="noConversion"/>
  </si>
  <si>
    <t>Entire peasantry</t>
    <phoneticPr fontId="1" type="noConversion"/>
  </si>
  <si>
    <t>Total peasant incomes (rubles/year)</t>
    <phoneticPr fontId="1" type="noConversion"/>
  </si>
  <si>
    <t>Land-using</t>
    <phoneticPr fontId="1" type="noConversion"/>
  </si>
  <si>
    <t>Peasant</t>
    <phoneticPr fontId="1" type="noConversion"/>
  </si>
  <si>
    <t>Non-agric</t>
    <phoneticPr fontId="1" type="noConversion"/>
  </si>
  <si>
    <t>Agric labor</t>
    <phoneticPr fontId="1" type="noConversion"/>
  </si>
  <si>
    <t>Farm</t>
    <phoneticPr fontId="1" type="noConversion"/>
  </si>
  <si>
    <t>Total</t>
    <phoneticPr fontId="1" type="noConversion"/>
  </si>
  <si>
    <t>the second, and 0.5 for each from the third on.]</t>
    <phoneticPr fontId="1" type="noConversion"/>
  </si>
  <si>
    <t>Income / HH, based on Voronezh,  based on agric wage</t>
    <phoneticPr fontId="1" type="noConversion"/>
  </si>
  <si>
    <t>Estimated peasant LF</t>
    <phoneticPr fontId="1" type="noConversion"/>
  </si>
  <si>
    <t>Total labor force (LF) of these landowning households</t>
    <phoneticPr fontId="1" type="noConversion"/>
  </si>
  <si>
    <t>Khar'kov</t>
  </si>
  <si>
    <t>Chernigov</t>
  </si>
  <si>
    <t>Kurlyand</t>
  </si>
  <si>
    <t>Liflyand</t>
  </si>
  <si>
    <t>Adding collective-land incomes and non-land income to these 7 groups:</t>
    <phoneticPr fontId="1" type="noConversion"/>
  </si>
  <si>
    <t>Nadel land</t>
    <phoneticPr fontId="1" type="noConversion"/>
  </si>
  <si>
    <t>Private</t>
    <phoneticPr fontId="1" type="noConversion"/>
  </si>
  <si>
    <t>land income</t>
    <phoneticPr fontId="1" type="noConversion"/>
  </si>
  <si>
    <t>area</t>
    <phoneticPr fontId="1" type="noConversion"/>
  </si>
  <si>
    <t>Land area</t>
    <phoneticPr fontId="1" type="noConversion"/>
  </si>
  <si>
    <t>per HH</t>
    <phoneticPr fontId="1" type="noConversion"/>
  </si>
  <si>
    <t>[This procedure infers labor inputs beyond the pabotniki/rabotnitsy.</t>
    <phoneticPr fontId="1" type="noConversion"/>
  </si>
  <si>
    <t>(*Apparently farm oper-</t>
    <phoneticPr fontId="1" type="noConversion"/>
  </si>
  <si>
    <t>Ratios (1897) --</t>
    <phoneticPr fontId="1" type="noConversion"/>
  </si>
  <si>
    <t>Incomes per household (1904 rubles) --</t>
    <phoneticPr fontId="1" type="noConversion"/>
  </si>
  <si>
    <t>Total income</t>
    <phoneticPr fontId="1" type="noConversion"/>
  </si>
  <si>
    <t>per HH, in</t>
    <phoneticPr fontId="1" type="noConversion"/>
  </si>
  <si>
    <t>1897 rubles</t>
    <phoneticPr fontId="1" type="noConversion"/>
  </si>
  <si>
    <t>Nadel per</t>
    <phoneticPr fontId="1" type="noConversion"/>
  </si>
  <si>
    <t xml:space="preserve">peasant </t>
    <phoneticPr fontId="1" type="noConversion"/>
  </si>
  <si>
    <t>household</t>
    <phoneticPr fontId="1" type="noConversion"/>
  </si>
  <si>
    <t>Total rental value of non-urban lands owned individually and privately</t>
    <phoneticPr fontId="1" type="noConversion"/>
  </si>
  <si>
    <t>Grodno</t>
    <phoneticPr fontId="1" type="noConversion"/>
  </si>
  <si>
    <t>Novgorod</t>
  </si>
  <si>
    <t>Pskov</t>
  </si>
  <si>
    <t>S.-Peterburg</t>
  </si>
  <si>
    <t>Kazan</t>
  </si>
  <si>
    <t>Orenburg</t>
  </si>
  <si>
    <t>Perm</t>
  </si>
  <si>
    <t>value of peasant collectives</t>
    <phoneticPr fontId="1" type="noConversion"/>
  </si>
  <si>
    <t>value per peasant household</t>
    <phoneticPr fontId="1" type="noConversion"/>
  </si>
  <si>
    <t>Olonets</t>
    <phoneticPr fontId="1" type="noConversion"/>
  </si>
  <si>
    <t>&lt; 5 des.</t>
    <phoneticPr fontId="1" type="noConversion"/>
  </si>
  <si>
    <t>5-15 des.</t>
    <phoneticPr fontId="1" type="noConversion"/>
  </si>
  <si>
    <t>15-25 des.</t>
    <phoneticPr fontId="1" type="noConversion"/>
  </si>
  <si>
    <t>(J.) Nadel land allotments</t>
    <phoneticPr fontId="1" type="noConversion"/>
  </si>
  <si>
    <t>[Repeat from (H)]</t>
    <phoneticPr fontId="1" type="noConversion"/>
  </si>
  <si>
    <t>obshchestvennye i tovar.</t>
    <phoneticPr fontId="1" type="noConversion"/>
  </si>
  <si>
    <t>nadel lands.</t>
    <phoneticPr fontId="1" type="noConversion"/>
  </si>
  <si>
    <t>Number of</t>
  </si>
  <si>
    <r>
      <t>Land-</t>
    </r>
    <r>
      <rPr>
        <b/>
        <u/>
        <sz val="12"/>
        <rFont val="Arial"/>
      </rPr>
      <t>owning</t>
    </r>
    <phoneticPr fontId="1" type="noConversion"/>
  </si>
  <si>
    <t>residual as a %</t>
    <phoneticPr fontId="1" type="noConversion"/>
  </si>
  <si>
    <t>Totals --</t>
    <phoneticPr fontId="1" type="noConversion"/>
  </si>
  <si>
    <t>"Available" population per household</t>
    <phoneticPr fontId="1" type="noConversion"/>
  </si>
  <si>
    <t>Kaluga</t>
    <phoneticPr fontId="1" type="noConversion"/>
  </si>
  <si>
    <t>It also hides any pay discount for females, and implies greater female work time.]</t>
    <phoneticPr fontId="1" type="noConversion"/>
  </si>
  <si>
    <t>Vladimir</t>
  </si>
  <si>
    <t>Nizhegorod</t>
  </si>
  <si>
    <t>Tver</t>
  </si>
  <si>
    <t>Voronezh</t>
  </si>
  <si>
    <t>Ryazan</t>
  </si>
  <si>
    <t>Saratov</t>
  </si>
  <si>
    <t>Tambov</t>
  </si>
  <si>
    <t>2.328 times the grand mean non-land income.</t>
    <phoneticPr fontId="1" type="noConversion"/>
  </si>
  <si>
    <t>&gt; 25 des, no priv. land</t>
    <phoneticPr fontId="1" type="noConversion"/>
  </si>
  <si>
    <t>50k-up (none)</t>
    <phoneticPr fontId="1" type="noConversion"/>
  </si>
  <si>
    <r>
      <t xml:space="preserve">Source: F.A. Shcherbina, </t>
    </r>
    <r>
      <rPr>
        <i/>
        <sz val="12"/>
        <rFont val="Arial"/>
      </rPr>
      <t>Krest'ianskie budzhety</t>
    </r>
    <r>
      <rPr>
        <sz val="12"/>
        <rFont val="Arial"/>
      </rPr>
      <t xml:space="preserve"> (Voronezh 1900), chast' 2, pp. 273-285. </t>
    </r>
    <phoneticPr fontId="1" type="noConversion"/>
  </si>
  <si>
    <t>Household category,</t>
    <phoneticPr fontId="1" type="noConversion"/>
  </si>
  <si>
    <t xml:space="preserve">with total salaries of r 96,304,513, implying an average salary of 1,469 rubles per year.  </t>
    <phoneticPr fontId="1" type="noConversion"/>
  </si>
  <si>
    <t>(H.3) Average per-household rental value of non-urban lands owned individually and privately</t>
    <phoneticPr fontId="1" type="noConversion"/>
  </si>
  <si>
    <t>Implied total peasant monetary incomes (rubles / year) =</t>
    <phoneticPr fontId="1" type="noConversion"/>
  </si>
  <si>
    <t>of total income</t>
    <phoneticPr fontId="1" type="noConversion"/>
  </si>
  <si>
    <t>Agric share (%)</t>
    <phoneticPr fontId="1" type="noConversion"/>
  </si>
  <si>
    <t>The income per farmless peasant household based on a mix of agricricultural an industrial labor is a geometric average:</t>
    <phoneticPr fontId="1" type="noConversion"/>
  </si>
  <si>
    <t>Labor force, @ 2.64 workers/HH</t>
    <phoneticPr fontId="1" type="noConversion"/>
  </si>
  <si>
    <t>"Farmless" here means not farm operators, and owning no land other than some nadel allotments that they let out.</t>
    <phoneticPr fontId="1" type="noConversion"/>
  </si>
  <si>
    <t>Nadel</t>
  </si>
  <si>
    <t>Nadel</t>
    <phoneticPr fontId="1" type="noConversion"/>
  </si>
  <si>
    <t>"Suitable"</t>
    <phoneticPr fontId="1" type="noConversion"/>
  </si>
  <si>
    <t>plowed land</t>
    <phoneticPr fontId="1" type="noConversion"/>
  </si>
  <si>
    <t>in cultivation</t>
    <phoneticPr fontId="1" type="noConversion"/>
  </si>
  <si>
    <t>Purchased land</t>
    <phoneticPr fontId="1" type="noConversion"/>
  </si>
  <si>
    <t>HHs owning</t>
    <phoneticPr fontId="1" type="noConversion"/>
  </si>
  <si>
    <t>lands</t>
    <phoneticPr fontId="1" type="noConversion"/>
  </si>
  <si>
    <t>Desiatins</t>
    <phoneticPr fontId="1" type="noConversion"/>
  </si>
  <si>
    <t>owned</t>
    <phoneticPr fontId="1" type="noConversion"/>
  </si>
  <si>
    <t>||</t>
    <phoneticPr fontId="1" type="noConversion"/>
  </si>
  <si>
    <t>(Shcherbina, pp. 278-279 of the tables.)</t>
    <phoneticPr fontId="1" type="noConversion"/>
  </si>
  <si>
    <t>Alternative</t>
    <phoneticPr fontId="1" type="noConversion"/>
  </si>
  <si>
    <t>agric labor,</t>
    <phoneticPr fontId="1" type="noConversion"/>
  </si>
  <si>
    <t>(G. ) Voronezh 1897: Peasant populations and incomes by land-using class</t>
    <phoneticPr fontId="1" type="noConversion"/>
  </si>
  <si>
    <t>at an average salary assumed to be 400 rubles a year.</t>
    <phoneticPr fontId="1" type="noConversion"/>
  </si>
  <si>
    <t>out land</t>
    <phoneticPr fontId="1" type="noConversion"/>
  </si>
  <si>
    <t>Makeup of the household labor force ("rabotnikov")</t>
    <phoneticPr fontId="1" type="noConversion"/>
  </si>
  <si>
    <t>Workers per</t>
    <phoneticPr fontId="1" type="noConversion"/>
  </si>
  <si>
    <t>household</t>
    <phoneticPr fontId="1" type="noConversion"/>
  </si>
  <si>
    <t>Total</t>
    <phoneticPr fontId="1" type="noConversion"/>
  </si>
  <si>
    <t>income,</t>
    <phoneticPr fontId="1" type="noConversion"/>
  </si>
  <si>
    <t>get 3/4 pay (Full-time male equivalents)</t>
    <phoneticPr fontId="1" type="noConversion"/>
  </si>
  <si>
    <t>Total LF if "half-year" pays 3/4, and females</t>
    <phoneticPr fontId="1" type="noConversion"/>
  </si>
  <si>
    <t>Various</t>
    <phoneticPr fontId="1" type="noConversion"/>
  </si>
  <si>
    <t xml:space="preserve">Residual </t>
    <phoneticPr fontId="1" type="noConversion"/>
  </si>
  <si>
    <t>Rental per labor force member</t>
    <phoneticPr fontId="1" type="noConversion"/>
  </si>
  <si>
    <t>enterprises</t>
    <phoneticPr fontId="1" type="noConversion"/>
  </si>
  <si>
    <t>piecework</t>
    <phoneticPr fontId="1" type="noConversion"/>
  </si>
  <si>
    <t>incomes</t>
    <phoneticPr fontId="1" type="noConversion"/>
  </si>
  <si>
    <t>detailed inc's</t>
    <phoneticPr fontId="1" type="noConversion"/>
  </si>
  <si>
    <t>From</t>
    <phoneticPr fontId="1" type="noConversion"/>
  </si>
  <si>
    <t>From</t>
    <phoneticPr fontId="1" type="noConversion"/>
  </si>
  <si>
    <t>letting</t>
    <phoneticPr fontId="1" type="noConversion"/>
  </si>
  <si>
    <t>Fr fodders</t>
    <phoneticPr fontId="1" type="noConversion"/>
  </si>
  <si>
    <t>(including their non-agricultural incomes)</t>
    <phoneticPr fontId="1" type="noConversion"/>
  </si>
  <si>
    <t>percent earned by hiring out</t>
    <phoneticPr fontId="1" type="noConversion"/>
  </si>
  <si>
    <t>Simple average, median =</t>
    <phoneticPr fontId="1" type="noConversion"/>
  </si>
  <si>
    <t>Kaluga peasants 1898</t>
  </si>
  <si>
    <t>Voronezh 1897, all peasants</t>
  </si>
  <si>
    <t>Zemstvo</t>
    <phoneticPr fontId="1" type="noConversion"/>
  </si>
  <si>
    <t>ave. incomes</t>
    <phoneticPr fontId="1" type="noConversion"/>
  </si>
  <si>
    <t>In 1904 rubles,</t>
    <phoneticPr fontId="1" type="noConversion"/>
  </si>
  <si>
    <t>agricultural labor =</t>
    <phoneticPr fontId="1" type="noConversion"/>
  </si>
  <si>
    <r>
      <t>II. Average incomes of peasant households, from Zemstvo surveys</t>
    </r>
    <r>
      <rPr>
        <sz val="16"/>
        <color indexed="8"/>
        <rFont val="Arial"/>
      </rPr>
      <t xml:space="preserve"> (converted to 1904)</t>
    </r>
    <phoneticPr fontId="1" type="noConversion"/>
  </si>
  <si>
    <t>materials</t>
    <phoneticPr fontId="1" type="noConversion"/>
  </si>
  <si>
    <t>goods</t>
    <phoneticPr fontId="1" type="noConversion"/>
  </si>
  <si>
    <t>Estimated LF of farmless peasant HHs</t>
    <phoneticPr fontId="1" type="noConversion"/>
  </si>
  <si>
    <t>Total</t>
    <phoneticPr fontId="1" type="noConversion"/>
  </si>
  <si>
    <t xml:space="preserve"> land</t>
    <phoneticPr fontId="1" type="noConversion"/>
  </si>
  <si>
    <t>Land area (desiatins)</t>
    <phoneticPr fontId="1" type="noConversion"/>
  </si>
  <si>
    <t>From Opyt'</t>
    <phoneticPr fontId="1" type="noConversion"/>
  </si>
  <si>
    <t>1913 P's</t>
    <phoneticPr fontId="1" type="noConversion"/>
  </si>
  <si>
    <t>From Opyt'</t>
    <phoneticPr fontId="1" type="noConversion"/>
  </si>
  <si>
    <t>1900-02 @ 6%</t>
    <phoneticPr fontId="1" type="noConversion"/>
  </si>
  <si>
    <t>of po kypchim</t>
    <phoneticPr fontId="1" type="noConversion"/>
  </si>
  <si>
    <t>private plus</t>
    <phoneticPr fontId="1" type="noConversion"/>
  </si>
  <si>
    <t>(E.) Percent shares of peasant household income earned in industry (i.e. non-agriculture) and in hired farm labor</t>
    <phoneticPr fontId="1" type="noConversion"/>
  </si>
  <si>
    <t>…228.5</t>
    <phoneticPr fontId="1" type="noConversion"/>
  </si>
  <si>
    <t xml:space="preserve"> …1909</t>
    <phoneticPr fontId="1" type="noConversion"/>
  </si>
  <si>
    <t>Rental value</t>
    <phoneticPr fontId="1" type="noConversion"/>
  </si>
  <si>
    <t>Rental per peasant household</t>
    <phoneticPr fontId="1" type="noConversion"/>
  </si>
  <si>
    <t>This definition fits the definition of the "bezzemel'nye" group in Shcherbina's study of Voronezh peasants in 1896.</t>
    <phoneticPr fontId="1" type="noConversion"/>
  </si>
  <si>
    <t>Manual Labor, male</t>
    <phoneticPr fontId="1" type="noConversion"/>
  </si>
  <si>
    <t>Kursk</t>
    <phoneticPr fontId="1" type="noConversion"/>
  </si>
  <si>
    <t>Orel</t>
    <phoneticPr fontId="1" type="noConversion"/>
  </si>
  <si>
    <t>Penza</t>
    <phoneticPr fontId="1" type="noConversion"/>
  </si>
  <si>
    <t>Simbirsk</t>
    <phoneticPr fontId="1" type="noConversion"/>
  </si>
  <si>
    <t>Tula</t>
    <phoneticPr fontId="1" type="noConversion"/>
  </si>
  <si>
    <t>Vitebsk</t>
    <phoneticPr fontId="1" type="noConversion"/>
  </si>
  <si>
    <t>Number of</t>
    <phoneticPr fontId="1" type="noConversion"/>
  </si>
  <si>
    <t>households</t>
    <phoneticPr fontId="1" type="noConversion"/>
  </si>
  <si>
    <t>Total</t>
    <phoneticPr fontId="1" type="noConversion"/>
  </si>
  <si>
    <t xml:space="preserve">Number of </t>
  </si>
  <si>
    <t>Averages per household --</t>
    <phoneticPr fontId="1" type="noConversion"/>
  </si>
  <si>
    <t>(H.2) Total rental value of non-urban lands owned individually ad privately</t>
    <phoneticPr fontId="1" type="noConversion"/>
  </si>
  <si>
    <t>cumul. From top</t>
    <phoneticPr fontId="1" type="noConversion"/>
  </si>
  <si>
    <t>&lt; 5.5 hectares</t>
  </si>
  <si>
    <t>5.5-16.4 ha.</t>
  </si>
  <si>
    <t>16.5-27.3 ha.</t>
  </si>
  <si>
    <t>&gt; 27.3 ha.</t>
  </si>
  <si>
    <t>Totals</t>
  </si>
  <si>
    <t>Manual labor, female</t>
    <phoneticPr fontId="1" type="noConversion"/>
  </si>
  <si>
    <t>Sorter</t>
    <phoneticPr fontId="1" type="noConversion"/>
  </si>
  <si>
    <t>Kovno</t>
    <phoneticPr fontId="1" type="noConversion"/>
  </si>
  <si>
    <t>Minsk</t>
    <phoneticPr fontId="1" type="noConversion"/>
  </si>
  <si>
    <t>Volynia</t>
    <phoneticPr fontId="1" type="noConversion"/>
  </si>
  <si>
    <t>Podol'sk</t>
    <phoneticPr fontId="1" type="noConversion"/>
  </si>
  <si>
    <t>Bessarabia</t>
    <phoneticPr fontId="1" type="noConversion"/>
  </si>
  <si>
    <t>Evrop. Rossia</t>
    <phoneticPr fontId="0" type="noConversion"/>
  </si>
  <si>
    <t>Total minus landless (farmless)</t>
    <phoneticPr fontId="1" type="noConversion"/>
  </si>
  <si>
    <t>Peasant households</t>
    <phoneticPr fontId="1" type="noConversion"/>
  </si>
  <si>
    <t>(rounding error?)</t>
    <phoneticPr fontId="1" type="noConversion"/>
  </si>
  <si>
    <t>Kherson</t>
  </si>
  <si>
    <t>Sector</t>
  </si>
  <si>
    <t>(I.) obshchestvennye i tovarishchnye private collective lands</t>
    <phoneticPr fontId="1" type="noConversion"/>
  </si>
  <si>
    <t>946.75 rubles of</t>
    <phoneticPr fontId="1" type="noConversion"/>
  </si>
  <si>
    <t xml:space="preserve">but private holdings. So add 146.84 rubles of nadel rental value per peasant household. </t>
    <phoneticPr fontId="1" type="noConversion"/>
  </si>
  <si>
    <t>Total</t>
    <phoneticPr fontId="1" type="noConversion"/>
  </si>
  <si>
    <t>Kostroma 1909</t>
  </si>
  <si>
    <r>
      <t>(F.) Possible salaries of peasant zemstvo representatives, c1904 (</t>
    </r>
    <r>
      <rPr>
        <b/>
        <i/>
        <sz val="12"/>
        <rFont val="Arial"/>
      </rPr>
      <t>Opyt', census</t>
    </r>
    <r>
      <rPr>
        <b/>
        <sz val="12"/>
        <rFont val="Arial"/>
      </rPr>
      <t>)</t>
    </r>
    <phoneticPr fontId="1" type="noConversion"/>
  </si>
  <si>
    <t>correl, all 6</t>
    <phoneticPr fontId="1" type="noConversion"/>
  </si>
  <si>
    <t>nadel lands /</t>
    <phoneticPr fontId="1" type="noConversion"/>
  </si>
  <si>
    <t>Vologda peasants 1903</t>
  </si>
  <si>
    <t>Poltava peasants 1900</t>
  </si>
  <si>
    <t>Kazan peasants 1898-1899</t>
  </si>
  <si>
    <t>(B.) common-labor annual wages</t>
    <phoneticPr fontId="1" type="noConversion"/>
  </si>
  <si>
    <t>Arkhangelsk</t>
    <phoneticPr fontId="1" type="noConversion"/>
  </si>
  <si>
    <t>Quarter (chetbertnaya) land</t>
    <phoneticPr fontId="1" type="noConversion"/>
  </si>
  <si>
    <r>
      <t xml:space="preserve">Source for 1897 population and household counts by sector: [Senator] Troinitskii, N.A. (ed.), </t>
    </r>
    <r>
      <rPr>
        <i/>
        <sz val="12"/>
        <color indexed="8"/>
        <rFont val="Arial"/>
      </rPr>
      <t>Protsentnoe raspredelenie nalichnogo nacelenia Imperii oboego pola po gruppam zanyatia,</t>
    </r>
    <phoneticPr fontId="10" type="noConversion"/>
  </si>
  <si>
    <t>[These include collective private, but not nadel.]</t>
    <phoneticPr fontId="1" type="noConversion"/>
  </si>
  <si>
    <t>Total peasant households</t>
    <phoneticPr fontId="1" type="noConversion"/>
  </si>
  <si>
    <t>Of which, urban =</t>
    <phoneticPr fontId="1" type="noConversion"/>
  </si>
  <si>
    <t>rural =</t>
    <phoneticPr fontId="1" type="noConversion"/>
  </si>
  <si>
    <t xml:space="preserve">So inflate all totals by (448873/176821) = </t>
    <phoneticPr fontId="1" type="noConversion"/>
  </si>
  <si>
    <r>
      <t xml:space="preserve">Land area </t>
    </r>
    <r>
      <rPr>
        <b/>
        <u/>
        <sz val="12"/>
        <rFont val="Arial"/>
      </rPr>
      <t>in use</t>
    </r>
    <r>
      <rPr>
        <b/>
        <sz val="12"/>
        <rFont val="Arial"/>
      </rPr>
      <t xml:space="preserve"> (desiatins) for whole province, by Shcherbina's strata</t>
    </r>
    <phoneticPr fontId="1" type="noConversion"/>
  </si>
  <si>
    <t>Sample totals --</t>
    <phoneticPr fontId="1" type="noConversion"/>
  </si>
  <si>
    <t>From</t>
    <phoneticPr fontId="1" type="noConversion"/>
  </si>
  <si>
    <t>arable</t>
    <phoneticPr fontId="1" type="noConversion"/>
  </si>
  <si>
    <t>Kostroma income average is questionable.</t>
    <phoneticPr fontId="1" type="noConversion"/>
  </si>
  <si>
    <t>Rental range</t>
    <phoneticPr fontId="1" type="noConversion"/>
  </si>
  <si>
    <t>Kazan 1898-99</t>
    <phoneticPr fontId="1" type="noConversion"/>
  </si>
  <si>
    <t>correl, without Kostroma</t>
    <phoneticPr fontId="1" type="noConversion"/>
  </si>
  <si>
    <t xml:space="preserve">Annual </t>
    <phoneticPr fontId="1" type="noConversion"/>
  </si>
  <si>
    <t>materials</t>
    <phoneticPr fontId="1" type="noConversion"/>
  </si>
  <si>
    <t>goods</t>
    <phoneticPr fontId="1" type="noConversion"/>
  </si>
  <si>
    <t>enterprises</t>
    <phoneticPr fontId="1" type="noConversion"/>
  </si>
  <si>
    <t>Males</t>
    <phoneticPr fontId="1" type="noConversion"/>
  </si>
  <si>
    <t>Females</t>
    <phoneticPr fontId="1" type="noConversion"/>
  </si>
  <si>
    <t>Rental income,</t>
    <phoneticPr fontId="1" type="noConversion"/>
  </si>
  <si>
    <t>households</t>
    <phoneticPr fontId="1" type="noConversion"/>
  </si>
  <si>
    <t>at 62.76 r/yr</t>
    <phoneticPr fontId="1" type="noConversion"/>
  </si>
  <si>
    <t>all classes</t>
    <phoneticPr fontId="1" type="noConversion"/>
  </si>
  <si>
    <t>Ave land</t>
    <phoneticPr fontId="1" type="noConversion"/>
  </si>
  <si>
    <t>rental/owner,</t>
    <phoneticPr fontId="1" type="noConversion"/>
  </si>
  <si>
    <t>Households</t>
    <phoneticPr fontId="1" type="noConversion"/>
  </si>
  <si>
    <t>Rental range</t>
    <phoneticPr fontId="1" type="noConversion"/>
  </si>
  <si>
    <t>Numbers of households</t>
    <phoneticPr fontId="1" type="noConversion"/>
  </si>
  <si>
    <t>owners, from</t>
  </si>
  <si>
    <t>Average per-household rental value of non-urban lands owned individually and privately</t>
    <phoneticPr fontId="1" type="noConversion"/>
  </si>
  <si>
    <t>Yearly male agricultural wage,  1891-1900</t>
    <phoneticPr fontId="1" type="noConversion"/>
  </si>
  <si>
    <t>omitted from</t>
    <phoneticPr fontId="1" type="noConversion"/>
  </si>
  <si>
    <t>Estimating peasant households' annual incomes by province, c1904</t>
    <phoneticPr fontId="1" type="noConversion"/>
  </si>
  <si>
    <t>I. The peasant populations to be stratified into income groups</t>
    <phoneticPr fontId="1" type="noConversion"/>
  </si>
  <si>
    <t>for c1904</t>
    <phoneticPr fontId="1" type="noConversion"/>
  </si>
  <si>
    <t>III. Other data inputs</t>
    <phoneticPr fontId="1" type="noConversion"/>
  </si>
  <si>
    <t>Peasants'</t>
    <phoneticPr fontId="1" type="noConversion"/>
  </si>
  <si>
    <t>From the top group for Voronezh 1896.</t>
    <phoneticPr fontId="1" type="noConversion"/>
  </si>
  <si>
    <t xml:space="preserve">    ( " )</t>
    <phoneticPr fontId="1" type="noConversion"/>
  </si>
  <si>
    <t xml:space="preserve">Average LF per HH </t>
    <phoneticPr fontId="1" type="noConversion"/>
  </si>
  <si>
    <t>(1) Total salaries of those under 1,000 each =</t>
    <phoneticPr fontId="1" type="noConversion"/>
  </si>
  <si>
    <t>Vyatka</t>
    <phoneticPr fontId="1" type="noConversion"/>
  </si>
  <si>
    <t>Samara</t>
    <phoneticPr fontId="1" type="noConversion"/>
  </si>
  <si>
    <t>Ufa</t>
    <phoneticPr fontId="1" type="noConversion"/>
  </si>
  <si>
    <t>Kostroma</t>
    <phoneticPr fontId="1" type="noConversion"/>
  </si>
  <si>
    <t>Moskva</t>
    <phoneticPr fontId="1" type="noConversion"/>
  </si>
  <si>
    <t>income</t>
    <phoneticPr fontId="1" type="noConversion"/>
  </si>
  <si>
    <t>Ratios --</t>
  </si>
  <si>
    <t>Imputed agric</t>
    <phoneticPr fontId="1" type="noConversion"/>
  </si>
  <si>
    <t>non-agric</t>
    <phoneticPr fontId="1" type="noConversion"/>
  </si>
  <si>
    <t>Ditto, reflated up to 1904 nominal wages</t>
    <phoneticPr fontId="1" type="noConversion"/>
  </si>
  <si>
    <t>(C.) Some industrial wages (annual = 10 months = 260 days)</t>
    <phoneticPr fontId="1" type="noConversion"/>
  </si>
  <si>
    <t>Farm</t>
    <phoneticPr fontId="1" type="noConversion"/>
  </si>
  <si>
    <t>residual</t>
    <phoneticPr fontId="1" type="noConversion"/>
  </si>
  <si>
    <t>Total</t>
    <phoneticPr fontId="1" type="noConversion"/>
  </si>
  <si>
    <t>over 25 des.</t>
    <phoneticPr fontId="1" type="noConversion"/>
  </si>
  <si>
    <t>Assumed adult-male equiv LF per HH (see notes)</t>
    <phoneticPr fontId="1" type="noConversion"/>
  </si>
  <si>
    <t>Vilna</t>
    <phoneticPr fontId="1" type="noConversion"/>
  </si>
  <si>
    <t>Smolensk</t>
    <phoneticPr fontId="1" type="noConversion"/>
  </si>
  <si>
    <t>Indiv. peasants</t>
    <phoneticPr fontId="1" type="noConversion"/>
  </si>
  <si>
    <t>From kustar (promyslov)</t>
    <phoneticPr fontId="1" type="noConversion"/>
  </si>
  <si>
    <t>Various</t>
    <phoneticPr fontId="1" type="noConversion"/>
  </si>
  <si>
    <t>ted from his</t>
    <phoneticPr fontId="1" type="noConversion"/>
  </si>
  <si>
    <t>per HH, in</t>
    <phoneticPr fontId="1" type="noConversion"/>
  </si>
  <si>
    <t>Agric share (%)</t>
    <phoneticPr fontId="1" type="noConversion"/>
  </si>
  <si>
    <r>
      <t xml:space="preserve">Opyt' </t>
    </r>
    <r>
      <rPr>
        <sz val="12"/>
        <rFont val="Arial"/>
      </rPr>
      <t>owners</t>
    </r>
    <phoneticPr fontId="1" type="noConversion"/>
  </si>
  <si>
    <t>All owners</t>
    <phoneticPr fontId="1" type="noConversion"/>
  </si>
  <si>
    <t>Poltava</t>
    <phoneticPr fontId="1" type="noConversion"/>
  </si>
  <si>
    <t>Rental per agricultural peasant household</t>
    <phoneticPr fontId="1" type="noConversion"/>
  </si>
  <si>
    <t>All agric</t>
    <phoneticPr fontId="1" type="noConversion"/>
  </si>
  <si>
    <t>of agric income</t>
    <phoneticPr fontId="1" type="noConversion"/>
  </si>
  <si>
    <t>Residual omit-</t>
    <phoneticPr fontId="1" type="noConversion"/>
  </si>
  <si>
    <t>ted from his</t>
    <phoneticPr fontId="1" type="noConversion"/>
  </si>
  <si>
    <t>industrial</t>
    <phoneticPr fontId="1" type="noConversion"/>
  </si>
  <si>
    <t>Remainder of Voronezh Province's top land-using group, after removing the private land owners</t>
    <phoneticPr fontId="1" type="noConversion"/>
  </si>
  <si>
    <t xml:space="preserve">*Some difficulty of choice between "suitable" and "plowed land in cultivation".  </t>
    <phoneticPr fontId="1" type="noConversion"/>
  </si>
  <si>
    <t>Note that the 1905 census's land area figures and its average rental rates</t>
    <phoneticPr fontId="1" type="noConversion"/>
  </si>
  <si>
    <t>Land rents (rubles per desiatin)</t>
    <phoneticPr fontId="1" type="noConversion"/>
  </si>
  <si>
    <t>Implied rental values (marginal product of land)</t>
    <phoneticPr fontId="1" type="noConversion"/>
  </si>
  <si>
    <t>All</t>
    <phoneticPr fontId="1" type="noConversion"/>
  </si>
  <si>
    <t>lands</t>
    <phoneticPr fontId="1" type="noConversion"/>
  </si>
  <si>
    <t>Percent of all</t>
    <phoneticPr fontId="1" type="noConversion"/>
  </si>
  <si>
    <t>(Mix = 0.545 agric, 0.455 indus; see notes)</t>
    <phoneticPr fontId="1" type="noConversion"/>
  </si>
  <si>
    <t>(2) Officials with salaries 1,000-2,000</t>
    <phoneticPr fontId="1" type="noConversion"/>
  </si>
  <si>
    <t>Totals --</t>
    <phoneticPr fontId="1" type="noConversion"/>
  </si>
  <si>
    <t>Averages per household --</t>
    <phoneticPr fontId="1" type="noConversion"/>
  </si>
  <si>
    <t>(A.) Estimating peasant labor force</t>
    <phoneticPr fontId="1" type="noConversion"/>
  </si>
  <si>
    <t>Sector</t>
    <phoneticPr fontId="1" type="noConversion"/>
  </si>
  <si>
    <t>Estate</t>
    <phoneticPr fontId="1" type="noConversion"/>
  </si>
  <si>
    <t>code</t>
    <phoneticPr fontId="1" type="noConversion"/>
  </si>
  <si>
    <t>Estate</t>
  </si>
  <si>
    <t>Peasants</t>
  </si>
  <si>
    <t>Cyrillic province no.</t>
    <phoneticPr fontId="0" type="noConversion"/>
  </si>
  <si>
    <t>Region</t>
    <phoneticPr fontId="1" type="noConversion"/>
  </si>
  <si>
    <t>Servants</t>
  </si>
  <si>
    <t>Gov't admin</t>
    <phoneticPr fontId="1" type="noConversion"/>
  </si>
  <si>
    <t>Industry &amp; comm</t>
    <phoneticPr fontId="1" type="noConversion"/>
  </si>
  <si>
    <t>(H.) Private non-urban land ownership</t>
    <phoneticPr fontId="1" type="noConversion"/>
  </si>
  <si>
    <t>(H.1) Numbers of households</t>
    <phoneticPr fontId="1" type="noConversion"/>
  </si>
  <si>
    <t>Yaroslavl</t>
    <phoneticPr fontId="1" type="noConversion"/>
  </si>
  <si>
    <t>kustar</t>
  </si>
  <si>
    <t>out-of-home</t>
  </si>
  <si>
    <t>all industrial</t>
  </si>
  <si>
    <t>Vologda 1903</t>
  </si>
  <si>
    <t>Kaluga 1896</t>
  </si>
  <si>
    <t>Tver 1894</t>
  </si>
  <si>
    <t>Various</t>
    <phoneticPr fontId="1" type="noConversion"/>
  </si>
  <si>
    <t>omitted from</t>
    <phoneticPr fontId="1" type="noConversion"/>
  </si>
  <si>
    <t>income,</t>
    <phoneticPr fontId="1" type="noConversion"/>
  </si>
  <si>
    <t>Non-agric</t>
    <phoneticPr fontId="1" type="noConversion"/>
  </si>
  <si>
    <t>Agric labor</t>
    <phoneticPr fontId="1" type="noConversion"/>
  </si>
  <si>
    <t>Land</t>
    <phoneticPr fontId="1" type="noConversion"/>
  </si>
  <si>
    <t>Farm</t>
    <phoneticPr fontId="1" type="noConversion"/>
  </si>
  <si>
    <t>indiv peasants</t>
    <phoneticPr fontId="1" type="noConversion"/>
  </si>
  <si>
    <t>Percent of</t>
    <phoneticPr fontId="1" type="noConversion"/>
  </si>
  <si>
    <t>peasant HH</t>
    <phoneticPr fontId="1" type="noConversion"/>
  </si>
  <si>
    <t>owning land</t>
    <phoneticPr fontId="1" type="noConversion"/>
  </si>
  <si>
    <t>rental/ HH,</t>
    <phoneticPr fontId="1" type="noConversion"/>
  </si>
  <si>
    <t>Data inputs:</t>
    <phoneticPr fontId="1" type="noConversion"/>
  </si>
  <si>
    <t>(1) Officials with salaries under 1,000</t>
    <phoneticPr fontId="1" type="noConversion"/>
  </si>
  <si>
    <t>Assumed adult-male equiv LF per HH</t>
    <phoneticPr fontId="1" type="noConversion"/>
  </si>
  <si>
    <t>male wage</t>
    <phoneticPr fontId="1" type="noConversion"/>
  </si>
  <si>
    <t>Peasants</t>
    <phoneticPr fontId="1" type="noConversion"/>
  </si>
  <si>
    <t>Male LF</t>
    <phoneticPr fontId="1" type="noConversion"/>
  </si>
  <si>
    <t>Female LF</t>
    <phoneticPr fontId="1" type="noConversion"/>
  </si>
  <si>
    <t>Average value of peasant collectives per landowning household</t>
    <phoneticPr fontId="1" type="noConversion"/>
  </si>
  <si>
    <t xml:space="preserve">any land individually (0.54). An even stronger correlation (0.73) of incomes with private plus shared nadel lands with land values.  </t>
    <phoneticPr fontId="1" type="noConversion"/>
  </si>
  <si>
    <t xml:space="preserve">Shcherbina sample version: </t>
    <phoneticPr fontId="1" type="noConversion"/>
  </si>
  <si>
    <t xml:space="preserve">Repeated for province on next worksheet </t>
    <phoneticPr fontId="1" type="noConversion"/>
  </si>
  <si>
    <t>Factors of Production, Voronezh 1897 (1904 rubles)</t>
    <phoneticPr fontId="1" type="noConversion"/>
  </si>
  <si>
    <t>income</t>
    <phoneticPr fontId="1" type="noConversion"/>
  </si>
  <si>
    <t>crops</t>
    <phoneticPr fontId="1" type="noConversion"/>
  </si>
  <si>
    <t>livestock</t>
    <phoneticPr fontId="1" type="noConversion"/>
  </si>
  <si>
    <t>out land</t>
    <phoneticPr fontId="1" type="noConversion"/>
  </si>
  <si>
    <t>residual</t>
  </si>
  <si>
    <t xml:space="preserve">These rates are 1.83 for the bottom landless labor group, followed by 2.6447, 3.229, 4.300, and 5.945, going up the Shcherbina land-use ranks. </t>
    <phoneticPr fontId="1" type="noConversion"/>
  </si>
  <si>
    <t>The Voronezh-based grand average is 3.422.</t>
    <phoneticPr fontId="1" type="noConversion"/>
  </si>
  <si>
    <r>
      <t xml:space="preserve">(c.) For </t>
    </r>
    <r>
      <rPr>
        <b/>
        <sz val="12"/>
        <rFont val="Arial"/>
      </rPr>
      <t>nadel</t>
    </r>
    <r>
      <rPr>
        <sz val="12"/>
        <rFont val="Arial"/>
      </rPr>
      <t xml:space="preserve">, allocate the 16,784,060 rubles over all peasant households </t>
    </r>
    <phoneticPr fontId="1" type="noConversion"/>
  </si>
  <si>
    <t>(G. ) Peasant population and income by land-using class, Voronezh province 1897</t>
    <phoneticPr fontId="1" type="noConversion"/>
  </si>
  <si>
    <t>(G. ) Peasant population and income by land-using class, Shcherbina's Voronezh sample 1897</t>
    <phoneticPr fontId="1" type="noConversion"/>
  </si>
  <si>
    <r>
      <t>(D.) Stolypin's (1926) time series for average annual wages in industry</t>
    </r>
    <r>
      <rPr>
        <sz val="12"/>
        <rFont val="Arial"/>
      </rPr>
      <t xml:space="preserve"> (rubles per year, as transcribed by Robert C. Allen):</t>
    </r>
    <phoneticPr fontId="1" type="noConversion"/>
  </si>
  <si>
    <t xml:space="preserve">(Converted to 1904 nominal income levels, </t>
    <phoneticPr fontId="1" type="noConversion"/>
  </si>
  <si>
    <t xml:space="preserve">   "</t>
    <phoneticPr fontId="1" type="noConversion"/>
  </si>
  <si>
    <t>All 7 groups</t>
    <phoneticPr fontId="1" type="noConversion"/>
  </si>
  <si>
    <t>goods</t>
    <phoneticPr fontId="1" type="noConversion"/>
  </si>
  <si>
    <t>enterprises</t>
    <phoneticPr fontId="1" type="noConversion"/>
  </si>
  <si>
    <t>piecework</t>
    <phoneticPr fontId="1" type="noConversion"/>
  </si>
  <si>
    <t>incomes</t>
    <phoneticPr fontId="1" type="noConversion"/>
  </si>
  <si>
    <t>detailed inc's</t>
    <phoneticPr fontId="1" type="noConversion"/>
  </si>
  <si>
    <t>income</t>
    <phoneticPr fontId="1" type="noConversion"/>
  </si>
  <si>
    <t>residual</t>
    <phoneticPr fontId="1" type="noConversion"/>
  </si>
  <si>
    <t>Total private</t>
  </si>
  <si>
    <t>owned</t>
    <phoneticPr fontId="1" type="noConversion"/>
  </si>
  <si>
    <t>1,000 rubles</t>
  </si>
  <si>
    <t>and forest</t>
    <phoneticPr fontId="1" type="noConversion"/>
  </si>
  <si>
    <t>other</t>
    <phoneticPr fontId="1" type="noConversion"/>
  </si>
  <si>
    <t xml:space="preserve">From </t>
    <phoneticPr fontId="1" type="noConversion"/>
  </si>
  <si>
    <t>industrial</t>
    <phoneticPr fontId="1" type="noConversion"/>
  </si>
  <si>
    <t>Full-year</t>
    <phoneticPr fontId="1" type="noConversion"/>
  </si>
  <si>
    <t>Half-year</t>
    <phoneticPr fontId="1" type="noConversion"/>
  </si>
  <si>
    <t>(sum error check)</t>
    <phoneticPr fontId="1" type="noConversion"/>
  </si>
  <si>
    <t>positive &lt;1k</t>
    <phoneticPr fontId="1" type="noConversion"/>
  </si>
  <si>
    <t>10k-20k</t>
    <phoneticPr fontId="1" type="noConversion"/>
  </si>
  <si>
    <t>5k-10k</t>
    <phoneticPr fontId="1" type="noConversion"/>
  </si>
  <si>
    <t>2k-5k</t>
    <phoneticPr fontId="1" type="noConversion"/>
  </si>
  <si>
    <t>1k-2k</t>
    <phoneticPr fontId="1" type="noConversion"/>
  </si>
  <si>
    <t>Assumed</t>
    <phoneticPr fontId="1" type="noConversion"/>
  </si>
  <si>
    <t>share of labor</t>
    <phoneticPr fontId="1" type="noConversion"/>
  </si>
  <si>
    <t>used in agric</t>
    <phoneticPr fontId="1" type="noConversion"/>
  </si>
  <si>
    <t>Percentages of total income --</t>
    <phoneticPr fontId="1" type="noConversion"/>
  </si>
  <si>
    <t>Land</t>
    <phoneticPr fontId="1" type="noConversion"/>
  </si>
  <si>
    <t>income</t>
    <phoneticPr fontId="1" type="noConversion"/>
  </si>
  <si>
    <t>Agric labor</t>
    <phoneticPr fontId="1" type="noConversion"/>
  </si>
  <si>
    <t>Non-agric</t>
    <phoneticPr fontId="1" type="noConversion"/>
  </si>
  <si>
    <t>income</t>
    <phoneticPr fontId="1" type="noConversion"/>
  </si>
  <si>
    <t>Imputed</t>
    <phoneticPr fontId="1" type="noConversion"/>
  </si>
  <si>
    <t>labor income</t>
    <phoneticPr fontId="1" type="noConversion"/>
  </si>
  <si>
    <t>income</t>
    <phoneticPr fontId="1" type="noConversion"/>
  </si>
  <si>
    <t>Farm operator's</t>
    <phoneticPr fontId="1" type="noConversion"/>
  </si>
  <si>
    <t>Total income</t>
    <phoneticPr fontId="1" type="noConversion"/>
  </si>
  <si>
    <t>50k-up</t>
    <phoneticPr fontId="1" type="noConversion"/>
  </si>
  <si>
    <t>20k-50k</t>
    <phoneticPr fontId="1" type="noConversion"/>
  </si>
  <si>
    <t>Machinist, mechanic, lathe op</t>
    <phoneticPr fontId="1" type="noConversion"/>
  </si>
  <si>
    <t>Blacksmith, foundry worker</t>
    <phoneticPr fontId="1" type="noConversion"/>
  </si>
  <si>
    <t>Industrial workers in inspected factories 1904</t>
    <phoneticPr fontId="1" type="noConversion"/>
  </si>
  <si>
    <t>Olonets industrial HH 1898-1899</t>
  </si>
  <si>
    <t>Male LF</t>
    <phoneticPr fontId="1" type="noConversion"/>
  </si>
  <si>
    <t>Female LF</t>
    <phoneticPr fontId="1" type="noConversion"/>
  </si>
  <si>
    <t>arable</t>
    <phoneticPr fontId="1" type="noConversion"/>
  </si>
  <si>
    <t>From</t>
    <phoneticPr fontId="1" type="noConversion"/>
  </si>
  <si>
    <t>letting</t>
    <phoneticPr fontId="1" type="noConversion"/>
  </si>
  <si>
    <t>and forest</t>
    <phoneticPr fontId="1" type="noConversion"/>
  </si>
  <si>
    <t>other</t>
    <phoneticPr fontId="1" type="noConversion"/>
  </si>
  <si>
    <t>Percent of all</t>
    <phoneticPr fontId="1" type="noConversion"/>
  </si>
  <si>
    <t>Peasants</t>
    <phoneticPr fontId="1" type="noConversion"/>
  </si>
  <si>
    <t>share of labor</t>
    <phoneticPr fontId="1" type="noConversion"/>
  </si>
  <si>
    <t>labor income</t>
    <phoneticPr fontId="1" type="noConversion"/>
  </si>
  <si>
    <t>non-agric</t>
    <phoneticPr fontId="1" type="noConversion"/>
  </si>
  <si>
    <t>Bessarabia</t>
    <phoneticPr fontId="1" type="noConversion"/>
  </si>
  <si>
    <t>Donskogo B. oblasty'</t>
    <phoneticPr fontId="0" type="noConversion"/>
  </si>
  <si>
    <t>Taurida</t>
    <phoneticPr fontId="1" type="noConversion"/>
  </si>
  <si>
    <t>Evrop. Rossia</t>
    <phoneticPr fontId="0" type="noConversion"/>
  </si>
  <si>
    <t>Arkhangelsk</t>
    <phoneticPr fontId="1" type="noConversion"/>
  </si>
  <si>
    <t>Vologda</t>
    <phoneticPr fontId="1" type="noConversion"/>
  </si>
  <si>
    <t>(IV.A)</t>
    <phoneticPr fontId="1" type="noConversion"/>
  </si>
  <si>
    <t>Poor farmless peasant laborers</t>
    <phoneticPr fontId="1" type="noConversion"/>
  </si>
  <si>
    <t>imply a greater private ownership income for these 3,965 households than</t>
    <phoneticPr fontId="1" type="noConversion"/>
  </si>
  <si>
    <t>income</t>
    <phoneticPr fontId="1" type="noConversion"/>
  </si>
  <si>
    <t>household</t>
    <phoneticPr fontId="1" type="noConversion"/>
  </si>
  <si>
    <t>Income per</t>
    <phoneticPr fontId="1" type="noConversion"/>
  </si>
  <si>
    <t>Household category,</t>
    <phoneticPr fontId="1" type="noConversion"/>
  </si>
  <si>
    <t>Full-year</t>
    <phoneticPr fontId="1" type="noConversion"/>
  </si>
  <si>
    <t>Without Kostroma, moderate relationships overall.  Higher incomes related to male wage a bit 0.28), more strongly to the share of peasants owning</t>
    <phoneticPr fontId="1" type="noConversion"/>
  </si>
  <si>
    <t>Land area of</t>
    <phoneticPr fontId="1" type="noConversion"/>
  </si>
  <si>
    <t>Purchased land</t>
    <phoneticPr fontId="1" type="noConversion"/>
  </si>
  <si>
    <t>Quarter (chetbertnaya) land</t>
    <phoneticPr fontId="1" type="noConversion"/>
  </si>
  <si>
    <t>Total</t>
    <phoneticPr fontId="1" type="noConversion"/>
  </si>
  <si>
    <t>From Opyt'</t>
    <phoneticPr fontId="1" type="noConversion"/>
  </si>
  <si>
    <t>From land</t>
    <phoneticPr fontId="1" type="noConversion"/>
  </si>
  <si>
    <t>piecework</t>
    <phoneticPr fontId="1" type="noConversion"/>
  </si>
  <si>
    <t>incomes</t>
    <phoneticPr fontId="1" type="noConversion"/>
  </si>
  <si>
    <t>detailed inc's</t>
    <phoneticPr fontId="1" type="noConversion"/>
  </si>
  <si>
    <t>1904 rubles</t>
    <phoneticPr fontId="1" type="noConversion"/>
  </si>
  <si>
    <t>of total income</t>
    <phoneticPr fontId="1" type="noConversion"/>
  </si>
  <si>
    <t>with at least</t>
    <phoneticPr fontId="1" type="noConversion"/>
  </si>
  <si>
    <r>
      <t xml:space="preserve">of </t>
    </r>
    <r>
      <rPr>
        <u/>
        <sz val="12"/>
        <rFont val="Arial"/>
      </rPr>
      <t>less</t>
    </r>
    <r>
      <rPr>
        <sz val="12"/>
        <rFont val="Arial"/>
      </rPr>
      <t xml:space="preserve"> than</t>
    </r>
    <phoneticPr fontId="1" type="noConversion"/>
  </si>
  <si>
    <t>Peasants only, all ranges</t>
    <phoneticPr fontId="1" type="noConversion"/>
  </si>
  <si>
    <t>Peasant HHs</t>
    <phoneticPr fontId="1" type="noConversion"/>
  </si>
  <si>
    <t>dings (des.)</t>
    <phoneticPr fontId="1" type="noConversion"/>
  </si>
  <si>
    <t>Half-year</t>
    <phoneticPr fontId="1" type="noConversion"/>
  </si>
  <si>
    <t>get 3/4 pay (Full-time male equivalents)</t>
    <phoneticPr fontId="1" type="noConversion"/>
  </si>
  <si>
    <t>arable</t>
    <phoneticPr fontId="1" type="noConversion"/>
  </si>
  <si>
    <t>From</t>
    <phoneticPr fontId="1" type="noConversion"/>
  </si>
  <si>
    <t>letting</t>
    <phoneticPr fontId="1" type="noConversion"/>
  </si>
  <si>
    <t>and forest</t>
    <phoneticPr fontId="1" type="noConversion"/>
  </si>
  <si>
    <t>other</t>
    <phoneticPr fontId="1" type="noConversion"/>
  </si>
  <si>
    <t>industrial</t>
    <phoneticPr fontId="1" type="noConversion"/>
  </si>
  <si>
    <t>From kustar (promyslov)</t>
    <phoneticPr fontId="1" type="noConversion"/>
  </si>
  <si>
    <t>Rental income</t>
    <phoneticPr fontId="1" type="noConversion"/>
  </si>
  <si>
    <t>Total</t>
    <phoneticPr fontId="1" type="noConversion"/>
  </si>
  <si>
    <t>plowed land</t>
    <phoneticPr fontId="1" type="noConversion"/>
  </si>
  <si>
    <t>HHs owning</t>
    <phoneticPr fontId="1" type="noConversion"/>
  </si>
  <si>
    <t>Desiatins</t>
    <phoneticPr fontId="1" type="noConversion"/>
  </si>
  <si>
    <t>Plowed des.</t>
    <phoneticPr fontId="1" type="noConversion"/>
  </si>
  <si>
    <t xml:space="preserve"> land</t>
    <phoneticPr fontId="1" type="noConversion"/>
  </si>
  <si>
    <t>% shares of all peasant HHs</t>
    <phoneticPr fontId="1" type="noConversion"/>
  </si>
  <si>
    <t>this row</t>
    <phoneticPr fontId="1" type="noConversion"/>
  </si>
  <si>
    <t>households</t>
  </si>
  <si>
    <t>peasants</t>
  </si>
  <si>
    <t>in rubles</t>
  </si>
  <si>
    <t>Landless</t>
  </si>
  <si>
    <t>Total value of peasant collectives</t>
    <phoneticPr fontId="1" type="noConversion"/>
  </si>
  <si>
    <t>Nadel</t>
    <phoneticPr fontId="1" type="noConversion"/>
  </si>
  <si>
    <r>
      <t xml:space="preserve">Implied rental values of land </t>
    </r>
    <r>
      <rPr>
        <b/>
        <u/>
        <sz val="12"/>
        <rFont val="Arial"/>
      </rPr>
      <t>in use</t>
    </r>
    <r>
      <rPr>
        <b/>
        <sz val="12"/>
        <rFont val="Arial"/>
      </rPr>
      <t xml:space="preserve"> in Voronezh province 1904 (marginal product of land)</t>
    </r>
    <phoneticPr fontId="1" type="noConversion"/>
  </si>
  <si>
    <t>Percentages of total income --</t>
  </si>
  <si>
    <t>Non-agric</t>
  </si>
  <si>
    <t>Agric labor</t>
  </si>
  <si>
    <t>Land</t>
  </si>
  <si>
    <t>Farm</t>
  </si>
  <si>
    <t>Total</t>
  </si>
  <si>
    <t>income</t>
  </si>
  <si>
    <t xml:space="preserve">(Grand mean income per HH) minus (mean land income per HH) = </t>
    <phoneticPr fontId="1" type="noConversion"/>
  </si>
  <si>
    <t>non-land</t>
    <phoneticPr fontId="1" type="noConversion"/>
  </si>
  <si>
    <t xml:space="preserve">land income, whereas inflating the top land-using group's patterns to cover </t>
    <phoneticPr fontId="1" type="noConversion"/>
  </si>
  <si>
    <t>(rounding)</t>
    <phoneticPr fontId="1" type="noConversion"/>
  </si>
  <si>
    <t>income/HH</t>
    <phoneticPr fontId="1" type="noConversion"/>
  </si>
  <si>
    <t>income at µ =</t>
    <phoneticPr fontId="1" type="noConversion"/>
  </si>
  <si>
    <t>private landowners'</t>
    <phoneticPr fontId="1" type="noConversion"/>
  </si>
  <si>
    <t>"Suitable"*</t>
    <phoneticPr fontId="1" type="noConversion"/>
  </si>
  <si>
    <t>in cultivation*</t>
    <phoneticPr fontId="1" type="noConversion"/>
  </si>
  <si>
    <t xml:space="preserve">This split in procedures has the drawback of assuming lower aggregate labor force participation in peasant families (from 3.71 to 3.42).  </t>
    <phoneticPr fontId="1" type="noConversion"/>
  </si>
  <si>
    <t>Province totals --</t>
    <phoneticPr fontId="1" type="noConversion"/>
  </si>
  <si>
    <t>Carry on to Voronezh province 1904 worksheet =&gt;</t>
    <phoneticPr fontId="1" type="noConversion"/>
  </si>
  <si>
    <t>Imputed</t>
    <phoneticPr fontId="1" type="noConversion"/>
  </si>
  <si>
    <t>land rental as</t>
    <phoneticPr fontId="1" type="noConversion"/>
  </si>
  <si>
    <t>a % of income</t>
    <phoneticPr fontId="1" type="noConversion"/>
  </si>
  <si>
    <t>livestock</t>
    <phoneticPr fontId="1" type="noConversion"/>
  </si>
  <si>
    <t>out land</t>
    <phoneticPr fontId="1" type="noConversion"/>
  </si>
  <si>
    <t>materials</t>
    <phoneticPr fontId="1" type="noConversion"/>
  </si>
  <si>
    <t>males</t>
    <phoneticPr fontId="1" type="noConversion"/>
  </si>
  <si>
    <t>females</t>
    <phoneticPr fontId="1" type="noConversion"/>
  </si>
  <si>
    <t>Males</t>
    <phoneticPr fontId="1" type="noConversion"/>
  </si>
  <si>
    <t>Females</t>
    <phoneticPr fontId="1" type="noConversion"/>
  </si>
  <si>
    <t>Both</t>
    <phoneticPr fontId="1" type="noConversion"/>
  </si>
  <si>
    <t>crops</t>
    <phoneticPr fontId="1" type="noConversion"/>
  </si>
  <si>
    <t>Adding Table ___'s</t>
    <phoneticPr fontId="1" type="noConversion"/>
  </si>
  <si>
    <r>
      <t xml:space="preserve">(d.) Total </t>
    </r>
    <r>
      <rPr>
        <u/>
        <sz val="12"/>
        <rFont val="Arial"/>
      </rPr>
      <t>land-owning</t>
    </r>
    <phoneticPr fontId="1" type="noConversion"/>
  </si>
  <si>
    <t>private plus</t>
    <phoneticPr fontId="1" type="noConversion"/>
  </si>
  <si>
    <t>Peasant HHs</t>
    <phoneticPr fontId="1" type="noConversion"/>
  </si>
  <si>
    <t xml:space="preserve">nadel, </t>
    <phoneticPr fontId="1" type="noConversion"/>
  </si>
  <si>
    <t>with private</t>
    <phoneticPr fontId="1" type="noConversion"/>
  </si>
  <si>
    <t>from priv. ind.</t>
    <phoneticPr fontId="1" type="noConversion"/>
  </si>
  <si>
    <t>income</t>
    <phoneticPr fontId="1" type="noConversion"/>
  </si>
  <si>
    <t>the top group</t>
    <phoneticPr fontId="1" type="noConversion"/>
  </si>
  <si>
    <t>Rental range</t>
    <phoneticPr fontId="1" type="noConversion"/>
  </si>
  <si>
    <t>individ. holdings</t>
    <phoneticPr fontId="1" type="noConversion"/>
  </si>
  <si>
    <t>lands (rubles)</t>
    <phoneticPr fontId="1" type="noConversion"/>
  </si>
  <si>
    <t>per owner</t>
    <phoneticPr fontId="1" type="noConversion"/>
  </si>
  <si>
    <t>in Voronezh =</t>
    <phoneticPr fontId="1" type="noConversion"/>
  </si>
  <si>
    <t>50k-up</t>
    <phoneticPr fontId="1" type="noConversion"/>
  </si>
  <si>
    <t>20k-50k</t>
    <phoneticPr fontId="1" type="noConversion"/>
  </si>
  <si>
    <t>Total income</t>
    <phoneticPr fontId="1" type="noConversion"/>
  </si>
  <si>
    <t>10k-20k</t>
    <phoneticPr fontId="1" type="noConversion"/>
  </si>
  <si>
    <t>in cultivation</t>
    <phoneticPr fontId="1" type="noConversion"/>
  </si>
  <si>
    <t>lands</t>
    <phoneticPr fontId="1" type="noConversion"/>
  </si>
  <si>
    <t>&gt; 25 des, non-own</t>
    <phoneticPr fontId="1" type="noConversion"/>
  </si>
  <si>
    <t>area</t>
    <phoneticPr fontId="1" type="noConversion"/>
  </si>
  <si>
    <t>per HH</t>
    <phoneticPr fontId="1" type="noConversion"/>
  </si>
  <si>
    <t>Nadel</t>
    <phoneticPr fontId="1" type="noConversion"/>
  </si>
  <si>
    <t>for c1904</t>
    <phoneticPr fontId="1" type="noConversion"/>
  </si>
  <si>
    <t>of po kypchim</t>
    <phoneticPr fontId="1" type="noConversion"/>
  </si>
  <si>
    <t>non-nadel</t>
    <phoneticPr fontId="1" type="noConversion"/>
  </si>
  <si>
    <t>&amp; chet. Lands</t>
    <phoneticPr fontId="1" type="noConversion"/>
  </si>
  <si>
    <t>&lt; 5 des.</t>
    <phoneticPr fontId="1" type="noConversion"/>
  </si>
  <si>
    <t>5-15 des.</t>
    <phoneticPr fontId="1" type="noConversion"/>
  </si>
  <si>
    <t>15-25 des.</t>
    <phoneticPr fontId="1" type="noConversion"/>
  </si>
  <si>
    <t>over 25 des.</t>
    <phoneticPr fontId="1" type="noConversion"/>
  </si>
  <si>
    <t>Ratios --</t>
    <phoneticPr fontId="1" type="noConversion"/>
  </si>
  <si>
    <t>Incomes per household (1904 rubles) --</t>
    <phoneticPr fontId="1" type="noConversion"/>
  </si>
  <si>
    <r>
      <t>L</t>
    </r>
    <r>
      <rPr>
        <b/>
        <u/>
        <sz val="12"/>
        <rFont val="Arial"/>
      </rPr>
      <t>and-holding</t>
    </r>
    <r>
      <rPr>
        <b/>
        <sz val="12"/>
        <rFont val="Arial"/>
      </rPr>
      <t xml:space="preserve"> classes for Voronezh province, 1905</t>
    </r>
    <phoneticPr fontId="1" type="noConversion"/>
  </si>
  <si>
    <t>(2) Total salaries of those 1,000-2,000 each =</t>
    <phoneticPr fontId="1" type="noConversion"/>
  </si>
  <si>
    <t>Fr fodders</t>
    <phoneticPr fontId="1" type="noConversion"/>
  </si>
  <si>
    <t xml:space="preserve">From </t>
    <phoneticPr fontId="1" type="noConversion"/>
  </si>
  <si>
    <t>Residual omit-</t>
    <phoneticPr fontId="1" type="noConversion"/>
  </si>
  <si>
    <t>Total income</t>
    <phoneticPr fontId="1" type="noConversion"/>
  </si>
  <si>
    <t>income</t>
    <phoneticPr fontId="1" type="noConversion"/>
  </si>
  <si>
    <t>Total (ruble)</t>
    <phoneticPr fontId="1" type="noConversion"/>
  </si>
  <si>
    <t>Average</t>
    <phoneticPr fontId="1" type="noConversion"/>
  </si>
  <si>
    <t>income per</t>
    <phoneticPr fontId="1" type="noConversion"/>
  </si>
  <si>
    <t>household</t>
    <phoneticPr fontId="1" type="noConversion"/>
  </si>
  <si>
    <t>positive &lt;1k private landowners</t>
  </si>
  <si>
    <t>1k-2k private landowners</t>
  </si>
  <si>
    <t>2k-5k private landowners</t>
  </si>
  <si>
    <t>5k-10k private landowners</t>
  </si>
  <si>
    <t>10k-20k private landowners</t>
  </si>
  <si>
    <t>20k-50k private landowners</t>
  </si>
  <si>
    <t>(IV.B.1)</t>
    <phoneticPr fontId="1" type="noConversion"/>
  </si>
  <si>
    <t>Lower farm operators</t>
    <phoneticPr fontId="1" type="noConversion"/>
  </si>
  <si>
    <t>(IV.B.2)</t>
    <phoneticPr fontId="1" type="noConversion"/>
  </si>
  <si>
    <t>Middle farm operators</t>
    <phoneticPr fontId="1" type="noConversion"/>
  </si>
  <si>
    <t>(IV.B.3)</t>
    <phoneticPr fontId="1" type="noConversion"/>
  </si>
  <si>
    <t>Upper farm operators</t>
    <phoneticPr fontId="1" type="noConversion"/>
  </si>
  <si>
    <t xml:space="preserve">(IV.B.4) </t>
    <phoneticPr fontId="1" type="noConversion"/>
  </si>
  <si>
    <t>per HH</t>
    <phoneticPr fontId="1" type="noConversion"/>
  </si>
  <si>
    <t>used in agric</t>
    <phoneticPr fontId="1" type="noConversion"/>
  </si>
  <si>
    <t>at 62.76 r/yr</t>
    <phoneticPr fontId="1" type="noConversion"/>
  </si>
  <si>
    <t>Dividing Average Household Income into Sectors and</t>
    <phoneticPr fontId="1" type="noConversion"/>
  </si>
  <si>
    <t>Land rents (rubles per desiatin)</t>
    <phoneticPr fontId="1" type="noConversion"/>
  </si>
  <si>
    <t>From</t>
    <phoneticPr fontId="1" type="noConversion"/>
  </si>
  <si>
    <t>Fr fodders</t>
    <phoneticPr fontId="1" type="noConversion"/>
  </si>
  <si>
    <t xml:space="preserve">From </t>
    <phoneticPr fontId="1" type="noConversion"/>
  </si>
  <si>
    <t xml:space="preserve">the whole province implies only 1,289,685 rubles of income from </t>
    <phoneticPr fontId="1" type="noConversion"/>
  </si>
  <si>
    <r>
      <t xml:space="preserve">(a.) Individual </t>
    </r>
    <r>
      <rPr>
        <u/>
        <sz val="12"/>
        <rFont val="Arial"/>
      </rPr>
      <t>land-owning</t>
    </r>
    <r>
      <rPr>
        <sz val="12"/>
        <rFont val="Arial"/>
      </rPr>
      <t xml:space="preserve"> (sobstvennaia)</t>
    </r>
    <phoneticPr fontId="1" type="noConversion"/>
  </si>
  <si>
    <t>households</t>
    <phoneticPr fontId="1" type="noConversion"/>
  </si>
  <si>
    <t xml:space="preserve">Farm </t>
    <phoneticPr fontId="1" type="noConversion"/>
  </si>
  <si>
    <t>residual</t>
    <phoneticPr fontId="1" type="noConversion"/>
  </si>
  <si>
    <t>Ditto, per HH</t>
    <phoneticPr fontId="1" type="noConversion"/>
  </si>
  <si>
    <t>Sum of non-land inc's/HH =</t>
    <phoneticPr fontId="1" type="noConversion"/>
  </si>
  <si>
    <t>by assumption</t>
    <phoneticPr fontId="1" type="noConversion"/>
  </si>
  <si>
    <t>Priv. indiv.</t>
    <phoneticPr fontId="1" type="noConversion"/>
  </si>
  <si>
    <t>rental income</t>
    <phoneticPr fontId="1" type="noConversion"/>
  </si>
  <si>
    <t xml:space="preserve">Sum of non-land inc's/HH = </t>
    <phoneticPr fontId="1" type="noConversion"/>
  </si>
  <si>
    <r>
      <t xml:space="preserve">(b.) For </t>
    </r>
    <r>
      <rPr>
        <b/>
        <sz val="12"/>
        <rFont val="Arial"/>
      </rPr>
      <t>obshch. - tovar.</t>
    </r>
    <r>
      <rPr>
        <sz val="12"/>
        <rFont val="Arial"/>
      </rPr>
      <t>, allocate the 1,370,761 rubles across the seven</t>
    </r>
    <phoneticPr fontId="1" type="noConversion"/>
  </si>
  <si>
    <t xml:space="preserve"> individual land owner. So each gets 345.7152 rubles in obshch.-tovar. </t>
    <phoneticPr fontId="1" type="noConversion"/>
  </si>
  <si>
    <t>(IV.C) Those seven landowning classes of peasants</t>
    <phoneticPr fontId="1" type="noConversion"/>
  </si>
  <si>
    <t>(IV.A) Poor farmless peasant laborers</t>
    <phoneticPr fontId="1" type="noConversion"/>
  </si>
  <si>
    <t>Data type*</t>
    <phoneticPr fontId="1" type="noConversion"/>
  </si>
  <si>
    <t>Region</t>
  </si>
  <si>
    <t>census v. 51</t>
    <phoneticPr fontId="1" type="noConversion"/>
  </si>
  <si>
    <t>r1,000 income</t>
    <phoneticPr fontId="1" type="noConversion"/>
  </si>
  <si>
    <t>with private</t>
    <phoneticPr fontId="1" type="noConversion"/>
  </si>
  <si>
    <t>indivual hol-</t>
    <phoneticPr fontId="1" type="noConversion"/>
  </si>
  <si>
    <t>from these hol-</t>
    <phoneticPr fontId="1" type="noConversion"/>
  </si>
  <si>
    <t>Private individual owners</t>
    <phoneticPr fontId="1" type="noConversion"/>
  </si>
  <si>
    <t>Rental range</t>
    <phoneticPr fontId="1" type="noConversion"/>
  </si>
  <si>
    <t>individ. holdings</t>
    <phoneticPr fontId="1" type="noConversion"/>
  </si>
  <si>
    <t>Land area</t>
    <phoneticPr fontId="1" type="noConversion"/>
  </si>
  <si>
    <t>From Opyt'</t>
    <phoneticPr fontId="1" type="noConversion"/>
  </si>
  <si>
    <t>1900-02 @ 6%</t>
    <phoneticPr fontId="1" type="noConversion"/>
  </si>
  <si>
    <t>census 1905</t>
    <phoneticPr fontId="1" type="noConversion"/>
  </si>
  <si>
    <t>Rental income per entity</t>
    <phoneticPr fontId="1" type="noConversion"/>
  </si>
  <si>
    <t>all 7 ranges</t>
    <phoneticPr fontId="1" type="noConversion"/>
  </si>
  <si>
    <t>Nadel'nye zemli</t>
    <phoneticPr fontId="1" type="noConversion"/>
  </si>
  <si>
    <t>land-owning ranges, giving equal obshch. - tovar. to each private</t>
    <phoneticPr fontId="1" type="noConversion"/>
  </si>
  <si>
    <t>diffficulties, such as negative rental values.  The problem, for the non-peasant estates, was that the numbers of properties were too small for reliable</t>
    <phoneticPr fontId="1" type="noConversion"/>
  </si>
  <si>
    <t>The preferred middle (M) estimates of the income strata within the peasantry, 50 provinces in 1904</t>
    <phoneticPr fontId="1" type="noConversion"/>
  </si>
  <si>
    <t>(M estimates)</t>
    <phoneticPr fontId="1" type="noConversion"/>
  </si>
  <si>
    <t>IV. The synthetic peasant strata (preferred M estimates)</t>
    <phoneticPr fontId="1" type="noConversion"/>
  </si>
  <si>
    <t>On the "peasant income details" worksheet, this got rounded to an implicit sum of 444,910.</t>
    <phoneticPr fontId="1" type="noConversion"/>
  </si>
  <si>
    <t>Labor</t>
    <phoneticPr fontId="1" type="noConversion"/>
  </si>
  <si>
    <t>force</t>
    <phoneticPr fontId="1" type="noConversion"/>
  </si>
  <si>
    <t>Total income (rubles)</t>
    <phoneticPr fontId="1" type="noConversion"/>
  </si>
  <si>
    <t>(IV.B.2)  Middle farm operators</t>
    <phoneticPr fontId="1" type="noConversion"/>
  </si>
  <si>
    <t>(IV.B.3)  Upper farm operators</t>
    <phoneticPr fontId="1" type="noConversion"/>
  </si>
  <si>
    <t>(IV.B.4)  Top farmers not private owners</t>
    <phoneticPr fontId="1" type="noConversion"/>
  </si>
  <si>
    <t>Purchased</t>
    <phoneticPr fontId="1" type="noConversion"/>
  </si>
  <si>
    <t>All</t>
    <phoneticPr fontId="1" type="noConversion"/>
  </si>
  <si>
    <t>"by nadel lands"*</t>
    <phoneticPr fontId="1" type="noConversion"/>
  </si>
  <si>
    <t>For the peasantry, we apply to all provinces Shcherbina's stratum-specific rates of LF per HH for Voronezh in 1897.</t>
    <phoneticPr fontId="1" type="noConversion"/>
  </si>
  <si>
    <t>Income / HH, based on Voronezh &amp; based on mix</t>
    <phoneticPr fontId="1" type="noConversion"/>
  </si>
  <si>
    <t>(IV.B) Four middle strata, farm operators</t>
    <phoneticPr fontId="1" type="noConversion"/>
  </si>
  <si>
    <t>Households</t>
    <phoneticPr fontId="1" type="noConversion"/>
  </si>
  <si>
    <t>non-land income / HH, based on Voronezh</t>
    <phoneticPr fontId="1" type="noConversion"/>
  </si>
  <si>
    <t>(IV.B.1)  Lower farm operators</t>
    <phoneticPr fontId="1" type="noConversion"/>
  </si>
  <si>
    <t>For use in the "peasant income details" worksheet:</t>
    <phoneticPr fontId="1" type="noConversion"/>
  </si>
  <si>
    <t>households in the province, excluding those few (3,965) with private landownership.</t>
    <phoneticPr fontId="1" type="noConversion"/>
  </si>
  <si>
    <t>Percent of</t>
    <phoneticPr fontId="1" type="noConversion"/>
  </si>
  <si>
    <t>Neither gives the same rental value as the 37.4 rubles per household used in the 1905 land census.</t>
    <phoneticPr fontId="1" type="noConversion"/>
  </si>
  <si>
    <t xml:space="preserve">Prefer the latter, which is available for all provinces.  </t>
    <phoneticPr fontId="1" type="noConversion"/>
  </si>
  <si>
    <t>"µ" ratio = this group's non-land</t>
    <phoneticPr fontId="1" type="noConversion"/>
  </si>
  <si>
    <t>Land-holding classes for Voronezh province, 1905, continued</t>
    <phoneticPr fontId="1" type="noConversion"/>
  </si>
  <si>
    <t>Assumed</t>
    <phoneticPr fontId="1" type="noConversion"/>
  </si>
  <si>
    <t>Imputed agric</t>
    <phoneticPr fontId="1" type="noConversion"/>
  </si>
  <si>
    <t>Imputed</t>
    <phoneticPr fontId="1" type="noConversion"/>
  </si>
  <si>
    <t>From</t>
    <phoneticPr fontId="1" type="noConversion"/>
  </si>
  <si>
    <t>Penza</t>
    <phoneticPr fontId="1" type="noConversion"/>
  </si>
  <si>
    <t>Simbirsk</t>
    <phoneticPr fontId="1" type="noConversion"/>
  </si>
  <si>
    <t>Tula</t>
    <phoneticPr fontId="1" type="noConversion"/>
  </si>
  <si>
    <t>Poltava</t>
    <phoneticPr fontId="1" type="noConversion"/>
  </si>
  <si>
    <t>Vilna</t>
    <phoneticPr fontId="1" type="noConversion"/>
  </si>
  <si>
    <t>Vitebsk</t>
    <phoneticPr fontId="1" type="noConversion"/>
  </si>
  <si>
    <t>Grodno</t>
    <phoneticPr fontId="1" type="noConversion"/>
  </si>
  <si>
    <t>Kovno</t>
    <phoneticPr fontId="1" type="noConversion"/>
  </si>
  <si>
    <t>Minsk</t>
    <phoneticPr fontId="1" type="noConversion"/>
  </si>
  <si>
    <t>Volynia</t>
    <phoneticPr fontId="1" type="noConversion"/>
  </si>
  <si>
    <t>Podol'sk</t>
    <phoneticPr fontId="1" type="noConversion"/>
  </si>
  <si>
    <t xml:space="preserve">Number of </t>
    <phoneticPr fontId="1" type="noConversion"/>
  </si>
  <si>
    <t>households</t>
    <phoneticPr fontId="1" type="noConversion"/>
  </si>
  <si>
    <t>All rates per household stay the same as in the sample above.</t>
    <phoneticPr fontId="1" type="noConversion"/>
  </si>
  <si>
    <t>Inflating to all peasant households in Voronezh province in 1904</t>
    <phoneticPr fontId="1" type="noConversion"/>
  </si>
  <si>
    <t xml:space="preserve">Appendix Table __.3. </t>
    <phoneticPr fontId="1" type="noConversion"/>
  </si>
  <si>
    <t>50 Provinces of European Russia in 1904</t>
    <phoneticPr fontId="1" type="noConversion"/>
  </si>
  <si>
    <t>50k-up private landowners</t>
  </si>
  <si>
    <t>Top farmers not private landowners</t>
  </si>
  <si>
    <t>Income Distribution within the Peasantry,</t>
    <phoneticPr fontId="1" type="noConversion"/>
  </si>
  <si>
    <t>and adding the nadel land rentals gives 825 rubles a year as the average peasant household income in Olonets.</t>
    <phoneticPr fontId="1" type="noConversion"/>
  </si>
  <si>
    <t>Check: total households:</t>
    <phoneticPr fontId="1" type="noConversion"/>
  </si>
  <si>
    <t>Top farmers not private owners</t>
    <phoneticPr fontId="1" type="noConversion"/>
  </si>
  <si>
    <t>(IV.C.1)</t>
    <phoneticPr fontId="1" type="noConversion"/>
  </si>
  <si>
    <t>50k-up private owners</t>
    <phoneticPr fontId="1" type="noConversion"/>
  </si>
  <si>
    <t>(IV.C.2)</t>
    <phoneticPr fontId="1" type="noConversion"/>
  </si>
  <si>
    <t>does the Shcherbina return, even when the latter is inflated from the sample</t>
    <phoneticPr fontId="1" type="noConversion"/>
  </si>
  <si>
    <t>Total value of peasant nadel allotments</t>
    <phoneticPr fontId="1" type="noConversion"/>
  </si>
  <si>
    <t>Average value of peasant nadel allotments per landowning HH</t>
    <phoneticPr fontId="1" type="noConversion"/>
  </si>
  <si>
    <t>assuming equal nadel rental only among the top 25% of households in the province.</t>
    <phoneticPr fontId="1" type="noConversion"/>
  </si>
  <si>
    <t>H estimates</t>
    <phoneticPr fontId="1" type="noConversion"/>
  </si>
  <si>
    <t>V. Low-inequality ("L") estimates</t>
    <phoneticPr fontId="1" type="noConversion"/>
  </si>
  <si>
    <t>assuming equal nadel rental for every household in the province.</t>
    <phoneticPr fontId="1" type="noConversion"/>
  </si>
  <si>
    <t>Total value of peasant allotments (rubles/year)</t>
    <phoneticPr fontId="1" type="noConversion"/>
  </si>
  <si>
    <t>Versus sum of nadel rentals</t>
    <phoneticPr fontId="1" type="noConversion"/>
  </si>
  <si>
    <t>under the M assumptions above =</t>
    <phoneticPr fontId="1" type="noConversion"/>
  </si>
  <si>
    <t>Total Incomes (rubles)</t>
    <phoneticPr fontId="1" type="noConversion"/>
  </si>
  <si>
    <t>L estimates</t>
    <phoneticPr fontId="1" type="noConversion"/>
  </si>
  <si>
    <t>dings (rubles)</t>
    <phoneticPr fontId="1" type="noConversion"/>
  </si>
  <si>
    <t>per owner</t>
    <phoneticPr fontId="1" type="noConversion"/>
  </si>
  <si>
    <t>Their desiatins</t>
    <phoneticPr fontId="1" type="noConversion"/>
  </si>
  <si>
    <t>Area in desiatins</t>
    <phoneticPr fontId="1" type="noConversion"/>
  </si>
  <si>
    <t>50k-up</t>
    <phoneticPr fontId="1" type="noConversion"/>
  </si>
  <si>
    <t>20k-50k</t>
    <phoneticPr fontId="1" type="noConversion"/>
  </si>
  <si>
    <t>Rental income per owner</t>
    <phoneticPr fontId="1" type="noConversion"/>
  </si>
  <si>
    <t>10k-20k</t>
    <phoneticPr fontId="1" type="noConversion"/>
  </si>
  <si>
    <t>5k-10k</t>
    <phoneticPr fontId="1" type="noConversion"/>
  </si>
  <si>
    <t>Obshchestvennye i tovarishchennye</t>
    <phoneticPr fontId="1" type="noConversion"/>
  </si>
  <si>
    <t>2k-5k</t>
    <phoneticPr fontId="1" type="noConversion"/>
  </si>
  <si>
    <t>Area in desiatins</t>
    <phoneticPr fontId="1" type="noConversion"/>
  </si>
  <si>
    <t>1k-2k</t>
    <phoneticPr fontId="1" type="noConversion"/>
  </si>
  <si>
    <t>Rental income</t>
    <phoneticPr fontId="1" type="noConversion"/>
  </si>
  <si>
    <t>positive &lt;1k</t>
    <phoneticPr fontId="1" type="noConversion"/>
  </si>
  <si>
    <t>positive &lt;1k private owners</t>
    <phoneticPr fontId="1" type="noConversion"/>
  </si>
  <si>
    <t>Cyrillic province no.</t>
    <phoneticPr fontId="1" type="noConversion"/>
  </si>
  <si>
    <t>&gt; 25 des.</t>
    <phoneticPr fontId="1" type="noConversion"/>
  </si>
  <si>
    <t>owners</t>
    <phoneticPr fontId="1" type="noConversion"/>
  </si>
  <si>
    <t>Average income / HH</t>
    <phoneticPr fontId="1" type="noConversion"/>
  </si>
  <si>
    <t>income / grand mean non-land income</t>
    <phoneticPr fontId="1" type="noConversion"/>
  </si>
  <si>
    <t>VI. High-inequality ("H") estimates</t>
    <phoneticPr fontId="1" type="noConversion"/>
  </si>
  <si>
    <t>Rental value of peasant nadel allotments per HH</t>
    <phoneticPr fontId="1" type="noConversion"/>
  </si>
  <si>
    <r>
      <t xml:space="preserve">variations in household size and type that are demonstrated by Christine D. Worobec, </t>
    </r>
    <r>
      <rPr>
        <i/>
        <sz val="12"/>
        <rFont val="Arial"/>
      </rPr>
      <t>Peasant Russia: Family and Community</t>
    </r>
    <phoneticPr fontId="1" type="noConversion"/>
  </si>
  <si>
    <t xml:space="preserve">NB: Future work might be able to improve on the variations in labor force per peasant household across and within provinces. So we judge from evidence on </t>
    <phoneticPr fontId="1" type="noConversion"/>
  </si>
  <si>
    <r>
      <t>in the Post-Emancipation Period</t>
    </r>
    <r>
      <rPr>
        <sz val="12"/>
        <rFont val="Arial"/>
      </rPr>
      <t>. DeKalb IL: Northern Illinois University Press, 1995, pp. 103-114.</t>
    </r>
    <phoneticPr fontId="1" type="noConversion"/>
  </si>
  <si>
    <t>An alternative Nafziger-Lindert formula for conversion from total household size is calculated thus:</t>
    <phoneticPr fontId="1" type="noConversion"/>
  </si>
  <si>
    <t>The same calculations could not be made for estates other than the peasantry, because that file's procedures led to</t>
    <phoneticPr fontId="1" type="noConversion"/>
  </si>
  <si>
    <t>subtraction of the total estates from the oner-1,000-ruble estates.  Rather for other classes, a common average value of 384 rubles</t>
    <phoneticPr fontId="1" type="noConversion"/>
  </si>
  <si>
    <t>Versus sum of total incomes</t>
    <phoneticPr fontId="1" type="noConversion"/>
  </si>
  <si>
    <t>Low-inequality ("L") estimates</t>
    <phoneticPr fontId="1" type="noConversion"/>
  </si>
  <si>
    <t>50-province</t>
    <phoneticPr fontId="1" type="noConversion"/>
  </si>
  <si>
    <t>ratio, "L"/"M"</t>
    <phoneticPr fontId="1" type="noConversion"/>
  </si>
  <si>
    <t>20k-50k private owners</t>
    <phoneticPr fontId="1" type="noConversion"/>
  </si>
  <si>
    <t>10k-20k private owners</t>
    <phoneticPr fontId="1" type="noConversion"/>
  </si>
  <si>
    <t>(IV.C.4)</t>
    <phoneticPr fontId="1" type="noConversion"/>
  </si>
  <si>
    <t>5k-10k private owners</t>
    <phoneticPr fontId="1" type="noConversion"/>
  </si>
  <si>
    <t>(IV.C.5)</t>
    <phoneticPr fontId="1" type="noConversion"/>
  </si>
  <si>
    <t>2k-5k private owners</t>
    <phoneticPr fontId="1" type="noConversion"/>
  </si>
  <si>
    <t>(IV.C.6)</t>
    <phoneticPr fontId="1" type="noConversion"/>
  </si>
  <si>
    <t>1k-2k private owners</t>
    <phoneticPr fontId="1" type="noConversion"/>
  </si>
  <si>
    <t>(IV.C.7)</t>
    <phoneticPr fontId="1" type="noConversion"/>
  </si>
  <si>
    <t xml:space="preserve">These provincial totals, and their implied averages per household, were derived in the file "land income 1904".  </t>
    <phoneticPr fontId="1" type="noConversion"/>
  </si>
  <si>
    <t xml:space="preserve">We had to set aside the averages for Kostroma 1909, and made an adjustment for Olonets.  </t>
    <phoneticPr fontId="1" type="noConversion"/>
  </si>
  <si>
    <t>non-owning HH</t>
    <phoneticPr fontId="1" type="noConversion"/>
  </si>
  <si>
    <t>Number of households</t>
    <phoneticPr fontId="1" type="noConversion"/>
  </si>
  <si>
    <t>Total income value, in rubles</t>
    <phoneticPr fontId="1" type="noConversion"/>
  </si>
  <si>
    <t>Income per household</t>
    <phoneticPr fontId="1" type="noConversion"/>
  </si>
  <si>
    <t>Arkhangelsk</t>
    <phoneticPr fontId="1" type="noConversion"/>
  </si>
  <si>
    <t>Vologda</t>
    <phoneticPr fontId="1" type="noConversion"/>
  </si>
  <si>
    <t>Olonets</t>
    <phoneticPr fontId="1" type="noConversion"/>
  </si>
  <si>
    <t>Vyatka</t>
    <phoneticPr fontId="1" type="noConversion"/>
  </si>
  <si>
    <t>Samara</t>
    <phoneticPr fontId="1" type="noConversion"/>
  </si>
  <si>
    <t>Ufa</t>
    <phoneticPr fontId="1" type="noConversion"/>
  </si>
  <si>
    <t>Kaluga</t>
    <phoneticPr fontId="1" type="noConversion"/>
  </si>
  <si>
    <t>Kostroma</t>
    <phoneticPr fontId="1" type="noConversion"/>
  </si>
  <si>
    <t>Moskva</t>
    <phoneticPr fontId="1" type="noConversion"/>
  </si>
  <si>
    <t>Smolensk</t>
    <phoneticPr fontId="1" type="noConversion"/>
  </si>
  <si>
    <t>Yaroslavl</t>
    <phoneticPr fontId="1" type="noConversion"/>
  </si>
  <si>
    <t>Kursk</t>
    <phoneticPr fontId="1" type="noConversion"/>
  </si>
  <si>
    <t>Orel</t>
    <phoneticPr fontId="1" type="noConversion"/>
  </si>
</sst>
</file>

<file path=xl/styles.xml><?xml version="1.0" encoding="utf-8"?>
<styleSheet xmlns="http://schemas.openxmlformats.org/spreadsheetml/2006/main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"/>
    <numFmt numFmtId="167" formatCode="0.000"/>
    <numFmt numFmtId="168" formatCode="#,##0.000"/>
    <numFmt numFmtId="169" formatCode="0.000000"/>
    <numFmt numFmtId="170" formatCode="0,000"/>
    <numFmt numFmtId="171" formatCode="0.0000"/>
    <numFmt numFmtId="172" formatCode="#,##0.0000"/>
    <numFmt numFmtId="173" formatCode="#,##0"/>
    <numFmt numFmtId="174" formatCode="#,##0.0"/>
    <numFmt numFmtId="175" formatCode="#,##0.00"/>
    <numFmt numFmtId="181" formatCode="#,##0"/>
    <numFmt numFmtId="182" formatCode="#,##0.000"/>
  </numFmts>
  <fonts count="37">
    <font>
      <sz val="10"/>
      <name val="Verdana"/>
    </font>
    <font>
      <sz val="8"/>
      <name val="Verdana"/>
    </font>
    <font>
      <sz val="12"/>
      <color indexed="8"/>
      <name val="Arial"/>
    </font>
    <font>
      <b/>
      <sz val="12"/>
      <color indexed="8"/>
      <name val="Arial"/>
    </font>
    <font>
      <sz val="12"/>
      <name val="Arial"/>
    </font>
    <font>
      <i/>
      <sz val="12"/>
      <name val="Arial"/>
    </font>
    <font>
      <u/>
      <sz val="12"/>
      <name val="Arial"/>
    </font>
    <font>
      <sz val="12"/>
      <color indexed="10"/>
      <name val="Arial"/>
    </font>
    <font>
      <b/>
      <sz val="12"/>
      <name val="Arial"/>
    </font>
    <font>
      <i/>
      <sz val="12"/>
      <color indexed="8"/>
      <name val="Arial"/>
    </font>
    <font>
      <sz val="8"/>
      <name val="Calibri"/>
      <family val="2"/>
    </font>
    <font>
      <b/>
      <sz val="14"/>
      <color indexed="8"/>
      <name val="Arial"/>
    </font>
    <font>
      <sz val="12"/>
      <color indexed="57"/>
      <name val="Arial"/>
    </font>
    <font>
      <b/>
      <sz val="12"/>
      <color indexed="57"/>
      <name val="Arial"/>
    </font>
    <font>
      <b/>
      <i/>
      <sz val="12"/>
      <name val="Arial"/>
    </font>
    <font>
      <b/>
      <sz val="14"/>
      <name val="Arial"/>
    </font>
    <font>
      <i/>
      <sz val="12"/>
      <color indexed="10"/>
      <name val="Arial"/>
    </font>
    <font>
      <b/>
      <sz val="12"/>
      <color indexed="10"/>
      <name val="Arial"/>
    </font>
    <font>
      <b/>
      <sz val="14"/>
      <color indexed="10"/>
      <name val="Arial"/>
    </font>
    <font>
      <b/>
      <sz val="16"/>
      <name val="Arial"/>
    </font>
    <font>
      <b/>
      <sz val="18"/>
      <color indexed="10"/>
      <name val="Arial"/>
    </font>
    <font>
      <b/>
      <sz val="16"/>
      <color indexed="8"/>
      <name val="Arial"/>
    </font>
    <font>
      <sz val="16"/>
      <color indexed="8"/>
      <name val="Arial"/>
    </font>
    <font>
      <u/>
      <sz val="12"/>
      <color indexed="10"/>
      <name val="Arial"/>
    </font>
    <font>
      <b/>
      <u/>
      <sz val="12"/>
      <name val="Arial"/>
    </font>
    <font>
      <u/>
      <sz val="12"/>
      <color indexed="8"/>
      <name val="Arial"/>
    </font>
    <font>
      <b/>
      <u/>
      <sz val="12"/>
      <color indexed="8"/>
      <name val="Arial"/>
    </font>
    <font>
      <b/>
      <u/>
      <sz val="16"/>
      <name val="Arial"/>
    </font>
    <font>
      <b/>
      <u/>
      <sz val="14"/>
      <color indexed="10"/>
      <name val="Arial"/>
    </font>
    <font>
      <b/>
      <sz val="16"/>
      <color indexed="10"/>
      <name val="Arial"/>
    </font>
    <font>
      <b/>
      <i/>
      <sz val="12"/>
      <color indexed="8"/>
      <name val="Arial"/>
    </font>
    <font>
      <b/>
      <u/>
      <sz val="14"/>
      <name val="Arial"/>
    </font>
    <font>
      <sz val="11"/>
      <name val="Cambria"/>
    </font>
    <font>
      <sz val="12"/>
      <name val="Cambria"/>
    </font>
    <font>
      <sz val="12"/>
      <color indexed="8"/>
      <name val="Cambria"/>
    </font>
    <font>
      <b/>
      <sz val="14"/>
      <name val="Cambria"/>
    </font>
    <font>
      <u/>
      <sz val="12"/>
      <name val="Cambria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7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2" fillId="0" borderId="0" xfId="0" applyFont="1"/>
    <xf numFmtId="0" fontId="9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horizontal="left"/>
    </xf>
    <xf numFmtId="2" fontId="4" fillId="0" borderId="0" xfId="0" applyNumberFormat="1" applyFont="1"/>
    <xf numFmtId="3" fontId="4" fillId="0" borderId="0" xfId="0" applyNumberFormat="1" applyFont="1"/>
    <xf numFmtId="0" fontId="7" fillId="0" borderId="0" xfId="0" applyFont="1"/>
    <xf numFmtId="3" fontId="4" fillId="0" borderId="0" xfId="0" applyNumberFormat="1" applyFont="1"/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8" fillId="0" borderId="0" xfId="0" applyNumberFormat="1" applyFont="1"/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64" fontId="4" fillId="0" borderId="0" xfId="0" applyNumberFormat="1" applyFont="1"/>
    <xf numFmtId="164" fontId="8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164" fontId="4" fillId="0" borderId="0" xfId="0" applyNumberFormat="1" applyFont="1" applyAlignment="1">
      <alignment horizontal="right"/>
    </xf>
    <xf numFmtId="0" fontId="6" fillId="0" borderId="0" xfId="0" applyFont="1"/>
    <xf numFmtId="165" fontId="4" fillId="0" borderId="0" xfId="0" applyNumberFormat="1" applyFont="1"/>
    <xf numFmtId="0" fontId="6" fillId="0" borderId="0" xfId="0" applyFont="1" applyFill="1"/>
    <xf numFmtId="3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/>
    <xf numFmtId="164" fontId="4" fillId="0" borderId="0" xfId="0" applyNumberFormat="1" applyFont="1"/>
    <xf numFmtId="164" fontId="8" fillId="0" borderId="0" xfId="0" applyNumberFormat="1" applyFont="1"/>
    <xf numFmtId="0" fontId="15" fillId="0" borderId="0" xfId="0" applyFont="1"/>
    <xf numFmtId="165" fontId="8" fillId="0" borderId="0" xfId="0" applyNumberFormat="1" applyFont="1"/>
    <xf numFmtId="3" fontId="4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164" fontId="1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4" fillId="3" borderId="0" xfId="0" applyNumberFormat="1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4" fillId="4" borderId="0" xfId="0" applyFont="1" applyFill="1"/>
    <xf numFmtId="164" fontId="4" fillId="4" borderId="0" xfId="0" applyNumberFormat="1" applyFont="1" applyFill="1"/>
    <xf numFmtId="0" fontId="6" fillId="4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3" fontId="4" fillId="0" borderId="0" xfId="0" applyNumberFormat="1" applyFont="1"/>
    <xf numFmtId="0" fontId="15" fillId="0" borderId="0" xfId="0" applyFont="1" applyFill="1"/>
    <xf numFmtId="3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/>
    <xf numFmtId="168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/>
    <xf numFmtId="0" fontId="8" fillId="0" borderId="0" xfId="0" applyFont="1" applyAlignment="1">
      <alignment horizontal="left"/>
    </xf>
    <xf numFmtId="3" fontId="4" fillId="0" borderId="0" xfId="0" applyNumberFormat="1" applyFont="1"/>
    <xf numFmtId="3" fontId="8" fillId="0" borderId="2" xfId="0" applyNumberFormat="1" applyFont="1" applyBorder="1"/>
    <xf numFmtId="3" fontId="8" fillId="0" borderId="3" xfId="0" applyNumberFormat="1" applyFont="1" applyBorder="1"/>
    <xf numFmtId="3" fontId="4" fillId="0" borderId="1" xfId="0" applyNumberFormat="1" applyFont="1" applyBorder="1" applyAlignment="1">
      <alignment horizontal="right"/>
    </xf>
    <xf numFmtId="0" fontId="17" fillId="0" borderId="0" xfId="0" applyFont="1"/>
    <xf numFmtId="164" fontId="4" fillId="0" borderId="0" xfId="0" applyNumberFormat="1" applyFont="1"/>
    <xf numFmtId="0" fontId="18" fillId="0" borderId="0" xfId="0" applyFont="1"/>
    <xf numFmtId="3" fontId="4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3" fontId="4" fillId="0" borderId="0" xfId="0" applyNumberFormat="1" applyFont="1"/>
    <xf numFmtId="0" fontId="19" fillId="5" borderId="0" xfId="0" applyFont="1" applyFill="1"/>
    <xf numFmtId="0" fontId="20" fillId="0" borderId="0" xfId="0" applyFont="1"/>
    <xf numFmtId="0" fontId="21" fillId="2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8" fillId="0" borderId="4" xfId="0" applyFont="1" applyBorder="1"/>
    <xf numFmtId="0" fontId="4" fillId="0" borderId="9" xfId="0" applyFont="1" applyBorder="1"/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5" fontId="4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Fill="1"/>
    <xf numFmtId="2" fontId="4" fillId="0" borderId="0" xfId="0" applyNumberFormat="1" applyFont="1"/>
    <xf numFmtId="164" fontId="4" fillId="0" borderId="0" xfId="0" applyNumberFormat="1" applyFont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165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/>
    <xf numFmtId="3" fontId="4" fillId="0" borderId="1" xfId="0" applyNumberFormat="1" applyFont="1" applyBorder="1"/>
    <xf numFmtId="2" fontId="4" fillId="0" borderId="0" xfId="0" applyNumberFormat="1" applyFont="1"/>
    <xf numFmtId="0" fontId="2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164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4" fillId="0" borderId="15" xfId="0" applyFont="1" applyBorder="1"/>
    <xf numFmtId="0" fontId="4" fillId="0" borderId="17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/>
    <xf numFmtId="164" fontId="4" fillId="0" borderId="0" xfId="0" applyNumberFormat="1" applyFont="1"/>
    <xf numFmtId="3" fontId="7" fillId="0" borderId="0" xfId="0" applyNumberFormat="1" applyFont="1"/>
    <xf numFmtId="0" fontId="24" fillId="0" borderId="0" xfId="0" applyFont="1"/>
    <xf numFmtId="4" fontId="2" fillId="0" borderId="0" xfId="0" applyNumberFormat="1" applyFont="1"/>
    <xf numFmtId="164" fontId="4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4" fillId="0" borderId="0" xfId="0" applyFont="1"/>
    <xf numFmtId="2" fontId="4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/>
    </xf>
    <xf numFmtId="167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67" fontId="4" fillId="0" borderId="0" xfId="0" applyNumberFormat="1" applyFont="1"/>
    <xf numFmtId="3" fontId="4" fillId="0" borderId="0" xfId="0" applyNumberFormat="1" applyFont="1"/>
    <xf numFmtId="3" fontId="8" fillId="0" borderId="0" xfId="0" applyNumberFormat="1" applyFont="1"/>
    <xf numFmtId="3" fontId="8" fillId="0" borderId="1" xfId="0" applyNumberFormat="1" applyFont="1" applyBorder="1"/>
    <xf numFmtId="165" fontId="4" fillId="0" borderId="0" xfId="0" applyNumberFormat="1" applyFont="1"/>
    <xf numFmtId="164" fontId="4" fillId="0" borderId="0" xfId="0" applyNumberFormat="1" applyFont="1" applyAlignment="1">
      <alignment horizontal="center"/>
    </xf>
    <xf numFmtId="165" fontId="8" fillId="0" borderId="0" xfId="0" applyNumberFormat="1" applyFont="1"/>
    <xf numFmtId="0" fontId="8" fillId="5" borderId="4" xfId="0" applyFont="1" applyFill="1" applyBorder="1"/>
    <xf numFmtId="0" fontId="4" fillId="5" borderId="5" xfId="0" applyFont="1" applyFill="1" applyBorder="1"/>
    <xf numFmtId="0" fontId="4" fillId="5" borderId="18" xfId="0" applyFont="1" applyFill="1" applyBorder="1"/>
    <xf numFmtId="0" fontId="4" fillId="5" borderId="19" xfId="0" applyFont="1" applyFill="1" applyBorder="1"/>
    <xf numFmtId="0" fontId="8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165" fontId="4" fillId="0" borderId="0" xfId="0" applyNumberFormat="1" applyFont="1"/>
    <xf numFmtId="170" fontId="4" fillId="0" borderId="0" xfId="0" applyNumberFormat="1" applyFont="1" applyBorder="1"/>
    <xf numFmtId="3" fontId="4" fillId="0" borderId="0" xfId="0" applyNumberFormat="1" applyFont="1"/>
    <xf numFmtId="169" fontId="4" fillId="0" borderId="0" xfId="0" applyNumberFormat="1" applyFont="1"/>
    <xf numFmtId="0" fontId="17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1" xfId="0" applyNumberFormat="1" applyFont="1" applyBorder="1"/>
    <xf numFmtId="0" fontId="8" fillId="5" borderId="16" xfId="0" applyFont="1" applyFill="1" applyBorder="1"/>
    <xf numFmtId="3" fontId="4" fillId="0" borderId="0" xfId="0" applyNumberFormat="1" applyFont="1" applyAlignment="1">
      <alignment horizontal="left"/>
    </xf>
    <xf numFmtId="4" fontId="4" fillId="0" borderId="0" xfId="0" applyNumberFormat="1" applyFont="1"/>
    <xf numFmtId="3" fontId="4" fillId="0" borderId="0" xfId="0" applyNumberFormat="1" applyFont="1"/>
    <xf numFmtId="4" fontId="8" fillId="0" borderId="0" xfId="0" applyNumberFormat="1" applyFont="1"/>
    <xf numFmtId="2" fontId="4" fillId="0" borderId="0" xfId="0" applyNumberFormat="1" applyFont="1"/>
    <xf numFmtId="165" fontId="7" fillId="0" borderId="0" xfId="0" applyNumberFormat="1" applyFont="1"/>
    <xf numFmtId="165" fontId="4" fillId="0" borderId="20" xfId="0" applyNumberFormat="1" applyFont="1" applyBorder="1"/>
    <xf numFmtId="2" fontId="4" fillId="0" borderId="1" xfId="0" applyNumberFormat="1" applyFont="1" applyBorder="1"/>
    <xf numFmtId="2" fontId="4" fillId="0" borderId="20" xfId="0" applyNumberFormat="1" applyFont="1" applyBorder="1"/>
    <xf numFmtId="165" fontId="8" fillId="0" borderId="20" xfId="0" applyNumberFormat="1" applyFont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8" fillId="0" borderId="1" xfId="0" applyNumberFormat="1" applyFont="1" applyBorder="1"/>
    <xf numFmtId="0" fontId="4" fillId="6" borderId="0" xfId="0" applyFont="1" applyFill="1"/>
    <xf numFmtId="3" fontId="24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0" borderId="0" xfId="0" applyNumberFormat="1" applyFont="1"/>
    <xf numFmtId="1" fontId="7" fillId="0" borderId="0" xfId="0" applyNumberFormat="1" applyFont="1"/>
    <xf numFmtId="0" fontId="4" fillId="0" borderId="2" xfId="0" applyFont="1" applyBorder="1"/>
    <xf numFmtId="0" fontId="4" fillId="0" borderId="21" xfId="0" applyFont="1" applyBorder="1"/>
    <xf numFmtId="3" fontId="4" fillId="0" borderId="21" xfId="0" applyNumberFormat="1" applyFont="1" applyBorder="1" applyAlignment="1">
      <alignment horizontal="right"/>
    </xf>
    <xf numFmtId="0" fontId="4" fillId="0" borderId="3" xfId="0" applyFont="1" applyBorder="1"/>
    <xf numFmtId="4" fontId="4" fillId="0" borderId="0" xfId="0" applyNumberFormat="1" applyFont="1"/>
    <xf numFmtId="4" fontId="4" fillId="0" borderId="0" xfId="0" quotePrefix="1" applyNumberFormat="1" applyFont="1"/>
    <xf numFmtId="2" fontId="4" fillId="0" borderId="0" xfId="0" quotePrefix="1" applyNumberFormat="1" applyFont="1"/>
    <xf numFmtId="4" fontId="4" fillId="0" borderId="0" xfId="0" applyNumberFormat="1" applyFont="1"/>
    <xf numFmtId="2" fontId="4" fillId="0" borderId="1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2" fontId="4" fillId="0" borderId="15" xfId="0" applyNumberFormat="1" applyFont="1" applyBorder="1"/>
    <xf numFmtId="2" fontId="4" fillId="0" borderId="0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/>
    <xf numFmtId="3" fontId="4" fillId="0" borderId="15" xfId="0" applyNumberFormat="1" applyFont="1" applyBorder="1"/>
    <xf numFmtId="3" fontId="7" fillId="0" borderId="16" xfId="0" applyNumberFormat="1" applyFont="1" applyBorder="1"/>
    <xf numFmtId="3" fontId="4" fillId="0" borderId="16" xfId="0" applyNumberFormat="1" applyFont="1" applyBorder="1"/>
    <xf numFmtId="4" fontId="4" fillId="0" borderId="16" xfId="0" applyNumberFormat="1" applyFont="1" applyBorder="1"/>
    <xf numFmtId="3" fontId="7" fillId="0" borderId="17" xfId="0" applyNumberFormat="1" applyFont="1" applyBorder="1"/>
    <xf numFmtId="2" fontId="4" fillId="0" borderId="0" xfId="0" applyNumberFormat="1" applyFont="1"/>
    <xf numFmtId="4" fontId="4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0" fontId="12" fillId="0" borderId="0" xfId="0" applyFont="1"/>
    <xf numFmtId="167" fontId="12" fillId="0" borderId="2" xfId="0" applyNumberFormat="1" applyFont="1" applyBorder="1"/>
    <xf numFmtId="167" fontId="12" fillId="0" borderId="21" xfId="0" applyNumberFormat="1" applyFont="1" applyBorder="1"/>
    <xf numFmtId="167" fontId="12" fillId="0" borderId="3" xfId="0" applyNumberFormat="1" applyFont="1" applyBorder="1"/>
    <xf numFmtId="2" fontId="4" fillId="0" borderId="2" xfId="0" applyNumberFormat="1" applyFont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26" fillId="0" borderId="0" xfId="0" applyFont="1" applyFill="1" applyBorder="1" applyAlignment="1">
      <alignment horizontal="left"/>
    </xf>
    <xf numFmtId="171" fontId="4" fillId="0" borderId="0" xfId="0" applyNumberFormat="1" applyFont="1"/>
    <xf numFmtId="167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/>
    <xf numFmtId="0" fontId="2" fillId="0" borderId="1" xfId="0" applyFont="1" applyBorder="1" applyAlignment="1">
      <alignment horizontal="right"/>
    </xf>
    <xf numFmtId="3" fontId="4" fillId="0" borderId="17" xfId="0" applyNumberFormat="1" applyFont="1" applyBorder="1"/>
    <xf numFmtId="4" fontId="4" fillId="0" borderId="0" xfId="0" applyNumberFormat="1" applyFont="1"/>
    <xf numFmtId="4" fontId="4" fillId="0" borderId="0" xfId="0" applyNumberFormat="1" applyFont="1"/>
    <xf numFmtId="172" fontId="7" fillId="0" borderId="0" xfId="0" applyNumberFormat="1" applyFont="1"/>
    <xf numFmtId="3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/>
    <xf numFmtId="164" fontId="4" fillId="7" borderId="0" xfId="0" applyNumberFormat="1" applyFont="1" applyFill="1"/>
    <xf numFmtId="0" fontId="8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3" fontId="4" fillId="0" borderId="0" xfId="0" applyNumberFormat="1" applyFont="1"/>
    <xf numFmtId="3" fontId="4" fillId="5" borderId="0" xfId="0" applyNumberFormat="1" applyFont="1" applyFill="1"/>
    <xf numFmtId="4" fontId="4" fillId="0" borderId="0" xfId="0" applyNumberFormat="1" applyFont="1"/>
    <xf numFmtId="0" fontId="27" fillId="0" borderId="0" xfId="0" applyFont="1"/>
    <xf numFmtId="0" fontId="8" fillId="0" borderId="0" xfId="0" applyFont="1" applyAlignment="1">
      <alignment horizontal="center"/>
    </xf>
    <xf numFmtId="2" fontId="4" fillId="0" borderId="0" xfId="0" applyNumberFormat="1" applyFont="1"/>
    <xf numFmtId="3" fontId="4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/>
    <xf numFmtId="3" fontId="13" fillId="0" borderId="0" xfId="0" applyNumberFormat="1" applyFont="1"/>
    <xf numFmtId="1" fontId="12" fillId="0" borderId="0" xfId="0" applyNumberFormat="1" applyFont="1"/>
    <xf numFmtId="1" fontId="13" fillId="0" borderId="0" xfId="0" applyNumberFormat="1" applyFont="1"/>
    <xf numFmtId="3" fontId="3" fillId="7" borderId="15" xfId="0" applyNumberFormat="1" applyFont="1" applyFill="1" applyBorder="1"/>
    <xf numFmtId="3" fontId="2" fillId="7" borderId="16" xfId="0" applyNumberFormat="1" applyFont="1" applyFill="1" applyBorder="1"/>
    <xf numFmtId="3" fontId="3" fillId="7" borderId="16" xfId="0" applyNumberFormat="1" applyFont="1" applyFill="1" applyBorder="1"/>
    <xf numFmtId="3" fontId="3" fillId="7" borderId="17" xfId="0" applyNumberFormat="1" applyFont="1" applyFill="1" applyBorder="1"/>
    <xf numFmtId="3" fontId="8" fillId="8" borderId="15" xfId="0" applyNumberFormat="1" applyFont="1" applyFill="1" applyBorder="1"/>
    <xf numFmtId="3" fontId="12" fillId="8" borderId="16" xfId="0" applyNumberFormat="1" applyFont="1" applyFill="1" applyBorder="1"/>
    <xf numFmtId="3" fontId="8" fillId="8" borderId="16" xfId="0" applyNumberFormat="1" applyFont="1" applyFill="1" applyBorder="1"/>
    <xf numFmtId="3" fontId="13" fillId="8" borderId="17" xfId="0" applyNumberFormat="1" applyFont="1" applyFill="1" applyBorder="1"/>
    <xf numFmtId="164" fontId="8" fillId="9" borderId="15" xfId="0" applyNumberFormat="1" applyFont="1" applyFill="1" applyBorder="1"/>
    <xf numFmtId="164" fontId="12" fillId="9" borderId="16" xfId="0" applyNumberFormat="1" applyFont="1" applyFill="1" applyBorder="1"/>
    <xf numFmtId="164" fontId="8" fillId="9" borderId="16" xfId="0" applyNumberFormat="1" applyFont="1" applyFill="1" applyBorder="1"/>
    <xf numFmtId="164" fontId="13" fillId="9" borderId="17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/>
    <xf numFmtId="2" fontId="8" fillId="0" borderId="0" xfId="0" applyNumberFormat="1" applyFont="1"/>
    <xf numFmtId="2" fontId="8" fillId="0" borderId="0" xfId="0" applyNumberFormat="1" applyFont="1"/>
    <xf numFmtId="2" fontId="3" fillId="0" borderId="0" xfId="0" applyNumberFormat="1" applyFont="1"/>
    <xf numFmtId="2" fontId="3" fillId="0" borderId="0" xfId="0" applyNumberFormat="1" applyFont="1"/>
    <xf numFmtId="0" fontId="3" fillId="0" borderId="21" xfId="0" applyFont="1" applyBorder="1"/>
    <xf numFmtId="2" fontId="3" fillId="0" borderId="21" xfId="0" applyNumberFormat="1" applyFont="1" applyBorder="1"/>
    <xf numFmtId="2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4" fillId="8" borderId="0" xfId="0" applyFont="1" applyFill="1"/>
    <xf numFmtId="0" fontId="19" fillId="8" borderId="0" xfId="0" applyFont="1" applyFill="1"/>
    <xf numFmtId="0" fontId="4" fillId="8" borderId="0" xfId="0" applyFont="1" applyFill="1" applyAlignment="1">
      <alignment horizontal="right"/>
    </xf>
    <xf numFmtId="0" fontId="4" fillId="8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1" xfId="0" applyNumberFormat="1" applyFont="1" applyBorder="1"/>
    <xf numFmtId="3" fontId="7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/>
    <xf numFmtId="3" fontId="7" fillId="0" borderId="0" xfId="0" applyNumberFormat="1" applyFont="1"/>
    <xf numFmtId="3" fontId="4" fillId="0" borderId="1" xfId="0" applyNumberFormat="1" applyFont="1" applyBorder="1"/>
    <xf numFmtId="3" fontId="4" fillId="0" borderId="20" xfId="0" applyNumberFormat="1" applyFont="1" applyBorder="1"/>
    <xf numFmtId="2" fontId="4" fillId="0" borderId="0" xfId="0" applyNumberFormat="1" applyFont="1"/>
    <xf numFmtId="0" fontId="4" fillId="10" borderId="0" xfId="0" applyFont="1" applyFill="1"/>
    <xf numFmtId="0" fontId="19" fillId="10" borderId="0" xfId="0" applyFont="1" applyFill="1"/>
    <xf numFmtId="0" fontId="4" fillId="10" borderId="0" xfId="0" applyFont="1" applyFill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3" fontId="3" fillId="0" borderId="20" xfId="0" applyNumberFormat="1" applyFont="1" applyBorder="1" applyAlignment="1">
      <alignment horizontal="right"/>
    </xf>
    <xf numFmtId="3" fontId="7" fillId="0" borderId="0" xfId="0" applyNumberFormat="1" applyFont="1"/>
    <xf numFmtId="2" fontId="4" fillId="0" borderId="0" xfId="0" applyNumberFormat="1" applyFont="1"/>
    <xf numFmtId="167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167" fontId="4" fillId="0" borderId="0" xfId="0" applyNumberFormat="1" applyFont="1"/>
    <xf numFmtId="2" fontId="7" fillId="0" borderId="0" xfId="0" applyNumberFormat="1" applyFont="1"/>
    <xf numFmtId="166" fontId="7" fillId="0" borderId="0" xfId="0" applyNumberFormat="1" applyFont="1"/>
    <xf numFmtId="4" fontId="4" fillId="0" borderId="0" xfId="0" applyNumberFormat="1" applyFont="1" applyFill="1"/>
    <xf numFmtId="3" fontId="4" fillId="2" borderId="0" xfId="0" applyNumberFormat="1" applyFont="1" applyFill="1"/>
    <xf numFmtId="167" fontId="4" fillId="0" borderId="0" xfId="0" applyNumberFormat="1" applyFont="1" applyAlignment="1">
      <alignment horizontal="right"/>
    </xf>
    <xf numFmtId="4" fontId="7" fillId="0" borderId="0" xfId="0" applyNumberFormat="1" applyFont="1" applyFill="1"/>
    <xf numFmtId="164" fontId="4" fillId="2" borderId="0" xfId="0" applyNumberFormat="1" applyFont="1" applyFill="1"/>
    <xf numFmtId="3" fontId="14" fillId="2" borderId="0" xfId="0" applyNumberFormat="1" applyFont="1" applyFill="1"/>
    <xf numFmtId="164" fontId="30" fillId="2" borderId="0" xfId="0" applyNumberFormat="1" applyFont="1" applyFill="1" applyBorder="1" applyAlignment="1">
      <alignment horizontal="right"/>
    </xf>
    <xf numFmtId="0" fontId="16" fillId="0" borderId="0" xfId="0" applyFont="1"/>
    <xf numFmtId="165" fontId="4" fillId="0" borderId="0" xfId="0" applyNumberFormat="1" applyFont="1"/>
    <xf numFmtId="3" fontId="7" fillId="0" borderId="0" xfId="0" quotePrefix="1" applyNumberFormat="1" applyFont="1"/>
    <xf numFmtId="166" fontId="4" fillId="0" borderId="0" xfId="0" applyNumberFormat="1" applyFont="1"/>
    <xf numFmtId="2" fontId="4" fillId="0" borderId="0" xfId="0" applyNumberFormat="1" applyFont="1"/>
    <xf numFmtId="0" fontId="31" fillId="0" borderId="0" xfId="0" applyFont="1"/>
    <xf numFmtId="3" fontId="4" fillId="0" borderId="0" xfId="0" quotePrefix="1" applyNumberFormat="1" applyFont="1"/>
    <xf numFmtId="2" fontId="4" fillId="0" borderId="10" xfId="0" applyNumberFormat="1" applyFont="1" applyBorder="1"/>
    <xf numFmtId="164" fontId="8" fillId="9" borderId="22" xfId="0" applyNumberFormat="1" applyFont="1" applyFill="1" applyBorder="1"/>
    <xf numFmtId="0" fontId="2" fillId="0" borderId="20" xfId="0" applyFont="1" applyBorder="1" applyAlignment="1">
      <alignment horizontal="right"/>
    </xf>
    <xf numFmtId="3" fontId="12" fillId="8" borderId="22" xfId="0" applyNumberFormat="1" applyFont="1" applyFill="1" applyBorder="1"/>
    <xf numFmtId="3" fontId="2" fillId="7" borderId="22" xfId="0" applyNumberFormat="1" applyFont="1" applyFill="1" applyBorder="1"/>
    <xf numFmtId="2" fontId="3" fillId="0" borderId="20" xfId="0" applyNumberFormat="1" applyFont="1" applyBorder="1"/>
    <xf numFmtId="166" fontId="4" fillId="0" borderId="0" xfId="0" applyNumberFormat="1" applyFont="1" applyFill="1"/>
    <xf numFmtId="164" fontId="4" fillId="0" borderId="0" xfId="0" applyNumberFormat="1" applyFont="1"/>
    <xf numFmtId="15" fontId="4" fillId="0" borderId="0" xfId="0" applyNumberFormat="1" applyFont="1"/>
    <xf numFmtId="0" fontId="5" fillId="0" borderId="0" xfId="0" applyFont="1"/>
    <xf numFmtId="3" fontId="32" fillId="0" borderId="0" xfId="0" applyNumberFormat="1" applyFont="1"/>
    <xf numFmtId="0" fontId="33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173" fontId="33" fillId="0" borderId="0" xfId="0" applyNumberFormat="1" applyFont="1"/>
    <xf numFmtId="174" fontId="33" fillId="0" borderId="0" xfId="0" applyNumberFormat="1" applyFont="1"/>
    <xf numFmtId="181" fontId="33" fillId="0" borderId="0" xfId="0" applyNumberFormat="1" applyFont="1"/>
    <xf numFmtId="0" fontId="36" fillId="0" borderId="0" xfId="0" applyFont="1"/>
    <xf numFmtId="182" fontId="3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105"/>
  <sheetViews>
    <sheetView workbookViewId="0">
      <selection activeCell="A5" sqref="A5:A13"/>
    </sheetView>
  </sheetViews>
  <sheetFormatPr baseColWidth="10" defaultRowHeight="13"/>
  <sheetData>
    <row r="1" spans="1:16" ht="18">
      <c r="A1" s="6"/>
      <c r="B1" s="6"/>
      <c r="C1" s="349" t="s">
        <v>97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>
      <c r="A2" s="6" t="s">
        <v>11</v>
      </c>
      <c r="B2" s="6"/>
      <c r="C2" s="34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403">
        <v>39400</v>
      </c>
      <c r="B3" s="6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13" t="s">
        <v>405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>
      <c r="A6" s="14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1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13" t="s">
        <v>99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s="45" t="s">
        <v>60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">
      <c r="A13" s="6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>
      <c r="A14" s="6" t="s">
        <v>902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>
      <c r="A15" s="6"/>
      <c r="B15" s="45" t="s">
        <v>33</v>
      </c>
      <c r="C15" s="6" t="s">
        <v>34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6" t="s">
        <v>86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6"/>
      <c r="B17" s="45" t="s">
        <v>87</v>
      </c>
      <c r="C17" s="6" t="s">
        <v>88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>
      <c r="A18" s="6" t="s">
        <v>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>
      <c r="A19" s="6" t="s">
        <v>90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">
      <c r="A20" s="6" t="s">
        <v>91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>
      <c r="A21" s="6" t="s">
        <v>841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170" t="s">
        <v>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17" t="s">
        <v>804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>
      <c r="A25" s="170"/>
      <c r="B25" s="6" t="s">
        <v>541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>
      <c r="A26" s="170"/>
      <c r="B26" s="6" t="s">
        <v>542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>
      <c r="A27" s="17" t="s">
        <v>885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>
      <c r="A28" s="6" t="s">
        <v>93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6" t="s">
        <v>94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>
      <c r="A30" s="6"/>
      <c r="B30" s="6" t="s">
        <v>65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>
      <c r="A31" s="6"/>
      <c r="B31" s="6" t="s">
        <v>66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6"/>
      <c r="B32" s="6" t="s">
        <v>676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>
      <c r="A33" s="6"/>
      <c r="B33" s="6" t="s">
        <v>67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>
      <c r="A34" s="6" t="s">
        <v>883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>
      <c r="A35" s="6"/>
      <c r="B35" s="6" t="s">
        <v>882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>
      <c r="A36" s="6"/>
      <c r="B36" s="404" t="s">
        <v>884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>
      <c r="A42" s="45" t="s">
        <v>68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6"/>
      <c r="B43" s="6" t="s">
        <v>901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 t="s">
        <v>886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6"/>
      <c r="B45" s="6" t="s">
        <v>790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6"/>
      <c r="B46" s="6" t="s">
        <v>887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6"/>
      <c r="B47" s="6" t="s">
        <v>69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45" t="s">
        <v>35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6"/>
      <c r="B50" s="6" t="s">
        <v>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6"/>
      <c r="B51" s="6" t="s">
        <v>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>
      <c r="A52" s="6"/>
      <c r="B52" s="6" t="s">
        <v>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45" t="s">
        <v>70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6"/>
      <c r="B55" s="6" t="s">
        <v>71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6"/>
      <c r="B56" s="6" t="s">
        <v>72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6"/>
      <c r="B57" s="6" t="s">
        <v>31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6"/>
      <c r="B58" s="6" t="s">
        <v>12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6"/>
      <c r="B59" s="6" t="s">
        <v>13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>
      <c r="A60" s="6"/>
      <c r="B60" s="6" t="s">
        <v>14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6"/>
      <c r="B61" s="6" t="s">
        <v>61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45" t="s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">
      <c r="A64" s="6"/>
      <c r="B64" s="6" t="s">
        <v>295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6"/>
      <c r="B65" s="6" t="s">
        <v>358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6"/>
      <c r="B67" s="6" t="s">
        <v>293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6"/>
      <c r="B68" s="6" t="s">
        <v>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45" t="s"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6" t="s">
        <v>39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6"/>
      <c r="B73" s="6" t="s">
        <v>40</v>
      </c>
      <c r="C73" s="6"/>
      <c r="D73" s="45">
        <v>1897</v>
      </c>
      <c r="E73" s="45">
        <v>1900</v>
      </c>
      <c r="F73" s="45">
        <v>1904</v>
      </c>
      <c r="G73" s="45">
        <v>1913</v>
      </c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6" t="s">
        <v>41</v>
      </c>
      <c r="B74" s="6" t="s">
        <v>42</v>
      </c>
      <c r="C74" s="6"/>
      <c r="D74" s="6">
        <v>3257</v>
      </c>
      <c r="E74" s="6">
        <v>4292</v>
      </c>
      <c r="F74" s="6">
        <v>4725</v>
      </c>
      <c r="G74" s="6">
        <v>7141</v>
      </c>
      <c r="H74" s="6"/>
      <c r="I74" s="6"/>
      <c r="J74" s="6"/>
      <c r="K74" s="6"/>
      <c r="L74" s="6"/>
      <c r="M74" s="6"/>
      <c r="N74" s="6"/>
      <c r="O74" s="6"/>
      <c r="P74" s="6"/>
    </row>
    <row r="75" spans="1:16" ht="15">
      <c r="A75" s="6" t="s">
        <v>41</v>
      </c>
      <c r="B75" s="6" t="s">
        <v>43</v>
      </c>
      <c r="C75" s="6"/>
      <c r="D75" s="6">
        <v>417</v>
      </c>
      <c r="E75" s="6">
        <v>485</v>
      </c>
      <c r="F75" s="6">
        <v>591</v>
      </c>
      <c r="G75" s="6">
        <v>1035</v>
      </c>
      <c r="H75" s="6"/>
      <c r="I75" s="6"/>
      <c r="J75" s="6"/>
      <c r="K75" s="6"/>
      <c r="L75" s="6"/>
      <c r="M75" s="6"/>
      <c r="N75" s="6"/>
      <c r="O75" s="6"/>
      <c r="P75" s="6"/>
    </row>
    <row r="76" spans="1:16" ht="15">
      <c r="A76" s="6" t="s">
        <v>41</v>
      </c>
      <c r="B76" s="6" t="s">
        <v>44</v>
      </c>
      <c r="C76" s="6"/>
      <c r="D76" s="6">
        <v>187</v>
      </c>
      <c r="E76" s="6">
        <v>222</v>
      </c>
      <c r="F76" s="6">
        <v>263</v>
      </c>
      <c r="G76" s="6">
        <v>430</v>
      </c>
      <c r="H76" s="6"/>
      <c r="I76" s="6"/>
      <c r="J76" s="6"/>
      <c r="K76" s="6"/>
      <c r="L76" s="6"/>
      <c r="M76" s="6"/>
      <c r="N76" s="6"/>
      <c r="O76" s="6"/>
      <c r="P76" s="6"/>
    </row>
    <row r="77" spans="1:16" ht="15">
      <c r="A77" s="6" t="s">
        <v>41</v>
      </c>
      <c r="B77" s="6" t="s">
        <v>45</v>
      </c>
      <c r="C77" s="6"/>
      <c r="D77" s="6">
        <v>2779</v>
      </c>
      <c r="E77" s="6">
        <v>3776</v>
      </c>
      <c r="F77" s="6">
        <v>4323</v>
      </c>
      <c r="G77" s="6">
        <v>6726</v>
      </c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6" t="s">
        <v>41</v>
      </c>
      <c r="B78" s="6" t="s">
        <v>46</v>
      </c>
      <c r="C78" s="6"/>
      <c r="D78" s="6">
        <v>954</v>
      </c>
      <c r="E78" s="6">
        <v>1376</v>
      </c>
      <c r="F78" s="6">
        <v>1852</v>
      </c>
      <c r="G78" s="6">
        <v>3228</v>
      </c>
      <c r="H78" s="6"/>
      <c r="I78" s="6"/>
      <c r="J78" s="6"/>
      <c r="K78" s="6"/>
      <c r="L78" s="6"/>
      <c r="M78" s="6"/>
      <c r="N78" s="6"/>
      <c r="O78" s="6"/>
      <c r="P78" s="6"/>
    </row>
    <row r="79" spans="1:16" ht="15">
      <c r="A79" s="6" t="s">
        <v>41</v>
      </c>
      <c r="B79" s="6" t="s">
        <v>47</v>
      </c>
      <c r="C79" s="6"/>
      <c r="D79" s="6">
        <f>D77-D78</f>
        <v>1825</v>
      </c>
      <c r="E79" s="6">
        <f t="shared" ref="E79:G79" si="0">E77-E78</f>
        <v>2400</v>
      </c>
      <c r="F79" s="6">
        <f t="shared" si="0"/>
        <v>2471</v>
      </c>
      <c r="G79" s="6">
        <f t="shared" si="0"/>
        <v>3498</v>
      </c>
      <c r="H79" s="6"/>
      <c r="I79" s="6"/>
      <c r="J79" s="6"/>
      <c r="K79" s="6"/>
      <c r="L79" s="6"/>
      <c r="M79" s="6"/>
      <c r="N79" s="6"/>
      <c r="O79" s="6"/>
      <c r="P79" s="6"/>
    </row>
    <row r="80" spans="1:16" ht="15">
      <c r="A80" s="6" t="s">
        <v>41</v>
      </c>
      <c r="B80" s="6" t="s">
        <v>48</v>
      </c>
      <c r="C80" s="6"/>
      <c r="D80" s="6">
        <v>7076</v>
      </c>
      <c r="E80" s="6">
        <v>9265</v>
      </c>
      <c r="F80" s="6">
        <v>10508</v>
      </c>
      <c r="G80" s="6">
        <v>16306</v>
      </c>
      <c r="H80" s="6"/>
      <c r="I80" s="6"/>
      <c r="J80" s="6"/>
      <c r="K80" s="6"/>
      <c r="L80" s="6"/>
      <c r="M80" s="6"/>
      <c r="N80" s="6"/>
      <c r="O80" s="6"/>
      <c r="P80" s="6"/>
    </row>
    <row r="81" spans="1:16" ht="15">
      <c r="A81" s="6" t="s">
        <v>41</v>
      </c>
      <c r="B81" s="6" t="s">
        <v>49</v>
      </c>
      <c r="C81" s="6"/>
      <c r="D81" s="6">
        <v>9172</v>
      </c>
      <c r="E81" s="6">
        <v>10962</v>
      </c>
      <c r="F81" s="6">
        <v>13255</v>
      </c>
      <c r="G81" s="6">
        <v>20266</v>
      </c>
      <c r="H81" s="6"/>
      <c r="I81" s="6"/>
      <c r="J81" s="6"/>
      <c r="K81" s="6"/>
      <c r="L81" s="6"/>
      <c r="M81" s="6"/>
      <c r="N81" s="6"/>
      <c r="O81" s="6"/>
      <c r="P81" s="6"/>
    </row>
    <row r="82" spans="1:16" ht="15">
      <c r="A82" s="6" t="s">
        <v>41</v>
      </c>
      <c r="B82" s="6" t="s">
        <v>50</v>
      </c>
      <c r="C82" s="6"/>
      <c r="D82" s="6">
        <v>121.4</v>
      </c>
      <c r="E82" s="6">
        <v>121.8</v>
      </c>
      <c r="F82" s="6">
        <v>140.4</v>
      </c>
      <c r="G82" s="6">
        <v>118.5</v>
      </c>
      <c r="H82" s="6" t="s">
        <v>51</v>
      </c>
      <c r="I82" s="6"/>
      <c r="J82" s="391">
        <f>F82/D82</f>
        <v>1.1565074135090609</v>
      </c>
      <c r="K82" s="6"/>
      <c r="L82" s="6"/>
      <c r="M82" s="6"/>
      <c r="N82" s="6"/>
      <c r="O82" s="6"/>
      <c r="P82" s="6"/>
    </row>
    <row r="83" spans="1:1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>
      <c r="A84" s="6"/>
      <c r="B84" s="6" t="s">
        <v>40</v>
      </c>
      <c r="C84" s="6"/>
      <c r="D84" s="45">
        <v>1897</v>
      </c>
      <c r="E84" s="45">
        <v>1900</v>
      </c>
      <c r="F84" s="45">
        <v>1904</v>
      </c>
      <c r="G84" s="45">
        <v>1913</v>
      </c>
      <c r="H84" s="6"/>
      <c r="I84" s="6"/>
      <c r="J84" s="6"/>
      <c r="K84" s="6"/>
      <c r="L84" s="6"/>
      <c r="M84" s="6"/>
      <c r="N84" s="6"/>
      <c r="O84" s="6"/>
      <c r="P84" s="6"/>
    </row>
    <row r="85" spans="1:16" ht="15">
      <c r="A85" s="6" t="s">
        <v>348</v>
      </c>
      <c r="B85" s="6" t="s">
        <v>42</v>
      </c>
      <c r="C85" s="6"/>
      <c r="D85" s="6">
        <v>4473</v>
      </c>
      <c r="E85" s="6">
        <v>5454</v>
      </c>
      <c r="F85" s="6">
        <v>5841</v>
      </c>
      <c r="G85" s="6">
        <v>7141</v>
      </c>
      <c r="H85" s="6"/>
      <c r="I85" s="6"/>
      <c r="J85" s="6"/>
      <c r="K85" s="6"/>
      <c r="L85" s="6"/>
      <c r="M85" s="6"/>
      <c r="N85" s="6"/>
      <c r="O85" s="6"/>
      <c r="P85" s="6"/>
    </row>
    <row r="86" spans="1:16" ht="15">
      <c r="A86" s="6" t="s">
        <v>348</v>
      </c>
      <c r="B86" s="6" t="s">
        <v>43</v>
      </c>
      <c r="C86" s="6"/>
      <c r="D86" s="6">
        <v>560</v>
      </c>
      <c r="E86" s="6">
        <v>591</v>
      </c>
      <c r="F86" s="6">
        <v>722</v>
      </c>
      <c r="G86" s="6">
        <v>1035</v>
      </c>
      <c r="H86" s="6"/>
      <c r="I86" s="6"/>
      <c r="J86" s="6"/>
      <c r="K86" s="6"/>
      <c r="L86" s="6"/>
      <c r="M86" s="6"/>
      <c r="N86" s="6"/>
      <c r="O86" s="6"/>
      <c r="P86" s="6"/>
    </row>
    <row r="87" spans="1:16" ht="15">
      <c r="A87" s="6" t="s">
        <v>348</v>
      </c>
      <c r="B87" s="6" t="s">
        <v>44</v>
      </c>
      <c r="C87" s="6"/>
      <c r="D87" s="6">
        <v>212</v>
      </c>
      <c r="E87" s="6">
        <v>239</v>
      </c>
      <c r="F87" s="6">
        <v>286</v>
      </c>
      <c r="G87" s="6">
        <v>430</v>
      </c>
      <c r="H87" s="6"/>
      <c r="I87" s="6"/>
      <c r="J87" s="6"/>
      <c r="K87" s="6"/>
      <c r="L87" s="6"/>
      <c r="M87" s="6"/>
      <c r="N87" s="6"/>
      <c r="O87" s="6"/>
      <c r="P87" s="6"/>
    </row>
    <row r="88" spans="1:16" ht="15">
      <c r="A88" s="6" t="s">
        <v>348</v>
      </c>
      <c r="B88" s="6" t="s">
        <v>45</v>
      </c>
      <c r="C88" s="6"/>
      <c r="D88" s="6">
        <v>3702</v>
      </c>
      <c r="E88" s="6">
        <v>4444</v>
      </c>
      <c r="F88" s="6">
        <v>5258</v>
      </c>
      <c r="G88" s="6">
        <v>6726</v>
      </c>
      <c r="H88" s="6"/>
      <c r="I88" s="6"/>
      <c r="J88" s="6"/>
      <c r="K88" s="6"/>
      <c r="L88" s="6"/>
      <c r="M88" s="6"/>
      <c r="N88" s="6"/>
      <c r="O88" s="6"/>
      <c r="P88" s="6"/>
    </row>
    <row r="89" spans="1:16" ht="15">
      <c r="A89" s="6" t="s">
        <v>348</v>
      </c>
      <c r="B89" s="6" t="s">
        <v>46</v>
      </c>
      <c r="C89" s="6"/>
      <c r="D89" s="6">
        <v>1307</v>
      </c>
      <c r="E89" s="6">
        <v>1885</v>
      </c>
      <c r="F89" s="6">
        <v>2437</v>
      </c>
      <c r="G89" s="6">
        <v>3228</v>
      </c>
      <c r="H89" s="6"/>
      <c r="I89" s="6"/>
      <c r="J89" s="6"/>
      <c r="K89" s="6"/>
      <c r="L89" s="6"/>
      <c r="M89" s="6"/>
      <c r="N89" s="6"/>
      <c r="O89" s="6"/>
      <c r="P89" s="6"/>
    </row>
    <row r="90" spans="1:16" ht="15">
      <c r="A90" s="6" t="s">
        <v>348</v>
      </c>
      <c r="B90" s="6" t="s">
        <v>47</v>
      </c>
      <c r="C90" s="6"/>
      <c r="D90" s="6">
        <f>D88-D89</f>
        <v>2395</v>
      </c>
      <c r="E90" s="6">
        <f t="shared" ref="E90:G90" si="1">E88-E89</f>
        <v>2559</v>
      </c>
      <c r="F90" s="6">
        <f t="shared" si="1"/>
        <v>2821</v>
      </c>
      <c r="G90" s="6">
        <f t="shared" si="1"/>
        <v>3498</v>
      </c>
      <c r="H90" s="6"/>
      <c r="I90" s="6"/>
      <c r="J90" s="6"/>
      <c r="K90" s="6"/>
      <c r="L90" s="6"/>
      <c r="M90" s="6"/>
      <c r="N90" s="6"/>
      <c r="O90" s="6"/>
      <c r="P90" s="6"/>
    </row>
    <row r="91" spans="1:16" ht="15">
      <c r="A91" s="6" t="s">
        <v>348</v>
      </c>
      <c r="B91" s="6" t="s">
        <v>48</v>
      </c>
      <c r="C91" s="6"/>
      <c r="D91" s="6">
        <v>9535</v>
      </c>
      <c r="E91" s="6">
        <v>11329</v>
      </c>
      <c r="F91" s="6">
        <v>12791</v>
      </c>
      <c r="G91" s="6">
        <v>16306</v>
      </c>
      <c r="H91" s="6"/>
      <c r="I91" s="6"/>
      <c r="J91" s="6"/>
      <c r="K91" s="6"/>
      <c r="L91" s="6"/>
      <c r="M91" s="6"/>
      <c r="N91" s="6"/>
      <c r="O91" s="6"/>
      <c r="P91" s="6"/>
    </row>
    <row r="92" spans="1:16" ht="15">
      <c r="A92" s="6" t="s">
        <v>348</v>
      </c>
      <c r="B92" s="6" t="s">
        <v>49</v>
      </c>
      <c r="C92" s="6"/>
      <c r="D92" s="6">
        <v>11842</v>
      </c>
      <c r="E92" s="6">
        <v>13327</v>
      </c>
      <c r="F92" s="6">
        <v>16196</v>
      </c>
      <c r="G92" s="6">
        <v>20266</v>
      </c>
      <c r="H92" s="6"/>
      <c r="I92" s="6"/>
      <c r="J92" s="6"/>
      <c r="K92" s="6"/>
      <c r="L92" s="6"/>
      <c r="M92" s="6"/>
      <c r="N92" s="6"/>
      <c r="O92" s="6"/>
      <c r="P92" s="6"/>
    </row>
    <row r="93" spans="1:16" ht="15">
      <c r="A93" s="6" t="s">
        <v>348</v>
      </c>
      <c r="B93" s="6" t="s">
        <v>50</v>
      </c>
      <c r="C93" s="6"/>
      <c r="D93" s="370">
        <v>94</v>
      </c>
      <c r="E93" s="6">
        <v>100.2</v>
      </c>
      <c r="F93" s="6">
        <v>114.9</v>
      </c>
      <c r="G93" s="6">
        <v>118.5</v>
      </c>
      <c r="H93" s="6"/>
      <c r="I93" s="6"/>
      <c r="J93" s="6"/>
      <c r="K93" s="6"/>
      <c r="L93" s="6"/>
      <c r="M93" s="6"/>
      <c r="N93" s="6"/>
      <c r="O93" s="6"/>
      <c r="P93" s="6"/>
    </row>
    <row r="94" spans="1:1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>
      <c r="A95" s="6" t="s">
        <v>52</v>
      </c>
      <c r="B95" s="6" t="s">
        <v>42</v>
      </c>
      <c r="C95" s="6"/>
      <c r="D95" s="370">
        <f t="shared" ref="D95:G99" si="2">100*(D74/D85)/($G74/$G85)</f>
        <v>72.814665772412241</v>
      </c>
      <c r="E95" s="370">
        <f t="shared" si="2"/>
        <v>78.694536120278684</v>
      </c>
      <c r="F95" s="370">
        <f t="shared" si="2"/>
        <v>80.893682588597855</v>
      </c>
      <c r="G95" s="370">
        <f t="shared" si="2"/>
        <v>100</v>
      </c>
      <c r="H95" s="6"/>
      <c r="I95" s="6"/>
      <c r="J95" s="370"/>
      <c r="K95" s="6"/>
      <c r="L95" s="45" t="s">
        <v>53</v>
      </c>
      <c r="M95" s="6"/>
      <c r="N95" s="6"/>
      <c r="O95" s="6"/>
      <c r="P95" s="6"/>
    </row>
    <row r="96" spans="1:16" ht="15">
      <c r="A96" s="6" t="s">
        <v>52</v>
      </c>
      <c r="B96" s="6" t="s">
        <v>43</v>
      </c>
      <c r="C96" s="6"/>
      <c r="D96" s="370">
        <f t="shared" si="2"/>
        <v>74.464285714285722</v>
      </c>
      <c r="E96" s="370">
        <f t="shared" si="2"/>
        <v>82.064297800338409</v>
      </c>
      <c r="F96" s="370">
        <f t="shared" si="2"/>
        <v>81.855955678670355</v>
      </c>
      <c r="G96" s="370">
        <f t="shared" si="2"/>
        <v>100</v>
      </c>
      <c r="H96" s="6"/>
      <c r="I96" s="6"/>
      <c r="J96" s="6" t="s">
        <v>45</v>
      </c>
      <c r="K96" s="6"/>
      <c r="L96" s="378">
        <v>1.0952481326626327</v>
      </c>
      <c r="M96" s="6"/>
      <c r="N96" s="6"/>
      <c r="O96" s="6"/>
      <c r="P96" s="6"/>
    </row>
    <row r="97" spans="1:16" ht="15">
      <c r="A97" s="6" t="s">
        <v>52</v>
      </c>
      <c r="B97" s="6" t="s">
        <v>44</v>
      </c>
      <c r="C97" s="6"/>
      <c r="D97" s="370">
        <f t="shared" si="2"/>
        <v>88.20754716981132</v>
      </c>
      <c r="E97" s="370">
        <f t="shared" si="2"/>
        <v>92.887029288702934</v>
      </c>
      <c r="F97" s="370">
        <f t="shared" si="2"/>
        <v>91.95804195804196</v>
      </c>
      <c r="G97" s="370">
        <f t="shared" si="2"/>
        <v>100</v>
      </c>
      <c r="H97" s="6"/>
      <c r="I97" s="6"/>
      <c r="J97" s="6" t="s">
        <v>46</v>
      </c>
      <c r="K97" s="6"/>
      <c r="L97" s="378">
        <v>1.0411484718899495</v>
      </c>
      <c r="M97" s="6"/>
      <c r="N97" s="6"/>
      <c r="O97" s="6"/>
      <c r="P97" s="6"/>
    </row>
    <row r="98" spans="1:16" ht="15">
      <c r="A98" s="6" t="s">
        <v>52</v>
      </c>
      <c r="B98" s="6" t="s">
        <v>45</v>
      </c>
      <c r="C98" s="6"/>
      <c r="D98" s="370">
        <f t="shared" si="2"/>
        <v>75.067531064289568</v>
      </c>
      <c r="E98" s="370">
        <f t="shared" si="2"/>
        <v>84.968496849684968</v>
      </c>
      <c r="F98" s="370">
        <f t="shared" si="2"/>
        <v>82.21757322175732</v>
      </c>
      <c r="G98" s="370">
        <f t="shared" si="2"/>
        <v>100</v>
      </c>
      <c r="H98" s="6"/>
      <c r="I98" s="6"/>
      <c r="J98" s="6" t="s">
        <v>47</v>
      </c>
      <c r="K98" s="6"/>
      <c r="L98" s="378">
        <v>1.1476780621870841</v>
      </c>
      <c r="M98" s="6"/>
      <c r="N98" s="6"/>
      <c r="O98" s="6"/>
      <c r="P98" s="6"/>
    </row>
    <row r="99" spans="1:16" ht="15">
      <c r="A99" s="6" t="s">
        <v>52</v>
      </c>
      <c r="B99" s="6" t="s">
        <v>46</v>
      </c>
      <c r="C99" s="6"/>
      <c r="D99" s="370">
        <f t="shared" si="2"/>
        <v>72.991583779648053</v>
      </c>
      <c r="E99" s="370">
        <f t="shared" si="2"/>
        <v>72.9973474801061</v>
      </c>
      <c r="F99" s="370">
        <f t="shared" si="2"/>
        <v>75.995075913007796</v>
      </c>
      <c r="G99" s="370">
        <f t="shared" si="2"/>
        <v>100</v>
      </c>
      <c r="H99" s="6"/>
      <c r="I99" s="6"/>
      <c r="J99" s="6" t="s">
        <v>54</v>
      </c>
      <c r="K99" s="6"/>
      <c r="L99" s="378">
        <v>1.1153129217232192</v>
      </c>
      <c r="M99" s="6"/>
      <c r="N99" s="6"/>
      <c r="O99" s="6"/>
      <c r="P99" s="6"/>
    </row>
    <row r="100" spans="1:16" ht="15">
      <c r="A100" s="6" t="s">
        <v>55</v>
      </c>
      <c r="B100" s="6" t="s">
        <v>56</v>
      </c>
      <c r="C100" s="6"/>
      <c r="D100" s="370">
        <f>EXP((LN(D98)-(0.48*LN(D99)))/0.52)</f>
        <v>77.036156166218291</v>
      </c>
      <c r="E100" s="370">
        <f t="shared" ref="E100:G100" si="3">EXP((LN(E98)-(0.48*LN(E99)))/0.52)</f>
        <v>97.754250126346008</v>
      </c>
      <c r="F100" s="370">
        <f t="shared" si="3"/>
        <v>88.412706427187004</v>
      </c>
      <c r="G100" s="370">
        <f t="shared" si="3"/>
        <v>100.00000000000004</v>
      </c>
      <c r="H100" s="6" t="s">
        <v>57</v>
      </c>
      <c r="I100" s="6"/>
      <c r="J100" s="6"/>
      <c r="K100" s="6"/>
      <c r="L100" s="6"/>
      <c r="M100" s="6"/>
      <c r="N100" s="6"/>
      <c r="O100" s="6"/>
      <c r="P100" s="6"/>
    </row>
    <row r="101" spans="1:16" ht="15">
      <c r="A101" s="6" t="s">
        <v>55</v>
      </c>
      <c r="B101" s="6" t="s">
        <v>58</v>
      </c>
      <c r="C101" s="6"/>
      <c r="D101" s="370">
        <f t="shared" ref="D101:G102" si="4">100*(D80/D91)/($G80/$G91)</f>
        <v>74.21080230728893</v>
      </c>
      <c r="E101" s="370">
        <f t="shared" si="4"/>
        <v>81.781269308853382</v>
      </c>
      <c r="F101" s="370">
        <f t="shared" si="4"/>
        <v>82.151512782425144</v>
      </c>
      <c r="G101" s="370">
        <f t="shared" si="4"/>
        <v>100</v>
      </c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>
      <c r="A102" s="6" t="s">
        <v>55</v>
      </c>
      <c r="B102" s="6" t="s">
        <v>9</v>
      </c>
      <c r="C102" s="6"/>
      <c r="D102" s="370">
        <f t="shared" si="4"/>
        <v>77.453132916737033</v>
      </c>
      <c r="E102" s="370">
        <f t="shared" si="4"/>
        <v>82.254070683574696</v>
      </c>
      <c r="F102" s="370">
        <f t="shared" si="4"/>
        <v>81.841195356878245</v>
      </c>
      <c r="G102" s="370">
        <f t="shared" si="4"/>
        <v>100</v>
      </c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6" t="s">
        <v>10</v>
      </c>
      <c r="B104" s="6"/>
      <c r="C104" s="6"/>
      <c r="D104" s="370">
        <f>EXP((LN(D101)-(0.412*LN(D98)))/0.588)</f>
        <v>73.616341713784308</v>
      </c>
      <c r="E104" s="370">
        <f t="shared" ref="E104:G104" si="5">EXP((LN(E101)-(0.412*LN(E98)))/0.588)</f>
        <v>79.619544671598916</v>
      </c>
      <c r="F104" s="370">
        <f t="shared" si="5"/>
        <v>82.105257163375668</v>
      </c>
      <c r="G104" s="370">
        <f t="shared" si="5"/>
        <v>100.00000000000004</v>
      </c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FH39"/>
  <sheetViews>
    <sheetView workbookViewId="0">
      <pane xSplit="10240" topLeftCell="CZ1" activePane="topRight"/>
      <selection activeCell="C9" sqref="C9:C20"/>
      <selection pane="topRight" activeCell="DB9" sqref="DB9:DB22"/>
    </sheetView>
  </sheetViews>
  <sheetFormatPr baseColWidth="10" defaultRowHeight="15"/>
  <cols>
    <col min="1" max="1" width="6.85546875" style="6" customWidth="1"/>
    <col min="2" max="2" width="4.85546875" style="6" customWidth="1"/>
    <col min="3" max="3" width="25" style="6" customWidth="1"/>
    <col min="4" max="53" width="10.7109375" style="6"/>
    <col min="54" max="54" width="12.85546875" style="6" customWidth="1"/>
    <col min="55" max="55" width="3.7109375" style="6" customWidth="1"/>
    <col min="56" max="103" width="10.7109375" style="6"/>
    <col min="104" max="104" width="12.28515625" style="6" customWidth="1"/>
    <col min="105" max="105" width="10.7109375" style="6"/>
    <col min="106" max="106" width="13.140625" style="6" customWidth="1"/>
    <col min="107" max="107" width="3.7109375" style="6" customWidth="1"/>
    <col min="108" max="157" width="10.7109375" style="6"/>
    <col min="158" max="158" width="13.28515625" style="6" customWidth="1"/>
    <col min="159" max="160" width="10.7109375" style="6"/>
    <col min="161" max="161" width="16.85546875" style="6" customWidth="1"/>
    <col min="162" max="162" width="10.7109375" style="6"/>
    <col min="163" max="163" width="12.5703125" style="6" customWidth="1"/>
    <col min="164" max="164" width="11.140625" style="6" customWidth="1"/>
    <col min="165" max="16384" width="10.7109375" style="6"/>
  </cols>
  <sheetData>
    <row r="2" spans="1:164" ht="18">
      <c r="C2" s="349" t="s">
        <v>791</v>
      </c>
    </row>
    <row r="3" spans="1:164">
      <c r="FE3" s="141" t="s">
        <v>836</v>
      </c>
      <c r="FF3" s="10" t="s">
        <v>840</v>
      </c>
    </row>
    <row r="4" spans="1:164">
      <c r="C4" s="317" t="s">
        <v>772</v>
      </c>
      <c r="D4" s="318">
        <v>1</v>
      </c>
      <c r="E4" s="318">
        <v>1</v>
      </c>
      <c r="F4" s="318">
        <v>1</v>
      </c>
      <c r="G4" s="318">
        <v>1</v>
      </c>
      <c r="H4" s="318">
        <v>1</v>
      </c>
      <c r="I4" s="318">
        <v>1</v>
      </c>
      <c r="J4" s="318">
        <v>1</v>
      </c>
      <c r="K4" s="318">
        <v>1</v>
      </c>
      <c r="L4" s="318">
        <v>1</v>
      </c>
      <c r="M4" s="318">
        <v>1</v>
      </c>
      <c r="N4" s="318">
        <v>1</v>
      </c>
      <c r="O4" s="318">
        <v>1</v>
      </c>
      <c r="P4" s="318">
        <v>1</v>
      </c>
      <c r="Q4" s="318">
        <v>1</v>
      </c>
      <c r="R4" s="318">
        <v>1</v>
      </c>
      <c r="S4" s="318">
        <v>1</v>
      </c>
      <c r="T4" s="318">
        <v>1</v>
      </c>
      <c r="U4" s="318">
        <v>1</v>
      </c>
      <c r="V4" s="318">
        <v>1</v>
      </c>
      <c r="W4" s="318">
        <v>1</v>
      </c>
      <c r="X4" s="318">
        <v>1</v>
      </c>
      <c r="Y4" s="318">
        <v>1</v>
      </c>
      <c r="Z4" s="318">
        <v>1</v>
      </c>
      <c r="AA4" s="318">
        <v>1</v>
      </c>
      <c r="AB4" s="318">
        <v>1</v>
      </c>
      <c r="AC4" s="318">
        <v>1</v>
      </c>
      <c r="AD4" s="318">
        <v>1</v>
      </c>
      <c r="AE4" s="318">
        <v>1</v>
      </c>
      <c r="AF4" s="318">
        <v>1</v>
      </c>
      <c r="AG4" s="318">
        <v>1</v>
      </c>
      <c r="AH4" s="318">
        <v>1</v>
      </c>
      <c r="AI4" s="318">
        <v>1</v>
      </c>
      <c r="AJ4" s="318">
        <v>1</v>
      </c>
      <c r="AK4" s="318">
        <v>1</v>
      </c>
      <c r="AL4" s="318">
        <v>1</v>
      </c>
      <c r="AM4" s="318">
        <v>1</v>
      </c>
      <c r="AN4" s="318">
        <v>1</v>
      </c>
      <c r="AO4" s="318">
        <v>1</v>
      </c>
      <c r="AP4" s="318">
        <v>1</v>
      </c>
      <c r="AQ4" s="318">
        <v>1</v>
      </c>
      <c r="AR4" s="318">
        <v>1</v>
      </c>
      <c r="AS4" s="318">
        <v>1</v>
      </c>
      <c r="AT4" s="318">
        <v>1</v>
      </c>
      <c r="AU4" s="318">
        <v>1</v>
      </c>
      <c r="AV4" s="318">
        <v>1</v>
      </c>
      <c r="AW4" s="318">
        <v>1</v>
      </c>
      <c r="AX4" s="318">
        <v>1</v>
      </c>
      <c r="AY4" s="318">
        <v>1</v>
      </c>
      <c r="AZ4" s="318">
        <v>1</v>
      </c>
      <c r="BA4" s="318">
        <v>1</v>
      </c>
      <c r="BB4" s="319">
        <v>1</v>
      </c>
      <c r="BC4" s="318"/>
      <c r="BD4" s="318">
        <v>2</v>
      </c>
      <c r="BE4" s="318">
        <v>2</v>
      </c>
      <c r="BF4" s="318">
        <v>2</v>
      </c>
      <c r="BG4" s="318">
        <v>2</v>
      </c>
      <c r="BH4" s="318">
        <v>2</v>
      </c>
      <c r="BI4" s="318">
        <v>2</v>
      </c>
      <c r="BJ4" s="318">
        <v>2</v>
      </c>
      <c r="BK4" s="318">
        <v>2</v>
      </c>
      <c r="BL4" s="318">
        <v>2</v>
      </c>
      <c r="BM4" s="318">
        <v>2</v>
      </c>
      <c r="BN4" s="318">
        <v>2</v>
      </c>
      <c r="BO4" s="318">
        <v>2</v>
      </c>
      <c r="BP4" s="318">
        <v>2</v>
      </c>
      <c r="BQ4" s="318">
        <v>2</v>
      </c>
      <c r="BR4" s="318">
        <v>2</v>
      </c>
      <c r="BS4" s="318">
        <v>2</v>
      </c>
      <c r="BT4" s="318">
        <v>2</v>
      </c>
      <c r="BU4" s="318">
        <v>2</v>
      </c>
      <c r="BV4" s="318">
        <v>2</v>
      </c>
      <c r="BW4" s="318">
        <v>2</v>
      </c>
      <c r="BX4" s="318">
        <v>2</v>
      </c>
      <c r="BY4" s="318">
        <v>2</v>
      </c>
      <c r="BZ4" s="318">
        <v>2</v>
      </c>
      <c r="CA4" s="318">
        <v>2</v>
      </c>
      <c r="CB4" s="318">
        <v>2</v>
      </c>
      <c r="CC4" s="318">
        <v>2</v>
      </c>
      <c r="CD4" s="318">
        <v>2</v>
      </c>
      <c r="CE4" s="318">
        <v>2</v>
      </c>
      <c r="CF4" s="318">
        <v>2</v>
      </c>
      <c r="CG4" s="318">
        <v>2</v>
      </c>
      <c r="CH4" s="318">
        <v>2</v>
      </c>
      <c r="CI4" s="318">
        <v>2</v>
      </c>
      <c r="CJ4" s="318">
        <v>2</v>
      </c>
      <c r="CK4" s="318">
        <v>2</v>
      </c>
      <c r="CL4" s="318">
        <v>2</v>
      </c>
      <c r="CM4" s="318">
        <v>2</v>
      </c>
      <c r="CN4" s="318">
        <v>2</v>
      </c>
      <c r="CO4" s="318">
        <v>2</v>
      </c>
      <c r="CP4" s="318">
        <v>2</v>
      </c>
      <c r="CQ4" s="318">
        <v>2</v>
      </c>
      <c r="CR4" s="318">
        <v>2</v>
      </c>
      <c r="CS4" s="318">
        <v>2</v>
      </c>
      <c r="CT4" s="318">
        <v>2</v>
      </c>
      <c r="CU4" s="318">
        <v>2</v>
      </c>
      <c r="CV4" s="318">
        <v>2</v>
      </c>
      <c r="CW4" s="318">
        <v>2</v>
      </c>
      <c r="CX4" s="318">
        <v>2</v>
      </c>
      <c r="CY4" s="318">
        <v>2</v>
      </c>
      <c r="CZ4" s="318">
        <v>2</v>
      </c>
      <c r="DA4" s="318">
        <v>2</v>
      </c>
      <c r="DB4" s="319">
        <v>2</v>
      </c>
      <c r="DC4" s="283"/>
      <c r="DD4" s="320">
        <v>3</v>
      </c>
      <c r="DE4" s="320">
        <v>3</v>
      </c>
      <c r="DF4" s="320">
        <v>3</v>
      </c>
      <c r="DG4" s="320">
        <v>3</v>
      </c>
      <c r="DH4" s="320">
        <v>3</v>
      </c>
      <c r="DI4" s="320">
        <v>3</v>
      </c>
      <c r="DJ4" s="320">
        <v>3</v>
      </c>
      <c r="DK4" s="320">
        <v>3</v>
      </c>
      <c r="DL4" s="320">
        <v>3</v>
      </c>
      <c r="DM4" s="320">
        <v>3</v>
      </c>
      <c r="DN4" s="320">
        <v>3</v>
      </c>
      <c r="DO4" s="320">
        <v>3</v>
      </c>
      <c r="DP4" s="320">
        <v>3</v>
      </c>
      <c r="DQ4" s="320">
        <v>3</v>
      </c>
      <c r="DR4" s="320">
        <v>3</v>
      </c>
      <c r="DS4" s="320">
        <v>3</v>
      </c>
      <c r="DT4" s="320">
        <v>3</v>
      </c>
      <c r="DU4" s="320">
        <v>3</v>
      </c>
      <c r="DV4" s="320">
        <v>3</v>
      </c>
      <c r="DW4" s="320">
        <v>3</v>
      </c>
      <c r="DX4" s="320">
        <v>3</v>
      </c>
      <c r="DY4" s="320">
        <v>3</v>
      </c>
      <c r="DZ4" s="320">
        <v>3</v>
      </c>
      <c r="EA4" s="320">
        <v>3</v>
      </c>
      <c r="EB4" s="320">
        <v>3</v>
      </c>
      <c r="EC4" s="320">
        <v>3</v>
      </c>
      <c r="ED4" s="320">
        <v>3</v>
      </c>
      <c r="EE4" s="320">
        <v>3</v>
      </c>
      <c r="EF4" s="320">
        <v>3</v>
      </c>
      <c r="EG4" s="320">
        <v>3</v>
      </c>
      <c r="EH4" s="320">
        <v>3</v>
      </c>
      <c r="EI4" s="320">
        <v>3</v>
      </c>
      <c r="EJ4" s="320">
        <v>3</v>
      </c>
      <c r="EK4" s="320">
        <v>3</v>
      </c>
      <c r="EL4" s="320">
        <v>3</v>
      </c>
      <c r="EM4" s="320">
        <v>3</v>
      </c>
      <c r="EN4" s="320">
        <v>3</v>
      </c>
      <c r="EO4" s="320">
        <v>3</v>
      </c>
      <c r="EP4" s="320">
        <v>3</v>
      </c>
      <c r="EQ4" s="320">
        <v>3</v>
      </c>
      <c r="ER4" s="320">
        <v>3</v>
      </c>
      <c r="ES4" s="320">
        <v>3</v>
      </c>
      <c r="ET4" s="320">
        <v>3</v>
      </c>
      <c r="EU4" s="320">
        <v>3</v>
      </c>
      <c r="EV4" s="320">
        <v>3</v>
      </c>
      <c r="EW4" s="320">
        <v>3</v>
      </c>
      <c r="EX4" s="320">
        <v>3</v>
      </c>
      <c r="EY4" s="320">
        <v>3</v>
      </c>
      <c r="EZ4" s="320">
        <v>3</v>
      </c>
      <c r="FA4" s="320">
        <v>3</v>
      </c>
      <c r="FB4" s="321">
        <v>3</v>
      </c>
      <c r="FE4" s="10"/>
      <c r="FF4" s="10" t="s">
        <v>837</v>
      </c>
    </row>
    <row r="5" spans="1:164">
      <c r="C5" s="317" t="s">
        <v>875</v>
      </c>
      <c r="D5" s="318">
        <v>1</v>
      </c>
      <c r="E5" s="318">
        <v>7</v>
      </c>
      <c r="F5" s="318">
        <v>26</v>
      </c>
      <c r="G5" s="318">
        <v>27</v>
      </c>
      <c r="H5" s="318">
        <v>34</v>
      </c>
      <c r="I5" s="318">
        <v>37</v>
      </c>
      <c r="J5" s="318">
        <v>10</v>
      </c>
      <c r="K5" s="318">
        <v>14</v>
      </c>
      <c r="L5" s="318">
        <v>28</v>
      </c>
      <c r="M5" s="318">
        <v>31</v>
      </c>
      <c r="N5" s="318">
        <v>36</v>
      </c>
      <c r="O5" s="318">
        <v>45</v>
      </c>
      <c r="P5" s="318">
        <v>6</v>
      </c>
      <c r="Q5" s="318">
        <v>15</v>
      </c>
      <c r="R5" s="318">
        <v>18</v>
      </c>
      <c r="S5" s="318">
        <v>24</v>
      </c>
      <c r="T5" s="318">
        <v>25</v>
      </c>
      <c r="U5" s="318">
        <v>40</v>
      </c>
      <c r="V5" s="318">
        <v>43</v>
      </c>
      <c r="W5" s="318">
        <v>50</v>
      </c>
      <c r="X5" s="318">
        <v>9</v>
      </c>
      <c r="Y5" s="318">
        <v>20</v>
      </c>
      <c r="Z5" s="318">
        <v>29</v>
      </c>
      <c r="AA5" s="318">
        <v>30</v>
      </c>
      <c r="AB5" s="318">
        <v>35</v>
      </c>
      <c r="AC5" s="318">
        <v>38</v>
      </c>
      <c r="AD5" s="318">
        <v>39</v>
      </c>
      <c r="AE5" s="318">
        <v>42</v>
      </c>
      <c r="AF5" s="318">
        <v>44</v>
      </c>
      <c r="AG5" s="318">
        <v>33</v>
      </c>
      <c r="AH5" s="318">
        <v>46</v>
      </c>
      <c r="AI5" s="318">
        <v>48</v>
      </c>
      <c r="AJ5" s="318">
        <v>19</v>
      </c>
      <c r="AK5" s="318">
        <v>21</v>
      </c>
      <c r="AL5" s="318">
        <v>49</v>
      </c>
      <c r="AM5" s="318">
        <v>4</v>
      </c>
      <c r="AN5" s="318">
        <v>5</v>
      </c>
      <c r="AO5" s="318">
        <v>11</v>
      </c>
      <c r="AP5" s="318">
        <v>17</v>
      </c>
      <c r="AQ5" s="318">
        <v>22</v>
      </c>
      <c r="AR5" s="318">
        <v>23</v>
      </c>
      <c r="AS5" s="318">
        <v>8</v>
      </c>
      <c r="AT5" s="318">
        <v>16</v>
      </c>
      <c r="AU5" s="318">
        <v>32</v>
      </c>
      <c r="AV5" s="318">
        <v>2</v>
      </c>
      <c r="AW5" s="318">
        <v>3</v>
      </c>
      <c r="AX5" s="318">
        <v>12</v>
      </c>
      <c r="AY5" s="318">
        <v>13</v>
      </c>
      <c r="AZ5" s="318">
        <v>41</v>
      </c>
      <c r="BA5" s="318">
        <v>47</v>
      </c>
      <c r="BB5" s="319">
        <v>51</v>
      </c>
      <c r="BC5" s="318"/>
      <c r="BD5" s="318">
        <v>1</v>
      </c>
      <c r="BE5" s="318">
        <v>7</v>
      </c>
      <c r="BF5" s="318">
        <v>26</v>
      </c>
      <c r="BG5" s="318">
        <v>27</v>
      </c>
      <c r="BH5" s="318">
        <v>34</v>
      </c>
      <c r="BI5" s="318">
        <v>37</v>
      </c>
      <c r="BJ5" s="318">
        <v>10</v>
      </c>
      <c r="BK5" s="318">
        <v>14</v>
      </c>
      <c r="BL5" s="318">
        <v>28</v>
      </c>
      <c r="BM5" s="318">
        <v>31</v>
      </c>
      <c r="BN5" s="318">
        <v>36</v>
      </c>
      <c r="BO5" s="318">
        <v>45</v>
      </c>
      <c r="BP5" s="318">
        <v>6</v>
      </c>
      <c r="BQ5" s="318">
        <v>15</v>
      </c>
      <c r="BR5" s="318">
        <v>18</v>
      </c>
      <c r="BS5" s="318">
        <v>24</v>
      </c>
      <c r="BT5" s="318">
        <v>25</v>
      </c>
      <c r="BU5" s="318">
        <v>40</v>
      </c>
      <c r="BV5" s="318">
        <v>43</v>
      </c>
      <c r="BW5" s="318">
        <v>50</v>
      </c>
      <c r="BX5" s="318">
        <v>9</v>
      </c>
      <c r="BY5" s="318">
        <v>20</v>
      </c>
      <c r="BZ5" s="318">
        <v>29</v>
      </c>
      <c r="CA5" s="318">
        <v>30</v>
      </c>
      <c r="CB5" s="318">
        <v>35</v>
      </c>
      <c r="CC5" s="318">
        <v>38</v>
      </c>
      <c r="CD5" s="318">
        <v>39</v>
      </c>
      <c r="CE5" s="318">
        <v>42</v>
      </c>
      <c r="CF5" s="318">
        <v>44</v>
      </c>
      <c r="CG5" s="318">
        <v>33</v>
      </c>
      <c r="CH5" s="318">
        <v>46</v>
      </c>
      <c r="CI5" s="318">
        <v>48</v>
      </c>
      <c r="CJ5" s="318">
        <v>19</v>
      </c>
      <c r="CK5" s="318">
        <v>21</v>
      </c>
      <c r="CL5" s="318">
        <v>49</v>
      </c>
      <c r="CM5" s="318">
        <v>4</v>
      </c>
      <c r="CN5" s="318">
        <v>5</v>
      </c>
      <c r="CO5" s="318">
        <v>11</v>
      </c>
      <c r="CP5" s="318">
        <v>17</v>
      </c>
      <c r="CQ5" s="318">
        <v>22</v>
      </c>
      <c r="CR5" s="318">
        <v>23</v>
      </c>
      <c r="CS5" s="318">
        <v>8</v>
      </c>
      <c r="CT5" s="318">
        <v>16</v>
      </c>
      <c r="CU5" s="318">
        <v>32</v>
      </c>
      <c r="CV5" s="318">
        <v>2</v>
      </c>
      <c r="CW5" s="318">
        <v>3</v>
      </c>
      <c r="CX5" s="318">
        <v>12</v>
      </c>
      <c r="CY5" s="318">
        <v>13</v>
      </c>
      <c r="CZ5" s="318">
        <v>41</v>
      </c>
      <c r="DA5" s="318">
        <v>47</v>
      </c>
      <c r="DB5" s="319">
        <v>51</v>
      </c>
      <c r="DC5" s="283"/>
      <c r="DD5" s="320">
        <v>1</v>
      </c>
      <c r="DE5" s="320">
        <v>7</v>
      </c>
      <c r="DF5" s="320">
        <v>26</v>
      </c>
      <c r="DG5" s="320">
        <v>27</v>
      </c>
      <c r="DH5" s="320">
        <v>34</v>
      </c>
      <c r="DI5" s="320">
        <v>37</v>
      </c>
      <c r="DJ5" s="320">
        <v>10</v>
      </c>
      <c r="DK5" s="320">
        <v>14</v>
      </c>
      <c r="DL5" s="320">
        <v>28</v>
      </c>
      <c r="DM5" s="320">
        <v>31</v>
      </c>
      <c r="DN5" s="320">
        <v>36</v>
      </c>
      <c r="DO5" s="320">
        <v>45</v>
      </c>
      <c r="DP5" s="320">
        <v>6</v>
      </c>
      <c r="DQ5" s="320">
        <v>15</v>
      </c>
      <c r="DR5" s="320">
        <v>18</v>
      </c>
      <c r="DS5" s="320">
        <v>24</v>
      </c>
      <c r="DT5" s="320">
        <v>25</v>
      </c>
      <c r="DU5" s="320">
        <v>40</v>
      </c>
      <c r="DV5" s="320">
        <v>43</v>
      </c>
      <c r="DW5" s="320">
        <v>50</v>
      </c>
      <c r="DX5" s="320">
        <v>9</v>
      </c>
      <c r="DY5" s="320">
        <v>20</v>
      </c>
      <c r="DZ5" s="320">
        <v>29</v>
      </c>
      <c r="EA5" s="320">
        <v>30</v>
      </c>
      <c r="EB5" s="320">
        <v>35</v>
      </c>
      <c r="EC5" s="320">
        <v>38</v>
      </c>
      <c r="ED5" s="320">
        <v>39</v>
      </c>
      <c r="EE5" s="320">
        <v>42</v>
      </c>
      <c r="EF5" s="320">
        <v>44</v>
      </c>
      <c r="EG5" s="320">
        <v>33</v>
      </c>
      <c r="EH5" s="320">
        <v>46</v>
      </c>
      <c r="EI5" s="320">
        <v>48</v>
      </c>
      <c r="EJ5" s="320">
        <v>19</v>
      </c>
      <c r="EK5" s="320">
        <v>21</v>
      </c>
      <c r="EL5" s="320">
        <v>49</v>
      </c>
      <c r="EM5" s="320">
        <v>4</v>
      </c>
      <c r="EN5" s="320">
        <v>5</v>
      </c>
      <c r="EO5" s="320">
        <v>11</v>
      </c>
      <c r="EP5" s="320">
        <v>17</v>
      </c>
      <c r="EQ5" s="320">
        <v>22</v>
      </c>
      <c r="ER5" s="320">
        <v>23</v>
      </c>
      <c r="ES5" s="320">
        <v>8</v>
      </c>
      <c r="ET5" s="320">
        <v>16</v>
      </c>
      <c r="EU5" s="320">
        <v>32</v>
      </c>
      <c r="EV5" s="320">
        <v>2</v>
      </c>
      <c r="EW5" s="320">
        <v>3</v>
      </c>
      <c r="EX5" s="320">
        <v>12</v>
      </c>
      <c r="EY5" s="320">
        <v>13</v>
      </c>
      <c r="EZ5" s="320">
        <v>41</v>
      </c>
      <c r="FA5" s="320">
        <v>47</v>
      </c>
      <c r="FB5" s="321">
        <v>51</v>
      </c>
    </row>
    <row r="6" spans="1:164">
      <c r="C6" s="317" t="s">
        <v>773</v>
      </c>
      <c r="D6" s="318">
        <v>1</v>
      </c>
      <c r="E6" s="318">
        <v>1</v>
      </c>
      <c r="F6" s="318">
        <v>1</v>
      </c>
      <c r="G6" s="318">
        <v>1</v>
      </c>
      <c r="H6" s="318">
        <v>1</v>
      </c>
      <c r="I6" s="318">
        <v>1</v>
      </c>
      <c r="J6" s="318">
        <v>2</v>
      </c>
      <c r="K6" s="318">
        <v>2</v>
      </c>
      <c r="L6" s="318">
        <v>2</v>
      </c>
      <c r="M6" s="318">
        <v>2</v>
      </c>
      <c r="N6" s="318">
        <v>2</v>
      </c>
      <c r="O6" s="318">
        <v>2</v>
      </c>
      <c r="P6" s="318">
        <v>3</v>
      </c>
      <c r="Q6" s="318">
        <v>3</v>
      </c>
      <c r="R6" s="318">
        <v>3</v>
      </c>
      <c r="S6" s="318">
        <v>3</v>
      </c>
      <c r="T6" s="318">
        <v>3</v>
      </c>
      <c r="U6" s="318">
        <v>3</v>
      </c>
      <c r="V6" s="318">
        <v>3</v>
      </c>
      <c r="W6" s="318">
        <v>3</v>
      </c>
      <c r="X6" s="318">
        <v>4</v>
      </c>
      <c r="Y6" s="318">
        <v>4</v>
      </c>
      <c r="Z6" s="318">
        <v>4</v>
      </c>
      <c r="AA6" s="318">
        <v>4</v>
      </c>
      <c r="AB6" s="318">
        <v>4</v>
      </c>
      <c r="AC6" s="318">
        <v>4</v>
      </c>
      <c r="AD6" s="318">
        <v>4</v>
      </c>
      <c r="AE6" s="318">
        <v>4</v>
      </c>
      <c r="AF6" s="318">
        <v>4</v>
      </c>
      <c r="AG6" s="318">
        <v>5</v>
      </c>
      <c r="AH6" s="318">
        <v>5</v>
      </c>
      <c r="AI6" s="318">
        <v>5</v>
      </c>
      <c r="AJ6" s="318">
        <v>6</v>
      </c>
      <c r="AK6" s="318">
        <v>6</v>
      </c>
      <c r="AL6" s="318">
        <v>6</v>
      </c>
      <c r="AM6" s="318">
        <v>7</v>
      </c>
      <c r="AN6" s="318">
        <v>7</v>
      </c>
      <c r="AO6" s="318">
        <v>7</v>
      </c>
      <c r="AP6" s="318">
        <v>7</v>
      </c>
      <c r="AQ6" s="318">
        <v>7</v>
      </c>
      <c r="AR6" s="318">
        <v>7</v>
      </c>
      <c r="AS6" s="318">
        <v>8</v>
      </c>
      <c r="AT6" s="318">
        <v>8</v>
      </c>
      <c r="AU6" s="318">
        <v>8</v>
      </c>
      <c r="AV6" s="318">
        <v>9</v>
      </c>
      <c r="AW6" s="318">
        <v>9</v>
      </c>
      <c r="AX6" s="318">
        <v>9</v>
      </c>
      <c r="AY6" s="318">
        <v>9</v>
      </c>
      <c r="AZ6" s="318">
        <v>9</v>
      </c>
      <c r="BA6" s="318">
        <v>9</v>
      </c>
      <c r="BB6" s="319">
        <v>10</v>
      </c>
      <c r="BC6" s="318"/>
      <c r="BD6" s="318">
        <v>1</v>
      </c>
      <c r="BE6" s="318">
        <v>1</v>
      </c>
      <c r="BF6" s="318">
        <v>1</v>
      </c>
      <c r="BG6" s="318">
        <v>1</v>
      </c>
      <c r="BH6" s="318">
        <v>1</v>
      </c>
      <c r="BI6" s="318">
        <v>1</v>
      </c>
      <c r="BJ6" s="318">
        <v>2</v>
      </c>
      <c r="BK6" s="318">
        <v>2</v>
      </c>
      <c r="BL6" s="318">
        <v>2</v>
      </c>
      <c r="BM6" s="318">
        <v>2</v>
      </c>
      <c r="BN6" s="318">
        <v>2</v>
      </c>
      <c r="BO6" s="318">
        <v>2</v>
      </c>
      <c r="BP6" s="318">
        <v>3</v>
      </c>
      <c r="BQ6" s="318">
        <v>3</v>
      </c>
      <c r="BR6" s="318">
        <v>3</v>
      </c>
      <c r="BS6" s="318">
        <v>3</v>
      </c>
      <c r="BT6" s="318">
        <v>3</v>
      </c>
      <c r="BU6" s="318">
        <v>3</v>
      </c>
      <c r="BV6" s="318">
        <v>3</v>
      </c>
      <c r="BW6" s="318">
        <v>3</v>
      </c>
      <c r="BX6" s="318">
        <v>4</v>
      </c>
      <c r="BY6" s="318">
        <v>4</v>
      </c>
      <c r="BZ6" s="318">
        <v>4</v>
      </c>
      <c r="CA6" s="318">
        <v>4</v>
      </c>
      <c r="CB6" s="318">
        <v>4</v>
      </c>
      <c r="CC6" s="318">
        <v>4</v>
      </c>
      <c r="CD6" s="318">
        <v>4</v>
      </c>
      <c r="CE6" s="318">
        <v>4</v>
      </c>
      <c r="CF6" s="318">
        <v>4</v>
      </c>
      <c r="CG6" s="318">
        <v>5</v>
      </c>
      <c r="CH6" s="318">
        <v>5</v>
      </c>
      <c r="CI6" s="318">
        <v>5</v>
      </c>
      <c r="CJ6" s="318">
        <v>6</v>
      </c>
      <c r="CK6" s="318">
        <v>6</v>
      </c>
      <c r="CL6" s="318">
        <v>6</v>
      </c>
      <c r="CM6" s="318">
        <v>7</v>
      </c>
      <c r="CN6" s="318">
        <v>7</v>
      </c>
      <c r="CO6" s="318">
        <v>7</v>
      </c>
      <c r="CP6" s="318">
        <v>7</v>
      </c>
      <c r="CQ6" s="318">
        <v>7</v>
      </c>
      <c r="CR6" s="318">
        <v>7</v>
      </c>
      <c r="CS6" s="318">
        <v>8</v>
      </c>
      <c r="CT6" s="318">
        <v>8</v>
      </c>
      <c r="CU6" s="318">
        <v>8</v>
      </c>
      <c r="CV6" s="318">
        <v>9</v>
      </c>
      <c r="CW6" s="318">
        <v>9</v>
      </c>
      <c r="CX6" s="318">
        <v>9</v>
      </c>
      <c r="CY6" s="318">
        <v>9</v>
      </c>
      <c r="CZ6" s="318">
        <v>9</v>
      </c>
      <c r="DA6" s="318">
        <v>9</v>
      </c>
      <c r="DB6" s="319">
        <v>10</v>
      </c>
      <c r="DC6" s="283"/>
      <c r="DD6" s="320">
        <v>1</v>
      </c>
      <c r="DE6" s="320">
        <v>1</v>
      </c>
      <c r="DF6" s="320">
        <v>1</v>
      </c>
      <c r="DG6" s="320">
        <v>1</v>
      </c>
      <c r="DH6" s="320">
        <v>1</v>
      </c>
      <c r="DI6" s="320">
        <v>1</v>
      </c>
      <c r="DJ6" s="320">
        <v>2</v>
      </c>
      <c r="DK6" s="320">
        <v>2</v>
      </c>
      <c r="DL6" s="320">
        <v>2</v>
      </c>
      <c r="DM6" s="320">
        <v>2</v>
      </c>
      <c r="DN6" s="320">
        <v>2</v>
      </c>
      <c r="DO6" s="320">
        <v>2</v>
      </c>
      <c r="DP6" s="320">
        <v>3</v>
      </c>
      <c r="DQ6" s="320">
        <v>3</v>
      </c>
      <c r="DR6" s="320">
        <v>3</v>
      </c>
      <c r="DS6" s="320">
        <v>3</v>
      </c>
      <c r="DT6" s="320">
        <v>3</v>
      </c>
      <c r="DU6" s="320">
        <v>3</v>
      </c>
      <c r="DV6" s="320">
        <v>3</v>
      </c>
      <c r="DW6" s="320">
        <v>3</v>
      </c>
      <c r="DX6" s="320">
        <v>4</v>
      </c>
      <c r="DY6" s="320">
        <v>4</v>
      </c>
      <c r="DZ6" s="320">
        <v>4</v>
      </c>
      <c r="EA6" s="320">
        <v>4</v>
      </c>
      <c r="EB6" s="320">
        <v>4</v>
      </c>
      <c r="EC6" s="320">
        <v>4</v>
      </c>
      <c r="ED6" s="320">
        <v>4</v>
      </c>
      <c r="EE6" s="320">
        <v>4</v>
      </c>
      <c r="EF6" s="320">
        <v>4</v>
      </c>
      <c r="EG6" s="320">
        <v>5</v>
      </c>
      <c r="EH6" s="320">
        <v>5</v>
      </c>
      <c r="EI6" s="320">
        <v>5</v>
      </c>
      <c r="EJ6" s="320">
        <v>6</v>
      </c>
      <c r="EK6" s="320">
        <v>6</v>
      </c>
      <c r="EL6" s="320">
        <v>6</v>
      </c>
      <c r="EM6" s="320">
        <v>7</v>
      </c>
      <c r="EN6" s="320">
        <v>7</v>
      </c>
      <c r="EO6" s="320">
        <v>7</v>
      </c>
      <c r="EP6" s="320">
        <v>7</v>
      </c>
      <c r="EQ6" s="320">
        <v>7</v>
      </c>
      <c r="ER6" s="320">
        <v>7</v>
      </c>
      <c r="ES6" s="320">
        <v>8</v>
      </c>
      <c r="ET6" s="320">
        <v>8</v>
      </c>
      <c r="EU6" s="320">
        <v>8</v>
      </c>
      <c r="EV6" s="320">
        <v>9</v>
      </c>
      <c r="EW6" s="320">
        <v>9</v>
      </c>
      <c r="EX6" s="320">
        <v>9</v>
      </c>
      <c r="EY6" s="320">
        <v>9</v>
      </c>
      <c r="EZ6" s="320">
        <v>9</v>
      </c>
      <c r="FA6" s="320">
        <v>9</v>
      </c>
      <c r="FB6" s="321">
        <v>10</v>
      </c>
      <c r="FF6" s="9"/>
      <c r="FG6" s="9"/>
      <c r="FH6" s="9" t="s">
        <v>733</v>
      </c>
    </row>
    <row r="7" spans="1:164" ht="16" thickBot="1">
      <c r="C7" s="317"/>
      <c r="D7" s="322" t="s">
        <v>904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4" t="s">
        <v>904</v>
      </c>
      <c r="Q7" s="323"/>
      <c r="R7" s="323"/>
      <c r="S7" s="323"/>
      <c r="T7" s="323"/>
      <c r="U7" s="323"/>
      <c r="V7" s="323"/>
      <c r="W7" s="323"/>
      <c r="X7" s="399"/>
      <c r="Y7" s="323"/>
      <c r="Z7" s="323"/>
      <c r="AA7" s="323"/>
      <c r="AB7" s="323"/>
      <c r="AC7" s="324" t="s">
        <v>904</v>
      </c>
      <c r="AD7" s="323"/>
      <c r="AE7" s="323"/>
      <c r="AF7" s="323"/>
      <c r="AG7" s="323"/>
      <c r="AH7" s="323"/>
      <c r="AI7" s="323"/>
      <c r="AJ7" s="323"/>
      <c r="AK7" s="323"/>
      <c r="AL7" s="323"/>
      <c r="AM7" s="324" t="s">
        <v>904</v>
      </c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4" t="s">
        <v>904</v>
      </c>
      <c r="AZ7" s="323"/>
      <c r="BA7" s="323"/>
      <c r="BB7" s="325"/>
      <c r="BC7" s="318"/>
      <c r="BD7" s="326" t="s">
        <v>905</v>
      </c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8" t="s">
        <v>905</v>
      </c>
      <c r="BR7" s="327"/>
      <c r="BS7" s="327"/>
      <c r="BT7" s="327"/>
      <c r="BU7" s="327"/>
      <c r="BV7" s="327"/>
      <c r="BW7" s="327"/>
      <c r="BX7" s="398"/>
      <c r="BY7" s="327"/>
      <c r="BZ7" s="327"/>
      <c r="CA7" s="327"/>
      <c r="CB7" s="327"/>
      <c r="CC7" s="328" t="s">
        <v>905</v>
      </c>
      <c r="CD7" s="327"/>
      <c r="CE7" s="327"/>
      <c r="CF7" s="327"/>
      <c r="CG7" s="327"/>
      <c r="CH7" s="327"/>
      <c r="CI7" s="327"/>
      <c r="CJ7" s="327"/>
      <c r="CK7" s="327"/>
      <c r="CL7" s="327"/>
      <c r="CM7" s="328" t="s">
        <v>905</v>
      </c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8" t="s">
        <v>905</v>
      </c>
      <c r="CZ7" s="327"/>
      <c r="DA7" s="327"/>
      <c r="DB7" s="329"/>
      <c r="DC7" s="283"/>
      <c r="DD7" s="330" t="s">
        <v>906</v>
      </c>
      <c r="DE7" s="331"/>
      <c r="DF7" s="331"/>
      <c r="DG7" s="331"/>
      <c r="DH7" s="331"/>
      <c r="DI7" s="331"/>
      <c r="DJ7" s="331"/>
      <c r="DK7" s="331"/>
      <c r="DL7" s="331"/>
      <c r="DM7" s="332" t="s">
        <v>906</v>
      </c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96" t="s">
        <v>906</v>
      </c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2" t="s">
        <v>906</v>
      </c>
      <c r="EJ7" s="331"/>
      <c r="EK7" s="331"/>
      <c r="EL7" s="331"/>
      <c r="EM7" s="331"/>
      <c r="EN7" s="331"/>
      <c r="EO7" s="331"/>
      <c r="EP7" s="331"/>
      <c r="EQ7" s="331"/>
      <c r="ER7" s="331"/>
      <c r="ES7" s="332" t="s">
        <v>906</v>
      </c>
      <c r="ET7" s="331"/>
      <c r="EU7" s="331"/>
      <c r="EV7" s="331"/>
      <c r="EW7" s="331"/>
      <c r="EX7" s="331"/>
      <c r="EY7" s="331"/>
      <c r="EZ7" s="332" t="s">
        <v>906</v>
      </c>
      <c r="FA7" s="331"/>
      <c r="FB7" s="333"/>
      <c r="FF7" s="9" t="s">
        <v>832</v>
      </c>
      <c r="FG7" s="9" t="s">
        <v>732</v>
      </c>
      <c r="FH7" s="9" t="s">
        <v>734</v>
      </c>
    </row>
    <row r="8" spans="1:164" ht="16" thickBot="1">
      <c r="D8" s="1" t="s">
        <v>907</v>
      </c>
      <c r="E8" s="1" t="s">
        <v>908</v>
      </c>
      <c r="F8" s="1" t="s">
        <v>253</v>
      </c>
      <c r="G8" s="1" t="s">
        <v>909</v>
      </c>
      <c r="H8" s="1" t="s">
        <v>254</v>
      </c>
      <c r="I8" s="1" t="s">
        <v>255</v>
      </c>
      <c r="J8" s="1" t="s">
        <v>910</v>
      </c>
      <c r="K8" s="1" t="s">
        <v>256</v>
      </c>
      <c r="L8" s="1" t="s">
        <v>257</v>
      </c>
      <c r="M8" s="1" t="s">
        <v>258</v>
      </c>
      <c r="N8" s="1" t="s">
        <v>911</v>
      </c>
      <c r="O8" s="1" t="s">
        <v>912</v>
      </c>
      <c r="P8" s="1" t="s">
        <v>276</v>
      </c>
      <c r="Q8" s="1" t="s">
        <v>913</v>
      </c>
      <c r="R8" s="1" t="s">
        <v>914</v>
      </c>
      <c r="S8" s="1" t="s">
        <v>915</v>
      </c>
      <c r="T8" s="1" t="s">
        <v>277</v>
      </c>
      <c r="U8" s="1" t="s">
        <v>916</v>
      </c>
      <c r="V8" s="1" t="s">
        <v>278</v>
      </c>
      <c r="W8" s="1" t="s">
        <v>917</v>
      </c>
      <c r="X8" s="397" t="s">
        <v>279</v>
      </c>
      <c r="Y8" s="1" t="s">
        <v>918</v>
      </c>
      <c r="Z8" s="1" t="s">
        <v>919</v>
      </c>
      <c r="AA8" s="1" t="s">
        <v>821</v>
      </c>
      <c r="AB8" s="1" t="s">
        <v>280</v>
      </c>
      <c r="AC8" s="1" t="s">
        <v>281</v>
      </c>
      <c r="AD8" s="1" t="s">
        <v>822</v>
      </c>
      <c r="AE8" s="1" t="s">
        <v>282</v>
      </c>
      <c r="AF8" s="1" t="s">
        <v>823</v>
      </c>
      <c r="AG8" s="1" t="s">
        <v>824</v>
      </c>
      <c r="AH8" s="1" t="s">
        <v>230</v>
      </c>
      <c r="AI8" s="1" t="s">
        <v>231</v>
      </c>
      <c r="AJ8" s="1" t="s">
        <v>232</v>
      </c>
      <c r="AK8" s="1" t="s">
        <v>233</v>
      </c>
      <c r="AL8" s="1" t="s">
        <v>203</v>
      </c>
      <c r="AM8" s="1" t="s">
        <v>825</v>
      </c>
      <c r="AN8" s="1" t="s">
        <v>826</v>
      </c>
      <c r="AO8" s="1" t="s">
        <v>827</v>
      </c>
      <c r="AP8" s="1" t="s">
        <v>828</v>
      </c>
      <c r="AQ8" s="1" t="s">
        <v>829</v>
      </c>
      <c r="AR8" s="1" t="s">
        <v>204</v>
      </c>
      <c r="AS8" s="1" t="s">
        <v>830</v>
      </c>
      <c r="AT8" s="1" t="s">
        <v>205</v>
      </c>
      <c r="AU8" s="1" t="s">
        <v>831</v>
      </c>
      <c r="AV8" s="1" t="s">
        <v>206</v>
      </c>
      <c r="AW8" s="1" t="s">
        <v>604</v>
      </c>
      <c r="AX8" s="1" t="s">
        <v>605</v>
      </c>
      <c r="AY8" s="1" t="s">
        <v>208</v>
      </c>
      <c r="AZ8" s="1" t="s">
        <v>606</v>
      </c>
      <c r="BA8" s="1" t="s">
        <v>389</v>
      </c>
      <c r="BB8" s="2" t="s">
        <v>607</v>
      </c>
      <c r="BC8" s="304"/>
      <c r="BD8" s="1" t="s">
        <v>608</v>
      </c>
      <c r="BE8" s="1" t="s">
        <v>609</v>
      </c>
      <c r="BF8" s="1" t="s">
        <v>253</v>
      </c>
      <c r="BG8" s="1" t="s">
        <v>909</v>
      </c>
      <c r="BH8" s="1" t="s">
        <v>254</v>
      </c>
      <c r="BI8" s="1" t="s">
        <v>255</v>
      </c>
      <c r="BJ8" s="1" t="s">
        <v>910</v>
      </c>
      <c r="BK8" s="1" t="s">
        <v>256</v>
      </c>
      <c r="BL8" s="1" t="s">
        <v>257</v>
      </c>
      <c r="BM8" s="1" t="s">
        <v>258</v>
      </c>
      <c r="BN8" s="1" t="s">
        <v>911</v>
      </c>
      <c r="BO8" s="1" t="s">
        <v>912</v>
      </c>
      <c r="BP8" s="1" t="s">
        <v>276</v>
      </c>
      <c r="BQ8" s="1" t="s">
        <v>913</v>
      </c>
      <c r="BR8" s="1" t="s">
        <v>914</v>
      </c>
      <c r="BS8" s="1" t="s">
        <v>915</v>
      </c>
      <c r="BT8" s="1" t="s">
        <v>277</v>
      </c>
      <c r="BU8" s="1" t="s">
        <v>916</v>
      </c>
      <c r="BV8" s="1" t="s">
        <v>278</v>
      </c>
      <c r="BW8" s="1" t="s">
        <v>917</v>
      </c>
      <c r="BX8" s="397" t="s">
        <v>279</v>
      </c>
      <c r="BY8" s="1" t="s">
        <v>918</v>
      </c>
      <c r="BZ8" s="1" t="s">
        <v>919</v>
      </c>
      <c r="CA8" s="1" t="s">
        <v>821</v>
      </c>
      <c r="CB8" s="1" t="s">
        <v>280</v>
      </c>
      <c r="CC8" s="1" t="s">
        <v>281</v>
      </c>
      <c r="CD8" s="1" t="s">
        <v>822</v>
      </c>
      <c r="CE8" s="1" t="s">
        <v>282</v>
      </c>
      <c r="CF8" s="1" t="s">
        <v>823</v>
      </c>
      <c r="CG8" s="1" t="s">
        <v>824</v>
      </c>
      <c r="CH8" s="1" t="s">
        <v>230</v>
      </c>
      <c r="CI8" s="1" t="s">
        <v>231</v>
      </c>
      <c r="CJ8" s="1" t="s">
        <v>232</v>
      </c>
      <c r="CK8" s="1" t="s">
        <v>233</v>
      </c>
      <c r="CL8" s="1" t="s">
        <v>203</v>
      </c>
      <c r="CM8" s="1" t="s">
        <v>825</v>
      </c>
      <c r="CN8" s="1" t="s">
        <v>826</v>
      </c>
      <c r="CO8" s="1" t="s">
        <v>827</v>
      </c>
      <c r="CP8" s="1" t="s">
        <v>828</v>
      </c>
      <c r="CQ8" s="1" t="s">
        <v>829</v>
      </c>
      <c r="CR8" s="1" t="s">
        <v>204</v>
      </c>
      <c r="CS8" s="1" t="s">
        <v>830</v>
      </c>
      <c r="CT8" s="1" t="s">
        <v>205</v>
      </c>
      <c r="CU8" s="1" t="s">
        <v>831</v>
      </c>
      <c r="CV8" s="1" t="s">
        <v>206</v>
      </c>
      <c r="CW8" s="1" t="s">
        <v>604</v>
      </c>
      <c r="CX8" s="1" t="s">
        <v>605</v>
      </c>
      <c r="CY8" s="1" t="s">
        <v>208</v>
      </c>
      <c r="CZ8" s="1" t="s">
        <v>606</v>
      </c>
      <c r="DA8" s="1" t="s">
        <v>389</v>
      </c>
      <c r="DB8" s="2" t="s">
        <v>607</v>
      </c>
      <c r="DD8" s="1" t="s">
        <v>608</v>
      </c>
      <c r="DE8" s="1" t="s">
        <v>609</v>
      </c>
      <c r="DF8" s="1" t="s">
        <v>253</v>
      </c>
      <c r="DG8" s="1" t="s">
        <v>909</v>
      </c>
      <c r="DH8" s="1" t="s">
        <v>254</v>
      </c>
      <c r="DI8" s="1" t="s">
        <v>255</v>
      </c>
      <c r="DJ8" s="1" t="s">
        <v>910</v>
      </c>
      <c r="DK8" s="1" t="s">
        <v>256</v>
      </c>
      <c r="DL8" s="1" t="s">
        <v>257</v>
      </c>
      <c r="DM8" s="1" t="s">
        <v>258</v>
      </c>
      <c r="DN8" s="1" t="s">
        <v>911</v>
      </c>
      <c r="DO8" s="1" t="s">
        <v>912</v>
      </c>
      <c r="DP8" s="1" t="s">
        <v>276</v>
      </c>
      <c r="DQ8" s="1" t="s">
        <v>913</v>
      </c>
      <c r="DR8" s="1" t="s">
        <v>914</v>
      </c>
      <c r="DS8" s="1" t="s">
        <v>915</v>
      </c>
      <c r="DT8" s="1" t="s">
        <v>277</v>
      </c>
      <c r="DU8" s="1" t="s">
        <v>916</v>
      </c>
      <c r="DV8" s="1" t="s">
        <v>278</v>
      </c>
      <c r="DW8" s="1" t="s">
        <v>917</v>
      </c>
      <c r="DX8" s="397" t="s">
        <v>279</v>
      </c>
      <c r="DY8" s="1" t="s">
        <v>918</v>
      </c>
      <c r="DZ8" s="1" t="s">
        <v>919</v>
      </c>
      <c r="EA8" s="1" t="s">
        <v>821</v>
      </c>
      <c r="EB8" s="1" t="s">
        <v>280</v>
      </c>
      <c r="EC8" s="1" t="s">
        <v>281</v>
      </c>
      <c r="ED8" s="1" t="s">
        <v>822</v>
      </c>
      <c r="EE8" s="1" t="s">
        <v>282</v>
      </c>
      <c r="EF8" s="1" t="s">
        <v>823</v>
      </c>
      <c r="EG8" s="1" t="s">
        <v>824</v>
      </c>
      <c r="EH8" s="1" t="s">
        <v>230</v>
      </c>
      <c r="EI8" s="1" t="s">
        <v>231</v>
      </c>
      <c r="EJ8" s="1" t="s">
        <v>232</v>
      </c>
      <c r="EK8" s="1" t="s">
        <v>233</v>
      </c>
      <c r="EL8" s="1" t="s">
        <v>203</v>
      </c>
      <c r="EM8" s="1" t="s">
        <v>825</v>
      </c>
      <c r="EN8" s="1" t="s">
        <v>826</v>
      </c>
      <c r="EO8" s="1" t="s">
        <v>827</v>
      </c>
      <c r="EP8" s="1" t="s">
        <v>828</v>
      </c>
      <c r="EQ8" s="1" t="s">
        <v>829</v>
      </c>
      <c r="ER8" s="1" t="s">
        <v>204</v>
      </c>
      <c r="ES8" s="1" t="s">
        <v>830</v>
      </c>
      <c r="ET8" s="1" t="s">
        <v>205</v>
      </c>
      <c r="EU8" s="1" t="s">
        <v>831</v>
      </c>
      <c r="EV8" s="1" t="s">
        <v>206</v>
      </c>
      <c r="EW8" s="1" t="s">
        <v>604</v>
      </c>
      <c r="EX8" s="1" t="s">
        <v>605</v>
      </c>
      <c r="EY8" s="1" t="s">
        <v>208</v>
      </c>
      <c r="EZ8" s="1" t="s">
        <v>606</v>
      </c>
      <c r="FA8" s="1" t="s">
        <v>389</v>
      </c>
      <c r="FB8" s="2" t="s">
        <v>607</v>
      </c>
      <c r="FF8" s="9" t="s">
        <v>833</v>
      </c>
      <c r="FG8" s="9" t="s">
        <v>731</v>
      </c>
      <c r="FH8" s="9" t="s">
        <v>735</v>
      </c>
    </row>
    <row r="9" spans="1:164">
      <c r="A9" s="6" t="s">
        <v>610</v>
      </c>
      <c r="B9" s="9">
        <v>1</v>
      </c>
      <c r="C9" s="6" t="s">
        <v>611</v>
      </c>
      <c r="D9" s="304">
        <f>'peasant income details'!F111</f>
        <v>2962.5205340390085</v>
      </c>
      <c r="E9" s="304">
        <f>'peasant income details'!G111</f>
        <v>11721.481213185665</v>
      </c>
      <c r="F9" s="304">
        <f>'peasant income details'!H111</f>
        <v>11660.480053917017</v>
      </c>
      <c r="G9" s="304">
        <f>'peasant income details'!I111</f>
        <v>3052.8605587414322</v>
      </c>
      <c r="H9" s="304">
        <f>'peasant income details'!J111</f>
        <v>8403.0904060349203</v>
      </c>
      <c r="I9" s="304">
        <f>'peasant income details'!K111</f>
        <v>11253.434593739024</v>
      </c>
      <c r="J9" s="304">
        <f>'peasant income details'!L111</f>
        <v>25019.128087248002</v>
      </c>
      <c r="K9" s="304">
        <f>'peasant income details'!M111</f>
        <v>18754.096816276258</v>
      </c>
      <c r="L9" s="304">
        <f>'peasant income details'!N111</f>
        <v>5638.3145595055594</v>
      </c>
      <c r="M9" s="304">
        <f>'peasant income details'!O111</f>
        <v>27780.593133912324</v>
      </c>
      <c r="N9" s="304">
        <f>'peasant income details'!P111</f>
        <v>22036.712882084852</v>
      </c>
      <c r="O9" s="304">
        <f>'peasant income details'!Q111</f>
        <v>19197.528828525799</v>
      </c>
      <c r="P9" s="304">
        <f>'peasant income details'!R111</f>
        <v>13266.122166338359</v>
      </c>
      <c r="Q9" s="304">
        <f>'peasant income details'!S111</f>
        <v>8829.2653052705609</v>
      </c>
      <c r="R9" s="304">
        <f>'peasant income details'!T111</f>
        <v>12496.509692776928</v>
      </c>
      <c r="S9" s="304">
        <f>'peasant income details'!U111</f>
        <v>14252.736192894849</v>
      </c>
      <c r="T9" s="304">
        <f>'peasant income details'!V111</f>
        <v>14321.268044266795</v>
      </c>
      <c r="U9" s="304">
        <f>'peasant income details'!W111</f>
        <v>11308.816571015337</v>
      </c>
      <c r="V9" s="304">
        <f>'peasant income details'!X111</f>
        <v>15594.119610988739</v>
      </c>
      <c r="W9" s="304">
        <f>'peasant income details'!Y111</f>
        <v>9716.7651254013508</v>
      </c>
      <c r="X9" s="304">
        <f>'peasant income details'!Z111</f>
        <v>20006.278617245167</v>
      </c>
      <c r="Y9" s="304">
        <f>'peasant income details'!AA111</f>
        <v>17426.696027929142</v>
      </c>
      <c r="Z9" s="304">
        <f>'peasant income details'!AB111</f>
        <v>15080.589040349341</v>
      </c>
      <c r="AA9" s="304">
        <f>'peasant income details'!AC111</f>
        <v>11830.164912114138</v>
      </c>
      <c r="AB9" s="304">
        <f>'peasant income details'!AD111</f>
        <v>13528.439793114712</v>
      </c>
      <c r="AC9" s="304">
        <f>'peasant income details'!AE111</f>
        <v>18767.425572556338</v>
      </c>
      <c r="AD9" s="304">
        <f>'peasant income details'!AF111</f>
        <v>12867.662281088065</v>
      </c>
      <c r="AE9" s="304">
        <f>'peasant income details'!AG111</f>
        <v>20448.589702805864</v>
      </c>
      <c r="AF9" s="304">
        <f>'peasant income details'!AH111</f>
        <v>10659.81742921403</v>
      </c>
      <c r="AG9" s="304">
        <f>'peasant income details'!AI111</f>
        <v>22228.448350983424</v>
      </c>
      <c r="AH9" s="304">
        <f>'peasant income details'!AJ111</f>
        <v>18789.293199688971</v>
      </c>
      <c r="AI9" s="304">
        <f>'peasant income details'!AK111</f>
        <v>17798.778988438877</v>
      </c>
      <c r="AJ9" s="304">
        <f>'peasant income details'!AL111</f>
        <v>4956.0947341424699</v>
      </c>
      <c r="AK9" s="304">
        <f>'peasant income details'!AM111</f>
        <v>10223.968655099385</v>
      </c>
      <c r="AL9" s="304">
        <f>'peasant income details'!AN111</f>
        <v>3685.0945328513717</v>
      </c>
      <c r="AM9" s="304">
        <f>'peasant income details'!AO111</f>
        <v>9988.7789258760586</v>
      </c>
      <c r="AN9" s="304">
        <f>'peasant income details'!AP111</f>
        <v>9665.4684304992843</v>
      </c>
      <c r="AO9" s="304">
        <f>'peasant income details'!AQ111</f>
        <v>9612.7566129562529</v>
      </c>
      <c r="AP9" s="304">
        <f>'peasant income details'!AR111</f>
        <v>10001.500876936836</v>
      </c>
      <c r="AQ9" s="304">
        <f>'peasant income details'!AS111</f>
        <v>12981.325689479298</v>
      </c>
      <c r="AR9" s="304">
        <f>'peasant income details'!AT111</f>
        <v>8939.8733312631539</v>
      </c>
      <c r="AS9" s="304">
        <f>'peasant income details'!AU111</f>
        <v>20246.180014143662</v>
      </c>
      <c r="AT9" s="304">
        <f>'peasant income details'!AV111</f>
        <v>25954.872459270355</v>
      </c>
      <c r="AU9" s="304">
        <f>'peasant income details'!AW111</f>
        <v>23835.254254208015</v>
      </c>
      <c r="AV9" s="304">
        <f>'peasant income details'!AX111</f>
        <v>3029.419109594764</v>
      </c>
      <c r="AW9" s="304">
        <f>'peasant income details'!AY111</f>
        <v>14103.127844082595</v>
      </c>
      <c r="AX9" s="304">
        <f>'peasant income details'!AZ111</f>
        <v>10859.685996490827</v>
      </c>
      <c r="AY9" s="304">
        <f>'peasant income details'!BA111</f>
        <v>16806.764647460604</v>
      </c>
      <c r="AZ9" s="304">
        <f>'peasant income details'!BB111</f>
        <v>9065.9642446598955</v>
      </c>
      <c r="BA9" s="304">
        <f>'peasant income details'!BC111</f>
        <v>17294.7735418103</v>
      </c>
      <c r="BB9" s="304">
        <f>'peasant income details'!BD111</f>
        <v>687948.93219251616</v>
      </c>
      <c r="BD9" s="304">
        <f>'peasant income details'!F116</f>
        <v>606560.3673977009</v>
      </c>
      <c r="BE9" s="304">
        <f>'peasant income details'!G116</f>
        <v>2059950.3600870788</v>
      </c>
      <c r="BF9" s="304">
        <f>'peasant income details'!H116</f>
        <v>2610630.0067678331</v>
      </c>
      <c r="BG9" s="304">
        <f>'peasant income details'!I116</f>
        <v>686290.47742447082</v>
      </c>
      <c r="BH9" s="304">
        <f>'peasant income details'!J116</f>
        <v>1625100.6463643129</v>
      </c>
      <c r="BI9" s="304">
        <f>'peasant income details'!K116</f>
        <v>3926000.0590896844</v>
      </c>
      <c r="BJ9" s="304">
        <f>'peasant income details'!L116</f>
        <v>4654512.666446181</v>
      </c>
      <c r="BK9" s="304">
        <f>'peasant income details'!M116</f>
        <v>2797630.8553431476</v>
      </c>
      <c r="BL9" s="304">
        <f>'peasant income details'!N116</f>
        <v>1373782.4264327956</v>
      </c>
      <c r="BM9" s="304">
        <f>'peasant income details'!O116</f>
        <v>6130945.8681056257</v>
      </c>
      <c r="BN9" s="304">
        <f>'peasant income details'!P116</f>
        <v>4345777.3647572855</v>
      </c>
      <c r="BO9" s="304">
        <f>'peasant income details'!Q116</f>
        <v>3688681.9625412989</v>
      </c>
      <c r="BP9" s="304">
        <f>'peasant income details'!R116</f>
        <v>3475504.2898933128</v>
      </c>
      <c r="BQ9" s="304">
        <f>'peasant income details'!S116</f>
        <v>1901996.603065101</v>
      </c>
      <c r="BR9" s="304">
        <f>'peasant income details'!T116</f>
        <v>2800400.0989179686</v>
      </c>
      <c r="BS9" s="304">
        <f>'peasant income details'!U116</f>
        <v>3968394.0240725004</v>
      </c>
      <c r="BT9" s="304">
        <f>'peasant income details'!V116</f>
        <v>3139583.917159324</v>
      </c>
      <c r="BU9" s="304">
        <f>'peasant income details'!W116</f>
        <v>2217454.5924977073</v>
      </c>
      <c r="BV9" s="304">
        <f>'peasant income details'!X116</f>
        <v>4007442.9624913526</v>
      </c>
      <c r="BW9" s="304">
        <f>'peasant income details'!Y116</f>
        <v>2437339.9999582898</v>
      </c>
      <c r="BX9" s="304">
        <f>'peasant income details'!Z116</f>
        <v>3341248.5918661151</v>
      </c>
      <c r="BY9" s="304">
        <f>'peasant income details'!AA116</f>
        <v>3156512.9954689327</v>
      </c>
      <c r="BZ9" s="304">
        <f>'peasant income details'!AB116</f>
        <v>3608157.550452197</v>
      </c>
      <c r="CA9" s="304">
        <f>'peasant income details'!AC116</f>
        <v>1837915.9735056327</v>
      </c>
      <c r="CB9" s="304">
        <f>'peasant income details'!AD116</f>
        <v>2399770.3599458667</v>
      </c>
      <c r="CC9" s="304">
        <f>'peasant income details'!AE116</f>
        <v>4169337.0102995238</v>
      </c>
      <c r="CD9" s="304">
        <f>'peasant income details'!AF116</f>
        <v>2228560.8932276764</v>
      </c>
      <c r="CE9" s="304">
        <f>'peasant income details'!AG116</f>
        <v>3412129.1696703592</v>
      </c>
      <c r="CF9" s="304">
        <f>'peasant income details'!AH116</f>
        <v>2860194.9511674726</v>
      </c>
      <c r="CG9" s="304">
        <f>'peasant income details'!AI116</f>
        <v>4473693.5460617943</v>
      </c>
      <c r="CH9" s="304">
        <f>'peasant income details'!AJ116</f>
        <v>4876126.8336046301</v>
      </c>
      <c r="CI9" s="304">
        <f>'peasant income details'!AK116</f>
        <v>2754325.1324251397</v>
      </c>
      <c r="CJ9" s="304">
        <f>'peasant income details'!AL116</f>
        <v>1762637.2354075264</v>
      </c>
      <c r="CK9" s="304">
        <f>'peasant income details'!AM116</f>
        <v>3716124.6478494876</v>
      </c>
      <c r="CL9" s="304">
        <f>'peasant income details'!AN116</f>
        <v>1206033.9166256434</v>
      </c>
      <c r="CM9" s="304">
        <f>'peasant income details'!AO116</f>
        <v>2151365.6268532723</v>
      </c>
      <c r="CN9" s="304">
        <f>'peasant income details'!AP116</f>
        <v>2041592.1751125099</v>
      </c>
      <c r="CO9" s="304">
        <f>'peasant income details'!AQ116</f>
        <v>2025661.7545177119</v>
      </c>
      <c r="CP9" s="304">
        <f>'peasant income details'!AR116</f>
        <v>2288845.121044789</v>
      </c>
      <c r="CQ9" s="304">
        <f>'peasant income details'!AS116</f>
        <v>2268591.2198637556</v>
      </c>
      <c r="CR9" s="304">
        <f>'peasant income details'!AT116</f>
        <v>1696776.5999969777</v>
      </c>
      <c r="CS9" s="304">
        <f>'peasant income details'!AU116</f>
        <v>3734839.2730984683</v>
      </c>
      <c r="CT9" s="304">
        <f>'peasant income details'!AV116</f>
        <v>4004374.7550310465</v>
      </c>
      <c r="CU9" s="304">
        <f>'peasant income details'!AW116</f>
        <v>3549682.0573069332</v>
      </c>
      <c r="CV9" s="304">
        <f>'peasant income details'!AX116</f>
        <v>853621.76118650113</v>
      </c>
      <c r="CW9" s="304">
        <f>'peasant income details'!AY116</f>
        <v>4237848.9787160037</v>
      </c>
      <c r="CX9" s="304">
        <f>'peasant income details'!AZ116</f>
        <v>3948188.2956331223</v>
      </c>
      <c r="CY9" s="304">
        <f>'peasant income details'!BA116</f>
        <v>5578447.504282672</v>
      </c>
      <c r="CZ9" s="304">
        <f>'peasant income details'!BB116</f>
        <v>3587473.5484225014</v>
      </c>
      <c r="DA9" s="304">
        <f>'peasant income details'!BC116</f>
        <v>5871964.7915163115</v>
      </c>
      <c r="DB9" s="304">
        <f>'peasant income details'!BD116</f>
        <v>152096021.8189736</v>
      </c>
      <c r="DD9" s="335">
        <f>'peasant income details'!F114</f>
        <v>204.74469642603128</v>
      </c>
      <c r="DE9" s="335">
        <f>'peasant income details'!G114</f>
        <v>175.74147180049314</v>
      </c>
      <c r="DF9" s="335">
        <f>'peasant income details'!H114</f>
        <v>223.88700934236954</v>
      </c>
      <c r="DG9" s="335">
        <f>'peasant income details'!I114</f>
        <v>224.80243175842921</v>
      </c>
      <c r="DH9" s="335">
        <f>'peasant income details'!J114</f>
        <v>193.39321223977313</v>
      </c>
      <c r="DI9" s="335">
        <f>'peasant income details'!K114</f>
        <v>348.87127359979138</v>
      </c>
      <c r="DJ9" s="335">
        <f>'peasant income details'!L114</f>
        <v>186.03816448817574</v>
      </c>
      <c r="DK9" s="335">
        <f>'peasant income details'!M114</f>
        <v>149.17438481575647</v>
      </c>
      <c r="DL9" s="335">
        <f>'peasant income details'!N114</f>
        <v>243.65125640547211</v>
      </c>
      <c r="DM9" s="335">
        <f>'peasant income details'!O114</f>
        <v>220.69168352714033</v>
      </c>
      <c r="DN9" s="335">
        <f>'peasant income details'!P114</f>
        <v>197.20624341801289</v>
      </c>
      <c r="DO9" s="335">
        <f>'peasant income details'!Q114</f>
        <v>192.1435824104741</v>
      </c>
      <c r="DP9" s="335">
        <f>'peasant income details'!R114</f>
        <v>261.98343768551337</v>
      </c>
      <c r="DQ9" s="335">
        <f>'peasant income details'!S114</f>
        <v>215.41957765497418</v>
      </c>
      <c r="DR9" s="335">
        <f>'peasant income details'!T114</f>
        <v>224.09458062811089</v>
      </c>
      <c r="DS9" s="335">
        <f>'peasant income details'!U114</f>
        <v>278.43032877089172</v>
      </c>
      <c r="DT9" s="335">
        <f>'peasant income details'!V114</f>
        <v>219.22527442785957</v>
      </c>
      <c r="DU9" s="335">
        <f>'peasant income details'!W114</f>
        <v>196.08193117050604</v>
      </c>
      <c r="DV9" s="335">
        <f>'peasant income details'!X114</f>
        <v>256.9842390889076</v>
      </c>
      <c r="DW9" s="335">
        <f>'peasant income details'!Y114</f>
        <v>250.83862463513191</v>
      </c>
      <c r="DX9" s="335">
        <f>'peasant income details'!Z114</f>
        <v>167.01</v>
      </c>
      <c r="DY9" s="335">
        <f>'peasant income details'!AA114</f>
        <v>181.13089196082277</v>
      </c>
      <c r="DZ9" s="335">
        <f>'peasant income details'!AB114</f>
        <v>239.25839639275881</v>
      </c>
      <c r="EA9" s="335">
        <f>'peasant income details'!AC114</f>
        <v>155.35844066075521</v>
      </c>
      <c r="EB9" s="335">
        <f>'peasant income details'!AD114</f>
        <v>177.38707468449005</v>
      </c>
      <c r="EC9" s="335">
        <f>'peasant income details'!AE114</f>
        <v>222.15817476832612</v>
      </c>
      <c r="ED9" s="335">
        <f>'peasant income details'!AF114</f>
        <v>173.19081310542705</v>
      </c>
      <c r="EE9" s="335">
        <f>'peasant income details'!AG114</f>
        <v>166.86378959435828</v>
      </c>
      <c r="EF9" s="335">
        <f>'peasant income details'!AH114</f>
        <v>268.31556639318171</v>
      </c>
      <c r="EG9" s="335">
        <f>'peasant income details'!AI114</f>
        <v>201.25982144245668</v>
      </c>
      <c r="EH9" s="335">
        <f>'peasant income details'!AJ114</f>
        <v>259.51624586311459</v>
      </c>
      <c r="EI9" s="335">
        <f>'peasant income details'!AK114</f>
        <v>154.74798210676138</v>
      </c>
      <c r="EJ9" s="335">
        <f>'peasant income details'!AL114</f>
        <v>355.65043243922321</v>
      </c>
      <c r="EK9" s="335">
        <f>'peasant income details'!AM114</f>
        <v>363.47183498024566</v>
      </c>
      <c r="EL9" s="335">
        <f>'peasant income details'!AN114</f>
        <v>327.27353555634971</v>
      </c>
      <c r="EM9" s="335">
        <f>'peasant income details'!AO114</f>
        <v>215.37824020512983</v>
      </c>
      <c r="EN9" s="335">
        <f>'peasant income details'!AP114</f>
        <v>211.22537306834371</v>
      </c>
      <c r="EO9" s="335">
        <f>'peasant income details'!AQ114</f>
        <v>210.72641658142965</v>
      </c>
      <c r="EP9" s="335">
        <f>'peasant income details'!AR114</f>
        <v>228.85016451108831</v>
      </c>
      <c r="EQ9" s="335">
        <f>'peasant income details'!AS114</f>
        <v>174.75805431045714</v>
      </c>
      <c r="ER9" s="335">
        <f>'peasant income details'!AT114</f>
        <v>189.79872948124117</v>
      </c>
      <c r="ES9" s="335">
        <f>'peasant income details'!AU114</f>
        <v>184.47130621625257</v>
      </c>
      <c r="ET9" s="335">
        <f>'peasant income details'!AV114</f>
        <v>154.28219735292114</v>
      </c>
      <c r="EU9" s="335">
        <f>'peasant income details'!AW114</f>
        <v>148.92570557246108</v>
      </c>
      <c r="EV9" s="335">
        <f>'peasant income details'!AX114</f>
        <v>281.77737391400012</v>
      </c>
      <c r="EW9" s="335">
        <f>'peasant income details'!AY114</f>
        <v>300.49000658347745</v>
      </c>
      <c r="EX9" s="335">
        <f>'peasant income details'!AZ114</f>
        <v>363.56376205618932</v>
      </c>
      <c r="EY9" s="335">
        <f>'peasant income details'!BA114</f>
        <v>331.9167978665983</v>
      </c>
      <c r="EZ9" s="335">
        <f>'peasant income details'!BB114</f>
        <v>395.70788628861214</v>
      </c>
      <c r="FA9" s="335">
        <f>'peasant income details'!BC114</f>
        <v>339.52250240922632</v>
      </c>
      <c r="FB9" s="335">
        <f>'peasant income details'!BD114</f>
        <v>221.08620960314383</v>
      </c>
      <c r="FD9" s="23" t="s">
        <v>611</v>
      </c>
      <c r="FF9" s="371">
        <f>BB9</f>
        <v>687948.93219251616</v>
      </c>
      <c r="FG9" s="371">
        <f>DB9</f>
        <v>152096021.8189736</v>
      </c>
      <c r="FH9" s="371">
        <f>FB9</f>
        <v>221.08620960314383</v>
      </c>
    </row>
    <row r="10" spans="1:164">
      <c r="A10" s="17" t="s">
        <v>742</v>
      </c>
      <c r="B10" s="4">
        <v>2</v>
      </c>
      <c r="C10" s="17" t="s">
        <v>743</v>
      </c>
      <c r="D10" s="304">
        <f>'peasant income details'!F123</f>
        <v>16238.361374595686</v>
      </c>
      <c r="E10" s="304">
        <f>'peasant income details'!G123</f>
        <v>64248.549705659811</v>
      </c>
      <c r="F10" s="304">
        <f>'peasant income details'!H123</f>
        <v>63914.186160465055</v>
      </c>
      <c r="G10" s="304">
        <f>'peasant income details'!I123</f>
        <v>16733.539028506439</v>
      </c>
      <c r="H10" s="304">
        <f>'peasant income details'!J123</f>
        <v>46059.568907209577</v>
      </c>
      <c r="I10" s="304">
        <f>'peasant income details'!K123</f>
        <v>61683.061953117431</v>
      </c>
      <c r="J10" s="304">
        <f>'peasant income details'!L123</f>
        <v>137136.48175262928</v>
      </c>
      <c r="K10" s="304">
        <f>'peasant income details'!M123</f>
        <v>102796.18245941866</v>
      </c>
      <c r="L10" s="304">
        <f>'peasant income details'!N123</f>
        <v>30905.098651272339</v>
      </c>
      <c r="M10" s="304">
        <f>'peasant income details'!O123</f>
        <v>152272.8046357366</v>
      </c>
      <c r="N10" s="304">
        <f>'peasant income details'!P123</f>
        <v>120789.07240505562</v>
      </c>
      <c r="O10" s="304">
        <f>'peasant income details'!Q123</f>
        <v>105226.75101657734</v>
      </c>
      <c r="P10" s="304">
        <f>'peasant income details'!R123</f>
        <v>72715.136756483305</v>
      </c>
      <c r="Q10" s="304">
        <f>'peasant income details'!S123</f>
        <v>48395.546647466857</v>
      </c>
      <c r="R10" s="304">
        <f>'peasant income details'!T123</f>
        <v>68496.686514368484</v>
      </c>
      <c r="S10" s="304">
        <f>'peasant income details'!U123</f>
        <v>78123.030108238992</v>
      </c>
      <c r="T10" s="304">
        <f>'peasant income details'!V123</f>
        <v>78498.67137568719</v>
      </c>
      <c r="U10" s="304">
        <f>'peasant income details'!W123</f>
        <v>61986.625270339842</v>
      </c>
      <c r="V10" s="304">
        <f>'peasant income details'!X123</f>
        <v>85475.508659738582</v>
      </c>
      <c r="W10" s="304">
        <f>'peasant income details'!Y123</f>
        <v>53260.168726397802</v>
      </c>
      <c r="X10" s="304">
        <f>'peasant income details'!Z123</f>
        <v>109659.72327110151</v>
      </c>
      <c r="Y10" s="304">
        <f>'peasant income details'!AA123</f>
        <v>95520.346412903047</v>
      </c>
      <c r="Z10" s="304">
        <f>'peasant income details'!AB123</f>
        <v>82660.711298123046</v>
      </c>
      <c r="AA10" s="304">
        <f>'peasant income details'!AC123</f>
        <v>64844.273906876464</v>
      </c>
      <c r="AB10" s="304">
        <f>'peasant income details'!AD123</f>
        <v>74152.969294546201</v>
      </c>
      <c r="AC10" s="304">
        <f>'peasant income details'!AE123</f>
        <v>102869.24091037724</v>
      </c>
      <c r="AD10" s="304">
        <f>'peasant income details'!AF123</f>
        <v>70531.072364142121</v>
      </c>
      <c r="AE10" s="304">
        <f>'peasant income details'!AG123</f>
        <v>112084.14773155648</v>
      </c>
      <c r="AF10" s="304">
        <f>'peasant income details'!AH123</f>
        <v>58429.28871341682</v>
      </c>
      <c r="AG10" s="304">
        <f>'peasant income details'!AI123</f>
        <v>121840.02540150889</v>
      </c>
      <c r="AH10" s="304">
        <f>'peasant income details'!AJ123</f>
        <v>102989.10317890994</v>
      </c>
      <c r="AI10" s="304">
        <f>'peasant income details'!AK123</f>
        <v>97559.83187964141</v>
      </c>
      <c r="AJ10" s="304">
        <f>'peasant income details'!AL123</f>
        <v>27165.670710141472</v>
      </c>
      <c r="AK10" s="304">
        <f>'peasant income details'!AM123</f>
        <v>56040.285897257789</v>
      </c>
      <c r="AL10" s="304">
        <f>'peasant income details'!AN123</f>
        <v>20198.981251415527</v>
      </c>
      <c r="AM10" s="304">
        <f>'peasant income details'!AO123</f>
        <v>54751.148566109965</v>
      </c>
      <c r="AN10" s="304">
        <f>'peasant income details'!AP123</f>
        <v>52978.997926205418</v>
      </c>
      <c r="AO10" s="304">
        <f>'peasant income details'!AQ123</f>
        <v>52690.070463208715</v>
      </c>
      <c r="AP10" s="304">
        <f>'peasant income details'!AR123</f>
        <v>54820.880956600151</v>
      </c>
      <c r="AQ10" s="304">
        <f>'peasant income details'!AS123</f>
        <v>71154.091674664407</v>
      </c>
      <c r="AR10" s="304">
        <f>'peasant income details'!AT123</f>
        <v>49001.8185960868</v>
      </c>
      <c r="AS10" s="304">
        <f>'peasant income details'!AU123</f>
        <v>110974.68650337216</v>
      </c>
      <c r="AT10" s="304">
        <f>'peasant income details'!AV123</f>
        <v>142265.54502579643</v>
      </c>
      <c r="AU10" s="304">
        <f>'peasant income details'!AW123</f>
        <v>130647.35504381912</v>
      </c>
      <c r="AV10" s="304">
        <f>'peasant income details'!AX123</f>
        <v>16605.050223782833</v>
      </c>
      <c r="AW10" s="304">
        <f>'peasant income details'!AY123</f>
        <v>77302.987038577019</v>
      </c>
      <c r="AX10" s="304">
        <f>'peasant income details'!AZ123</f>
        <v>59524.821380810165</v>
      </c>
      <c r="AY10" s="304">
        <f>'peasant income details'!BA123</f>
        <v>92122.337971160552</v>
      </c>
      <c r="AZ10" s="304">
        <f>'peasant income details'!BB123</f>
        <v>49692.95636011695</v>
      </c>
      <c r="BA10" s="304">
        <f>'peasant income details'!BC123</f>
        <v>94797.244250936856</v>
      </c>
      <c r="BB10" s="304">
        <f>'peasant income details'!BD123</f>
        <v>3770830.6963121309</v>
      </c>
      <c r="BD10" s="304">
        <f>'peasant income details'!F129</f>
        <v>5130047.7430879381</v>
      </c>
      <c r="BE10" s="304">
        <f>'peasant income details'!G129</f>
        <v>20274566.306596886</v>
      </c>
      <c r="BF10" s="304">
        <f>'peasant income details'!H129</f>
        <v>20347892.771290459</v>
      </c>
      <c r="BG10" s="304">
        <f>'peasant income details'!I129</f>
        <v>10671574.458893264</v>
      </c>
      <c r="BH10" s="304">
        <f>'peasant income details'!J129</f>
        <v>14497016.918719707</v>
      </c>
      <c r="BI10" s="304">
        <f>'peasant income details'!K129</f>
        <v>18980183.878488775</v>
      </c>
      <c r="BJ10" s="304">
        <f>'peasant income details'!L129</f>
        <v>38557111.776845649</v>
      </c>
      <c r="BK10" s="304">
        <f>'peasant income details'!M129</f>
        <v>29213265.677550454</v>
      </c>
      <c r="BL10" s="304">
        <f>'peasant income details'!N129</f>
        <v>9530617.1375102587</v>
      </c>
      <c r="BM10" s="304">
        <f>'peasant income details'!O129</f>
        <v>42619594.100675359</v>
      </c>
      <c r="BN10" s="304">
        <f>'peasant income details'!P129</f>
        <v>35046783.311301962</v>
      </c>
      <c r="BO10" s="304">
        <f>'peasant income details'!Q129</f>
        <v>29635083.324901648</v>
      </c>
      <c r="BP10" s="304">
        <f>'peasant income details'!R129</f>
        <v>24506835.395943902</v>
      </c>
      <c r="BQ10" s="304">
        <f>'peasant income details'!S129</f>
        <v>16472653.924311485</v>
      </c>
      <c r="BR10" s="304">
        <f>'peasant income details'!T129</f>
        <v>23088102.474871162</v>
      </c>
      <c r="BS10" s="304">
        <f>'peasant income details'!U129</f>
        <v>26456702.550286319</v>
      </c>
      <c r="BT10" s="304">
        <f>'peasant income details'!V129</f>
        <v>26436637.798711177</v>
      </c>
      <c r="BU10" s="304">
        <f>'peasant income details'!W129</f>
        <v>21034873.491423983</v>
      </c>
      <c r="BV10" s="304">
        <f>'peasant income details'!X129</f>
        <v>28779833.66657795</v>
      </c>
      <c r="BW10" s="304">
        <f>'peasant income details'!Y129</f>
        <v>17998823.391725212</v>
      </c>
      <c r="BX10" s="304">
        <f>'peasant income details'!Z129</f>
        <v>35220975.01401718</v>
      </c>
      <c r="BY10" s="304">
        <f>'peasant income details'!AA129</f>
        <v>30708120.095162913</v>
      </c>
      <c r="BZ10" s="304">
        <f>'peasant income details'!AB129</f>
        <v>28000145.447276395</v>
      </c>
      <c r="CA10" s="304">
        <f>'peasant income details'!AC129</f>
        <v>20696570.444644894</v>
      </c>
      <c r="CB10" s="304">
        <f>'peasant income details'!AD129</f>
        <v>25033648.594988048</v>
      </c>
      <c r="CC10" s="304">
        <f>'peasant income details'!AE129</f>
        <v>32929803.734493513</v>
      </c>
      <c r="CD10" s="304">
        <f>'peasant income details'!AF129</f>
        <v>22310912.593610141</v>
      </c>
      <c r="CE10" s="304">
        <f>'peasant income details'!AG129</f>
        <v>35740357.501295507</v>
      </c>
      <c r="CF10" s="304">
        <f>'peasant income details'!AH129</f>
        <v>16872674.443858638</v>
      </c>
      <c r="CG10" s="304">
        <f>'peasant income details'!AI129</f>
        <v>35276140.889831327</v>
      </c>
      <c r="CH10" s="304">
        <f>'peasant income details'!AJ129</f>
        <v>29681012.475990988</v>
      </c>
      <c r="CI10" s="304">
        <f>'peasant income details'!AK129</f>
        <v>28542268.292430475</v>
      </c>
      <c r="CJ10" s="304">
        <f>'peasant income details'!AL129</f>
        <v>9762476.7079330198</v>
      </c>
      <c r="CK10" s="304">
        <f>'peasant income details'!AM129</f>
        <v>18767712.551462591</v>
      </c>
      <c r="CL10" s="304">
        <f>'peasant income details'!AN129</f>
        <v>6859881.5682077622</v>
      </c>
      <c r="CM10" s="304">
        <f>'peasant income details'!AO129</f>
        <v>18231262.497500159</v>
      </c>
      <c r="CN10" s="304">
        <f>'peasant income details'!AP129</f>
        <v>17777551.775318448</v>
      </c>
      <c r="CO10" s="304">
        <f>'peasant income details'!AQ129</f>
        <v>17686874.663449731</v>
      </c>
      <c r="CP10" s="304">
        <f>'peasant income details'!AR129</f>
        <v>18392121.327042621</v>
      </c>
      <c r="CQ10" s="304">
        <f>'peasant income details'!AS129</f>
        <v>23888511.390052367</v>
      </c>
      <c r="CR10" s="304">
        <f>'peasant income details'!AT129</f>
        <v>16544490.14734713</v>
      </c>
      <c r="CS10" s="304">
        <f>'peasant income details'!AU129</f>
        <v>36977200.964536615</v>
      </c>
      <c r="CT10" s="304">
        <f>'peasant income details'!AV129</f>
        <v>44708169.550544381</v>
      </c>
      <c r="CU10" s="304">
        <f>'peasant income details'!AW129</f>
        <v>41604469.537634484</v>
      </c>
      <c r="CV10" s="304">
        <f>'peasant income details'!AX129</f>
        <v>5797919.6249828329</v>
      </c>
      <c r="CW10" s="304">
        <f>'peasant income details'!AY129</f>
        <v>24794739.149623588</v>
      </c>
      <c r="CX10" s="304">
        <f>'peasant income details'!AZ129</f>
        <v>20267500.992610998</v>
      </c>
      <c r="CY10" s="304">
        <f>'peasant income details'!BA129</f>
        <v>30252014.803819984</v>
      </c>
      <c r="CZ10" s="304">
        <f>'peasant income details'!BB129</f>
        <v>16061043.713474682</v>
      </c>
      <c r="DA10" s="304">
        <f>'peasant income details'!BC129</f>
        <v>30383809.187530767</v>
      </c>
      <c r="DB10" s="304">
        <f>'peasant income details'!BD129</f>
        <v>1199048579.7803857</v>
      </c>
      <c r="DD10" s="335">
        <f>'peasant income details'!F128</f>
        <v>315.92151601661652</v>
      </c>
      <c r="DE10" s="335">
        <f>'peasant income details'!G128</f>
        <v>315.56457537921438</v>
      </c>
      <c r="DF10" s="335">
        <f>'peasant income details'!H128</f>
        <v>318.36269838755936</v>
      </c>
      <c r="DG10" s="335">
        <f>'peasant income details'!I128</f>
        <v>637.73565416817632</v>
      </c>
      <c r="DH10" s="335">
        <f>'peasant income details'!J128</f>
        <v>314.74495447243601</v>
      </c>
      <c r="DI10" s="335">
        <f>'peasant income details'!K128</f>
        <v>307.7049562311737</v>
      </c>
      <c r="DJ10" s="335">
        <f>'peasant income details'!L128</f>
        <v>281.1586769915541</v>
      </c>
      <c r="DK10" s="335">
        <f>'peasant income details'!M128</f>
        <v>284.1862895938097</v>
      </c>
      <c r="DL10" s="335">
        <f>'peasant income details'!N128</f>
        <v>308.38332681128298</v>
      </c>
      <c r="DM10" s="335">
        <f>'peasant income details'!O128</f>
        <v>279.88972950638788</v>
      </c>
      <c r="DN10" s="335">
        <f>'peasant income details'!P128</f>
        <v>290.148625314181</v>
      </c>
      <c r="DO10" s="335">
        <f>'peasant income details'!Q128</f>
        <v>281.63069788435223</v>
      </c>
      <c r="DP10" s="335">
        <f>'peasant income details'!R128</f>
        <v>337.02522595831965</v>
      </c>
      <c r="DQ10" s="335">
        <f>'peasant income details'!S128</f>
        <v>340.37540776851012</v>
      </c>
      <c r="DR10" s="335">
        <f>'peasant income details'!T128</f>
        <v>337.06889558851861</v>
      </c>
      <c r="DS10" s="335">
        <f>'peasant income details'!U128</f>
        <v>338.65433168210086</v>
      </c>
      <c r="DT10" s="335">
        <f>'peasant income details'!V128</f>
        <v>336.77815605550745</v>
      </c>
      <c r="DU10" s="335">
        <f>'peasant income details'!W128</f>
        <v>339.34535715866792</v>
      </c>
      <c r="DV10" s="335">
        <f>'peasant income details'!X128</f>
        <v>336.7026896692114</v>
      </c>
      <c r="DW10" s="335">
        <f>'peasant income details'!Y128</f>
        <v>337.94153909250196</v>
      </c>
      <c r="DX10" s="335">
        <f>'peasant income details'!Z128</f>
        <v>321.18424124547209</v>
      </c>
      <c r="DY10" s="335">
        <f>'peasant income details'!AA128</f>
        <v>321.48250344928408</v>
      </c>
      <c r="DZ10" s="335">
        <f>'peasant income details'!AB128</f>
        <v>338.73583964565023</v>
      </c>
      <c r="EA10" s="335">
        <f>'peasant income details'!AC128</f>
        <v>319.17344736356296</v>
      </c>
      <c r="EB10" s="335">
        <f>'peasant income details'!AD128</f>
        <v>337.59468883236241</v>
      </c>
      <c r="EC10" s="335">
        <f>'peasant income details'!AE128</f>
        <v>320.1132179363795</v>
      </c>
      <c r="ED10" s="335">
        <f>'peasant income details'!AF128</f>
        <v>316.32742627847767</v>
      </c>
      <c r="EE10" s="335">
        <f>'peasant income details'!AG128</f>
        <v>318.870761161465</v>
      </c>
      <c r="EF10" s="335">
        <f>'peasant income details'!AH128</f>
        <v>288.77083420637723</v>
      </c>
      <c r="EG10" s="335">
        <f>'peasant income details'!AI128</f>
        <v>289.52834484056552</v>
      </c>
      <c r="EH10" s="335">
        <f>'peasant income details'!AJ128</f>
        <v>288.19565915075424</v>
      </c>
      <c r="EI10" s="335">
        <f>'peasant income details'!AK128</f>
        <v>292.56167976634879</v>
      </c>
      <c r="EJ10" s="335">
        <f>'peasant income details'!AL128</f>
        <v>359.36814563126165</v>
      </c>
      <c r="EK10" s="335">
        <f>'peasant income details'!AM128</f>
        <v>334.89680238017752</v>
      </c>
      <c r="EL10" s="335">
        <f>'peasant income details'!AN128</f>
        <v>339.61522528404879</v>
      </c>
      <c r="EM10" s="335">
        <f>'peasant income details'!AO128</f>
        <v>332.98411037873643</v>
      </c>
      <c r="EN10" s="335">
        <f>'peasant income details'!AP128</f>
        <v>335.55847545627125</v>
      </c>
      <c r="EO10" s="335">
        <f>'peasant income details'!AQ128</f>
        <v>335.67756710061224</v>
      </c>
      <c r="EP10" s="335">
        <f>'peasant income details'!AR128</f>
        <v>335.49481522566271</v>
      </c>
      <c r="EQ10" s="335">
        <f>'peasant income details'!AS128</f>
        <v>335.72927189172827</v>
      </c>
      <c r="ER10" s="335">
        <f>'peasant income details'!AT128</f>
        <v>337.63012519434011</v>
      </c>
      <c r="ES10" s="335">
        <f>'peasant income details'!AU128</f>
        <v>333.2039236120122</v>
      </c>
      <c r="ET10" s="335">
        <f>'peasant income details'!AV128</f>
        <v>314.25858975507833</v>
      </c>
      <c r="EU10" s="335">
        <f>'peasant income details'!AW128</f>
        <v>318.44861707058936</v>
      </c>
      <c r="EV10" s="335">
        <f>'peasant income details'!AX128</f>
        <v>349.16603965934866</v>
      </c>
      <c r="EW10" s="335">
        <f>'peasant income details'!AY128</f>
        <v>320.74749113187704</v>
      </c>
      <c r="EX10" s="335">
        <f>'peasant income details'!AZ128</f>
        <v>340.48822864918185</v>
      </c>
      <c r="EY10" s="335">
        <f>'peasant income details'!BA128</f>
        <v>328.38956837255432</v>
      </c>
      <c r="EZ10" s="335">
        <f>'peasant income details'!BB128</f>
        <v>323.20563898599335</v>
      </c>
      <c r="FA10" s="335">
        <f>'peasant income details'!BC128</f>
        <v>320.51363336155725</v>
      </c>
      <c r="FB10" s="335">
        <f>'peasant income details'!BD128</f>
        <v>317.9982309933655</v>
      </c>
      <c r="FD10" s="17" t="s">
        <v>743</v>
      </c>
      <c r="FF10" s="371">
        <f t="shared" ref="FF10:FF22" si="0">BB10</f>
        <v>3770830.6963121309</v>
      </c>
      <c r="FG10" s="371">
        <f t="shared" ref="FG10:FG22" si="1">DB10</f>
        <v>1199048579.7803857</v>
      </c>
      <c r="FH10" s="371">
        <f t="shared" ref="FH10:FH22" si="2">FB10</f>
        <v>317.9982309933655</v>
      </c>
    </row>
    <row r="11" spans="1:164">
      <c r="A11" s="17" t="s">
        <v>744</v>
      </c>
      <c r="B11" s="4">
        <v>3</v>
      </c>
      <c r="C11" s="17" t="s">
        <v>745</v>
      </c>
      <c r="D11" s="304">
        <f>'peasant income details'!F131</f>
        <v>30479.410365049273</v>
      </c>
      <c r="E11" s="304">
        <f>'peasant income details'!G131</f>
        <v>121286.9551676423</v>
      </c>
      <c r="F11" s="304">
        <f>'peasant income details'!H131</f>
        <v>120655.75124939793</v>
      </c>
      <c r="G11" s="304">
        <f>'peasant income details'!I131</f>
        <v>31589.195510940292</v>
      </c>
      <c r="H11" s="304">
        <f>'peasant income details'!J131</f>
        <v>86950.209688508156</v>
      </c>
      <c r="I11" s="304">
        <f>'peasant income details'!K131</f>
        <v>116443.88556605202</v>
      </c>
      <c r="J11" s="304">
        <f>'peasant income details'!L131</f>
        <v>258883.14040362087</v>
      </c>
      <c r="K11" s="304">
        <f>'peasant income details'!M131</f>
        <v>194056.30213411598</v>
      </c>
      <c r="L11" s="304">
        <f>'peasant income details'!N131</f>
        <v>58341.944397823914</v>
      </c>
      <c r="M11" s="304">
        <f>'peasant income details'!O131</f>
        <v>287457.14749540546</v>
      </c>
      <c r="N11" s="304">
        <f>'peasant income details'!P131</f>
        <v>228022.87174806866</v>
      </c>
      <c r="O11" s="304">
        <f>'peasant income details'!Q131</f>
        <v>198644.67433822845</v>
      </c>
      <c r="P11" s="304">
        <f>'peasant income details'!R131</f>
        <v>137269.9862050839</v>
      </c>
      <c r="Q11" s="304">
        <f>'peasant income details'!S131</f>
        <v>91360.015493513536</v>
      </c>
      <c r="R11" s="304">
        <f>'peasant income details'!T131</f>
        <v>129306.49149996936</v>
      </c>
      <c r="S11" s="304">
        <f>'peasant income details'!U131</f>
        <v>147478.88463953373</v>
      </c>
      <c r="T11" s="304">
        <f>'peasant income details'!V131</f>
        <v>148188.01170579172</v>
      </c>
      <c r="U11" s="304">
        <f>'peasant income details'!W131</f>
        <v>117016.94551238808</v>
      </c>
      <c r="V11" s="304">
        <f>'peasant income details'!X131</f>
        <v>161358.72691663069</v>
      </c>
      <c r="W11" s="304">
        <f>'peasant income details'!Y131</f>
        <v>100543.33873890727</v>
      </c>
      <c r="X11" s="304">
        <f>'peasant income details'!Z131</f>
        <v>207013.13883364585</v>
      </c>
      <c r="Y11" s="304">
        <f>'peasant income details'!AA131</f>
        <v>180321.14383990291</v>
      </c>
      <c r="Z11" s="304">
        <f>'peasant income details'!AB131</f>
        <v>156045.0162886352</v>
      </c>
      <c r="AA11" s="304">
        <f>'peasant income details'!AC131</f>
        <v>122411.54980543969</v>
      </c>
      <c r="AB11" s="304">
        <f>'peasant income details'!AD131</f>
        <v>139984.29386465819</v>
      </c>
      <c r="AC11" s="304">
        <f>'peasant income details'!AE131</f>
        <v>194194.22022108643</v>
      </c>
      <c r="AD11" s="304">
        <f>'peasant income details'!AF131</f>
        <v>133146.95897333001</v>
      </c>
      <c r="AE11" s="304">
        <f>'peasant income details'!AG131</f>
        <v>211589.91235133095</v>
      </c>
      <c r="AF11" s="304">
        <f>'peasant income details'!AH131</f>
        <v>110301.48623007949</v>
      </c>
      <c r="AG11" s="304">
        <f>'peasant income details'!AI131</f>
        <v>230006.83698227373</v>
      </c>
      <c r="AH11" s="304">
        <f>'peasant income details'!AJ131</f>
        <v>194420.49349350142</v>
      </c>
      <c r="AI11" s="304">
        <f>'peasant income details'!AK131</f>
        <v>184171.23825452535</v>
      </c>
      <c r="AJ11" s="304">
        <f>'peasant income details'!AL131</f>
        <v>50795.737129700719</v>
      </c>
      <c r="AK11" s="304">
        <f>'peasant income details'!AM131</f>
        <v>105791.58088923838</v>
      </c>
      <c r="AL11" s="304">
        <f>'peasant income details'!AN131</f>
        <v>38131.178753388536</v>
      </c>
      <c r="AM11" s="304">
        <f>'peasant income details'!AO131</f>
        <v>103357.97666931174</v>
      </c>
      <c r="AN11" s="304">
        <f>'peasant income details'!AP131</f>
        <v>100012.55087842455</v>
      </c>
      <c r="AO11" s="304">
        <f>'peasant income details'!AQ131</f>
        <v>99467.120165797984</v>
      </c>
      <c r="AP11" s="304">
        <f>'peasant income details'!AR131</f>
        <v>103489.61589475516</v>
      </c>
      <c r="AQ11" s="304">
        <f>'peasant income details'!AS131</f>
        <v>134323.08069950237</v>
      </c>
      <c r="AR11" s="304">
        <f>'peasant income details'!AT131</f>
        <v>92504.521929667186</v>
      </c>
      <c r="AS11" s="304">
        <f>'peasant income details'!AU131</f>
        <v>209495.49660405723</v>
      </c>
      <c r="AT11" s="304">
        <f>'peasant income details'!AV131</f>
        <v>268565.66973875114</v>
      </c>
      <c r="AU11" s="304">
        <f>'peasant income details'!AW131</f>
        <v>246633.11415689182</v>
      </c>
      <c r="AV11" s="304">
        <f>'peasant income details'!AX131</f>
        <v>31346.637259128373</v>
      </c>
      <c r="AW11" s="304">
        <f>'peasant income details'!AY131</f>
        <v>145930.82592877245</v>
      </c>
      <c r="AX11" s="304">
        <f>'peasant income details'!AZ131</f>
        <v>112369.60795615044</v>
      </c>
      <c r="AY11" s="304">
        <f>'peasant income details'!BA131</f>
        <v>173906.46056034265</v>
      </c>
      <c r="AZ11" s="304">
        <f>'peasant income details'!BB131</f>
        <v>93809.236127647062</v>
      </c>
      <c r="BA11" s="304">
        <f>'peasant income details'!BC131</f>
        <v>178956.0879763572</v>
      </c>
      <c r="BB11" s="304">
        <f>'peasant income details'!BD131</f>
        <v>7117826.6772329621</v>
      </c>
      <c r="BD11" s="304">
        <f>'peasant income details'!F137</f>
        <v>12219268.060171008</v>
      </c>
      <c r="BE11" s="304">
        <f>'peasant income details'!G137</f>
        <v>48606191.365925744</v>
      </c>
      <c r="BF11" s="304">
        <f>'peasant income details'!H137</f>
        <v>48493895.457206652</v>
      </c>
      <c r="BG11" s="304">
        <f>'peasant income details'!I137</f>
        <v>27647001.809979133</v>
      </c>
      <c r="BH11" s="304">
        <f>'peasant income details'!J137</f>
        <v>34815922.604713887</v>
      </c>
      <c r="BI11" s="304">
        <f>'peasant income details'!K137</f>
        <v>46284003.476293966</v>
      </c>
      <c r="BJ11" s="304">
        <f>'peasant income details'!L137</f>
        <v>93503734.574738622</v>
      </c>
      <c r="BK11" s="304">
        <f>'peasant income details'!M137</f>
        <v>70334283.361430392</v>
      </c>
      <c r="BL11" s="304">
        <f>'peasant income details'!N137</f>
        <v>21733780.154248979</v>
      </c>
      <c r="BM11" s="304">
        <f>'peasant income details'!O137</f>
        <v>103672153.36821739</v>
      </c>
      <c r="BN11" s="304">
        <f>'peasant income details'!P137</f>
        <v>83211658.613407537</v>
      </c>
      <c r="BO11" s="304">
        <f>'peasant income details'!Q137</f>
        <v>71785796.42419605</v>
      </c>
      <c r="BP11" s="304">
        <f>'peasant income details'!R137</f>
        <v>59540221.889213182</v>
      </c>
      <c r="BQ11" s="304">
        <f>'peasant income details'!S137</f>
        <v>39754506.181548446</v>
      </c>
      <c r="BR11" s="304">
        <f>'peasant income details'!T137</f>
        <v>56088445.541495651</v>
      </c>
      <c r="BS11" s="304">
        <f>'peasant income details'!U137</f>
        <v>64068385.55289904</v>
      </c>
      <c r="BT11" s="304">
        <f>'peasant income details'!V137</f>
        <v>64260610.650958166</v>
      </c>
      <c r="BU11" s="304">
        <f>'peasant income details'!W137</f>
        <v>50868674.415066175</v>
      </c>
      <c r="BV11" s="304">
        <f>'peasant income details'!X137</f>
        <v>69966918.221801206</v>
      </c>
      <c r="BW11" s="304">
        <f>'peasant income details'!Y137</f>
        <v>43648592.964618713</v>
      </c>
      <c r="BX11" s="304">
        <f>'peasant income details'!Z137</f>
        <v>84603864.595581874</v>
      </c>
      <c r="BY11" s="304">
        <f>'peasant income details'!AA137</f>
        <v>73717564.463687286</v>
      </c>
      <c r="BZ11" s="304">
        <f>'peasant income details'!AB137</f>
        <v>67795019.002966374</v>
      </c>
      <c r="CA11" s="304">
        <f>'peasant income details'!AC137</f>
        <v>49925624.750866048</v>
      </c>
      <c r="CB11" s="304">
        <f>'peasant income details'!AD137</f>
        <v>60750753.030906782</v>
      </c>
      <c r="CC11" s="304">
        <f>'peasant income details'!AE137</f>
        <v>79278266.176655993</v>
      </c>
      <c r="CD11" s="304">
        <f>'peasant income details'!AF137</f>
        <v>54146187.059615962</v>
      </c>
      <c r="CE11" s="304">
        <f>'peasant income details'!AG137</f>
        <v>86270390.148210585</v>
      </c>
      <c r="CF11" s="304">
        <f>'peasant income details'!AH137</f>
        <v>40748252.434778467</v>
      </c>
      <c r="CG11" s="304">
        <f>'peasant income details'!AI137</f>
        <v>85043130.376405612</v>
      </c>
      <c r="CH11" s="304">
        <f>'peasant income details'!AJ137</f>
        <v>71777421.688109607</v>
      </c>
      <c r="CI11" s="304">
        <f>'peasant income details'!AK137</f>
        <v>68328552.600288972</v>
      </c>
      <c r="CJ11" s="304">
        <f>'peasant income details'!AL137</f>
        <v>22505270.29812254</v>
      </c>
      <c r="CK11" s="304">
        <f>'peasant income details'!AM137</f>
        <v>45792794.782970369</v>
      </c>
      <c r="CL11" s="304">
        <f>'peasant income details'!AN137</f>
        <v>16580369.659540359</v>
      </c>
      <c r="CM11" s="304">
        <f>'peasant income details'!AO137</f>
        <v>44657022.080181256</v>
      </c>
      <c r="CN11" s="304">
        <f>'peasant income details'!AP137</f>
        <v>43318863.334766477</v>
      </c>
      <c r="CO11" s="304">
        <f>'peasant income details'!AQ137</f>
        <v>43087553.983516172</v>
      </c>
      <c r="CP11" s="304">
        <f>'peasant income details'!AR137</f>
        <v>44822154.466135308</v>
      </c>
      <c r="CQ11" s="304">
        <f>'peasant income details'!AS137</f>
        <v>58189488.156915538</v>
      </c>
      <c r="CR11" s="304">
        <f>'peasant income details'!AT137</f>
        <v>40146722.141356356</v>
      </c>
      <c r="CS11" s="304">
        <f>'peasant income details'!AU137</f>
        <v>90534164.50260891</v>
      </c>
      <c r="CT11" s="304">
        <f>'peasant income details'!AV137</f>
        <v>108984723.32758668</v>
      </c>
      <c r="CU11" s="304">
        <f>'peasant income details'!AW137</f>
        <v>100514983.64612202</v>
      </c>
      <c r="CV11" s="304">
        <f>'peasant income details'!AX137</f>
        <v>13176455.289509337</v>
      </c>
      <c r="CW11" s="304">
        <f>'peasant income details'!AY137</f>
        <v>59613678.395186178</v>
      </c>
      <c r="CX11" s="304">
        <f>'peasant income details'!AZ137</f>
        <v>46827918.988987222</v>
      </c>
      <c r="CY11" s="304">
        <f>'peasant income details'!BA137</f>
        <v>71595620.688847154</v>
      </c>
      <c r="CZ11" s="304">
        <f>'peasant income details'!BB137</f>
        <v>38417750.366681114</v>
      </c>
      <c r="DA11" s="304">
        <f>'peasant income details'!BC137</f>
        <v>73087273.306943536</v>
      </c>
      <c r="DB11" s="304">
        <f>'peasant income details'!BD137</f>
        <v>2894741878.4321795</v>
      </c>
      <c r="DD11" s="304">
        <f>'peasant income details'!F136</f>
        <v>400.90237684462682</v>
      </c>
      <c r="DE11" s="304">
        <f>'peasant income details'!G136</f>
        <v>400.75366142007999</v>
      </c>
      <c r="DF11" s="304">
        <f>'peasant income details'!H136</f>
        <v>401.91946886119644</v>
      </c>
      <c r="DG11" s="304">
        <f>'peasant income details'!I136</f>
        <v>875.20436537879357</v>
      </c>
      <c r="DH11" s="304">
        <f>'peasant income details'!J136</f>
        <v>400.41217530629331</v>
      </c>
      <c r="DI11" s="304">
        <f>'peasant income details'!K136</f>
        <v>397.47903680214853</v>
      </c>
      <c r="DJ11" s="304">
        <f>'peasant income details'!L136</f>
        <v>361.18124350994174</v>
      </c>
      <c r="DK11" s="304">
        <f>'peasant income details'!M136</f>
        <v>362.44266528804121</v>
      </c>
      <c r="DL11" s="304">
        <f>'peasant income details'!N136</f>
        <v>372.52409700386369</v>
      </c>
      <c r="DM11" s="304">
        <f>'peasant income details'!O136</f>
        <v>360.65255037665895</v>
      </c>
      <c r="DN11" s="304">
        <f>'peasant income details'!P136</f>
        <v>364.92680745352612</v>
      </c>
      <c r="DO11" s="304">
        <f>'peasant income details'!Q136</f>
        <v>361.37790586808165</v>
      </c>
      <c r="DP11" s="304">
        <f>'peasant income details'!R136</f>
        <v>433.745376795325</v>
      </c>
      <c r="DQ11" s="304">
        <f>'peasant income details'!S136</f>
        <v>435.1411935166646</v>
      </c>
      <c r="DR11" s="304">
        <f>'peasant income details'!T136</f>
        <v>433.76357127058037</v>
      </c>
      <c r="DS11" s="304">
        <f>'peasant income details'!U136</f>
        <v>434.42412593161578</v>
      </c>
      <c r="DT11" s="304">
        <f>'peasant income details'!V136</f>
        <v>433.64243781433117</v>
      </c>
      <c r="DU11" s="304">
        <f>'peasant income details'!W136</f>
        <v>434.71203416159011</v>
      </c>
      <c r="DV11" s="304">
        <f>'peasant income details'!X136</f>
        <v>433.61099556735502</v>
      </c>
      <c r="DW11" s="304">
        <f>'peasant income details'!Y136</f>
        <v>434.12714867134213</v>
      </c>
      <c r="DX11" s="304">
        <f>'peasant income details'!Z136</f>
        <v>408.6883811928908</v>
      </c>
      <c r="DY11" s="304">
        <f>'peasant income details'!AA136</f>
        <v>408.81264888790304</v>
      </c>
      <c r="DZ11" s="304">
        <f>'peasant income details'!AB136</f>
        <v>434.45808533587814</v>
      </c>
      <c r="EA11" s="304">
        <f>'peasant income details'!AC136</f>
        <v>407.85060584738602</v>
      </c>
      <c r="EB11" s="304">
        <f>'peasant income details'!AD136</f>
        <v>433.98263729245781</v>
      </c>
      <c r="EC11" s="304">
        <f>'peasant income details'!AE136</f>
        <v>408.24215100943371</v>
      </c>
      <c r="ED11" s="304">
        <f>'peasant income details'!AF136</f>
        <v>406.66484219486915</v>
      </c>
      <c r="EE11" s="304">
        <f>'peasant income details'!AG136</f>
        <v>407.7244949417265</v>
      </c>
      <c r="EF11" s="304">
        <f>'peasant income details'!AH136</f>
        <v>369.42614127411747</v>
      </c>
      <c r="EG11" s="304">
        <f>'peasant income details'!AI136</f>
        <v>369.74174982007059</v>
      </c>
      <c r="EH11" s="304">
        <f>'peasant income details'!AJ136</f>
        <v>369.18650085881404</v>
      </c>
      <c r="EI11" s="304">
        <f>'peasant income details'!AK136</f>
        <v>371.0055557418724</v>
      </c>
      <c r="EJ11" s="304">
        <f>'peasant income details'!AL136</f>
        <v>443.05431065323603</v>
      </c>
      <c r="EK11" s="304">
        <f>'peasant income details'!AM136</f>
        <v>432.85859231950121</v>
      </c>
      <c r="EL11" s="304">
        <f>'peasant income details'!AN136</f>
        <v>434.82447177342874</v>
      </c>
      <c r="EM11" s="304">
        <f>'peasant income details'!AO136</f>
        <v>432.06169005280537</v>
      </c>
      <c r="EN11" s="304">
        <f>'peasant income details'!AP136</f>
        <v>433.13427119187241</v>
      </c>
      <c r="EO11" s="304">
        <f>'peasant income details'!AQ136</f>
        <v>433.1838894269298</v>
      </c>
      <c r="EP11" s="304">
        <f>'peasant income details'!AR136</f>
        <v>433.10774785093088</v>
      </c>
      <c r="EQ11" s="304">
        <f>'peasant income details'!AS136</f>
        <v>433.20543166436704</v>
      </c>
      <c r="ER11" s="304">
        <f>'peasant income details'!AT136</f>
        <v>433.99740146628307</v>
      </c>
      <c r="ES11" s="304">
        <f>'peasant income details'!AU136</f>
        <v>432.15327283963944</v>
      </c>
      <c r="ET11" s="304">
        <f>'peasant income details'!AV136</f>
        <v>405.80288401567566</v>
      </c>
      <c r="EU11" s="304">
        <f>'peasant income details'!AW136</f>
        <v>407.54861320925858</v>
      </c>
      <c r="EV11" s="304">
        <f>'peasant income details'!AX136</f>
        <v>420.34669239273046</v>
      </c>
      <c r="EW11" s="304">
        <f>'peasant income details'!AY136</f>
        <v>408.50641402031869</v>
      </c>
      <c r="EX11" s="304">
        <f>'peasant income details'!AZ136</f>
        <v>416.73117705688446</v>
      </c>
      <c r="EY11" s="304">
        <f>'peasant income details'!BA136</f>
        <v>411.69040217459127</v>
      </c>
      <c r="EZ11" s="304">
        <f>'peasant income details'!BB136</f>
        <v>409.5305745204634</v>
      </c>
      <c r="FA11" s="304">
        <f>'peasant income details'!BC136</f>
        <v>408.40897973026472</v>
      </c>
      <c r="FB11" s="304">
        <f>'peasant income details'!BD136</f>
        <v>406.21747823072059</v>
      </c>
      <c r="FD11" s="17" t="s">
        <v>745</v>
      </c>
      <c r="FF11" s="371">
        <f t="shared" si="0"/>
        <v>7117826.6772329621</v>
      </c>
      <c r="FG11" s="371">
        <f t="shared" si="1"/>
        <v>2894741878.4321795</v>
      </c>
      <c r="FH11" s="371">
        <f t="shared" si="2"/>
        <v>406.21747823072059</v>
      </c>
    </row>
    <row r="12" spans="1:164">
      <c r="A12" s="17" t="s">
        <v>746</v>
      </c>
      <c r="B12" s="4">
        <v>4</v>
      </c>
      <c r="C12" s="17" t="s">
        <v>747</v>
      </c>
      <c r="D12" s="304">
        <f>'peasant income details'!F139</f>
        <v>0</v>
      </c>
      <c r="E12" s="304">
        <f>'peasant income details'!G139</f>
        <v>27514.445349691654</v>
      </c>
      <c r="F12" s="304">
        <f>'peasant income details'!H139</f>
        <v>25963.348877643235</v>
      </c>
      <c r="G12" s="304">
        <f>'peasant income details'!I139</f>
        <v>11885.401932977638</v>
      </c>
      <c r="H12" s="304">
        <f>'peasant income details'!J139</f>
        <v>28034.802490204806</v>
      </c>
      <c r="I12" s="304">
        <f>'peasant income details'!K139</f>
        <v>43811.890749508544</v>
      </c>
      <c r="J12" s="304">
        <f>'peasant income details'!L139</f>
        <v>97404.512131462281</v>
      </c>
      <c r="K12" s="304">
        <f>'peasant income details'!M139</f>
        <v>73013.481704291145</v>
      </c>
      <c r="L12" s="304">
        <f>'peasant income details'!N139</f>
        <v>21951.095857424381</v>
      </c>
      <c r="M12" s="304">
        <f>'peasant income details'!O139</f>
        <v>108155.45255993867</v>
      </c>
      <c r="N12" s="304">
        <f>'peasant income details'!P139</f>
        <v>85793.368169157809</v>
      </c>
      <c r="O12" s="304">
        <f>'peasant income details'!Q139</f>
        <v>74739.85197051373</v>
      </c>
      <c r="P12" s="304">
        <f>'peasant income details'!R139</f>
        <v>51647.689439152622</v>
      </c>
      <c r="Q12" s="304">
        <f>'peasant income details'!S139</f>
        <v>34374.1107419912</v>
      </c>
      <c r="R12" s="304">
        <f>'peasant income details'!T139</f>
        <v>48651.432844753253</v>
      </c>
      <c r="S12" s="304">
        <f>'peasant income details'!U139</f>
        <v>55488.776849699672</v>
      </c>
      <c r="T12" s="304">
        <f>'peasant income details'!V139</f>
        <v>55755.585170320272</v>
      </c>
      <c r="U12" s="304">
        <f>'peasant income details'!W139</f>
        <v>44027.503957877074</v>
      </c>
      <c r="V12" s="304">
        <f>'peasant income details'!X139</f>
        <v>56731.326604591319</v>
      </c>
      <c r="W12" s="304">
        <f>'peasant income details'!Y139</f>
        <v>31194.932759570744</v>
      </c>
      <c r="X12" s="304">
        <f>'peasant income details'!Z139</f>
        <v>77888.478027022255</v>
      </c>
      <c r="Y12" s="304">
        <f>'peasant income details'!AA139</f>
        <v>67845.642691637084</v>
      </c>
      <c r="Z12" s="304">
        <f>'peasant income details'!AB139</f>
        <v>58711.774967049983</v>
      </c>
      <c r="AA12" s="304">
        <f>'peasant income details'!AC139</f>
        <v>46057.218208437189</v>
      </c>
      <c r="AB12" s="304">
        <f>'peasant income details'!AD139</f>
        <v>52668.944871017833</v>
      </c>
      <c r="AC12" s="304">
        <f>'peasant income details'!AE139</f>
        <v>73065.373240968722</v>
      </c>
      <c r="AD12" s="304">
        <f>'peasant income details'!AF139</f>
        <v>50096.404734449206</v>
      </c>
      <c r="AE12" s="304">
        <f>'peasant income details'!AG139</f>
        <v>79610.484299548436</v>
      </c>
      <c r="AF12" s="304">
        <f>'peasant income details'!AH139</f>
        <v>41500.819392354017</v>
      </c>
      <c r="AG12" s="304">
        <f>'peasant income details'!AI139</f>
        <v>86539.833023617772</v>
      </c>
      <c r="AH12" s="304">
        <f>'peasant income details'!AJ139</f>
        <v>73150.50832420979</v>
      </c>
      <c r="AI12" s="304">
        <f>'peasant income details'!AK139</f>
        <v>54242.127623071516</v>
      </c>
      <c r="AJ12" s="304">
        <f>'peasant income details'!AL139</f>
        <v>0</v>
      </c>
      <c r="AK12" s="304">
        <f>'peasant income details'!AM139</f>
        <v>34838.34654121811</v>
      </c>
      <c r="AL12" s="304">
        <f>'peasant income details'!AN139</f>
        <v>9061.1292009468343</v>
      </c>
      <c r="AM12" s="304">
        <f>'peasant income details'!AO139</f>
        <v>38888.331146915276</v>
      </c>
      <c r="AN12" s="304">
        <f>'peasant income details'!AP139</f>
        <v>37629.61817501091</v>
      </c>
      <c r="AO12" s="304">
        <f>'peasant income details'!AQ139</f>
        <v>37424.400437069082</v>
      </c>
      <c r="AP12" s="304">
        <f>'peasant income details'!AR139</f>
        <v>38937.86026847834</v>
      </c>
      <c r="AQ12" s="304">
        <f>'peasant income details'!AS139</f>
        <v>50538.919309814853</v>
      </c>
      <c r="AR12" s="304">
        <f>'peasant income details'!AT139</f>
        <v>34804.730097392479</v>
      </c>
      <c r="AS12" s="304">
        <f>'peasant income details'!AU139</f>
        <v>78822.462554503218</v>
      </c>
      <c r="AT12" s="304">
        <f>'peasant income details'!AV139</f>
        <v>101047.55371623496</v>
      </c>
      <c r="AU12" s="304">
        <f>'peasant income details'!AW139</f>
        <v>92795.452505949637</v>
      </c>
      <c r="AV12" s="304">
        <f>'peasant income details'!AX139</f>
        <v>11794.139643187873</v>
      </c>
      <c r="AW12" s="304">
        <f>'peasant income details'!AY139</f>
        <v>54906.321370994214</v>
      </c>
      <c r="AX12" s="304">
        <f>'peasant income details'!AZ139</f>
        <v>42278.948039288502</v>
      </c>
      <c r="AY12" s="304">
        <f>'peasant income details'!BA139</f>
        <v>65432.124784100619</v>
      </c>
      <c r="AZ12" s="304">
        <f>'peasant income details'!BB139</f>
        <v>35295.627456436734</v>
      </c>
      <c r="BA12" s="304">
        <f>'peasant income details'!BC139</f>
        <v>67332.041843727246</v>
      </c>
      <c r="BB12" s="304">
        <f>'peasant income details'!BD139</f>
        <v>2569344.6266554226</v>
      </c>
      <c r="BD12" s="304">
        <f>'peasant income details'!F145</f>
        <v>0</v>
      </c>
      <c r="BE12" s="304">
        <f>'peasant income details'!G145</f>
        <v>15088261.980791319</v>
      </c>
      <c r="BF12" s="304">
        <f>'peasant income details'!H145</f>
        <v>14135533.884567158</v>
      </c>
      <c r="BG12" s="304">
        <f>'peasant income details'!I145</f>
        <v>11472979.880570874</v>
      </c>
      <c r="BH12" s="304">
        <f>'peasant income details'!J145</f>
        <v>15405920.297998479</v>
      </c>
      <c r="BI12" s="304">
        <f>'peasant income details'!K145</f>
        <v>24509538.929160383</v>
      </c>
      <c r="BJ12" s="304">
        <f>'peasant income details'!L145</f>
        <v>49069613.544558458</v>
      </c>
      <c r="BK12" s="304">
        <f>'peasant income details'!M145</f>
        <v>36471302.991752312</v>
      </c>
      <c r="BL12" s="304">
        <f>'peasant income details'!N145</f>
        <v>10218094.777776275</v>
      </c>
      <c r="BM12" s="304">
        <f>'peasant income details'!O145</f>
        <v>54678595.00820443</v>
      </c>
      <c r="BN12" s="304">
        <f>'peasant income details'!P145</f>
        <v>42135833.818445891</v>
      </c>
      <c r="BO12" s="304">
        <f>'peasant income details'!Q145</f>
        <v>37602202.593985103</v>
      </c>
      <c r="BP12" s="304">
        <f>'peasant income details'!R145</f>
        <v>31340217.425633792</v>
      </c>
      <c r="BQ12" s="304">
        <f>'peasant income details'!S145</f>
        <v>20696561.988619018</v>
      </c>
      <c r="BR12" s="304">
        <f>'peasant income details'!T145</f>
        <v>29519078.575786363</v>
      </c>
      <c r="BS12" s="304">
        <f>'peasant income details'!U145</f>
        <v>33543920.6806073</v>
      </c>
      <c r="BT12" s="304">
        <f>'peasant income details'!V145</f>
        <v>33852288.718419343</v>
      </c>
      <c r="BU12" s="304">
        <f>'peasant income details'!W145</f>
        <v>26572607.624906145</v>
      </c>
      <c r="BV12" s="304">
        <f>'peasant income details'!X145</f>
        <v>34450734.64012374</v>
      </c>
      <c r="BW12" s="304">
        <f>'peasant income details'!Y145</f>
        <v>18889136.917066298</v>
      </c>
      <c r="BX12" s="304">
        <f>'peasant income details'!Z145</f>
        <v>43701787.988871373</v>
      </c>
      <c r="BY12" s="304">
        <f>'peasant income details'!AA145</f>
        <v>38038486.850283131</v>
      </c>
      <c r="BZ12" s="304">
        <f>'peasant income details'!AB145</f>
        <v>35485550.136218451</v>
      </c>
      <c r="CA12" s="304">
        <f>'peasant income details'!AC145</f>
        <v>25972067.253062844</v>
      </c>
      <c r="CB12" s="304">
        <f>'peasant income details'!AD145</f>
        <v>31917752.952107314</v>
      </c>
      <c r="CC12" s="304">
        <f>'peasant income details'!AE145</f>
        <v>41105659.007945195</v>
      </c>
      <c r="CD12" s="304">
        <f>'peasant income details'!AF145</f>
        <v>28450260.820289426</v>
      </c>
      <c r="CE12" s="304">
        <f>'peasant income details'!AG145</f>
        <v>44926927.168771073</v>
      </c>
      <c r="CF12" s="304">
        <f>'peasant income details'!AH145</f>
        <v>21238454.893569369</v>
      </c>
      <c r="CG12" s="304">
        <f>'peasant income details'!AI145</f>
        <v>44195445.585714154</v>
      </c>
      <c r="CH12" s="304">
        <f>'peasant income details'!AJ145</f>
        <v>37494652.846789852</v>
      </c>
      <c r="CI12" s="304">
        <f>'peasant income details'!AK145</f>
        <v>27469838.761207052</v>
      </c>
      <c r="CJ12" s="304">
        <f>'peasant income details'!AL145</f>
        <v>0</v>
      </c>
      <c r="CK12" s="304">
        <f>'peasant income details'!AM145</f>
        <v>21244434.103588343</v>
      </c>
      <c r="CL12" s="304">
        <f>'peasant income details'!AN145</f>
        <v>5465366.8287723558</v>
      </c>
      <c r="CM12" s="304">
        <f>'peasant income details'!AO145</f>
        <v>23818696.16728751</v>
      </c>
      <c r="CN12" s="304">
        <f>'peasant income details'!AP145</f>
        <v>22911545.080817286</v>
      </c>
      <c r="CO12" s="304">
        <f>'peasant income details'!AQ145</f>
        <v>22780327.71155557</v>
      </c>
      <c r="CP12" s="304">
        <f>'peasant income details'!AR145</f>
        <v>23711579.60863325</v>
      </c>
      <c r="CQ12" s="304">
        <f>'peasant income details'!AS145</f>
        <v>30759494.673504986</v>
      </c>
      <c r="CR12" s="304">
        <f>'peasant income details'!AT145</f>
        <v>21090178.408133086</v>
      </c>
      <c r="CS12" s="304">
        <f>'peasant income details'!AU145</f>
        <v>48253573.393331185</v>
      </c>
      <c r="CT12" s="304">
        <f>'peasant income details'!AV145</f>
        <v>57679865.155262642</v>
      </c>
      <c r="CU12" s="304">
        <f>'peasant income details'!AW145</f>
        <v>52422734.320450693</v>
      </c>
      <c r="CV12" s="304">
        <f>'peasant income details'!AX145</f>
        <v>6153464.3113888046</v>
      </c>
      <c r="CW12" s="304">
        <f>'peasant income details'!AY145</f>
        <v>30840640.266560562</v>
      </c>
      <c r="CX12" s="304">
        <f>'peasant income details'!AZ145</f>
        <v>22574427.643333122</v>
      </c>
      <c r="CY12" s="304">
        <f>'peasant income details'!BA145</f>
        <v>36049885.460388079</v>
      </c>
      <c r="CZ12" s="304">
        <f>'peasant income details'!BB145</f>
        <v>19703412.188919518</v>
      </c>
      <c r="DA12" s="304">
        <f>'peasant income details'!BC145</f>
        <v>37842252.086472914</v>
      </c>
      <c r="DB12" s="304">
        <f>'peasant income details'!BD145</f>
        <v>1442951185.9522021</v>
      </c>
      <c r="DD12" s="304">
        <f>'peasant income details'!F144</f>
        <v>547.87415957280177</v>
      </c>
      <c r="DE12" s="304">
        <f>'peasant income details'!G144</f>
        <v>548.37601808900024</v>
      </c>
      <c r="DF12" s="304">
        <f>'peasant income details'!H144</f>
        <v>544.4418572959637</v>
      </c>
      <c r="DG12" s="304">
        <f>'peasant income details'!I144</f>
        <v>965.30011734290247</v>
      </c>
      <c r="DH12" s="304">
        <f>'peasant income details'!J144</f>
        <v>549.52840503803145</v>
      </c>
      <c r="DI12" s="304">
        <f>'peasant income details'!K144</f>
        <v>559.42664217100275</v>
      </c>
      <c r="DJ12" s="304">
        <f>'peasant income details'!L144</f>
        <v>503.7714626436557</v>
      </c>
      <c r="DK12" s="304">
        <f>'peasant income details'!M144</f>
        <v>499.51463949443223</v>
      </c>
      <c r="DL12" s="304">
        <f>'peasant income details'!N144</f>
        <v>465.49360652171146</v>
      </c>
      <c r="DM12" s="304">
        <f>'peasant income details'!O144</f>
        <v>505.55560273673768</v>
      </c>
      <c r="DN12" s="304">
        <f>'peasant income details'!P144</f>
        <v>491.13159580548404</v>
      </c>
      <c r="DO12" s="304">
        <f>'peasant income details'!Q144</f>
        <v>503.10780129481492</v>
      </c>
      <c r="DP12" s="304">
        <f>'peasant income details'!R144</f>
        <v>606.80773459491252</v>
      </c>
      <c r="DQ12" s="304">
        <f>'peasant income details'!S144</f>
        <v>602.09737915739674</v>
      </c>
      <c r="DR12" s="304">
        <f>'peasant income details'!T144</f>
        <v>606.74633509729836</v>
      </c>
      <c r="DS12" s="304">
        <f>'peasant income details'!U144</f>
        <v>604.51721203850707</v>
      </c>
      <c r="DT12" s="304">
        <f>'peasant income details'!V144</f>
        <v>607.15511486443052</v>
      </c>
      <c r="DU12" s="304">
        <f>'peasant income details'!W144</f>
        <v>603.5456302571514</v>
      </c>
      <c r="DV12" s="304">
        <f>'peasant income details'!X144</f>
        <v>607.26122059933653</v>
      </c>
      <c r="DW12" s="304">
        <f>'peasant income details'!Y144</f>
        <v>605.51939837956627</v>
      </c>
      <c r="DX12" s="304">
        <f>'peasant income details'!Z144</f>
        <v>561.08155013260989</v>
      </c>
      <c r="DY12" s="304">
        <f>'peasant income details'!AA144</f>
        <v>560.66219349075311</v>
      </c>
      <c r="DZ12" s="304">
        <f>'peasant income details'!AB144</f>
        <v>604.40261184632095</v>
      </c>
      <c r="EA12" s="304">
        <f>'peasant income details'!AC144</f>
        <v>563.90872621796859</v>
      </c>
      <c r="EB12" s="304">
        <f>'peasant income details'!AD144</f>
        <v>606.00706982589872</v>
      </c>
      <c r="EC12" s="304">
        <f>'peasant income details'!AE144</f>
        <v>562.58740884521626</v>
      </c>
      <c r="ED12" s="304">
        <f>'peasant income details'!AF144</f>
        <v>567.91023170421988</v>
      </c>
      <c r="EE12" s="304">
        <f>'peasant income details'!AG144</f>
        <v>564.33430300116777</v>
      </c>
      <c r="EF12" s="304">
        <f>'peasant income details'!AH144</f>
        <v>511.75989304640757</v>
      </c>
      <c r="EG12" s="304">
        <f>'peasant income details'!AI144</f>
        <v>510.69483313715983</v>
      </c>
      <c r="EH12" s="304">
        <f>'peasant income details'!AJ144</f>
        <v>512.56858914240343</v>
      </c>
      <c r="EI12" s="304">
        <f>'peasant income details'!AK144</f>
        <v>506.42996440137694</v>
      </c>
      <c r="EJ12" s="304">
        <f>'peasant income details'!AL144</f>
        <v>575.39359078597136</v>
      </c>
      <c r="EK12" s="304">
        <f>'peasant income details'!AM144</f>
        <v>609.8002980265876</v>
      </c>
      <c r="EL12" s="304">
        <f>'peasant income details'!AN144</f>
        <v>603.16619568797864</v>
      </c>
      <c r="EM12" s="304">
        <f>'peasant income details'!AO144</f>
        <v>612.48954287350205</v>
      </c>
      <c r="EN12" s="304">
        <f>'peasant income details'!AP144</f>
        <v>608.86998571865377</v>
      </c>
      <c r="EO12" s="304">
        <f>'peasant income details'!AQ144</f>
        <v>608.70254287337968</v>
      </c>
      <c r="EP12" s="304">
        <f>'peasant income details'!AR144</f>
        <v>608.95949199932443</v>
      </c>
      <c r="EQ12" s="304">
        <f>'peasant income details'!AS144</f>
        <v>608.629845939966</v>
      </c>
      <c r="ER12" s="304">
        <f>'peasant income details'!AT144</f>
        <v>605.95724630294239</v>
      </c>
      <c r="ES12" s="304">
        <f>'peasant income details'!AU144</f>
        <v>612.18048547982596</v>
      </c>
      <c r="ET12" s="304">
        <f>'peasant income details'!AV144</f>
        <v>570.81901574026347</v>
      </c>
      <c r="EU12" s="304">
        <f>'peasant income details'!AW144</f>
        <v>564.92783756929873</v>
      </c>
      <c r="EV12" s="304">
        <f>'peasant income details'!AX144</f>
        <v>521.73914312969475</v>
      </c>
      <c r="EW12" s="304">
        <f>'peasant income details'!AY144</f>
        <v>561.69562076786633</v>
      </c>
      <c r="EX12" s="304">
        <f>'peasant income details'!AZ144</f>
        <v>533.94014492402732</v>
      </c>
      <c r="EY12" s="304">
        <f>'peasant income details'!BA144</f>
        <v>550.95086059543428</v>
      </c>
      <c r="EZ12" s="304">
        <f>'peasant income details'!BB144</f>
        <v>558.23946502263641</v>
      </c>
      <c r="FA12" s="304">
        <f>'peasant income details'!BC144</f>
        <v>562.02442477983982</v>
      </c>
      <c r="FB12" s="304">
        <f>'peasant income details'!BD144</f>
        <v>561.34829391703965</v>
      </c>
      <c r="FD12" s="17" t="s">
        <v>747</v>
      </c>
      <c r="FF12" s="371">
        <f t="shared" si="0"/>
        <v>2569344.6266554226</v>
      </c>
      <c r="FG12" s="371">
        <f t="shared" si="1"/>
        <v>1442951185.9522021</v>
      </c>
      <c r="FH12" s="371">
        <f t="shared" si="2"/>
        <v>561.34829391703965</v>
      </c>
    </row>
    <row r="13" spans="1:164">
      <c r="A13" s="17" t="s">
        <v>748</v>
      </c>
      <c r="B13" s="4">
        <v>5</v>
      </c>
      <c r="C13" s="17" t="s">
        <v>843</v>
      </c>
      <c r="D13" s="304">
        <f>'peasant income details'!F147</f>
        <v>0</v>
      </c>
      <c r="E13" s="304">
        <f>'peasant income details'!G147</f>
        <v>0</v>
      </c>
      <c r="F13" s="304">
        <f>'peasant income details'!H147</f>
        <v>0</v>
      </c>
      <c r="G13" s="304">
        <f>'peasant income details'!I147</f>
        <v>4838.1387144852515</v>
      </c>
      <c r="H13" s="304">
        <f>'peasant income details'!J147</f>
        <v>0</v>
      </c>
      <c r="I13" s="304">
        <f>'peasant income details'!K147</f>
        <v>14184.734036335511</v>
      </c>
      <c r="J13" s="304">
        <f>'peasant income details'!L147</f>
        <v>40297.566518024789</v>
      </c>
      <c r="K13" s="304">
        <f>'peasant income details'!M147</f>
        <v>30473.099162396102</v>
      </c>
      <c r="L13" s="304">
        <f>'peasant income details'!N147</f>
        <v>8928.7543590533969</v>
      </c>
      <c r="M13" s="304">
        <f>'peasant income details'!O147</f>
        <v>47281.011290664545</v>
      </c>
      <c r="N13" s="304">
        <f>'peasant income details'!P147</f>
        <v>34740.22965173312</v>
      </c>
      <c r="O13" s="304">
        <f>'peasant income details'!Q147</f>
        <v>29535.509947593149</v>
      </c>
      <c r="P13" s="304">
        <f>'peasant income details'!R147</f>
        <v>16806.152281203518</v>
      </c>
      <c r="Q13" s="304">
        <f>'peasant income details'!S147</f>
        <v>8159.6943522959155</v>
      </c>
      <c r="R13" s="304">
        <f>'peasant income details'!T147</f>
        <v>7442.3972586704185</v>
      </c>
      <c r="S13" s="304">
        <f>'peasant income details'!U147</f>
        <v>20864.028207829331</v>
      </c>
      <c r="T13" s="304">
        <f>'peasant income details'!V147</f>
        <v>8978.5487238795395</v>
      </c>
      <c r="U13" s="304">
        <f>'peasant income details'!W147</f>
        <v>8362.70474585376</v>
      </c>
      <c r="V13" s="304">
        <f>'peasant income details'!X147</f>
        <v>0</v>
      </c>
      <c r="W13" s="304">
        <f>'peasant income details'!Y147</f>
        <v>0</v>
      </c>
      <c r="X13" s="304">
        <f>'peasant income details'!Z147</f>
        <v>30342.378835899668</v>
      </c>
      <c r="Y13" s="304">
        <f>'peasant income details'!AA147</f>
        <v>6910.8316673687295</v>
      </c>
      <c r="Z13" s="304">
        <f>'peasant income details'!AB147</f>
        <v>14301.655605876153</v>
      </c>
      <c r="AA13" s="304">
        <f>'peasant income details'!AC147</f>
        <v>16279.728836277398</v>
      </c>
      <c r="AB13" s="304">
        <f>'peasant income details'!AD147</f>
        <v>8839.9825754488993</v>
      </c>
      <c r="AC13" s="304">
        <f>'peasant income details'!AE147</f>
        <v>29491.955721572376</v>
      </c>
      <c r="AD13" s="304">
        <f>'peasant income details'!AF147</f>
        <v>17025.861075691289</v>
      </c>
      <c r="AE13" s="304">
        <f>'peasant income details'!AG147</f>
        <v>27610.867421706353</v>
      </c>
      <c r="AF13" s="304">
        <f>'peasant income details'!AH147</f>
        <v>11548.781155818451</v>
      </c>
      <c r="AG13" s="304">
        <f>'peasant income details'!AI147</f>
        <v>2132.0235015854414</v>
      </c>
      <c r="AH13" s="304">
        <f>'peasant income details'!AJ147</f>
        <v>21463.45499780633</v>
      </c>
      <c r="AI13" s="304">
        <f>'peasant income details'!AK147</f>
        <v>0</v>
      </c>
      <c r="AJ13" s="304">
        <f>'peasant income details'!AL147</f>
        <v>0</v>
      </c>
      <c r="AK13" s="304">
        <f>'peasant income details'!AM147</f>
        <v>0</v>
      </c>
      <c r="AL13" s="304">
        <f>'peasant income details'!AN147</f>
        <v>0</v>
      </c>
      <c r="AM13" s="304">
        <f>'peasant income details'!AO147</f>
        <v>12294.063794137473</v>
      </c>
      <c r="AN13" s="304">
        <f>'peasant income details'!AP147</f>
        <v>11883.641062218092</v>
      </c>
      <c r="AO13" s="304">
        <f>'peasant income details'!AQ147</f>
        <v>8622.2492243268207</v>
      </c>
      <c r="AP13" s="304">
        <f>'peasant income details'!AR147</f>
        <v>11533.879785153295</v>
      </c>
      <c r="AQ13" s="304">
        <f>'peasant income details'!AS147</f>
        <v>18846.774566903809</v>
      </c>
      <c r="AR13" s="304">
        <f>'peasant income details'!AT147</f>
        <v>8990.3683802657142</v>
      </c>
      <c r="AS13" s="304">
        <f>'peasant income details'!AU147</f>
        <v>25497.769093134397</v>
      </c>
      <c r="AT13" s="304">
        <f>'peasant income details'!AV147</f>
        <v>37726.209604263699</v>
      </c>
      <c r="AU13" s="304">
        <f>'peasant income details'!AW147</f>
        <v>37086.423438391714</v>
      </c>
      <c r="AV13" s="304">
        <f>'peasant income details'!AX147</f>
        <v>5131.9406000971012</v>
      </c>
      <c r="AW13" s="304">
        <f>'peasant income details'!AY147</f>
        <v>22213.475232740246</v>
      </c>
      <c r="AX13" s="304">
        <f>'peasant income details'!AZ147</f>
        <v>14867.521891671393</v>
      </c>
      <c r="AY13" s="304">
        <f>'peasant income details'!BA147</f>
        <v>24326.754364043394</v>
      </c>
      <c r="AZ13" s="304">
        <f>'peasant income details'!BB147</f>
        <v>5241.5929373873878</v>
      </c>
      <c r="BA13" s="304">
        <f>'peasant income details'!BC147</f>
        <v>26675.606950876401</v>
      </c>
      <c r="BB13" s="304">
        <f>'peasant income details'!BD147</f>
        <v>737778.3615706804</v>
      </c>
      <c r="BD13" s="304">
        <f>'peasant income details'!F153</f>
        <v>0</v>
      </c>
      <c r="BE13" s="304">
        <f>'peasant income details'!G153</f>
        <v>0</v>
      </c>
      <c r="BF13" s="304">
        <f>'peasant income details'!H153</f>
        <v>0</v>
      </c>
      <c r="BG13" s="304">
        <f>'peasant income details'!I153</f>
        <v>5346449.5993997902</v>
      </c>
      <c r="BH13" s="304">
        <f>'peasant income details'!J153</f>
        <v>0</v>
      </c>
      <c r="BI13" s="304">
        <f>'peasant income details'!K153</f>
        <v>14288307.875857249</v>
      </c>
      <c r="BJ13" s="304">
        <f>'peasant income details'!L153</f>
        <v>35903445.9224355</v>
      </c>
      <c r="BK13" s="304">
        <f>'peasant income details'!M153</f>
        <v>26267605.6241294</v>
      </c>
      <c r="BL13" s="304">
        <f>'peasant income details'!N153</f>
        <v>5629599.1149268486</v>
      </c>
      <c r="BM13" s="304">
        <f>'peasant income details'!O153</f>
        <v>42699390.571161762</v>
      </c>
      <c r="BN13" s="304">
        <f>'peasant income details'!P153</f>
        <v>27964219.772897497</v>
      </c>
      <c r="BO13" s="304">
        <f>'peasant income details'!Q153</f>
        <v>26181527.735172834</v>
      </c>
      <c r="BP13" s="304">
        <f>'peasant income details'!R153</f>
        <v>18145384.876198921</v>
      </c>
      <c r="BQ13" s="304">
        <f>'peasant income details'!S153</f>
        <v>8548390.6175419465</v>
      </c>
      <c r="BR13" s="304">
        <f>'peasant income details'!T153</f>
        <v>8032350.5832382478</v>
      </c>
      <c r="BS13" s="304">
        <f>'peasant income details'!U153</f>
        <v>22201444.205786858</v>
      </c>
      <c r="BT13" s="304">
        <f>'peasant income details'!V153</f>
        <v>9715245.3027322292</v>
      </c>
      <c r="BU13" s="304">
        <f>'peasant income details'!W153</f>
        <v>8843481.1563744843</v>
      </c>
      <c r="BV13" s="304">
        <f>'peasant income details'!X153</f>
        <v>0</v>
      </c>
      <c r="BW13" s="304">
        <f>'peasant income details'!Y153</f>
        <v>0</v>
      </c>
      <c r="BX13" s="304">
        <f>'peasant income details'!Z153</f>
        <v>29141350.95158634</v>
      </c>
      <c r="BY13" s="304">
        <f>'peasant income details'!AA153</f>
        <v>6617563.807214235</v>
      </c>
      <c r="BZ13" s="304">
        <f>'peasant income details'!AB153</f>
        <v>15207261.376558375</v>
      </c>
      <c r="CA13" s="304">
        <f>'peasant income details'!AC153</f>
        <v>15948510.870133491</v>
      </c>
      <c r="CB13" s="304">
        <f>'peasant income details'!AD153</f>
        <v>9496254.3912072051</v>
      </c>
      <c r="CC13" s="304">
        <f>'peasant income details'!AE153</f>
        <v>28626775.861402679</v>
      </c>
      <c r="CD13" s="304">
        <f>'peasant income details'!AF153</f>
        <v>17143036.907532122</v>
      </c>
      <c r="CE13" s="304">
        <f>'peasant income details'!AG153</f>
        <v>27129067.48121025</v>
      </c>
      <c r="CF13" s="304">
        <f>'peasant income details'!AH153</f>
        <v>10308149.513511825</v>
      </c>
      <c r="CG13" s="304">
        <f>'peasant income details'!AI153</f>
        <v>1887539.3069826961</v>
      </c>
      <c r="CH13" s="304">
        <f>'peasant income details'!AJ153</f>
        <v>19275842.164448906</v>
      </c>
      <c r="CI13" s="304">
        <f>'peasant income details'!AK153</f>
        <v>0</v>
      </c>
      <c r="CJ13" s="304">
        <f>'peasant income details'!AL153</f>
        <v>0</v>
      </c>
      <c r="CK13" s="304">
        <f>'peasant income details'!AM153</f>
        <v>0</v>
      </c>
      <c r="CL13" s="304">
        <f>'peasant income details'!AN153</f>
        <v>0</v>
      </c>
      <c r="CM13" s="304">
        <f>'peasant income details'!AO153</f>
        <v>13749042.440016335</v>
      </c>
      <c r="CN13" s="304">
        <f>'peasant income details'!AP153</f>
        <v>12997367.882841235</v>
      </c>
      <c r="CO13" s="304">
        <f>'peasant income details'!AQ153</f>
        <v>9420496.9298610818</v>
      </c>
      <c r="CP13" s="304">
        <f>'peasant income details'!AR153</f>
        <v>12621851.718899816</v>
      </c>
      <c r="CQ13" s="304">
        <f>'peasant income details'!AS153</f>
        <v>20582286.017010737</v>
      </c>
      <c r="CR13" s="304">
        <f>'peasant income details'!AT153</f>
        <v>9654756.8082088605</v>
      </c>
      <c r="CS13" s="304">
        <f>'peasant income details'!AU153</f>
        <v>28461760.542252649</v>
      </c>
      <c r="CT13" s="304">
        <f>'peasant income details'!AV153</f>
        <v>38732541.723297857</v>
      </c>
      <c r="CU13" s="304">
        <f>'peasant income details'!AW153</f>
        <v>36589056.260570236</v>
      </c>
      <c r="CV13" s="304">
        <f>'peasant income details'!AX153</f>
        <v>3554987.2051207027</v>
      </c>
      <c r="CW13" s="304">
        <f>'peasant income details'!AY153</f>
        <v>21427025.582488704</v>
      </c>
      <c r="CX13" s="304">
        <f>'peasant income details'!AZ153</f>
        <v>11533299.029094523</v>
      </c>
      <c r="CY13" s="304">
        <f>'peasant income details'!BA153</f>
        <v>21686929.479916584</v>
      </c>
      <c r="CZ13" s="304">
        <f>'peasant income details'!BB153</f>
        <v>4932752.6841402231</v>
      </c>
      <c r="DA13" s="304">
        <f>'peasant income details'!BC153</f>
        <v>25790860.514062602</v>
      </c>
      <c r="DB13" s="304">
        <f>'peasant income details'!BD153</f>
        <v>712283210.40742397</v>
      </c>
      <c r="DD13" s="304">
        <f>'peasant income details'!F152</f>
        <v>928.6946316784547</v>
      </c>
      <c r="DE13" s="304">
        <f>'peasant income details'!G152</f>
        <v>932.10945335199608</v>
      </c>
      <c r="DF13" s="304">
        <f>'peasant income details'!H152</f>
        <v>905.34004103829818</v>
      </c>
      <c r="DG13" s="304">
        <f>'peasant income details'!I152</f>
        <v>1105.0633135822811</v>
      </c>
      <c r="DH13" s="304">
        <f>'peasant income details'!J152</f>
        <v>939.95069904742945</v>
      </c>
      <c r="DI13" s="304">
        <f>'peasant income details'!K152</f>
        <v>1007.3017822721544</v>
      </c>
      <c r="DJ13" s="304">
        <f>'peasant income details'!L152</f>
        <v>890.95816508860821</v>
      </c>
      <c r="DK13" s="304">
        <f>'peasant income details'!M152</f>
        <v>861.99324473513695</v>
      </c>
      <c r="DL13" s="304">
        <f>'peasant income details'!N152</f>
        <v>630.50218300816641</v>
      </c>
      <c r="DM13" s="304">
        <f>'peasant income details'!O152</f>
        <v>903.09808114431337</v>
      </c>
      <c r="DN13" s="304">
        <f>'peasant income details'!P152</f>
        <v>804.95207007079807</v>
      </c>
      <c r="DO13" s="304">
        <f>'peasant income details'!Q152</f>
        <v>886.4423800919127</v>
      </c>
      <c r="DP13" s="304">
        <f>'peasant income details'!R152</f>
        <v>1079.6870439221975</v>
      </c>
      <c r="DQ13" s="304">
        <f>'peasant income details'!S152</f>
        <v>1047.6361305294067</v>
      </c>
      <c r="DR13" s="304">
        <f>'peasant income details'!T152</f>
        <v>1079.2692601675531</v>
      </c>
      <c r="DS13" s="304">
        <f>'peasant income details'!U152</f>
        <v>1064.1015236672108</v>
      </c>
      <c r="DT13" s="304">
        <f>'peasant income details'!V152</f>
        <v>1082.0507413289806</v>
      </c>
      <c r="DU13" s="304">
        <f>'peasant income details'!W152</f>
        <v>1057.4905398590204</v>
      </c>
      <c r="DV13" s="304">
        <f>'peasant income details'!X152</f>
        <v>1082.7727220298143</v>
      </c>
      <c r="DW13" s="304">
        <f>'peasant income details'!Y152</f>
        <v>1070.9207516526196</v>
      </c>
      <c r="DX13" s="304">
        <f>'peasant income details'!Z152</f>
        <v>960.41747778548165</v>
      </c>
      <c r="DY13" s="304">
        <f>'peasant income details'!AA152</f>
        <v>957.56402785221439</v>
      </c>
      <c r="DZ13" s="304">
        <f>'peasant income details'!AB152</f>
        <v>1063.3217436944947</v>
      </c>
      <c r="EA13" s="304">
        <f>'peasant income details'!AC152</f>
        <v>979.65457720611244</v>
      </c>
      <c r="EB13" s="304">
        <f>'peasant income details'!AD152</f>
        <v>1074.2390395181271</v>
      </c>
      <c r="EC13" s="304">
        <f>'peasant income details'!AE152</f>
        <v>970.6638695535255</v>
      </c>
      <c r="ED13" s="304">
        <f>'peasant income details'!AF152</f>
        <v>1006.88222647418</v>
      </c>
      <c r="EE13" s="304">
        <f>'peasant income details'!AG152</f>
        <v>982.55035116653619</v>
      </c>
      <c r="EF13" s="304">
        <f>'peasant income details'!AH152</f>
        <v>892.57466865396646</v>
      </c>
      <c r="EG13" s="304">
        <f>'peasant income details'!AI152</f>
        <v>885.32762681980807</v>
      </c>
      <c r="EH13" s="304">
        <f>'peasant income details'!AJ152</f>
        <v>898.07732102865043</v>
      </c>
      <c r="EI13" s="304">
        <f>'peasant income details'!AK152</f>
        <v>856.30796146854755</v>
      </c>
      <c r="EJ13" s="304">
        <f>'peasant income details'!AL152</f>
        <v>865.93417200303611</v>
      </c>
      <c r="EK13" s="304">
        <f>'peasant income details'!AM152</f>
        <v>1100.049496956449</v>
      </c>
      <c r="EL13" s="304">
        <f>'peasant income details'!AN152</f>
        <v>1054.9087337350222</v>
      </c>
      <c r="EM13" s="304">
        <f>'peasant income details'!AO152</f>
        <v>1118.3480637681969</v>
      </c>
      <c r="EN13" s="304">
        <f>'peasant income details'!AP152</f>
        <v>1093.7193251455599</v>
      </c>
      <c r="EO13" s="304">
        <f>'peasant income details'!AQ152</f>
        <v>1092.5799851948241</v>
      </c>
      <c r="EP13" s="304">
        <f>'peasant income details'!AR152</f>
        <v>1094.3283573275132</v>
      </c>
      <c r="EQ13" s="304">
        <f>'peasant income details'!AS152</f>
        <v>1092.0853297176166</v>
      </c>
      <c r="ER13" s="304">
        <f>'peasant income details'!AT152</f>
        <v>1073.9000227623053</v>
      </c>
      <c r="ES13" s="304">
        <f>'peasant income details'!AU152</f>
        <v>1116.2451286734863</v>
      </c>
      <c r="ET13" s="304">
        <f>'peasant income details'!AV152</f>
        <v>1026.6746150644412</v>
      </c>
      <c r="EU13" s="304">
        <f>'peasant income details'!AW152</f>
        <v>986.58896890805045</v>
      </c>
      <c r="EV13" s="304">
        <f>'peasant income details'!AX152</f>
        <v>692.71791747812495</v>
      </c>
      <c r="EW13" s="304">
        <f>'peasant income details'!AY152</f>
        <v>964.59583014311954</v>
      </c>
      <c r="EX13" s="304">
        <f>'peasant income details'!AZ152</f>
        <v>775.73782054125229</v>
      </c>
      <c r="EY13" s="304">
        <f>'peasant income details'!BA152</f>
        <v>891.48470672977851</v>
      </c>
      <c r="EZ13" s="304">
        <f>'peasant income details'!BB152</f>
        <v>941.07893212304612</v>
      </c>
      <c r="FA13" s="304">
        <f>'peasant income details'!BC152</f>
        <v>966.83312816675266</v>
      </c>
      <c r="FB13" s="304">
        <f>'peasant income details'!BD152</f>
        <v>974.11945470553667</v>
      </c>
      <c r="FD13" s="17" t="s">
        <v>839</v>
      </c>
      <c r="FF13" s="371">
        <f t="shared" si="0"/>
        <v>737778.3615706804</v>
      </c>
      <c r="FG13" s="371">
        <f t="shared" si="1"/>
        <v>712283210.40742397</v>
      </c>
      <c r="FH13" s="371">
        <f t="shared" si="2"/>
        <v>974.11945470553667</v>
      </c>
    </row>
    <row r="14" spans="1:164">
      <c r="A14" s="202" t="s">
        <v>900</v>
      </c>
      <c r="B14" s="4">
        <v>6</v>
      </c>
      <c r="C14" s="9" t="s">
        <v>874</v>
      </c>
      <c r="D14" s="304">
        <f>'peasant income details'!F164</f>
        <v>16789</v>
      </c>
      <c r="E14" s="304">
        <f>'peasant income details'!G164</f>
        <v>38190.468421052632</v>
      </c>
      <c r="F14" s="304">
        <f>'peasant income details'!H164</f>
        <v>39214.720313558231</v>
      </c>
      <c r="G14" s="304">
        <f>'peasant income details'!I164</f>
        <v>375.21818181818185</v>
      </c>
      <c r="H14" s="304">
        <f>'peasant income details'!J164</f>
        <v>19034.14975579071</v>
      </c>
      <c r="I14" s="304">
        <f>'peasant income details'!K164</f>
        <v>4984.270500378645</v>
      </c>
      <c r="J14" s="304">
        <f>'peasant income details'!L164</f>
        <v>2589.5392857142856</v>
      </c>
      <c r="K14" s="304">
        <f>'peasant income details'!M164</f>
        <v>1647.1210092191184</v>
      </c>
      <c r="L14" s="304">
        <f>'peasant income details'!N164</f>
        <v>684.48737373737379</v>
      </c>
      <c r="M14" s="304">
        <f>'peasant income details'!O164</f>
        <v>358</v>
      </c>
      <c r="N14" s="304">
        <f>'peasant income details'!P164</f>
        <v>2690.5676507010335</v>
      </c>
      <c r="O14" s="304">
        <f>'peasant income details'!Q164</f>
        <v>3354.4534493042502</v>
      </c>
      <c r="P14" s="304">
        <f>'peasant income details'!R164</f>
        <v>5825.2411867519031</v>
      </c>
      <c r="Q14" s="304">
        <f>'peasant income details'!S164</f>
        <v>6866.1849428616415</v>
      </c>
      <c r="R14" s="304">
        <f>'peasant income details'!T164</f>
        <v>13941.165916345541</v>
      </c>
      <c r="S14" s="304">
        <f>'peasant income details'!U164</f>
        <v>3343.9285051403604</v>
      </c>
      <c r="T14" s="304">
        <f>'peasant income details'!V164</f>
        <v>15519.202043785721</v>
      </c>
      <c r="U14" s="304">
        <f>'peasant income details'!W164</f>
        <v>10928.119790421548</v>
      </c>
      <c r="V14" s="304">
        <f>'peasant income details'!X164</f>
        <v>30599.524007022163</v>
      </c>
      <c r="W14" s="304">
        <f>'peasant income details'!Y164</f>
        <v>23236.144729344731</v>
      </c>
      <c r="X14" s="304">
        <f>'peasant income details'!Z164</f>
        <v>3766.1788571751499</v>
      </c>
      <c r="Y14" s="304">
        <f>'peasant income details'!AA164</f>
        <v>22759.774228049984</v>
      </c>
      <c r="Z14" s="304">
        <f>'peasant income details'!AB164</f>
        <v>11420.370992460243</v>
      </c>
      <c r="AA14" s="304">
        <f>'peasant income details'!AC164</f>
        <v>3905.4726357985687</v>
      </c>
      <c r="AB14" s="304">
        <f>'peasant income details'!AD164</f>
        <v>14194.015384615384</v>
      </c>
      <c r="AC14" s="304">
        <f>'peasant income details'!AE164</f>
        <v>2474.6277330242442</v>
      </c>
      <c r="AD14" s="304">
        <f>'peasant income details'!AF164</f>
        <v>4955.7311887029382</v>
      </c>
      <c r="AE14" s="304">
        <f>'peasant income details'!AG164</f>
        <v>7268.9832143288368</v>
      </c>
      <c r="AF14" s="304">
        <f>'peasant income details'!AH164</f>
        <v>6642.7140530915394</v>
      </c>
      <c r="AG14" s="304">
        <f>'peasant income details'!AI164</f>
        <v>35561.748102201644</v>
      </c>
      <c r="AH14" s="304">
        <f>'peasant income details'!AJ164</f>
        <v>10425.324453938201</v>
      </c>
      <c r="AI14" s="304">
        <f>'peasant income details'!AK164</f>
        <v>45440.799912596995</v>
      </c>
      <c r="AJ14" s="304">
        <f>'peasant income details'!AL164</f>
        <v>28281</v>
      </c>
      <c r="AK14" s="304">
        <f>'peasant income details'!AM164</f>
        <v>22498</v>
      </c>
      <c r="AL14" s="304">
        <f>'peasant income details'!AN164</f>
        <v>11605</v>
      </c>
      <c r="AM14" s="304">
        <f>'peasant income details'!AO164</f>
        <v>4790.5277167119148</v>
      </c>
      <c r="AN14" s="304">
        <f>'peasant income details'!AP164</f>
        <v>4643.0193598575952</v>
      </c>
      <c r="AO14" s="304">
        <f>'peasant income details'!AQ164</f>
        <v>7840.3929598808236</v>
      </c>
      <c r="AP14" s="304">
        <f>'peasant income details'!AR164</f>
        <v>5568.0517471083385</v>
      </c>
      <c r="AQ14" s="304">
        <f>'peasant income details'!AS164</f>
        <v>3395.1868418124282</v>
      </c>
      <c r="AR14" s="304">
        <f>'peasant income details'!AT164</f>
        <v>6295.9737945492661</v>
      </c>
      <c r="AS14" s="304">
        <f>'peasant income details'!AU164</f>
        <v>9164.0286384671945</v>
      </c>
      <c r="AT14" s="304">
        <f>'peasant income details'!AV164</f>
        <v>6732.6030239019083</v>
      </c>
      <c r="AU14" s="304">
        <f>'peasant income details'!AW164</f>
        <v>3725.773543598174</v>
      </c>
      <c r="AV14" s="304">
        <f>'peasant income details'!AX164</f>
        <v>42.700294117647061</v>
      </c>
      <c r="AW14" s="304">
        <f>'peasant income details'!AY164</f>
        <v>1917.9657763032089</v>
      </c>
      <c r="AX14" s="304">
        <f>'peasant income details'!AZ164</f>
        <v>2706.9568300856345</v>
      </c>
      <c r="AY14" s="304">
        <f>'peasant income details'!BA164</f>
        <v>3638.8300539397378</v>
      </c>
      <c r="AZ14" s="304">
        <f>'peasant income details'!BB164</f>
        <v>9352.7847494220805</v>
      </c>
      <c r="BA14" s="304">
        <f>'peasant income details'!BC164</f>
        <v>2027.6780522289209</v>
      </c>
      <c r="BB14" s="304">
        <f>'peasant income details'!BD164</f>
        <v>543213.72120091657</v>
      </c>
      <c r="BD14" s="334">
        <f>'peasant income details'!F259</f>
        <v>17318463.874918211</v>
      </c>
      <c r="BE14" s="334">
        <f>'peasant income details'!G259</f>
        <v>39534283.668741427</v>
      </c>
      <c r="BF14" s="334">
        <f>'peasant income details'!H259</f>
        <v>42095897.759571649</v>
      </c>
      <c r="BG14" s="334">
        <f>'peasant income details'!I259</f>
        <v>598319.62126701442</v>
      </c>
      <c r="BH14" s="334">
        <f>'peasant income details'!J259</f>
        <v>20608217.650650948</v>
      </c>
      <c r="BI14" s="334">
        <f>'peasant income details'!K259</f>
        <v>5316696.0164609924</v>
      </c>
      <c r="BJ14" s="334">
        <f>'peasant income details'!L259</f>
        <v>2629340.2799050421</v>
      </c>
      <c r="BK14" s="334">
        <f>'peasant income details'!M259</f>
        <v>1842045.4721665056</v>
      </c>
      <c r="BL14" s="334">
        <f>'peasant income details'!N259</f>
        <v>1124481.2220436558</v>
      </c>
      <c r="BM14" s="334">
        <f>'peasant income details'!O259</f>
        <v>365123.99243187765</v>
      </c>
      <c r="BN14" s="334">
        <f>'peasant income details'!P259</f>
        <v>3737326.446187282</v>
      </c>
      <c r="BO14" s="334">
        <f>'peasant income details'!Q259</f>
        <v>3686149.9650153192</v>
      </c>
      <c r="BP14" s="334">
        <f>'peasant income details'!R259</f>
        <v>6203552.5369604956</v>
      </c>
      <c r="BQ14" s="334">
        <f>'peasant income details'!S259</f>
        <v>7644706.2618229492</v>
      </c>
      <c r="BR14" s="334">
        <f>'peasant income details'!T259</f>
        <v>14167889.742484951</v>
      </c>
      <c r="BS14" s="334">
        <f>'peasant income details'!U259</f>
        <v>3725851.1167107308</v>
      </c>
      <c r="BT14" s="334">
        <f>'peasant income details'!V259</f>
        <v>15621458.111260058</v>
      </c>
      <c r="BU14" s="334">
        <f>'peasant income details'!W259</f>
        <v>12001832.564000474</v>
      </c>
      <c r="BV14" s="334">
        <f>'peasant income details'!X259</f>
        <v>31347737.158043656</v>
      </c>
      <c r="BW14" s="334">
        <f>'peasant income details'!Y259</f>
        <v>24064836.627094302</v>
      </c>
      <c r="BX14" s="334">
        <f>'peasant income details'!Z259</f>
        <v>4447307.04749694</v>
      </c>
      <c r="BY14" s="334">
        <f>'peasant income details'!AA259</f>
        <v>25147224.072920516</v>
      </c>
      <c r="BZ14" s="334">
        <f>'peasant income details'!AB259</f>
        <v>12399953.762064081</v>
      </c>
      <c r="CA14" s="334">
        <f>'peasant income details'!AC259</f>
        <v>4340884.9417560436</v>
      </c>
      <c r="CB14" s="334">
        <f>'peasant income details'!AD259</f>
        <v>14900532.639476337</v>
      </c>
      <c r="CC14" s="334">
        <f>'peasant income details'!AE259</f>
        <v>3133532.1328303656</v>
      </c>
      <c r="CD14" s="334">
        <f>'peasant income details'!AF259</f>
        <v>5287484.029995189</v>
      </c>
      <c r="CE14" s="334">
        <f>'peasant income details'!AG259</f>
        <v>8325059.8050728142</v>
      </c>
      <c r="CF14" s="334">
        <f>'peasant income details'!AH259</f>
        <v>7324438.8072151681</v>
      </c>
      <c r="CG14" s="334">
        <f>'peasant income details'!AI259</f>
        <v>37799342.907170154</v>
      </c>
      <c r="CH14" s="334">
        <f>'peasant income details'!AJ259</f>
        <v>11659202.886644797</v>
      </c>
      <c r="CI14" s="334">
        <f>'peasant income details'!AK259</f>
        <v>48504781.539815575</v>
      </c>
      <c r="CJ14" s="334">
        <f>'peasant income details'!AL259</f>
        <v>36470315.735033914</v>
      </c>
      <c r="CK14" s="334">
        <f>'peasant income details'!AM259</f>
        <v>24497791.516039502</v>
      </c>
      <c r="CL14" s="334">
        <f>'peasant income details'!AN259</f>
        <v>12398835.27425864</v>
      </c>
      <c r="CM14" s="334">
        <f>'peasant income details'!AO259</f>
        <v>5110732.1597548332</v>
      </c>
      <c r="CN14" s="334">
        <f>'peasant income details'!AP259</f>
        <v>4986638.7379414663</v>
      </c>
      <c r="CO14" s="334">
        <f>'peasant income details'!AQ259</f>
        <v>8008985.4115747213</v>
      </c>
      <c r="CP14" s="334">
        <f>'peasant income details'!AR259</f>
        <v>6238630.5077351946</v>
      </c>
      <c r="CQ14" s="334">
        <f>'peasant income details'!AS259</f>
        <v>3523853.1697160592</v>
      </c>
      <c r="CR14" s="334">
        <f>'peasant income details'!AT259</f>
        <v>6944475.4438358042</v>
      </c>
      <c r="CS14" s="334">
        <f>'peasant income details'!AU259</f>
        <v>9298275.3586733509</v>
      </c>
      <c r="CT14" s="334">
        <f>'peasant income details'!AV259</f>
        <v>7243688.7323272508</v>
      </c>
      <c r="CU14" s="334">
        <f>'peasant income details'!AW259</f>
        <v>4175797.518879828</v>
      </c>
      <c r="CV14" s="334">
        <f>'peasant income details'!AX259</f>
        <v>72441.515956097937</v>
      </c>
      <c r="CW14" s="334">
        <f>'peasant income details'!AY259</f>
        <v>2532420.1682420969</v>
      </c>
      <c r="CX14" s="334">
        <f>'peasant income details'!AZ259</f>
        <v>3795131.0011457233</v>
      </c>
      <c r="CY14" s="334">
        <f>'peasant income details'!BA259</f>
        <v>5172431.1366100181</v>
      </c>
      <c r="CZ14" s="334">
        <f>'peasant income details'!BB259</f>
        <v>11203402.630225208</v>
      </c>
      <c r="DA14" s="334">
        <f>'peasant income details'!BC259</f>
        <v>2455120.1909142807</v>
      </c>
      <c r="DB14" s="334">
        <f>'peasant income details'!BD259</f>
        <v>591032920.86905932</v>
      </c>
      <c r="DD14" s="334">
        <f>'peasant income details'!F269</f>
        <v>1031.5363556446609</v>
      </c>
      <c r="DE14" s="334">
        <f>'peasant income details'!G269</f>
        <v>1035.1871894545293</v>
      </c>
      <c r="DF14" s="334">
        <f>'peasant income details'!H269</f>
        <v>1073.4718346318862</v>
      </c>
      <c r="DG14" s="334">
        <f>'peasant income details'!I269</f>
        <v>1594.5912278764254</v>
      </c>
      <c r="DH14" s="334">
        <f>'peasant income details'!J269</f>
        <v>1082.6970426867301</v>
      </c>
      <c r="DI14" s="334">
        <f>'peasant income details'!K269</f>
        <v>1066.6949187563343</v>
      </c>
      <c r="DJ14" s="334">
        <f>'peasant income details'!L269</f>
        <v>1015.3699132545804</v>
      </c>
      <c r="DK14" s="334">
        <f>'peasant income details'!M269</f>
        <v>1118.3425272681081</v>
      </c>
      <c r="DL14" s="334">
        <f>'peasant income details'!N269</f>
        <v>1642.8078372050443</v>
      </c>
      <c r="DM14" s="334">
        <f>'peasant income details'!O269</f>
        <v>1019.8994202007756</v>
      </c>
      <c r="DN14" s="334">
        <f>'peasant income details'!P269</f>
        <v>1389.0475659340932</v>
      </c>
      <c r="DO14" s="334">
        <f>'peasant income details'!Q269</f>
        <v>1098.8824321827649</v>
      </c>
      <c r="DP14" s="334">
        <f>'peasant income details'!R269</f>
        <v>1064.9434655287698</v>
      </c>
      <c r="DQ14" s="334">
        <f>'peasant income details'!S269</f>
        <v>1113.3848455059006</v>
      </c>
      <c r="DR14" s="334">
        <f>'peasant income details'!T269</f>
        <v>1016.2629027944919</v>
      </c>
      <c r="DS14" s="334">
        <f>'peasant income details'!U269</f>
        <v>1114.2137491825172</v>
      </c>
      <c r="DT14" s="334">
        <f>'peasant income details'!V269</f>
        <v>1006.5890029130256</v>
      </c>
      <c r="DU14" s="334">
        <f>'peasant income details'!W269</f>
        <v>1098.252288057826</v>
      </c>
      <c r="DV14" s="334">
        <f>'peasant income details'!X269</f>
        <v>1024.4517905196758</v>
      </c>
      <c r="DW14" s="334">
        <f>'peasant income details'!Y269</f>
        <v>1035.6639153096264</v>
      </c>
      <c r="DX14" s="334">
        <f>'peasant income details'!Z269</f>
        <v>1180.8539148437244</v>
      </c>
      <c r="DY14" s="334">
        <f>'peasant income details'!AA269</f>
        <v>1104.8977824186038</v>
      </c>
      <c r="DZ14" s="334">
        <f>'peasant income details'!AB269</f>
        <v>1085.7750392041171</v>
      </c>
      <c r="EA14" s="334">
        <f>'peasant income details'!AC269</f>
        <v>1111.4877369684718</v>
      </c>
      <c r="EB14" s="334">
        <f>'peasant income details'!AD269</f>
        <v>1049.7757143215958</v>
      </c>
      <c r="EC14" s="334">
        <f>'peasant income details'!AE269</f>
        <v>1266.2640489367157</v>
      </c>
      <c r="ED14" s="334">
        <f>'peasant income details'!AF269</f>
        <v>1066.9432680385314</v>
      </c>
      <c r="EE14" s="334">
        <f>'peasant income details'!AG269</f>
        <v>1145.2853252793607</v>
      </c>
      <c r="EF14" s="334">
        <f>'peasant income details'!AH269</f>
        <v>1102.6274424391868</v>
      </c>
      <c r="EG14" s="334">
        <f>'peasant income details'!AI269</f>
        <v>1062.921395161392</v>
      </c>
      <c r="EH14" s="334">
        <f>'peasant income details'!AJ269</f>
        <v>1118.3539599326805</v>
      </c>
      <c r="EI14" s="334">
        <f>'peasant income details'!AK269</f>
        <v>1067.427986151476</v>
      </c>
      <c r="EJ14" s="334">
        <f>'peasant income details'!AL269</f>
        <v>1289.569524947276</v>
      </c>
      <c r="EK14" s="334">
        <f>'peasant income details'!AM269</f>
        <v>1088.8875240483378</v>
      </c>
      <c r="EL14" s="334">
        <f>'peasant income details'!AN269</f>
        <v>1068.4045906297838</v>
      </c>
      <c r="EM14" s="334">
        <f>'peasant income details'!AO269</f>
        <v>1066.8411628067352</v>
      </c>
      <c r="EN14" s="334">
        <f>'peasant income details'!AP269</f>
        <v>1074.0077418273806</v>
      </c>
      <c r="EO14" s="334">
        <f>'peasant income details'!AQ269</f>
        <v>1021.5030614608966</v>
      </c>
      <c r="EP14" s="334">
        <f>'peasant income details'!AR269</f>
        <v>1120.4332845820099</v>
      </c>
      <c r="EQ14" s="334">
        <f>'peasant income details'!AS269</f>
        <v>1037.8966854840148</v>
      </c>
      <c r="ER14" s="334">
        <f>'peasant income details'!AT269</f>
        <v>1103.0025966512087</v>
      </c>
      <c r="ES14" s="334">
        <f>'peasant income details'!AU269</f>
        <v>1014.6493126006436</v>
      </c>
      <c r="ET14" s="334">
        <f>'peasant income details'!AV269</f>
        <v>1075.9120516404873</v>
      </c>
      <c r="EU14" s="334">
        <f>'peasant income details'!AW269</f>
        <v>1120.7867225464922</v>
      </c>
      <c r="EV14" s="334">
        <f>'peasant income details'!AX269</f>
        <v>1696.5109363534689</v>
      </c>
      <c r="EW14" s="334">
        <f>'peasant income details'!AY269</f>
        <v>1320.3677560520505</v>
      </c>
      <c r="EX14" s="334">
        <f>'peasant income details'!AZ269</f>
        <v>1401.9916974537286</v>
      </c>
      <c r="EY14" s="334">
        <f>'peasant income details'!BA269</f>
        <v>1421.4544400087771</v>
      </c>
      <c r="EZ14" s="334">
        <f>'peasant income details'!BB269</f>
        <v>1197.8681141910679</v>
      </c>
      <c r="FA14" s="334">
        <f>'peasant income details'!BC269</f>
        <v>1210.8037507312833</v>
      </c>
      <c r="FB14" s="334">
        <f>'peasant income details'!BD269</f>
        <v>1088.0301763409545</v>
      </c>
      <c r="FD14" s="23" t="s">
        <v>736</v>
      </c>
      <c r="FF14" s="371">
        <f t="shared" si="0"/>
        <v>543213.72120091657</v>
      </c>
      <c r="FG14" s="371">
        <f t="shared" si="1"/>
        <v>591032920.86905932</v>
      </c>
      <c r="FH14" s="371">
        <f t="shared" si="2"/>
        <v>1088.0301763409545</v>
      </c>
    </row>
    <row r="15" spans="1:164">
      <c r="A15" s="202" t="s">
        <v>898</v>
      </c>
      <c r="B15" s="4">
        <v>7</v>
      </c>
      <c r="C15" s="9" t="s">
        <v>899</v>
      </c>
      <c r="D15" s="304">
        <f>'peasant income details'!F163</f>
        <v>0</v>
      </c>
      <c r="E15" s="304">
        <f>'peasant income details'!G163</f>
        <v>19.798245614035089</v>
      </c>
      <c r="F15" s="304">
        <f>'peasant income details'!H163</f>
        <v>152.42326332794832</v>
      </c>
      <c r="G15" s="304">
        <f>'peasant income details'!I163</f>
        <v>11.781818181818181</v>
      </c>
      <c r="H15" s="304">
        <f>'peasant income details'!J163</f>
        <v>46.051660516605168</v>
      </c>
      <c r="I15" s="304">
        <f>'peasant income details'!K163</f>
        <v>77.290023201856144</v>
      </c>
      <c r="J15" s="304">
        <f>'peasant income details'!L163</f>
        <v>3.75</v>
      </c>
      <c r="K15" s="304">
        <f>'peasant income details'!M163</f>
        <v>25.241379310344826</v>
      </c>
      <c r="L15" s="304">
        <f>'peasant income details'!N163</f>
        <v>41.193181818181813</v>
      </c>
      <c r="M15" s="304">
        <f>'peasant income details'!O163</f>
        <v>0</v>
      </c>
      <c r="N15" s="304">
        <f>'peasant income details'!P163</f>
        <v>169.93103448275863</v>
      </c>
      <c r="O15" s="304">
        <f>'peasant income details'!Q163</f>
        <v>24.270440251572328</v>
      </c>
      <c r="P15" s="304">
        <f>'peasant income details'!R163</f>
        <v>71.031007751937992</v>
      </c>
      <c r="Q15" s="304">
        <f>'peasant income details'!S163</f>
        <v>66.177121771217713</v>
      </c>
      <c r="R15" s="304">
        <f>'peasant income details'!T163</f>
        <v>26.986754966887418</v>
      </c>
      <c r="S15" s="304">
        <f>'peasant income details'!U163</f>
        <v>114.08406304728545</v>
      </c>
      <c r="T15" s="304">
        <f>'peasant income details'!V163</f>
        <v>33.669201520912544</v>
      </c>
      <c r="U15" s="304">
        <f>'peasant income details'!W163</f>
        <v>77.083333333333329</v>
      </c>
      <c r="V15" s="304">
        <f>'peasant income details'!X163</f>
        <v>87.326530612244895</v>
      </c>
      <c r="W15" s="304">
        <f>'peasant income details'!Y163</f>
        <v>38.142307692307689</v>
      </c>
      <c r="X15" s="304">
        <f>'peasant income details'!Z163</f>
        <v>119.22988505747126</v>
      </c>
      <c r="Y15" s="304">
        <f>'peasant income details'!AA163</f>
        <v>144.09206081081081</v>
      </c>
      <c r="Z15" s="304">
        <f>'peasant income details'!AB163</f>
        <v>83.22018348623854</v>
      </c>
      <c r="AA15" s="304">
        <f>'peasant income details'!AC163</f>
        <v>65.266457680250781</v>
      </c>
      <c r="AB15" s="304">
        <f>'peasant income details'!AD163</f>
        <v>101.38461538461539</v>
      </c>
      <c r="AC15" s="304">
        <f>'peasant income details'!AE163</f>
        <v>93.531428571428577</v>
      </c>
      <c r="AD15" s="304">
        <f>'peasant income details'!AF163</f>
        <v>48.375</v>
      </c>
      <c r="AE15" s="304">
        <f>'peasant income details'!AG163</f>
        <v>116.22036262203626</v>
      </c>
      <c r="AF15" s="304">
        <f>'peasant income details'!AH163</f>
        <v>54.166666666666671</v>
      </c>
      <c r="AG15" s="304">
        <f>'peasant income details'!AI163</f>
        <v>281.91800188501418</v>
      </c>
      <c r="AH15" s="304">
        <f>'peasant income details'!AJ163</f>
        <v>199.87619047619049</v>
      </c>
      <c r="AI15" s="304">
        <f>'peasant income details'!AK163</f>
        <v>85.917293233082702</v>
      </c>
      <c r="AJ15" s="304">
        <f>'peasant income details'!AL163</f>
        <v>0</v>
      </c>
      <c r="AK15" s="304">
        <f>'peasant income details'!AM163</f>
        <v>0</v>
      </c>
      <c r="AL15" s="304">
        <f>'peasant income details'!AN163</f>
        <v>0</v>
      </c>
      <c r="AM15" s="304">
        <f>'peasant income details'!AO163</f>
        <v>24.605504587155966</v>
      </c>
      <c r="AN15" s="304">
        <f>'peasant income details'!AP163</f>
        <v>27.25339366515837</v>
      </c>
      <c r="AO15" s="304">
        <f>'peasant income details'!AQ163</f>
        <v>11.883495145631066</v>
      </c>
      <c r="AP15" s="304">
        <f>'peasant income details'!AR163</f>
        <v>36.989795918367349</v>
      </c>
      <c r="AQ15" s="304">
        <f>'peasant income details'!AS163</f>
        <v>6.6006711409395979</v>
      </c>
      <c r="AR15" s="304">
        <f>'peasant income details'!AT163</f>
        <v>30.415094339622645</v>
      </c>
      <c r="AS15" s="304">
        <f>'peasant income details'!AU163</f>
        <v>35.53405994550409</v>
      </c>
      <c r="AT15" s="304">
        <f>'peasant income details'!AV163</f>
        <v>25.978647686832741</v>
      </c>
      <c r="AU15" s="304">
        <f>'peasant income details'!AW163</f>
        <v>20.821052631578947</v>
      </c>
      <c r="AV15" s="304">
        <f>'peasant income details'!AX163</f>
        <v>6.375</v>
      </c>
      <c r="AW15" s="304">
        <f>'peasant income details'!AY163</f>
        <v>16.45067264573991</v>
      </c>
      <c r="AX15" s="304">
        <f>'peasant income details'!AZ163</f>
        <v>759.20873269435572</v>
      </c>
      <c r="AY15" s="304">
        <f>'peasant income details'!BA163</f>
        <v>373.30396475770925</v>
      </c>
      <c r="AZ15" s="304">
        <f>'peasant income details'!BB163</f>
        <v>436.87410926365794</v>
      </c>
      <c r="BA15" s="304">
        <f>'peasant income details'!BC163</f>
        <v>344.59937304075237</v>
      </c>
      <c r="BB15" s="304">
        <f>'peasant income details'!BD163</f>
        <v>4636.3230807380587</v>
      </c>
      <c r="BD15" s="334">
        <f>'peasant income details'!F258</f>
        <v>0</v>
      </c>
      <c r="BE15" s="334">
        <f>'peasant income details'!G258</f>
        <v>48632.300970278331</v>
      </c>
      <c r="BF15" s="334">
        <f>'peasant income details'!H258</f>
        <v>367827.48867322638</v>
      </c>
      <c r="BG15" s="334">
        <f>'peasant income details'!I258</f>
        <v>32717.291919417807</v>
      </c>
      <c r="BH15" s="334">
        <f>'peasant income details'!J258</f>
        <v>109457.80466480242</v>
      </c>
      <c r="BI15" s="334">
        <f>'peasant income details'!K258</f>
        <v>176894.97787052998</v>
      </c>
      <c r="BJ15" s="334">
        <f>'peasant income details'!L258</f>
        <v>8764.9386163036997</v>
      </c>
      <c r="BK15" s="334">
        <f>'peasant income details'!M258</f>
        <v>61294.363054626527</v>
      </c>
      <c r="BL15" s="334">
        <f>'peasant income details'!N258</f>
        <v>103796.95423208774</v>
      </c>
      <c r="BM15" s="334">
        <f>'peasant income details'!O258</f>
        <v>0</v>
      </c>
      <c r="BN15" s="334">
        <f>'peasant income details'!P258</f>
        <v>420697.00578754023</v>
      </c>
      <c r="BO15" s="334">
        <f>'peasant income details'!Q258</f>
        <v>58831.673908176948</v>
      </c>
      <c r="BP15" s="334">
        <f>'peasant income details'!R258</f>
        <v>169587.12486283493</v>
      </c>
      <c r="BQ15" s="334">
        <f>'peasant income details'!S258</f>
        <v>158952.97942967457</v>
      </c>
      <c r="BR15" s="334">
        <f>'peasant income details'!T258</f>
        <v>64456.854757273191</v>
      </c>
      <c r="BS15" s="334">
        <f>'peasant income details'!U258</f>
        <v>275330.10625056265</v>
      </c>
      <c r="BT15" s="334">
        <f>'peasant income details'!V258</f>
        <v>79019.569457759819</v>
      </c>
      <c r="BU15" s="334">
        <f>'peasant income details'!W258</f>
        <v>183723.03987161865</v>
      </c>
      <c r="BV15" s="334">
        <f>'peasant income details'!X258</f>
        <v>205234.21503223776</v>
      </c>
      <c r="BW15" s="334">
        <f>'peasant income details'!Y258</f>
        <v>91047.44522103334</v>
      </c>
      <c r="BX15" s="334">
        <f>'peasant income details'!Z258</f>
        <v>293756.7861160101</v>
      </c>
      <c r="BY15" s="334">
        <f>'peasant income details'!AA258</f>
        <v>354970.99745091482</v>
      </c>
      <c r="BZ15" s="334">
        <f>'peasant income details'!AB258</f>
        <v>202897.11952134967</v>
      </c>
      <c r="CA15" s="334">
        <f>'peasant income details'!AC258</f>
        <v>156408.0094028259</v>
      </c>
      <c r="CB15" s="334">
        <f>'peasant income details'!AD258</f>
        <v>245542.54574870915</v>
      </c>
      <c r="CC15" s="334">
        <f>'peasant income details'!AE258</f>
        <v>230962.92235967278</v>
      </c>
      <c r="CD15" s="334">
        <f>'peasant income details'!AF258</f>
        <v>116236.6903948345</v>
      </c>
      <c r="CE15" s="334">
        <f>'peasant income details'!AG258</f>
        <v>281923.90021028346</v>
      </c>
      <c r="CF15" s="334">
        <f>'peasant income details'!AH258</f>
        <v>131982.28662068141</v>
      </c>
      <c r="CG15" s="334">
        <f>'peasant income details'!AI258</f>
        <v>683918.65787494089</v>
      </c>
      <c r="CH15" s="334">
        <f>'peasant income details'!AJ258</f>
        <v>480841.12101746316</v>
      </c>
      <c r="CI15" s="334">
        <f>'peasant income details'!AK258</f>
        <v>208696.53290287335</v>
      </c>
      <c r="CJ15" s="334">
        <f>'peasant income details'!AL258</f>
        <v>0</v>
      </c>
      <c r="CK15" s="334">
        <f>'peasant income details'!AM258</f>
        <v>0</v>
      </c>
      <c r="CL15" s="334">
        <f>'peasant income details'!AN258</f>
        <v>0</v>
      </c>
      <c r="CM15" s="334">
        <f>'peasant income details'!AO258</f>
        <v>57417.649692118561</v>
      </c>
      <c r="CN15" s="334">
        <f>'peasant income details'!AP258</f>
        <v>64874.056523173</v>
      </c>
      <c r="CO15" s="334">
        <f>'peasant income details'!AQ258</f>
        <v>28220.437794259902</v>
      </c>
      <c r="CP15" s="334">
        <f>'peasant income details'!AR258</f>
        <v>87639.748030542207</v>
      </c>
      <c r="CQ15" s="334">
        <f>'peasant income details'!AS258</f>
        <v>15819.599907466098</v>
      </c>
      <c r="CR15" s="334">
        <f>'peasant income details'!AT258</f>
        <v>73126.52795507625</v>
      </c>
      <c r="CS15" s="334">
        <f>'peasant income details'!AU258</f>
        <v>84818.845922527602</v>
      </c>
      <c r="CT15" s="334">
        <f>'peasant income details'!AV258</f>
        <v>62730.547356074669</v>
      </c>
      <c r="CU15" s="334">
        <f>'peasant income details'!AW258</f>
        <v>49711.244305076892</v>
      </c>
      <c r="CV15" s="334">
        <f>'peasant income details'!AX258</f>
        <v>16908.316012904157</v>
      </c>
      <c r="CW15" s="334">
        <f>'peasant income details'!AY258</f>
        <v>40406.157760756891</v>
      </c>
      <c r="CX15" s="334">
        <f>'peasant income details'!AZ258</f>
        <v>1712436.4782317793</v>
      </c>
      <c r="CY15" s="334">
        <f>'peasant income details'!BA258</f>
        <v>950642.47811307956</v>
      </c>
      <c r="CZ15" s="334">
        <f>'peasant income details'!BB258</f>
        <v>1085513.2189330328</v>
      </c>
      <c r="DA15" s="334">
        <f>'peasant income details'!BC258</f>
        <v>851312.62199618341</v>
      </c>
      <c r="DB15" s="334">
        <f>'peasant income details'!BD258</f>
        <v>11185981.632734595</v>
      </c>
      <c r="DD15" s="334"/>
      <c r="DE15" s="334">
        <f>'peasant income details'!G268</f>
        <v>2456.394466376486</v>
      </c>
      <c r="DF15" s="334">
        <f>'peasant income details'!H268</f>
        <v>2413.1978324189413</v>
      </c>
      <c r="DG15" s="334">
        <f>'peasant income details'!I268</f>
        <v>2776.9306413086101</v>
      </c>
      <c r="DH15" s="334">
        <f>'peasant income details'!J268</f>
        <v>2376.8481621924243</v>
      </c>
      <c r="DI15" s="334">
        <f>'peasant income details'!K268</f>
        <v>2288.7168426452458</v>
      </c>
      <c r="DJ15" s="334">
        <f>'peasant income details'!L268</f>
        <v>2337.3169643476531</v>
      </c>
      <c r="DK15" s="334">
        <f>'peasant income details'!M268</f>
        <v>2428.3285909619799</v>
      </c>
      <c r="DL15" s="334">
        <f>'peasant income details'!N268</f>
        <v>2519.7605441168889</v>
      </c>
      <c r="DM15" s="334"/>
      <c r="DN15" s="334">
        <f>'peasant income details'!P268</f>
        <v>2475.6926071101188</v>
      </c>
      <c r="DO15" s="334">
        <f>'peasant income details'!Q268</f>
        <v>2424.0052219228128</v>
      </c>
      <c r="DP15" s="334">
        <f>'peasant income details'!R268</f>
        <v>2387.5083605048239</v>
      </c>
      <c r="DQ15" s="334">
        <f>'peasant income details'!S268</f>
        <v>2401.932498351835</v>
      </c>
      <c r="DR15" s="334">
        <f>'peasant income details'!T268</f>
        <v>2388.4625934596938</v>
      </c>
      <c r="DS15" s="334">
        <f>'peasant income details'!U268</f>
        <v>2413.3967435613167</v>
      </c>
      <c r="DT15" s="334">
        <f>'peasant income details'!V268</f>
        <v>2346.9392170966498</v>
      </c>
      <c r="DU15" s="334">
        <f>'peasant income details'!W268</f>
        <v>2383.4340307669449</v>
      </c>
      <c r="DV15" s="334">
        <f>'peasant income details'!X268</f>
        <v>2350.1931611543937</v>
      </c>
      <c r="DW15" s="334">
        <f>'peasant income details'!Y268</f>
        <v>2387.0460580285035</v>
      </c>
      <c r="DX15" s="334">
        <f>'peasant income details'!Z268</f>
        <v>2463.7848637899237</v>
      </c>
      <c r="DY15" s="334">
        <f>'peasant income details'!AA268</f>
        <v>2463.5014271673349</v>
      </c>
      <c r="DZ15" s="334">
        <f>'peasant income details'!AB268</f>
        <v>2438.0758491706661</v>
      </c>
      <c r="EA15" s="334">
        <f>'peasant income details'!AC268</f>
        <v>2396.4531700048733</v>
      </c>
      <c r="EB15" s="334">
        <f>'peasant income details'!AD268</f>
        <v>2421.8915741526698</v>
      </c>
      <c r="EC15" s="334">
        <f>'peasant income details'!AE268</f>
        <v>2469.3616454632656</v>
      </c>
      <c r="ED15" s="334">
        <f>'peasant income details'!AF268</f>
        <v>2402.8256412368887</v>
      </c>
      <c r="EE15" s="334">
        <f>'peasant income details'!AG268</f>
        <v>2425.7702682200079</v>
      </c>
      <c r="EF15" s="334">
        <f>'peasant income details'!AH268</f>
        <v>2436.5960606895028</v>
      </c>
      <c r="EG15" s="334">
        <f>'peasant income details'!AI268</f>
        <v>2425.9488691817937</v>
      </c>
      <c r="EH15" s="334">
        <f>'peasant income details'!AJ268</f>
        <v>2405.6948447531154</v>
      </c>
      <c r="EI15" s="334">
        <f>'peasant income details'!AK268</f>
        <v>2429.0398946427022</v>
      </c>
      <c r="EJ15" s="334"/>
      <c r="EK15" s="334"/>
      <c r="EL15" s="334"/>
      <c r="EM15" s="334">
        <f>'peasant income details'!AO268</f>
        <v>2333.5286414768539</v>
      </c>
      <c r="EN15" s="334">
        <f>'peasant income details'!AP268</f>
        <v>2380.4028709316344</v>
      </c>
      <c r="EO15" s="334">
        <f>'peasant income details'!AQ268</f>
        <v>2374.7590627522632</v>
      </c>
      <c r="EP15" s="334">
        <f>'peasant income details'!AR268</f>
        <v>2369.2952571015549</v>
      </c>
      <c r="EQ15" s="334">
        <f>'peasant income details'!AS268</f>
        <v>2396.6653647305016</v>
      </c>
      <c r="ER15" s="334">
        <f>'peasant income details'!AT268</f>
        <v>2404.2841077041198</v>
      </c>
      <c r="ES15" s="334">
        <f>'peasant income details'!AU268</f>
        <v>2386.9731196662547</v>
      </c>
      <c r="ET15" s="334">
        <f>'peasant income details'!AV268</f>
        <v>2414.696411925614</v>
      </c>
      <c r="EU15" s="334">
        <f>'peasant income details'!AW268</f>
        <v>2387.547122842419</v>
      </c>
      <c r="EV15" s="334">
        <f>'peasant income details'!AX268</f>
        <v>2652.2848647692795</v>
      </c>
      <c r="EW15" s="334">
        <f>'peasant income details'!AY268</f>
        <v>2456.2009487934542</v>
      </c>
      <c r="EX15" s="334">
        <f>'peasant income details'!AZ268</f>
        <v>2255.5542428424314</v>
      </c>
      <c r="EY15" s="334">
        <f>'peasant income details'!BA268</f>
        <v>2546.5641082330549</v>
      </c>
      <c r="EZ15" s="334">
        <f>'peasant income details'!BB268</f>
        <v>2484.7277417346668</v>
      </c>
      <c r="FA15" s="334">
        <f>'peasant income details'!BC268</f>
        <v>2470.4415869482941</v>
      </c>
      <c r="FB15" s="334">
        <f>'peasant income details'!BD268</f>
        <v>2412.6838095489006</v>
      </c>
      <c r="FD15" s="23" t="s">
        <v>737</v>
      </c>
      <c r="FF15" s="371">
        <f t="shared" si="0"/>
        <v>4636.3230807380587</v>
      </c>
      <c r="FG15" s="371">
        <f t="shared" si="1"/>
        <v>11185981.632734595</v>
      </c>
      <c r="FH15" s="371">
        <f t="shared" si="2"/>
        <v>2412.6838095489006</v>
      </c>
    </row>
    <row r="16" spans="1:164">
      <c r="A16" s="202" t="s">
        <v>896</v>
      </c>
      <c r="B16" s="4">
        <v>8</v>
      </c>
      <c r="C16" s="9" t="s">
        <v>897</v>
      </c>
      <c r="D16" s="304">
        <f>'peasant income details'!F162</f>
        <v>0</v>
      </c>
      <c r="E16" s="304">
        <f>'peasant income details'!G162</f>
        <v>8.4</v>
      </c>
      <c r="F16" s="304">
        <f>'peasant income details'!H162</f>
        <v>46.095444685466376</v>
      </c>
      <c r="G16" s="304">
        <f>'peasant income details'!I162</f>
        <v>10</v>
      </c>
      <c r="H16" s="304">
        <f>'peasant income details'!J162</f>
        <v>6.2929936305732488</v>
      </c>
      <c r="I16" s="304">
        <f>'peasant income details'!K162</f>
        <v>36.840970350404312</v>
      </c>
      <c r="J16" s="304">
        <f>'peasant income details'!L162</f>
        <v>7.4249999999999998</v>
      </c>
      <c r="K16" s="304">
        <f>'peasant income details'!M162</f>
        <v>12.785714285714285</v>
      </c>
      <c r="L16" s="304">
        <f>'peasant income details'!N162</f>
        <v>12</v>
      </c>
      <c r="M16" s="304">
        <f>'peasant income details'!O162</f>
        <v>0</v>
      </c>
      <c r="N16" s="304">
        <f>'peasant income details'!P162</f>
        <v>127.37722419928825</v>
      </c>
      <c r="O16" s="304">
        <f>'peasant income details'!Q162</f>
        <v>3.0408163265306118</v>
      </c>
      <c r="P16" s="304">
        <f>'peasant income details'!R162</f>
        <v>33.478260869565219</v>
      </c>
      <c r="Q16" s="304">
        <f>'peasant income details'!S162</f>
        <v>42.172588832487307</v>
      </c>
      <c r="R16" s="304">
        <f>'peasant income details'!T162</f>
        <v>12.716666666666667</v>
      </c>
      <c r="S16" s="304">
        <f>'peasant income details'!U162</f>
        <v>90.917647058823533</v>
      </c>
      <c r="T16" s="304">
        <f>'peasant income details'!V162</f>
        <v>20.297872340425531</v>
      </c>
      <c r="U16" s="304">
        <f>'peasant income details'!W162</f>
        <v>20.314606741573034</v>
      </c>
      <c r="V16" s="304">
        <f>'peasant income details'!X162</f>
        <v>28.133333333333333</v>
      </c>
      <c r="W16" s="304">
        <f>'peasant income details'!Y162</f>
        <v>21.796296296296294</v>
      </c>
      <c r="X16" s="304">
        <f>'peasant income details'!Z162</f>
        <v>67.535836177474408</v>
      </c>
      <c r="Y16" s="304">
        <f>'peasant income details'!AA162</f>
        <v>58.801089918256132</v>
      </c>
      <c r="Z16" s="304">
        <f>'peasant income details'!AB162</f>
        <v>44.256756756756758</v>
      </c>
      <c r="AA16" s="304">
        <f>'peasant income details'!AC162</f>
        <v>29.383561643835616</v>
      </c>
      <c r="AB16" s="304">
        <f>'peasant income details'!AD162</f>
        <v>41.333333333333329</v>
      </c>
      <c r="AC16" s="304">
        <f>'peasant income details'!AE162</f>
        <v>89.931034482758619</v>
      </c>
      <c r="AD16" s="304">
        <f>'peasant income details'!AF162</f>
        <v>29.133689839572195</v>
      </c>
      <c r="AE16" s="304">
        <f>'peasant income details'!AG162</f>
        <v>61.024958402662236</v>
      </c>
      <c r="AF16" s="304">
        <f>'peasant income details'!AH162</f>
        <v>30.073170731707314</v>
      </c>
      <c r="AG16" s="304">
        <f>'peasant income details'!AI162</f>
        <v>113.75810473815463</v>
      </c>
      <c r="AH16" s="304">
        <f>'peasant income details'!AJ162</f>
        <v>103.77083333333334</v>
      </c>
      <c r="AI16" s="304">
        <f>'peasant income details'!AK162</f>
        <v>39.989690721649488</v>
      </c>
      <c r="AJ16" s="304">
        <f>'peasant income details'!AL162</f>
        <v>0</v>
      </c>
      <c r="AK16" s="304">
        <f>'peasant income details'!AM162</f>
        <v>0</v>
      </c>
      <c r="AL16" s="304">
        <f>'peasant income details'!AN162</f>
        <v>0</v>
      </c>
      <c r="AM16" s="304">
        <f>'peasant income details'!AO162</f>
        <v>14.795221843003413</v>
      </c>
      <c r="AN16" s="304">
        <f>'peasant income details'!AP162</f>
        <v>17.588357588357589</v>
      </c>
      <c r="AO16" s="304">
        <f>'peasant income details'!AQ162</f>
        <v>9.0476190476190474</v>
      </c>
      <c r="AP16" s="304">
        <f>'peasant income details'!AR162</f>
        <v>11.958456973293769</v>
      </c>
      <c r="AQ16" s="304">
        <f>'peasant income details'!AS162</f>
        <v>8.6424870466321249</v>
      </c>
      <c r="AR16" s="304">
        <f>'peasant income details'!AT162</f>
        <v>13.611111111111111</v>
      </c>
      <c r="AS16" s="304">
        <f>'peasant income details'!AU162</f>
        <v>16.933333333333334</v>
      </c>
      <c r="AT16" s="304">
        <f>'peasant income details'!AV162</f>
        <v>17.062906724511933</v>
      </c>
      <c r="AU16" s="304">
        <f>'peasant income details'!AW162</f>
        <v>28.082706766917291</v>
      </c>
      <c r="AV16" s="304">
        <f>'peasant income details'!AX162</f>
        <v>7.764705882352942</v>
      </c>
      <c r="AW16" s="304">
        <f>'peasant income details'!AY162</f>
        <v>23.051051051051051</v>
      </c>
      <c r="AX16" s="304">
        <f>'peasant income details'!AZ162</f>
        <v>234.265306122449</v>
      </c>
      <c r="AY16" s="304">
        <f>'peasant income details'!BA162</f>
        <v>317.44504896626768</v>
      </c>
      <c r="AZ16" s="304">
        <f>'peasant income details'!BB162</f>
        <v>274.43262411347519</v>
      </c>
      <c r="BA16" s="304">
        <f>'peasant income details'!BC162</f>
        <v>377.85154975530179</v>
      </c>
      <c r="BB16" s="304">
        <f>'peasant income details'!BD162</f>
        <v>2621.6099820223194</v>
      </c>
      <c r="BD16" s="334">
        <f>'peasant income details'!F257</f>
        <v>0</v>
      </c>
      <c r="BE16" s="334">
        <f>'peasant income details'!G257</f>
        <v>34145.255553843672</v>
      </c>
      <c r="BF16" s="334">
        <f>'peasant income details'!H257</f>
        <v>189395.10542114478</v>
      </c>
      <c r="BG16" s="334">
        <f>'peasant income details'!I257</f>
        <v>39415.936413086107</v>
      </c>
      <c r="BH16" s="334">
        <f>'peasant income details'!J257</f>
        <v>25559.645867790205</v>
      </c>
      <c r="BI16" s="334">
        <f>'peasant income details'!K257</f>
        <v>155141.81838609092</v>
      </c>
      <c r="BJ16" s="334">
        <f>'peasant income details'!L257</f>
        <v>30722.757259245351</v>
      </c>
      <c r="BK16" s="334">
        <f>'peasant income details'!M257</f>
        <v>55177.619024581458</v>
      </c>
      <c r="BL16" s="334">
        <f>'peasant income details'!N257</f>
        <v>50408.442212522532</v>
      </c>
      <c r="BM16" s="334">
        <f>'peasant income details'!O257</f>
        <v>0</v>
      </c>
      <c r="BN16" s="334">
        <f>'peasant income details'!P257</f>
        <v>530131.49601418152</v>
      </c>
      <c r="BO16" s="334">
        <f>'peasant income details'!Q257</f>
        <v>12541.814537597646</v>
      </c>
      <c r="BP16" s="334">
        <f>'peasant income details'!R257</f>
        <v>134867.52833455629</v>
      </c>
      <c r="BQ16" s="334">
        <f>'peasant income details'!S257</f>
        <v>170609.78085129589</v>
      </c>
      <c r="BR16" s="334">
        <f>'peasant income details'!T257</f>
        <v>52068.058110167287</v>
      </c>
      <c r="BS16" s="334">
        <f>'peasant income details'!U257</f>
        <v>368260.14846774813</v>
      </c>
      <c r="BT16" s="334">
        <f>'peasant income details'!V257</f>
        <v>84421.019388354092</v>
      </c>
      <c r="BU16" s="334">
        <f>'peasant income details'!W257</f>
        <v>82138.809699962731</v>
      </c>
      <c r="BV16" s="334">
        <f>'peasant income details'!X257</f>
        <v>115820.87000467123</v>
      </c>
      <c r="BW16" s="334">
        <f>'peasant income details'!Y257</f>
        <v>85210.265574078134</v>
      </c>
      <c r="BX16" s="334">
        <f>'peasant income details'!Z257</f>
        <v>276063.12212562939</v>
      </c>
      <c r="BY16" s="334">
        <f>'peasant income details'!AA257</f>
        <v>244525.73153019519</v>
      </c>
      <c r="BZ16" s="334">
        <f>'peasant income details'!AB257</f>
        <v>181143.21996506141</v>
      </c>
      <c r="CA16" s="334">
        <f>'peasant income details'!AC257</f>
        <v>124455.64646881941</v>
      </c>
      <c r="CB16" s="334">
        <f>'peasant income details'!AD257</f>
        <v>165522.517185045</v>
      </c>
      <c r="CC16" s="334">
        <f>'peasant income details'!AE257</f>
        <v>369519.83613358939</v>
      </c>
      <c r="CD16" s="334">
        <f>'peasant income details'!AF257</f>
        <v>121905.11652567265</v>
      </c>
      <c r="CE16" s="334">
        <f>'peasant income details'!AG257</f>
        <v>250451.77262191547</v>
      </c>
      <c r="CF16" s="334">
        <f>'peasant income details'!AH257</f>
        <v>122815.2127186485</v>
      </c>
      <c r="CG16" s="334">
        <f>'peasant income details'!AI257</f>
        <v>468590.55368300981</v>
      </c>
      <c r="CH16" s="334">
        <f>'peasant income details'!AJ257</f>
        <v>429227.7493201606</v>
      </c>
      <c r="CI16" s="334">
        <f>'peasant income details'!AK257</f>
        <v>166545.8802262407</v>
      </c>
      <c r="CJ16" s="334">
        <f>'peasant income details'!AL257</f>
        <v>0</v>
      </c>
      <c r="CK16" s="334">
        <f>'peasant income details'!AM257</f>
        <v>0</v>
      </c>
      <c r="CL16" s="334">
        <f>'peasant income details'!AN257</f>
        <v>0</v>
      </c>
      <c r="CM16" s="334">
        <f>'peasant income details'!AO257</f>
        <v>59612.681119799294</v>
      </c>
      <c r="CN16" s="334">
        <f>'peasant income details'!AP257</f>
        <v>72555.917498568102</v>
      </c>
      <c r="CO16" s="334">
        <f>'peasant income details'!AQ257</f>
        <v>35559.032230204233</v>
      </c>
      <c r="CP16" s="334">
        <f>'peasant income details'!AR257</f>
        <v>48536.971409754697</v>
      </c>
      <c r="CQ16" s="334">
        <f>'peasant income details'!AS257</f>
        <v>36138.068308117829</v>
      </c>
      <c r="CR16" s="334">
        <f>'peasant income details'!AT257</f>
        <v>57810.983700429329</v>
      </c>
      <c r="CS16" s="334">
        <f>'peasant income details'!AU257</f>
        <v>70396.526814623503</v>
      </c>
      <c r="CT16" s="334">
        <f>'peasant income details'!AV257</f>
        <v>74345.964694498965</v>
      </c>
      <c r="CU16" s="334">
        <f>'peasant income details'!AW257</f>
        <v>121168.20784102597</v>
      </c>
      <c r="CV16" s="334">
        <f>'peasant income details'!AX257</f>
        <v>34611.105865262216</v>
      </c>
      <c r="CW16" s="334">
        <f>'peasant income details'!AY257</f>
        <v>96894.163331286225</v>
      </c>
      <c r="CX16" s="334">
        <f>'peasant income details'!AZ257</f>
        <v>871193.34100496001</v>
      </c>
      <c r="CY16" s="334">
        <f>'peasant income details'!BA257</f>
        <v>1355948.9257483722</v>
      </c>
      <c r="CZ16" s="334">
        <f>'peasant income details'!BB257</f>
        <v>1146303.8122656352</v>
      </c>
      <c r="DA16" s="334">
        <f>'peasant income details'!BC257</f>
        <v>1622249.2244280325</v>
      </c>
      <c r="DB16" s="334">
        <f>'peasant income details'!BD257</f>
        <v>10840127.655885477</v>
      </c>
      <c r="DD16" s="334"/>
      <c r="DE16" s="334">
        <f>'peasant income details'!G267</f>
        <v>4064.9113754575797</v>
      </c>
      <c r="DF16" s="334">
        <f>'peasant income details'!H267</f>
        <v>4108.7596987834231</v>
      </c>
      <c r="DG16" s="334">
        <f>'peasant income details'!I267</f>
        <v>3941.5936413086106</v>
      </c>
      <c r="DH16" s="334">
        <f>'peasant income details'!J267</f>
        <v>4061.6036449828562</v>
      </c>
      <c r="DI16" s="334">
        <f>'peasant income details'!K267</f>
        <v>4211.1219359993947</v>
      </c>
      <c r="DJ16" s="334">
        <f>'peasant income details'!L267</f>
        <v>4137.7450854202498</v>
      </c>
      <c r="DK16" s="334">
        <f>'peasant income details'!M267</f>
        <v>4315.5679684030192</v>
      </c>
      <c r="DL16" s="334">
        <f>'peasant income details'!N267</f>
        <v>4200.7035177102107</v>
      </c>
      <c r="DM16" s="334"/>
      <c r="DN16" s="334">
        <f>'peasant income details'!P267</f>
        <v>4161.9017791184033</v>
      </c>
      <c r="DO16" s="334">
        <f>'peasant income details'!Q267</f>
        <v>4124.4893445790922</v>
      </c>
      <c r="DP16" s="334">
        <f>'peasant income details'!R267</f>
        <v>4028.5105866166164</v>
      </c>
      <c r="DQ16" s="334">
        <f>'peasant income details'!S267</f>
        <v>4045.5135806096887</v>
      </c>
      <c r="DR16" s="334">
        <f>'peasant income details'!T267</f>
        <v>4094.4737701311105</v>
      </c>
      <c r="DS16" s="334">
        <f>'peasant income details'!U267</f>
        <v>4050.4804114594449</v>
      </c>
      <c r="DT16" s="334">
        <f>'peasant income details'!V267</f>
        <v>4159.1068252124132</v>
      </c>
      <c r="DU16" s="334">
        <f>'peasant income details'!W267</f>
        <v>4043.3374243897583</v>
      </c>
      <c r="DV16" s="334">
        <f>'peasant income details'!X267</f>
        <v>4116.855568886418</v>
      </c>
      <c r="DW16" s="334">
        <f>'peasant income details'!Y267</f>
        <v>3909.3919634666267</v>
      </c>
      <c r="DX16" s="334">
        <f>'peasant income details'!Z267</f>
        <v>4087.6538701642107</v>
      </c>
      <c r="DY16" s="334">
        <f>'peasant income details'!AA267</f>
        <v>4158.5237938638384</v>
      </c>
      <c r="DZ16" s="334">
        <f>'peasant income details'!AB267</f>
        <v>4093.0071076074942</v>
      </c>
      <c r="EA16" s="334">
        <f>'peasant income details'!AC267</f>
        <v>4235.5534695682127</v>
      </c>
      <c r="EB16" s="334">
        <f>'peasant income details'!AD267</f>
        <v>4004.5770286704442</v>
      </c>
      <c r="EC16" s="334">
        <f>'peasant income details'!AE267</f>
        <v>4108.9245582339308</v>
      </c>
      <c r="ED16" s="334">
        <f>'peasant income details'!AF267</f>
        <v>4184.334946824667</v>
      </c>
      <c r="EE16" s="334">
        <f>'peasant income details'!AG267</f>
        <v>4104.0875598694292</v>
      </c>
      <c r="EF16" s="334">
        <f>'peasant income details'!AH267</f>
        <v>4083.8797416582229</v>
      </c>
      <c r="EG16" s="334">
        <f>'peasant income details'!AI267</f>
        <v>4119.1839013281651</v>
      </c>
      <c r="EH16" s="334">
        <f>'peasant income details'!AJ267</f>
        <v>4136.3043500035546</v>
      </c>
      <c r="EI16" s="334">
        <f>'peasant income details'!AK267</f>
        <v>4164.7203871991096</v>
      </c>
      <c r="EJ16" s="334"/>
      <c r="EK16" s="334"/>
      <c r="EL16" s="334"/>
      <c r="EM16" s="334">
        <f>'peasant income details'!AO267</f>
        <v>4029.1846754558692</v>
      </c>
      <c r="EN16" s="334">
        <f>'peasant income details'!AP267</f>
        <v>4125.2241509233163</v>
      </c>
      <c r="EO16" s="334">
        <f>'peasant income details'!AQ267</f>
        <v>3930.2088254436258</v>
      </c>
      <c r="EP16" s="334">
        <f>'peasant income details'!AR267</f>
        <v>4058.798849897601</v>
      </c>
      <c r="EQ16" s="334">
        <f>'peasant income details'!AS267</f>
        <v>4181.4431555556002</v>
      </c>
      <c r="ER16" s="334">
        <f>'peasant income details'!AT267</f>
        <v>4247.3375779907265</v>
      </c>
      <c r="ES16" s="334">
        <f>'peasant income details'!AU267</f>
        <v>4157.2752055880019</v>
      </c>
      <c r="ET16" s="334">
        <f>'peasant income details'!AV267</f>
        <v>4357.168792799901</v>
      </c>
      <c r="EU16" s="334">
        <f>'peasant income details'!AW267</f>
        <v>4314.6912029066816</v>
      </c>
      <c r="EV16" s="334">
        <f>'peasant income details'!AX267</f>
        <v>4457.4909068898305</v>
      </c>
      <c r="EW16" s="334">
        <f>'peasant income details'!AY267</f>
        <v>4203.4596651013953</v>
      </c>
      <c r="EX16" s="334">
        <f>'peasant income details'!AZ267</f>
        <v>3718.8321029046988</v>
      </c>
      <c r="EY16" s="334">
        <f>'peasant income details'!BA267</f>
        <v>4271.4445544635282</v>
      </c>
      <c r="EZ16" s="334">
        <f>'peasant income details'!BB267</f>
        <v>4176.9954136052347</v>
      </c>
      <c r="FA16" s="334">
        <f>'peasant income details'!BC267</f>
        <v>4293.3507232631646</v>
      </c>
      <c r="FB16" s="334">
        <f>'peasant income details'!BD267</f>
        <v>4134.9124126859488</v>
      </c>
      <c r="FD16" s="23" t="s">
        <v>738</v>
      </c>
      <c r="FF16" s="371">
        <f t="shared" si="0"/>
        <v>2621.6099820223194</v>
      </c>
      <c r="FG16" s="371">
        <f t="shared" si="1"/>
        <v>10840127.655885477</v>
      </c>
      <c r="FH16" s="371">
        <f t="shared" si="2"/>
        <v>4134.9124126859488</v>
      </c>
    </row>
    <row r="17" spans="1:164">
      <c r="A17" s="202" t="s">
        <v>894</v>
      </c>
      <c r="B17" s="4">
        <v>9</v>
      </c>
      <c r="C17" s="9" t="s">
        <v>895</v>
      </c>
      <c r="D17" s="304">
        <f>'peasant income details'!F161</f>
        <v>0</v>
      </c>
      <c r="E17" s="304">
        <f>'peasant income details'!G161</f>
        <v>1.3333333333333333</v>
      </c>
      <c r="F17" s="304">
        <f>'peasant income details'!H161</f>
        <v>9.8181818181818183</v>
      </c>
      <c r="G17" s="304">
        <f>'peasant income details'!I161</f>
        <v>0</v>
      </c>
      <c r="H17" s="304">
        <f>'peasant income details'!J161</f>
        <v>2.1142857142857143</v>
      </c>
      <c r="I17" s="304">
        <f>'peasant income details'!K161</f>
        <v>11.503267973856209</v>
      </c>
      <c r="J17" s="304">
        <f>'peasant income details'!L161</f>
        <v>2.7857142857142856</v>
      </c>
      <c r="K17" s="304">
        <f>'peasant income details'!M161</f>
        <v>0.82558139534883723</v>
      </c>
      <c r="L17" s="304">
        <f>'peasant income details'!N161</f>
        <v>1.875</v>
      </c>
      <c r="M17" s="304">
        <f>'peasant income details'!O161</f>
        <v>0</v>
      </c>
      <c r="N17" s="304">
        <f>'peasant income details'!P161</f>
        <v>36.51136363636364</v>
      </c>
      <c r="O17" s="304">
        <f>'peasant income details'!Q161</f>
        <v>3.2352941176470589</v>
      </c>
      <c r="P17" s="304">
        <f>'peasant income details'!R161</f>
        <v>11.360655737704917</v>
      </c>
      <c r="Q17" s="304">
        <f>'peasant income details'!S161</f>
        <v>5.4653465346534649</v>
      </c>
      <c r="R17" s="304">
        <f>'peasant income details'!T161</f>
        <v>5.48780487804878</v>
      </c>
      <c r="S17" s="304">
        <f>'peasant income details'!U161</f>
        <v>21.71268656716418</v>
      </c>
      <c r="T17" s="304">
        <f>'peasant income details'!V161</f>
        <v>1.7058823529411764</v>
      </c>
      <c r="U17" s="304">
        <f>'peasant income details'!W161</f>
        <v>4.4822695035460995</v>
      </c>
      <c r="V17" s="304">
        <f>'peasant income details'!X161</f>
        <v>4.5161290322580641</v>
      </c>
      <c r="W17" s="304">
        <f>'peasant income details'!Y161</f>
        <v>0.91666666666666663</v>
      </c>
      <c r="X17" s="304">
        <f>'peasant income details'!Z161</f>
        <v>8.8706896551724146</v>
      </c>
      <c r="Y17" s="304">
        <f>'peasant income details'!AA161</f>
        <v>7.7712177121771218</v>
      </c>
      <c r="Z17" s="304">
        <f>'peasant income details'!AB161</f>
        <v>7.2025723472668801</v>
      </c>
      <c r="AA17" s="304">
        <f>'peasant income details'!AC161</f>
        <v>5.9090909090909092</v>
      </c>
      <c r="AB17" s="304">
        <f>'peasant income details'!AD161</f>
        <v>13.333333333333332</v>
      </c>
      <c r="AC17" s="304">
        <f>'peasant income details'!AE161</f>
        <v>23.047619047619047</v>
      </c>
      <c r="AD17" s="304">
        <f>'peasant income details'!AF161</f>
        <v>5.8947368421052628</v>
      </c>
      <c r="AE17" s="304">
        <f>'peasant income details'!AG161</f>
        <v>6.1805555555555554</v>
      </c>
      <c r="AF17" s="304">
        <f>'peasant income details'!AH161</f>
        <v>4.0461095100864553</v>
      </c>
      <c r="AG17" s="304">
        <f>'peasant income details'!AI161</f>
        <v>21.684887459807076</v>
      </c>
      <c r="AH17" s="304">
        <f>'peasant income details'!AJ161</f>
        <v>25.253012048192772</v>
      </c>
      <c r="AI17" s="304">
        <f>'peasant income details'!AK161</f>
        <v>7.2931034482758621</v>
      </c>
      <c r="AJ17" s="304">
        <f>'peasant income details'!AL161</f>
        <v>0</v>
      </c>
      <c r="AK17" s="304">
        <f>'peasant income details'!AM161</f>
        <v>0</v>
      </c>
      <c r="AL17" s="304">
        <f>'peasant income details'!AN161</f>
        <v>0</v>
      </c>
      <c r="AM17" s="304">
        <f>'peasant income details'!AO161</f>
        <v>3.6912751677852351</v>
      </c>
      <c r="AN17" s="304">
        <f>'peasant income details'!AP161</f>
        <v>3.1388888888888888</v>
      </c>
      <c r="AO17" s="304">
        <f>'peasant income details'!AQ161</f>
        <v>0.67592592592592593</v>
      </c>
      <c r="AP17" s="304">
        <f>'peasant income details'!AR161</f>
        <v>0</v>
      </c>
      <c r="AQ17" s="304">
        <f>'peasant income details'!AS161</f>
        <v>3.57</v>
      </c>
      <c r="AR17" s="304">
        <f>'peasant income details'!AT161</f>
        <v>0</v>
      </c>
      <c r="AS17" s="304">
        <f>'peasant income details'!AU161</f>
        <v>4.503968253968254</v>
      </c>
      <c r="AT17" s="304">
        <f>'peasant income details'!AV161</f>
        <v>4.2469879518072293</v>
      </c>
      <c r="AU17" s="304">
        <f>'peasant income details'!AW161</f>
        <v>7.9264705882352944</v>
      </c>
      <c r="AV17" s="304">
        <f>'peasant income details'!AX161</f>
        <v>6.16</v>
      </c>
      <c r="AW17" s="304">
        <f>'peasant income details'!AY161</f>
        <v>7.1166666666666671</v>
      </c>
      <c r="AX17" s="304">
        <f>'peasant income details'!AZ161</f>
        <v>32.609756097560975</v>
      </c>
      <c r="AY17" s="304">
        <f>'peasant income details'!BA161</f>
        <v>109.47517730496453</v>
      </c>
      <c r="AZ17" s="304">
        <f>'peasant income details'!BB161</f>
        <v>136.43046357615896</v>
      </c>
      <c r="BA17" s="304">
        <f>'peasant income details'!BC161</f>
        <v>162.33600000000001</v>
      </c>
      <c r="BB17" s="304">
        <f>'peasant income details'!BD161</f>
        <v>744.01797183835902</v>
      </c>
      <c r="BD17" s="334">
        <f>'peasant income details'!F256</f>
        <v>0</v>
      </c>
      <c r="BE17" s="334">
        <f>'peasant income details'!G256</f>
        <v>10739.576930225337</v>
      </c>
      <c r="BF17" s="334">
        <f>'peasant income details'!H256</f>
        <v>76099.074009440897</v>
      </c>
      <c r="BG17" s="334">
        <f>'peasant income details'!I256</f>
        <v>0</v>
      </c>
      <c r="BH17" s="334">
        <f>'peasant income details'!J256</f>
        <v>16477.528997604746</v>
      </c>
      <c r="BI17" s="334">
        <f>'peasant income details'!K256</f>
        <v>91566.311073698773</v>
      </c>
      <c r="BJ17" s="334">
        <f>'peasant income details'!L256</f>
        <v>22597.724601546055</v>
      </c>
      <c r="BK17" s="334">
        <f>'peasant income details'!M256</f>
        <v>6320.0340207204463</v>
      </c>
      <c r="BL17" s="334">
        <f>'peasant income details'!N256</f>
        <v>14319.003125441681</v>
      </c>
      <c r="BM17" s="334">
        <f>'peasant income details'!O256</f>
        <v>0</v>
      </c>
      <c r="BN17" s="334">
        <f>'peasant income details'!P256</f>
        <v>292959.5493768343</v>
      </c>
      <c r="BO17" s="334">
        <f>'peasant income details'!Q256</f>
        <v>26027.245882889692</v>
      </c>
      <c r="BP17" s="334">
        <f>'peasant income details'!R256</f>
        <v>88614.217411179125</v>
      </c>
      <c r="BQ17" s="334">
        <f>'peasant income details'!S256</f>
        <v>43515.702064695455</v>
      </c>
      <c r="BR17" s="334">
        <f>'peasant income details'!T256</f>
        <v>43468.106676374438</v>
      </c>
      <c r="BS17" s="334">
        <f>'peasant income details'!U256</f>
        <v>175235.2434200923</v>
      </c>
      <c r="BT17" s="334">
        <f>'peasant income details'!V256</f>
        <v>14089.83011165953</v>
      </c>
      <c r="BU17" s="334">
        <f>'peasant income details'!W256</f>
        <v>35502.102154298591</v>
      </c>
      <c r="BV17" s="334">
        <f>'peasant income details'!X256</f>
        <v>35669.708634962677</v>
      </c>
      <c r="BW17" s="334">
        <f>'peasant income details'!Y256</f>
        <v>6935.3611784876821</v>
      </c>
      <c r="BX17" s="334">
        <f>'peasant income details'!Z256</f>
        <v>69164.267452428656</v>
      </c>
      <c r="BY17" s="334">
        <f>'peasant income details'!AA256</f>
        <v>60009.130763823872</v>
      </c>
      <c r="BZ17" s="334">
        <f>'peasant income details'!AB256</f>
        <v>55868.004678885947</v>
      </c>
      <c r="CA17" s="334">
        <f>'peasant income details'!AC256</f>
        <v>47499.912591149317</v>
      </c>
      <c r="CB17" s="334">
        <f>'peasant income details'!AD256</f>
        <v>106506.6897659878</v>
      </c>
      <c r="CC17" s="334">
        <f>'peasant income details'!AE256</f>
        <v>185566.42373347018</v>
      </c>
      <c r="CD17" s="334">
        <f>'peasant income details'!AF256</f>
        <v>47463.262459076577</v>
      </c>
      <c r="CE17" s="334">
        <f>'peasant income details'!AG256</f>
        <v>49035.567633122468</v>
      </c>
      <c r="CF17" s="334">
        <f>'peasant income details'!AH256</f>
        <v>31134.820816153049</v>
      </c>
      <c r="CG17" s="334">
        <f>'peasant income details'!AI256</f>
        <v>171357.29894342387</v>
      </c>
      <c r="CH17" s="334">
        <f>'peasant income details'!AJ256</f>
        <v>205760.52486950785</v>
      </c>
      <c r="CI17" s="334">
        <f>'peasant income details'!AK256</f>
        <v>56979.658529779284</v>
      </c>
      <c r="CJ17" s="334">
        <f>'peasant income details'!AL256</f>
        <v>0</v>
      </c>
      <c r="CK17" s="334">
        <f>'peasant income details'!AM256</f>
        <v>0</v>
      </c>
      <c r="CL17" s="334">
        <f>'peasant income details'!AN256</f>
        <v>0</v>
      </c>
      <c r="CM17" s="334">
        <f>'peasant income details'!AO256</f>
        <v>28703.968606262166</v>
      </c>
      <c r="CN17" s="334">
        <f>'peasant income details'!AP256</f>
        <v>25090.314691867166</v>
      </c>
      <c r="CO17" s="334">
        <f>'peasant income details'!AQ256</f>
        <v>5214.2569017338974</v>
      </c>
      <c r="CP17" s="334">
        <f>'peasant income details'!AR256</f>
        <v>0</v>
      </c>
      <c r="CQ17" s="334">
        <f>'peasant income details'!AS256</f>
        <v>28879.326144028793</v>
      </c>
      <c r="CR17" s="334">
        <f>'peasant income details'!AT256</f>
        <v>0</v>
      </c>
      <c r="CS17" s="334">
        <f>'peasant income details'!AU256</f>
        <v>32873.284641511695</v>
      </c>
      <c r="CT17" s="334">
        <f>'peasant income details'!AV256</f>
        <v>33382.341085145439</v>
      </c>
      <c r="CU17" s="334">
        <f>'peasant income details'!AW256</f>
        <v>64388.252826264725</v>
      </c>
      <c r="CV17" s="334">
        <f>'peasant income details'!AX256</f>
        <v>54520.283668416676</v>
      </c>
      <c r="CW17" s="334">
        <f>'peasant income details'!AY256</f>
        <v>57579.638164781012</v>
      </c>
      <c r="CX17" s="334">
        <f>'peasant income details'!AZ256</f>
        <v>262767.53019295045</v>
      </c>
      <c r="CY17" s="334">
        <f>'peasant income details'!BA256</f>
        <v>890118.03126320464</v>
      </c>
      <c r="CZ17" s="334">
        <f>'peasant income details'!BB256</f>
        <v>1112325.6577422565</v>
      </c>
      <c r="DA17" s="334">
        <f>'peasant income details'!BC256</f>
        <v>1334580.0703635574</v>
      </c>
      <c r="DB17" s="334">
        <f>'peasant income details'!BD256</f>
        <v>6016904.8381989412</v>
      </c>
      <c r="DD17" s="334"/>
      <c r="DE17" s="334">
        <f>'peasant income details'!G266</f>
        <v>8054.6826976690036</v>
      </c>
      <c r="DF17" s="334">
        <f>'peasant income details'!H266</f>
        <v>7750.831612072684</v>
      </c>
      <c r="DG17" s="334"/>
      <c r="DH17" s="334">
        <f>'peasant income details'!J266</f>
        <v>7793.4258772454878</v>
      </c>
      <c r="DI17" s="334">
        <f>'peasant income details'!K266</f>
        <v>7960.0259058385864</v>
      </c>
      <c r="DJ17" s="334">
        <f>'peasant income details'!L266</f>
        <v>8112.0037031190968</v>
      </c>
      <c r="DK17" s="334">
        <f>'peasant income details'!M266</f>
        <v>7655.25247580223</v>
      </c>
      <c r="DL17" s="334">
        <f>'peasant income details'!N266</f>
        <v>7636.80166690223</v>
      </c>
      <c r="DM17" s="334"/>
      <c r="DN17" s="334">
        <f>'peasant income details'!P266</f>
        <v>8023.7909570997244</v>
      </c>
      <c r="DO17" s="334">
        <f>'peasant income details'!Q266</f>
        <v>8044.7850910749958</v>
      </c>
      <c r="DP17" s="334">
        <f>'peasant income details'!R266</f>
        <v>7800.0970592812801</v>
      </c>
      <c r="DQ17" s="334">
        <f>'peasant income details'!S266</f>
        <v>7962.1121531417411</v>
      </c>
      <c r="DR17" s="334">
        <f>'peasant income details'!T266</f>
        <v>7920.8549943615653</v>
      </c>
      <c r="DS17" s="334">
        <f>'peasant income details'!U266</f>
        <v>8070.6384665036494</v>
      </c>
      <c r="DT17" s="334">
        <f>'peasant income details'!V266</f>
        <v>8259.5555826969667</v>
      </c>
      <c r="DU17" s="334">
        <f>'peasant income details'!W266</f>
        <v>7920.5639299938312</v>
      </c>
      <c r="DV17" s="334">
        <f>'peasant income details'!X266</f>
        <v>7898.2926263131649</v>
      </c>
      <c r="DW17" s="334">
        <f>'peasant income details'!Y266</f>
        <v>7565.8485583501988</v>
      </c>
      <c r="DX17" s="334">
        <f>'peasant income details'!Z266</f>
        <v>7796.9436583884581</v>
      </c>
      <c r="DY17" s="334">
        <f>'peasant income details'!AA266</f>
        <v>7721.9726671397293</v>
      </c>
      <c r="DZ17" s="334">
        <f>'peasant income details'!AB266</f>
        <v>7756.6738638988982</v>
      </c>
      <c r="EA17" s="334">
        <f>'peasant income details'!AC266</f>
        <v>8038.4467461944996</v>
      </c>
      <c r="EB17" s="334">
        <f>'peasant income details'!AD266</f>
        <v>7988.0017324490855</v>
      </c>
      <c r="EC17" s="334">
        <f>'peasant income details'!AE266</f>
        <v>8051.4357405018054</v>
      </c>
      <c r="ED17" s="334">
        <f>'peasant income details'!AF266</f>
        <v>8051.8034528790622</v>
      </c>
      <c r="EE17" s="334">
        <f>'peasant income details'!AG266</f>
        <v>7933.8446507523995</v>
      </c>
      <c r="EF17" s="334">
        <f>'peasant income details'!AH266</f>
        <v>7695.0020108298495</v>
      </c>
      <c r="EG17" s="334">
        <f>'peasant income details'!AI266</f>
        <v>7902.1530206709404</v>
      </c>
      <c r="EH17" s="334">
        <f>'peasant income details'!AJ266</f>
        <v>8147.9597157295566</v>
      </c>
      <c r="EI17" s="334">
        <f>'peasant income details'!AK266</f>
        <v>7812.813699118673</v>
      </c>
      <c r="EJ17" s="334"/>
      <c r="EK17" s="334"/>
      <c r="EL17" s="334"/>
      <c r="EM17" s="334">
        <f>'peasant income details'!AO266</f>
        <v>7776.166040605568</v>
      </c>
      <c r="EN17" s="334">
        <f>'peasant income details'!AP266</f>
        <v>7993.3745920992742</v>
      </c>
      <c r="EO17" s="334">
        <f>'peasant income details'!AQ266</f>
        <v>7714.2430874967249</v>
      </c>
      <c r="EP17" s="334"/>
      <c r="EQ17" s="334">
        <f>'peasant income details'!AS266</f>
        <v>8089.4470991677299</v>
      </c>
      <c r="ER17" s="334"/>
      <c r="ES17" s="334">
        <f>'peasant income details'!AU266</f>
        <v>7298.7380878070016</v>
      </c>
      <c r="ET17" s="334">
        <f>'peasant income details'!AV266</f>
        <v>7860.2391774952375</v>
      </c>
      <c r="EU17" s="334">
        <f>'peasant income details'!AW266</f>
        <v>8123.193306467535</v>
      </c>
      <c r="EV17" s="334">
        <f>'peasant income details'!AX266</f>
        <v>8850.6954007169934</v>
      </c>
      <c r="EW17" s="334">
        <f>'peasant income details'!AY266</f>
        <v>8090.8156671823435</v>
      </c>
      <c r="EX17" s="334">
        <f>'peasant income details'!AZ266</f>
        <v>8057.9422123492659</v>
      </c>
      <c r="EY17" s="334">
        <f>'peasant income details'!BA266</f>
        <v>8130.7749681337045</v>
      </c>
      <c r="EZ17" s="334">
        <f>'peasant income details'!BB266</f>
        <v>8153.0592844561288</v>
      </c>
      <c r="FA17" s="334">
        <f>'peasant income details'!BC266</f>
        <v>8221.0974174770672</v>
      </c>
      <c r="FB17" s="334">
        <f>'peasant income details'!BD266</f>
        <v>8087.0423376092031</v>
      </c>
      <c r="FD17" s="23" t="s">
        <v>739</v>
      </c>
      <c r="FF17" s="371">
        <f t="shared" si="0"/>
        <v>744.01797183835902</v>
      </c>
      <c r="FG17" s="371">
        <f t="shared" si="1"/>
        <v>6016904.8381989412</v>
      </c>
      <c r="FH17" s="371">
        <f t="shared" si="2"/>
        <v>8087.0423376092031</v>
      </c>
    </row>
    <row r="18" spans="1:164">
      <c r="A18" s="202" t="s">
        <v>192</v>
      </c>
      <c r="B18" s="9">
        <v>10</v>
      </c>
      <c r="C18" s="9" t="s">
        <v>893</v>
      </c>
      <c r="D18" s="304">
        <f>'peasant income details'!F160</f>
        <v>0</v>
      </c>
      <c r="E18" s="304">
        <f>'peasant income details'!G160</f>
        <v>0</v>
      </c>
      <c r="F18" s="304">
        <f>'peasant income details'!H160</f>
        <v>4.0677966101694913</v>
      </c>
      <c r="G18" s="304">
        <f>'peasant income details'!I160</f>
        <v>0</v>
      </c>
      <c r="H18" s="304">
        <f>'peasant income details'!J160</f>
        <v>1.3913043478260869</v>
      </c>
      <c r="I18" s="304">
        <f>'peasant income details'!K160</f>
        <v>3.0952380952380949</v>
      </c>
      <c r="J18" s="304">
        <f>'peasant income details'!L160</f>
        <v>2.5</v>
      </c>
      <c r="K18" s="304">
        <f>'peasant income details'!M160</f>
        <v>1.0263157894736841</v>
      </c>
      <c r="L18" s="304">
        <f>'peasant income details'!N160</f>
        <v>0.44444444444444442</v>
      </c>
      <c r="M18" s="304">
        <f>'peasant income details'!O160</f>
        <v>0</v>
      </c>
      <c r="N18" s="304">
        <f>'peasant income details'!P160</f>
        <v>18.653543307086615</v>
      </c>
      <c r="O18" s="304">
        <f>'peasant income details'!Q160</f>
        <v>0</v>
      </c>
      <c r="P18" s="304">
        <f>'peasant income details'!R160</f>
        <v>1.8888888888888888</v>
      </c>
      <c r="Q18" s="304">
        <f>'peasant income details'!S160</f>
        <v>1</v>
      </c>
      <c r="R18" s="304">
        <f>'peasant income details'!T160</f>
        <v>0.64285714285714279</v>
      </c>
      <c r="S18" s="304">
        <f>'peasant income details'!U160</f>
        <v>4.8205128205128203</v>
      </c>
      <c r="T18" s="304">
        <f>'peasant income details'!V160</f>
        <v>3.375</v>
      </c>
      <c r="U18" s="304">
        <f>'peasant income details'!W160</f>
        <v>0</v>
      </c>
      <c r="V18" s="304">
        <f>'peasant income details'!X160</f>
        <v>0</v>
      </c>
      <c r="W18" s="304">
        <f>'peasant income details'!Y160</f>
        <v>0</v>
      </c>
      <c r="X18" s="304">
        <f>'peasant income details'!Z160</f>
        <v>2.2424242424242427</v>
      </c>
      <c r="Y18" s="304">
        <f>'peasant income details'!AA160</f>
        <v>2.5614035087719298</v>
      </c>
      <c r="Z18" s="304">
        <f>'peasant income details'!AB160</f>
        <v>2.7272727272727271</v>
      </c>
      <c r="AA18" s="304">
        <f>'peasant income details'!AC160</f>
        <v>0.96825396825396814</v>
      </c>
      <c r="AB18" s="304">
        <f>'peasant income details'!AD160</f>
        <v>8.9333333333333336</v>
      </c>
      <c r="AC18" s="304">
        <f>'peasant income details'!AE160</f>
        <v>8.9764705882352942</v>
      </c>
      <c r="AD18" s="304">
        <f>'peasant income details'!AF160</f>
        <v>0.86538461538461542</v>
      </c>
      <c r="AE18" s="304">
        <f>'peasant income details'!AG160</f>
        <v>0</v>
      </c>
      <c r="AF18" s="304">
        <f>'peasant income details'!AH160</f>
        <v>0</v>
      </c>
      <c r="AG18" s="304">
        <f>'peasant income details'!AI160</f>
        <v>5.4388489208633093</v>
      </c>
      <c r="AH18" s="304">
        <f>'peasant income details'!AJ160</f>
        <v>2.7755102040816326</v>
      </c>
      <c r="AI18" s="304">
        <f>'peasant income details'!AK160</f>
        <v>0</v>
      </c>
      <c r="AJ18" s="304">
        <f>'peasant income details'!AL160</f>
        <v>0</v>
      </c>
      <c r="AK18" s="304">
        <f>'peasant income details'!AM160</f>
        <v>0</v>
      </c>
      <c r="AL18" s="304">
        <f>'peasant income details'!AN160</f>
        <v>0</v>
      </c>
      <c r="AM18" s="304">
        <f>'peasant income details'!AO160</f>
        <v>1.380281690140845</v>
      </c>
      <c r="AN18" s="304">
        <f>'peasant income details'!AP160</f>
        <v>0</v>
      </c>
      <c r="AO18" s="304">
        <f>'peasant income details'!AQ160</f>
        <v>0</v>
      </c>
      <c r="AP18" s="304">
        <f>'peasant income details'!AR160</f>
        <v>0</v>
      </c>
      <c r="AQ18" s="304">
        <f>'peasant income details'!AS160</f>
        <v>0</v>
      </c>
      <c r="AR18" s="304">
        <f>'peasant income details'!AT160</f>
        <v>0</v>
      </c>
      <c r="AS18" s="304">
        <f>'peasant income details'!AU160</f>
        <v>0</v>
      </c>
      <c r="AT18" s="304">
        <f>'peasant income details'!AV160</f>
        <v>2.1084337349397591</v>
      </c>
      <c r="AU18" s="304">
        <f>'peasant income details'!AW160</f>
        <v>4.3962264150943398</v>
      </c>
      <c r="AV18" s="304">
        <f>'peasant income details'!AX160</f>
        <v>0</v>
      </c>
      <c r="AW18" s="304">
        <f>'peasant income details'!AY160</f>
        <v>4.6958333333333337</v>
      </c>
      <c r="AX18" s="304">
        <f>'peasant income details'!AZ160</f>
        <v>17.109375</v>
      </c>
      <c r="AY18" s="304">
        <f>'peasant income details'!BA160</f>
        <v>43.666666666666664</v>
      </c>
      <c r="AZ18" s="304">
        <f>'peasant income details'!BB160</f>
        <v>70.515789473684222</v>
      </c>
      <c r="BA18" s="304">
        <f>'peasant income details'!BC160</f>
        <v>51.702857142857141</v>
      </c>
      <c r="BB18" s="304">
        <f>'peasant income details'!BD160</f>
        <v>273.97026701183461</v>
      </c>
      <c r="BD18" s="334">
        <f>'peasant income details'!F255</f>
        <v>0</v>
      </c>
      <c r="BE18" s="334">
        <f>'peasant income details'!G255</f>
        <v>0</v>
      </c>
      <c r="BF18" s="334">
        <f>'peasant income details'!H255</f>
        <v>60931.414351613654</v>
      </c>
      <c r="BG18" s="334">
        <f>'peasant income details'!I255</f>
        <v>0</v>
      </c>
      <c r="BH18" s="334">
        <f>'peasant income details'!J255</f>
        <v>20899.836433309072</v>
      </c>
      <c r="BI18" s="334">
        <f>'peasant income details'!K255</f>
        <v>51801.860647569913</v>
      </c>
      <c r="BJ18" s="334">
        <f>'peasant income details'!L255</f>
        <v>37174.038747559774</v>
      </c>
      <c r="BK18" s="334">
        <f>'peasant income details'!M255</f>
        <v>15233.593466652566</v>
      </c>
      <c r="BL18" s="334">
        <f>'peasant income details'!N255</f>
        <v>5872.2226967075394</v>
      </c>
      <c r="BM18" s="334">
        <f>'peasant income details'!O255</f>
        <v>0</v>
      </c>
      <c r="BN18" s="334">
        <f>'peasant income details'!P255</f>
        <v>283287.32143755758</v>
      </c>
      <c r="BO18" s="334">
        <f>'peasant income details'!Q255</f>
        <v>0</v>
      </c>
      <c r="BP18" s="334">
        <f>'peasant income details'!R255</f>
        <v>27805.283595311215</v>
      </c>
      <c r="BQ18" s="334">
        <f>'peasant income details'!S255</f>
        <v>14630.688013328585</v>
      </c>
      <c r="BR18" s="334">
        <f>'peasant income details'!T255</f>
        <v>10094.304147995983</v>
      </c>
      <c r="BS18" s="334">
        <f>'peasant income details'!U255</f>
        <v>69991.899788011404</v>
      </c>
      <c r="BT18" s="334">
        <f>'peasant income details'!V255</f>
        <v>50223.276113430795</v>
      </c>
      <c r="BU18" s="334">
        <f>'peasant income details'!W255</f>
        <v>0</v>
      </c>
      <c r="BV18" s="334">
        <f>'peasant income details'!X255</f>
        <v>0</v>
      </c>
      <c r="BW18" s="334">
        <f>'peasant income details'!Y255</f>
        <v>0</v>
      </c>
      <c r="BX18" s="334">
        <f>'peasant income details'!Z255</f>
        <v>32502.186718811707</v>
      </c>
      <c r="BY18" s="334">
        <f>'peasant income details'!AA255</f>
        <v>36702.246464084034</v>
      </c>
      <c r="BZ18" s="334">
        <f>'peasant income details'!AB255</f>
        <v>37590.070950372909</v>
      </c>
      <c r="CA18" s="334">
        <f>'peasant income details'!AC255</f>
        <v>14273.50522858962</v>
      </c>
      <c r="CB18" s="334">
        <f>'peasant income details'!AD255</f>
        <v>130856.61428914308</v>
      </c>
      <c r="CC18" s="334">
        <f>'peasant income details'!AE255</f>
        <v>132841.90623505122</v>
      </c>
      <c r="CD18" s="334">
        <f>'peasant income details'!AF255</f>
        <v>13196.852962948551</v>
      </c>
      <c r="CE18" s="334">
        <f>'peasant income details'!AG255</f>
        <v>0</v>
      </c>
      <c r="CF18" s="334">
        <f>'peasant income details'!AH255</f>
        <v>0</v>
      </c>
      <c r="CG18" s="334">
        <f>'peasant income details'!AI255</f>
        <v>76970.121661753961</v>
      </c>
      <c r="CH18" s="334">
        <f>'peasant income details'!AJ255</f>
        <v>41431.746775620784</v>
      </c>
      <c r="CI18" s="334">
        <f>'peasant income details'!AK255</f>
        <v>0</v>
      </c>
      <c r="CJ18" s="334">
        <f>'peasant income details'!AL255</f>
        <v>0</v>
      </c>
      <c r="CK18" s="334">
        <f>'peasant income details'!AM255</f>
        <v>0</v>
      </c>
      <c r="CL18" s="334">
        <f>'peasant income details'!AN255</f>
        <v>0</v>
      </c>
      <c r="CM18" s="334">
        <f>'peasant income details'!AO255</f>
        <v>20298.266706937506</v>
      </c>
      <c r="CN18" s="334">
        <f>'peasant income details'!AP255</f>
        <v>0</v>
      </c>
      <c r="CO18" s="334">
        <f>'peasant income details'!AQ255</f>
        <v>0</v>
      </c>
      <c r="CP18" s="334">
        <f>'peasant income details'!AR255</f>
        <v>0</v>
      </c>
      <c r="CQ18" s="334">
        <f>'peasant income details'!AS255</f>
        <v>0</v>
      </c>
      <c r="CR18" s="334">
        <f>'peasant income details'!AT255</f>
        <v>0</v>
      </c>
      <c r="CS18" s="334">
        <f>'peasant income details'!AU255</f>
        <v>0</v>
      </c>
      <c r="CT18" s="334">
        <f>'peasant income details'!AV255</f>
        <v>30658.509498389634</v>
      </c>
      <c r="CU18" s="334">
        <f>'peasant income details'!AW255</f>
        <v>65925.399133068044</v>
      </c>
      <c r="CV18" s="334">
        <f>'peasant income details'!AX255</f>
        <v>0</v>
      </c>
      <c r="CW18" s="334">
        <f>'peasant income details'!AY255</f>
        <v>69829.728726880974</v>
      </c>
      <c r="CX18" s="334">
        <f>'peasant income details'!AZ255</f>
        <v>258654.31124004669</v>
      </c>
      <c r="CY18" s="334">
        <f>'peasant income details'!BA255</f>
        <v>629685.25954666256</v>
      </c>
      <c r="CZ18" s="334">
        <f>'peasant income details'!BB255</f>
        <v>1035927.3537185244</v>
      </c>
      <c r="DA18" s="334">
        <f>'peasant income details'!BC255</f>
        <v>777773.10925662541</v>
      </c>
      <c r="DB18" s="334">
        <f>'peasant income details'!BD255</f>
        <v>4053062.9285525596</v>
      </c>
      <c r="DD18" s="334"/>
      <c r="DE18" s="334"/>
      <c r="DF18" s="334">
        <f>'peasant income details'!H265</f>
        <v>14978.97269477169</v>
      </c>
      <c r="DG18" s="334"/>
      <c r="DH18" s="334">
        <f>'peasant income details'!J265</f>
        <v>15021.757436440896</v>
      </c>
      <c r="DI18" s="334">
        <f>'peasant income details'!K265</f>
        <v>16735.985747676434</v>
      </c>
      <c r="DJ18" s="334">
        <f>'peasant income details'!L265</f>
        <v>14869.61549902391</v>
      </c>
      <c r="DK18" s="334">
        <f>'peasant income details'!M265</f>
        <v>14842.98850596917</v>
      </c>
      <c r="DL18" s="334">
        <f>'peasant income details'!N265</f>
        <v>13212.501067591964</v>
      </c>
      <c r="DM18" s="334"/>
      <c r="DN18" s="334">
        <f>'peasant income details'!P265</f>
        <v>15186.783378037067</v>
      </c>
      <c r="DO18" s="334"/>
      <c r="DP18" s="334">
        <f>'peasant income details'!R265</f>
        <v>14720.444256341232</v>
      </c>
      <c r="DQ18" s="334">
        <f>'peasant income details'!S265</f>
        <v>14630.688013328585</v>
      </c>
      <c r="DR18" s="334">
        <f>'peasant income details'!T265</f>
        <v>15702.250896882642</v>
      </c>
      <c r="DS18" s="334">
        <f>'peasant income details'!U265</f>
        <v>14519.596232619388</v>
      </c>
      <c r="DT18" s="334">
        <f>'peasant income details'!V265</f>
        <v>14880.970700275791</v>
      </c>
      <c r="DU18" s="334"/>
      <c r="DV18" s="334"/>
      <c r="DW18" s="334"/>
      <c r="DX18" s="334">
        <f>'peasant income details'!Z265</f>
        <v>14494.218401632246</v>
      </c>
      <c r="DY18" s="334">
        <f>'peasant income details'!AA265</f>
        <v>14328.959235978013</v>
      </c>
      <c r="DZ18" s="334">
        <f>'peasant income details'!AB265</f>
        <v>13783.026015136735</v>
      </c>
      <c r="EA18" s="334">
        <f>'peasant income details'!AC265</f>
        <v>14741.489006576167</v>
      </c>
      <c r="EB18" s="334">
        <f>'peasant income details'!AD265</f>
        <v>14648.128465202582</v>
      </c>
      <c r="EC18" s="334">
        <f>'peasant income details'!AE265</f>
        <v>14798.901743092207</v>
      </c>
      <c r="ED18" s="334">
        <f>'peasant income details'!AF265</f>
        <v>15249.696757184991</v>
      </c>
      <c r="EE18" s="334"/>
      <c r="EF18" s="334"/>
      <c r="EG18" s="334">
        <f>'peasant income details'!AI265</f>
        <v>14151.913903417726</v>
      </c>
      <c r="EH18" s="334">
        <f>'peasant income details'!AJ265</f>
        <v>14927.614647098666</v>
      </c>
      <c r="EI18" s="334"/>
      <c r="EJ18" s="334"/>
      <c r="EK18" s="334"/>
      <c r="EL18" s="334"/>
      <c r="EM18" s="334">
        <f>'peasant income details'!AO265</f>
        <v>14705.887104005744</v>
      </c>
      <c r="EN18" s="334"/>
      <c r="EO18" s="334"/>
      <c r="EP18" s="334"/>
      <c r="EQ18" s="334"/>
      <c r="ER18" s="334"/>
      <c r="ES18" s="334"/>
      <c r="ET18" s="334">
        <f>'peasant income details'!AV265</f>
        <v>14540.893076379083</v>
      </c>
      <c r="EU18" s="334">
        <f>'peasant income details'!AW265</f>
        <v>14995.906240569126</v>
      </c>
      <c r="EV18" s="334"/>
      <c r="EW18" s="334">
        <f>'peasant income details'!AY265</f>
        <v>14870.572222228422</v>
      </c>
      <c r="EX18" s="334">
        <f>'peasant income details'!AZ265</f>
        <v>15117.694903527843</v>
      </c>
      <c r="EY18" s="334">
        <f>'peasant income details'!BA265</f>
        <v>14420.27311938922</v>
      </c>
      <c r="EZ18" s="334">
        <f>'peasant income details'!BB265</f>
        <v>14690.714823594537</v>
      </c>
      <c r="FA18" s="334">
        <f>'peasant income details'!BC265</f>
        <v>15043.135954897154</v>
      </c>
      <c r="FB18" s="334">
        <f>'peasant income details'!BD265</f>
        <v>14793.805812429568</v>
      </c>
      <c r="FD18" s="23" t="s">
        <v>740</v>
      </c>
      <c r="FF18" s="371">
        <f t="shared" si="0"/>
        <v>273.97026701183461</v>
      </c>
      <c r="FG18" s="371">
        <f t="shared" si="1"/>
        <v>4053062.9285525596</v>
      </c>
      <c r="FH18" s="371">
        <f t="shared" si="2"/>
        <v>14793.805812429568</v>
      </c>
    </row>
    <row r="19" spans="1:164">
      <c r="A19" s="202" t="s">
        <v>846</v>
      </c>
      <c r="B19" s="9">
        <v>11</v>
      </c>
      <c r="C19" s="9" t="s">
        <v>892</v>
      </c>
      <c r="D19" s="304">
        <f>'peasant income details'!F159</f>
        <v>0</v>
      </c>
      <c r="E19" s="304">
        <f>'peasant income details'!G159</f>
        <v>0</v>
      </c>
      <c r="F19" s="304">
        <f>'peasant income details'!H159</f>
        <v>1.4375</v>
      </c>
      <c r="G19" s="304">
        <f>'peasant income details'!I159</f>
        <v>0</v>
      </c>
      <c r="H19" s="304">
        <f>'peasant income details'!J159</f>
        <v>0</v>
      </c>
      <c r="I19" s="304">
        <f>'peasant income details'!K159</f>
        <v>0</v>
      </c>
      <c r="J19" s="304">
        <f>'peasant income details'!L159</f>
        <v>0</v>
      </c>
      <c r="K19" s="304">
        <f>'peasant income details'!M159</f>
        <v>0</v>
      </c>
      <c r="L19" s="304">
        <f>'peasant income details'!N159</f>
        <v>0</v>
      </c>
      <c r="M19" s="304">
        <f>'peasant income details'!O159</f>
        <v>0</v>
      </c>
      <c r="N19" s="304">
        <f>'peasant income details'!P159</f>
        <v>4.408163265306122</v>
      </c>
      <c r="O19" s="304">
        <f>'peasant income details'!Q159</f>
        <v>0</v>
      </c>
      <c r="P19" s="304">
        <f>'peasant income details'!R159</f>
        <v>0</v>
      </c>
      <c r="Q19" s="304">
        <f>'peasant income details'!S159</f>
        <v>0</v>
      </c>
      <c r="R19" s="304">
        <f>'peasant income details'!T159</f>
        <v>0</v>
      </c>
      <c r="S19" s="304">
        <f>'peasant income details'!U159</f>
        <v>1.5365853658536586</v>
      </c>
      <c r="T19" s="304">
        <f>'peasant income details'!V159</f>
        <v>1.75</v>
      </c>
      <c r="U19" s="304">
        <f>'peasant income details'!W159</f>
        <v>0</v>
      </c>
      <c r="V19" s="304">
        <f>'peasant income details'!X159</f>
        <v>1.5</v>
      </c>
      <c r="W19" s="304">
        <f>'peasant income details'!Y159</f>
        <v>0</v>
      </c>
      <c r="X19" s="304">
        <f>'peasant income details'!Z159</f>
        <v>0.9423076923076924</v>
      </c>
      <c r="Y19" s="304">
        <f>'peasant income details'!AA159</f>
        <v>0</v>
      </c>
      <c r="Z19" s="304">
        <f>'peasant income details'!AB159</f>
        <v>1.2222222222222221</v>
      </c>
      <c r="AA19" s="304">
        <f>'peasant income details'!AC159</f>
        <v>0</v>
      </c>
      <c r="AB19" s="304">
        <f>'peasant income details'!AD159</f>
        <v>0</v>
      </c>
      <c r="AC19" s="304">
        <f>'peasant income details'!AE159</f>
        <v>0.88571428571428568</v>
      </c>
      <c r="AD19" s="304">
        <f>'peasant income details'!AF159</f>
        <v>0</v>
      </c>
      <c r="AE19" s="304">
        <f>'peasant income details'!AG159</f>
        <v>2.5909090909090908</v>
      </c>
      <c r="AF19" s="304">
        <f>'peasant income details'!AH159</f>
        <v>0</v>
      </c>
      <c r="AG19" s="304">
        <f>'peasant income details'!AI159</f>
        <v>1.452054794520548</v>
      </c>
      <c r="AH19" s="304">
        <f>'peasant income details'!AJ159</f>
        <v>0</v>
      </c>
      <c r="AI19" s="304">
        <f>'peasant income details'!AK159</f>
        <v>0</v>
      </c>
      <c r="AJ19" s="304">
        <f>'peasant income details'!AL159</f>
        <v>0</v>
      </c>
      <c r="AK19" s="304">
        <f>'peasant income details'!AM159</f>
        <v>0</v>
      </c>
      <c r="AL19" s="304">
        <f>'peasant income details'!AN159</f>
        <v>0</v>
      </c>
      <c r="AM19" s="304">
        <f>'peasant income details'!AO159</f>
        <v>0</v>
      </c>
      <c r="AN19" s="304">
        <f>'peasant income details'!AP159</f>
        <v>0</v>
      </c>
      <c r="AO19" s="304">
        <f>'peasant income details'!AQ159</f>
        <v>0</v>
      </c>
      <c r="AP19" s="304">
        <f>'peasant income details'!AR159</f>
        <v>0</v>
      </c>
      <c r="AQ19" s="304">
        <f>'peasant income details'!AS159</f>
        <v>0</v>
      </c>
      <c r="AR19" s="304">
        <f>'peasant income details'!AT159</f>
        <v>0</v>
      </c>
      <c r="AS19" s="304">
        <f>'peasant income details'!AU159</f>
        <v>0</v>
      </c>
      <c r="AT19" s="304">
        <f>'peasant income details'!AV159</f>
        <v>0</v>
      </c>
      <c r="AU19" s="304">
        <f>'peasant income details'!AW159</f>
        <v>0</v>
      </c>
      <c r="AV19" s="304">
        <f>'peasant income details'!AX159</f>
        <v>0</v>
      </c>
      <c r="AW19" s="304">
        <f>'peasant income details'!AY159</f>
        <v>1.72</v>
      </c>
      <c r="AX19" s="304">
        <f>'peasant income details'!AZ159</f>
        <v>4.05</v>
      </c>
      <c r="AY19" s="304">
        <f>'peasant income details'!BA159</f>
        <v>10.327868852459016</v>
      </c>
      <c r="AZ19" s="304">
        <f>'peasant income details'!BB159</f>
        <v>30</v>
      </c>
      <c r="BA19" s="304">
        <f>'peasant income details'!BC159</f>
        <v>17.832167832167833</v>
      </c>
      <c r="BB19" s="304">
        <f>'peasant income details'!BD159</f>
        <v>81.655493401460461</v>
      </c>
      <c r="BD19" s="334">
        <f>'peasant income details'!F254</f>
        <v>0</v>
      </c>
      <c r="BE19" s="334">
        <f>'peasant income details'!G254</f>
        <v>0</v>
      </c>
      <c r="BF19" s="334">
        <f>'peasant income details'!H254</f>
        <v>45167.44880544972</v>
      </c>
      <c r="BG19" s="334">
        <f>'peasant income details'!I254</f>
        <v>0</v>
      </c>
      <c r="BH19" s="334">
        <f>'peasant income details'!J254</f>
        <v>0</v>
      </c>
      <c r="BI19" s="334">
        <f>'peasant income details'!K254</f>
        <v>0</v>
      </c>
      <c r="BJ19" s="334">
        <f>'peasant income details'!L254</f>
        <v>0</v>
      </c>
      <c r="BK19" s="334">
        <f>'peasant income details'!M254</f>
        <v>0</v>
      </c>
      <c r="BL19" s="334">
        <f>'peasant income details'!N254</f>
        <v>0</v>
      </c>
      <c r="BM19" s="334">
        <f>'peasant income details'!O254</f>
        <v>0</v>
      </c>
      <c r="BN19" s="334">
        <f>'peasant income details'!P254</f>
        <v>144768.13012541435</v>
      </c>
      <c r="BO19" s="334">
        <f>'peasant income details'!Q254</f>
        <v>0</v>
      </c>
      <c r="BP19" s="334">
        <f>'peasant income details'!R254</f>
        <v>0</v>
      </c>
      <c r="BQ19" s="334">
        <f>'peasant income details'!S254</f>
        <v>0</v>
      </c>
      <c r="BR19" s="334">
        <f>'peasant income details'!T254</f>
        <v>0</v>
      </c>
      <c r="BS19" s="334">
        <f>'peasant income details'!U254</f>
        <v>47133.070490465783</v>
      </c>
      <c r="BT19" s="334">
        <f>'peasant income details'!V254</f>
        <v>55591.888649030036</v>
      </c>
      <c r="BU19" s="334">
        <f>'peasant income details'!W254</f>
        <v>0</v>
      </c>
      <c r="BV19" s="334">
        <f>'peasant income details'!X254</f>
        <v>46404.22465375546</v>
      </c>
      <c r="BW19" s="334">
        <f>'peasant income details'!Y254</f>
        <v>0</v>
      </c>
      <c r="BX19" s="334">
        <f>'peasant income details'!Z254</f>
        <v>29926.528319122463</v>
      </c>
      <c r="BY19" s="334">
        <f>'peasant income details'!AA254</f>
        <v>0</v>
      </c>
      <c r="BZ19" s="334">
        <f>'peasant income details'!AB254</f>
        <v>38161.798611431987</v>
      </c>
      <c r="CA19" s="334">
        <f>'peasant income details'!AC254</f>
        <v>0</v>
      </c>
      <c r="CB19" s="334">
        <f>'peasant income details'!AD254</f>
        <v>0</v>
      </c>
      <c r="CC19" s="334">
        <f>'peasant income details'!AE254</f>
        <v>28679.024564963933</v>
      </c>
      <c r="CD19" s="334">
        <f>'peasant income details'!AF254</f>
        <v>0</v>
      </c>
      <c r="CE19" s="334">
        <f>'peasant income details'!AG254</f>
        <v>81065.589925059714</v>
      </c>
      <c r="CF19" s="334">
        <f>'peasant income details'!AH254</f>
        <v>0</v>
      </c>
      <c r="CG19" s="334">
        <f>'peasant income details'!AI254</f>
        <v>44357.891563091915</v>
      </c>
      <c r="CH19" s="334">
        <f>'peasant income details'!AJ254</f>
        <v>0</v>
      </c>
      <c r="CI19" s="334">
        <f>'peasant income details'!AK254</f>
        <v>0</v>
      </c>
      <c r="CJ19" s="334">
        <f>'peasant income details'!AL254</f>
        <v>0</v>
      </c>
      <c r="CK19" s="334">
        <f>'peasant income details'!AM254</f>
        <v>0</v>
      </c>
      <c r="CL19" s="334">
        <f>'peasant income details'!AN254</f>
        <v>0</v>
      </c>
      <c r="CM19" s="334">
        <f>'peasant income details'!AO254</f>
        <v>0</v>
      </c>
      <c r="CN19" s="334">
        <f>'peasant income details'!AP254</f>
        <v>0</v>
      </c>
      <c r="CO19" s="334">
        <f>'peasant income details'!AQ254</f>
        <v>0</v>
      </c>
      <c r="CP19" s="334">
        <f>'peasant income details'!AR254</f>
        <v>0</v>
      </c>
      <c r="CQ19" s="334">
        <f>'peasant income details'!AS254</f>
        <v>0</v>
      </c>
      <c r="CR19" s="334">
        <f>'peasant income details'!AT254</f>
        <v>0</v>
      </c>
      <c r="CS19" s="334">
        <f>'peasant income details'!AU254</f>
        <v>0</v>
      </c>
      <c r="CT19" s="334">
        <f>'peasant income details'!AV254</f>
        <v>0</v>
      </c>
      <c r="CU19" s="334">
        <f>'peasant income details'!AW254</f>
        <v>0</v>
      </c>
      <c r="CV19" s="334">
        <f>'peasant income details'!AX254</f>
        <v>0</v>
      </c>
      <c r="CW19" s="334">
        <f>'peasant income details'!AY254</f>
        <v>53313.847537717564</v>
      </c>
      <c r="CX19" s="334">
        <f>'peasant income details'!AZ254</f>
        <v>117370.05008566898</v>
      </c>
      <c r="CY19" s="334">
        <f>'peasant income details'!BA254</f>
        <v>292616.71768562146</v>
      </c>
      <c r="CZ19" s="334">
        <f>'peasant income details'!BB254</f>
        <v>885231.83312083979</v>
      </c>
      <c r="DA19" s="334">
        <f>'peasant income details'!BC254</f>
        <v>534894.18907499593</v>
      </c>
      <c r="DB19" s="334">
        <f>'peasant income details'!BD254</f>
        <v>2444682.2332126289</v>
      </c>
      <c r="DD19" s="334"/>
      <c r="DE19" s="334"/>
      <c r="DF19" s="334">
        <f>'peasant income details'!H264</f>
        <v>31420.833951617195</v>
      </c>
      <c r="DG19" s="334"/>
      <c r="DH19" s="334"/>
      <c r="DI19" s="334"/>
      <c r="DJ19" s="334"/>
      <c r="DK19" s="334"/>
      <c r="DL19" s="334"/>
      <c r="DM19" s="334"/>
      <c r="DN19" s="334">
        <f>'peasant income details'!P264</f>
        <v>32840.918408080113</v>
      </c>
      <c r="DO19" s="334"/>
      <c r="DP19" s="334"/>
      <c r="DQ19" s="334"/>
      <c r="DR19" s="334"/>
      <c r="DS19" s="334">
        <f>'peasant income details'!U264</f>
        <v>30673.903017604716</v>
      </c>
      <c r="DT19" s="334">
        <f>'peasant income details'!V264</f>
        <v>31766.793513731449</v>
      </c>
      <c r="DU19" s="334"/>
      <c r="DV19" s="334">
        <f>'peasant income details'!X264</f>
        <v>30936.149769170308</v>
      </c>
      <c r="DW19" s="334"/>
      <c r="DX19" s="334">
        <f>'peasant income details'!Z264</f>
        <v>31758.764746823836</v>
      </c>
      <c r="DY19" s="334"/>
      <c r="DZ19" s="334">
        <f>'peasant income details'!AB264</f>
        <v>31223.28977298981</v>
      </c>
      <c r="EA19" s="334"/>
      <c r="EB19" s="334"/>
      <c r="EC19" s="334">
        <f>'peasant income details'!AE264</f>
        <v>32379.543863668958</v>
      </c>
      <c r="ED19" s="334"/>
      <c r="EE19" s="334"/>
      <c r="EF19" s="334"/>
      <c r="EG19" s="334">
        <f>'peasant income details'!AI264</f>
        <v>30548.359284016129</v>
      </c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>
        <f>'peasant income details'!AY264</f>
        <v>30996.422987045094</v>
      </c>
      <c r="EX19" s="334">
        <f>'peasant income details'!AZ264</f>
        <v>28980.259280412094</v>
      </c>
      <c r="EY19" s="334">
        <f>'peasant income details'!BA264</f>
        <v>28332.729807655414</v>
      </c>
      <c r="EZ19" s="334">
        <f>'peasant income details'!BB264</f>
        <v>29507.727770694659</v>
      </c>
      <c r="FA19" s="334">
        <f>'peasant income details'!BC264</f>
        <v>29996.027073617417</v>
      </c>
      <c r="FB19" s="334">
        <f>'peasant income details'!BD264</f>
        <v>29938.980604688921</v>
      </c>
      <c r="FD19" s="23" t="s">
        <v>741</v>
      </c>
      <c r="FF19" s="371">
        <f t="shared" si="0"/>
        <v>81.655493401460461</v>
      </c>
      <c r="FG19" s="371">
        <f t="shared" si="1"/>
        <v>2444682.2332126289</v>
      </c>
      <c r="FH19" s="371">
        <f t="shared" si="2"/>
        <v>29938.980604688921</v>
      </c>
    </row>
    <row r="20" spans="1:164">
      <c r="A20" s="202" t="s">
        <v>844</v>
      </c>
      <c r="B20" s="9">
        <v>12</v>
      </c>
      <c r="C20" s="9" t="s">
        <v>845</v>
      </c>
      <c r="D20" s="304">
        <f>'peasant income details'!F158</f>
        <v>0</v>
      </c>
      <c r="E20" s="304">
        <f>'peasant income details'!G158</f>
        <v>0</v>
      </c>
      <c r="F20" s="304">
        <f>'peasant income details'!H158</f>
        <v>0.4375</v>
      </c>
      <c r="G20" s="304">
        <f>'peasant income details'!I158</f>
        <v>0</v>
      </c>
      <c r="H20" s="304">
        <f>'peasant income details'!J158</f>
        <v>0</v>
      </c>
      <c r="I20" s="304">
        <f>'peasant income details'!K158</f>
        <v>0</v>
      </c>
      <c r="J20" s="304">
        <f>'peasant income details'!L158</f>
        <v>0</v>
      </c>
      <c r="K20" s="304">
        <f>'peasant income details'!M158</f>
        <v>0</v>
      </c>
      <c r="L20" s="304">
        <f>'peasant income details'!N158</f>
        <v>0</v>
      </c>
      <c r="M20" s="304">
        <f>'peasant income details'!O158</f>
        <v>0</v>
      </c>
      <c r="N20" s="304">
        <f>'peasant income details'!P158</f>
        <v>1.5510204081632653</v>
      </c>
      <c r="O20" s="304">
        <f>'peasant income details'!Q158</f>
        <v>0</v>
      </c>
      <c r="P20" s="304">
        <f>'peasant income details'!R158</f>
        <v>0</v>
      </c>
      <c r="Q20" s="304">
        <f>'peasant income details'!S158</f>
        <v>0</v>
      </c>
      <c r="R20" s="304">
        <f>'peasant income details'!T158</f>
        <v>0</v>
      </c>
      <c r="S20" s="304">
        <f>'peasant income details'!U158</f>
        <v>0</v>
      </c>
      <c r="T20" s="304">
        <f>'peasant income details'!V158</f>
        <v>0</v>
      </c>
      <c r="U20" s="304">
        <f>'peasant income details'!W158</f>
        <v>0</v>
      </c>
      <c r="V20" s="304">
        <f>'peasant income details'!X158</f>
        <v>0</v>
      </c>
      <c r="W20" s="304">
        <f>'peasant income details'!Y158</f>
        <v>0</v>
      </c>
      <c r="X20" s="304">
        <f>'peasant income details'!Z158</f>
        <v>0</v>
      </c>
      <c r="Y20" s="304">
        <f>'peasant income details'!AA158</f>
        <v>0</v>
      </c>
      <c r="Z20" s="304">
        <f>'peasant income details'!AB158</f>
        <v>0</v>
      </c>
      <c r="AA20" s="304">
        <f>'peasant income details'!AC158</f>
        <v>0</v>
      </c>
      <c r="AB20" s="304">
        <f>'peasant income details'!AD158</f>
        <v>0</v>
      </c>
      <c r="AC20" s="304">
        <f>'peasant income details'!AE158</f>
        <v>0</v>
      </c>
      <c r="AD20" s="304">
        <f>'peasant income details'!AF158</f>
        <v>0</v>
      </c>
      <c r="AE20" s="304">
        <f>'peasant income details'!AG158</f>
        <v>0</v>
      </c>
      <c r="AF20" s="304">
        <f>'peasant income details'!AH158</f>
        <v>0</v>
      </c>
      <c r="AG20" s="304">
        <f>'peasant income details'!AI158</f>
        <v>0</v>
      </c>
      <c r="AH20" s="304">
        <f>'peasant income details'!AJ158</f>
        <v>0</v>
      </c>
      <c r="AI20" s="304">
        <f>'peasant income details'!AK158</f>
        <v>0</v>
      </c>
      <c r="AJ20" s="304">
        <f>'peasant income details'!AL158</f>
        <v>0</v>
      </c>
      <c r="AK20" s="304">
        <f>'peasant income details'!AM158</f>
        <v>0</v>
      </c>
      <c r="AL20" s="304">
        <f>'peasant income details'!AN158</f>
        <v>0</v>
      </c>
      <c r="AM20" s="304">
        <f>'peasant income details'!AO158</f>
        <v>0</v>
      </c>
      <c r="AN20" s="304">
        <f>'peasant income details'!AP158</f>
        <v>0</v>
      </c>
      <c r="AO20" s="304">
        <f>'peasant income details'!AQ158</f>
        <v>0</v>
      </c>
      <c r="AP20" s="304">
        <f>'peasant income details'!AR158</f>
        <v>0</v>
      </c>
      <c r="AQ20" s="304">
        <f>'peasant income details'!AS158</f>
        <v>0</v>
      </c>
      <c r="AR20" s="304">
        <f>'peasant income details'!AT158</f>
        <v>0</v>
      </c>
      <c r="AS20" s="304">
        <f>'peasant income details'!AU158</f>
        <v>0</v>
      </c>
      <c r="AT20" s="304">
        <f>'peasant income details'!AV158</f>
        <v>0</v>
      </c>
      <c r="AU20" s="304">
        <f>'peasant income details'!AW158</f>
        <v>0</v>
      </c>
      <c r="AV20" s="304">
        <f>'peasant income details'!AX158</f>
        <v>0</v>
      </c>
      <c r="AW20" s="304">
        <f>'peasant income details'!AY158</f>
        <v>0</v>
      </c>
      <c r="AX20" s="304">
        <f>'peasant income details'!AZ158</f>
        <v>0.8</v>
      </c>
      <c r="AY20" s="304">
        <f>'peasant income details'!BA158</f>
        <v>0.95121951219512202</v>
      </c>
      <c r="AZ20" s="304">
        <f>'peasant income details'!BB158</f>
        <v>3.9622641509433962</v>
      </c>
      <c r="BA20" s="304">
        <f>'peasant income details'!BC158</f>
        <v>0</v>
      </c>
      <c r="BB20" s="304">
        <f>'peasant income details'!BD158</f>
        <v>7.7020040713017828</v>
      </c>
      <c r="BD20" s="334">
        <f>'peasant income details'!F253</f>
        <v>0</v>
      </c>
      <c r="BE20" s="334">
        <f>'peasant income details'!G253</f>
        <v>0</v>
      </c>
      <c r="BF20" s="334">
        <f>'peasant income details'!H253</f>
        <v>53333.297788615135</v>
      </c>
      <c r="BG20" s="334">
        <f>'peasant income details'!I253</f>
        <v>0</v>
      </c>
      <c r="BH20" s="334">
        <f>'peasant income details'!J253</f>
        <v>0</v>
      </c>
      <c r="BI20" s="334">
        <f>'peasant income details'!K253</f>
        <v>0</v>
      </c>
      <c r="BJ20" s="334">
        <f>'peasant income details'!L253</f>
        <v>0</v>
      </c>
      <c r="BK20" s="334">
        <f>'peasant income details'!M253</f>
        <v>0</v>
      </c>
      <c r="BL20" s="334">
        <f>'peasant income details'!N253</f>
        <v>0</v>
      </c>
      <c r="BM20" s="334">
        <f>'peasant income details'!O253</f>
        <v>0</v>
      </c>
      <c r="BN20" s="334">
        <f>'peasant income details'!P253</f>
        <v>186481.43807511745</v>
      </c>
      <c r="BO20" s="334">
        <f>'peasant income details'!Q253</f>
        <v>0</v>
      </c>
      <c r="BP20" s="334">
        <f>'peasant income details'!R253</f>
        <v>0</v>
      </c>
      <c r="BQ20" s="334">
        <f>'peasant income details'!S253</f>
        <v>0</v>
      </c>
      <c r="BR20" s="334">
        <f>'peasant income details'!T253</f>
        <v>0</v>
      </c>
      <c r="BS20" s="334">
        <f>'peasant income details'!U253</f>
        <v>0</v>
      </c>
      <c r="BT20" s="334">
        <f>'peasant income details'!V253</f>
        <v>0</v>
      </c>
      <c r="BU20" s="334">
        <f>'peasant income details'!W253</f>
        <v>0</v>
      </c>
      <c r="BV20" s="334">
        <f>'peasant income details'!X253</f>
        <v>0</v>
      </c>
      <c r="BW20" s="334">
        <f>'peasant income details'!Y253</f>
        <v>0</v>
      </c>
      <c r="BX20" s="334">
        <f>'peasant income details'!Z253</f>
        <v>0</v>
      </c>
      <c r="BY20" s="334">
        <f>'peasant income details'!AA253</f>
        <v>0</v>
      </c>
      <c r="BZ20" s="334">
        <f>'peasant income details'!AB253</f>
        <v>0</v>
      </c>
      <c r="CA20" s="334">
        <f>'peasant income details'!AC253</f>
        <v>0</v>
      </c>
      <c r="CB20" s="334">
        <f>'peasant income details'!AD253</f>
        <v>0</v>
      </c>
      <c r="CC20" s="334">
        <f>'peasant income details'!AE253</f>
        <v>0</v>
      </c>
      <c r="CD20" s="334">
        <f>'peasant income details'!AF253</f>
        <v>0</v>
      </c>
      <c r="CE20" s="334">
        <f>'peasant income details'!AG253</f>
        <v>0</v>
      </c>
      <c r="CF20" s="334">
        <f>'peasant income details'!AH253</f>
        <v>0</v>
      </c>
      <c r="CG20" s="334">
        <f>'peasant income details'!AI253</f>
        <v>0</v>
      </c>
      <c r="CH20" s="334">
        <f>'peasant income details'!AJ253</f>
        <v>0</v>
      </c>
      <c r="CI20" s="334">
        <f>'peasant income details'!AK253</f>
        <v>0</v>
      </c>
      <c r="CJ20" s="334">
        <f>'peasant income details'!AL253</f>
        <v>0</v>
      </c>
      <c r="CK20" s="334">
        <f>'peasant income details'!AM253</f>
        <v>0</v>
      </c>
      <c r="CL20" s="334">
        <f>'peasant income details'!AN253</f>
        <v>0</v>
      </c>
      <c r="CM20" s="334">
        <f>'peasant income details'!AO253</f>
        <v>0</v>
      </c>
      <c r="CN20" s="334">
        <f>'peasant income details'!AP253</f>
        <v>0</v>
      </c>
      <c r="CO20" s="334">
        <f>'peasant income details'!AQ253</f>
        <v>0</v>
      </c>
      <c r="CP20" s="334">
        <f>'peasant income details'!AR253</f>
        <v>0</v>
      </c>
      <c r="CQ20" s="334">
        <f>'peasant income details'!AS253</f>
        <v>0</v>
      </c>
      <c r="CR20" s="334">
        <f>'peasant income details'!AT253</f>
        <v>0</v>
      </c>
      <c r="CS20" s="334">
        <f>'peasant income details'!AU253</f>
        <v>0</v>
      </c>
      <c r="CT20" s="334">
        <f>'peasant income details'!AV253</f>
        <v>0</v>
      </c>
      <c r="CU20" s="334">
        <f>'peasant income details'!AW253</f>
        <v>0</v>
      </c>
      <c r="CV20" s="334">
        <f>'peasant income details'!AX253</f>
        <v>0</v>
      </c>
      <c r="CW20" s="334">
        <f>'peasant income details'!AY253</f>
        <v>0</v>
      </c>
      <c r="CX20" s="334">
        <f>'peasant income details'!AZ253</f>
        <v>60078.351424329681</v>
      </c>
      <c r="CY20" s="334">
        <f>'peasant income details'!BA253</f>
        <v>96419.573440731459</v>
      </c>
      <c r="CZ20" s="334">
        <f>'peasant income details'!BB253</f>
        <v>500628.14305369579</v>
      </c>
      <c r="DA20" s="334">
        <f>'peasant income details'!BC253</f>
        <v>0</v>
      </c>
      <c r="DB20" s="334">
        <f>'peasant income details'!BD253</f>
        <v>896940.8037824895</v>
      </c>
      <c r="DD20" s="334"/>
      <c r="DE20" s="334"/>
      <c r="DF20" s="334">
        <f>'peasant income details'!H263</f>
        <v>121904.68065969173</v>
      </c>
      <c r="DG20" s="334"/>
      <c r="DH20" s="334"/>
      <c r="DI20" s="334"/>
      <c r="DJ20" s="334"/>
      <c r="DK20" s="334"/>
      <c r="DL20" s="334"/>
      <c r="DM20" s="334"/>
      <c r="DN20" s="334">
        <f>'peasant income details'!P263</f>
        <v>120231.4534957994</v>
      </c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>
        <f>'peasant income details'!AZ263</f>
        <v>75097.939280412102</v>
      </c>
      <c r="EY20" s="334">
        <f>'peasant income details'!BA263</f>
        <v>101364.16695051255</v>
      </c>
      <c r="EZ20" s="334">
        <f>'peasant income details'!BB263</f>
        <v>126349.00753259941</v>
      </c>
      <c r="FA20" s="334"/>
      <c r="FB20" s="334">
        <f>'peasant income details'!BD263</f>
        <v>116455.50891417403</v>
      </c>
      <c r="FD20" s="23" t="s">
        <v>838</v>
      </c>
      <c r="FF20" s="371">
        <f t="shared" si="0"/>
        <v>7.7020040713017828</v>
      </c>
      <c r="FG20" s="371">
        <f t="shared" si="1"/>
        <v>896940.8037824895</v>
      </c>
      <c r="FH20" s="371">
        <f t="shared" si="2"/>
        <v>116455.50891417403</v>
      </c>
    </row>
    <row r="21" spans="1:164" ht="16" thickBot="1">
      <c r="DB21" s="334"/>
      <c r="FF21" s="371"/>
      <c r="FG21" s="371"/>
      <c r="FH21" s="371"/>
    </row>
    <row r="22" spans="1:164" ht="16" thickBot="1">
      <c r="C22" s="6" t="s">
        <v>218</v>
      </c>
      <c r="D22" s="335">
        <f>SUM(D9:D20)</f>
        <v>66469.292273683968</v>
      </c>
      <c r="E22" s="335">
        <f t="shared" ref="E22:BP22" si="3">SUM(E9:E20)</f>
        <v>262991.43143617944</v>
      </c>
      <c r="F22" s="335">
        <f t="shared" si="3"/>
        <v>261622.76634142324</v>
      </c>
      <c r="G22" s="335">
        <f t="shared" si="3"/>
        <v>68496.135745651045</v>
      </c>
      <c r="H22" s="335">
        <f t="shared" si="3"/>
        <v>188537.67149195747</v>
      </c>
      <c r="I22" s="335">
        <f t="shared" si="3"/>
        <v>252490.00689875253</v>
      </c>
      <c r="J22" s="335">
        <f t="shared" si="3"/>
        <v>561346.82889298524</v>
      </c>
      <c r="K22" s="335">
        <f t="shared" si="3"/>
        <v>420780.16227649822</v>
      </c>
      <c r="L22" s="335">
        <f t="shared" si="3"/>
        <v>126505.20782507957</v>
      </c>
      <c r="M22" s="335">
        <f t="shared" si="3"/>
        <v>623305.00911565765</v>
      </c>
      <c r="N22" s="335">
        <f t="shared" si="3"/>
        <v>494431.25485610013</v>
      </c>
      <c r="O22" s="335">
        <f t="shared" si="3"/>
        <v>430729.31610143842</v>
      </c>
      <c r="P22" s="335">
        <f t="shared" si="3"/>
        <v>297648.08684826171</v>
      </c>
      <c r="Q22" s="335">
        <f t="shared" si="3"/>
        <v>198099.63254053806</v>
      </c>
      <c r="R22" s="335">
        <f t="shared" si="3"/>
        <v>280380.51781053847</v>
      </c>
      <c r="S22" s="335">
        <f t="shared" si="3"/>
        <v>319784.45599819662</v>
      </c>
      <c r="T22" s="335">
        <f t="shared" si="3"/>
        <v>321322.08501994557</v>
      </c>
      <c r="U22" s="335">
        <f t="shared" si="3"/>
        <v>253732.59605747409</v>
      </c>
      <c r="V22" s="335">
        <f t="shared" si="3"/>
        <v>349880.68179194932</v>
      </c>
      <c r="W22" s="335">
        <f t="shared" si="3"/>
        <v>218012.20535027713</v>
      </c>
      <c r="X22" s="335">
        <f t="shared" si="3"/>
        <v>448874.9975849145</v>
      </c>
      <c r="Y22" s="335">
        <f t="shared" si="3"/>
        <v>390997.66063974088</v>
      </c>
      <c r="Z22" s="335">
        <f t="shared" si="3"/>
        <v>338358.74720003374</v>
      </c>
      <c r="AA22" s="335">
        <f t="shared" si="3"/>
        <v>265429.93566914485</v>
      </c>
      <c r="AB22" s="335">
        <f t="shared" si="3"/>
        <v>303533.63039878581</v>
      </c>
      <c r="AC22" s="335">
        <f t="shared" si="3"/>
        <v>421079.21566656121</v>
      </c>
      <c r="AD22" s="335">
        <f t="shared" si="3"/>
        <v>288707.95942870068</v>
      </c>
      <c r="AE22" s="335">
        <f t="shared" si="3"/>
        <v>458799.00150694803</v>
      </c>
      <c r="AF22" s="335">
        <f t="shared" si="3"/>
        <v>239171.19292088284</v>
      </c>
      <c r="AG22" s="335">
        <f t="shared" si="3"/>
        <v>498733.16725996922</v>
      </c>
      <c r="AH22" s="335">
        <f t="shared" si="3"/>
        <v>421569.85319411644</v>
      </c>
      <c r="AI22" s="335">
        <f t="shared" si="3"/>
        <v>399345.97674567724</v>
      </c>
      <c r="AJ22" s="335">
        <f t="shared" si="3"/>
        <v>111198.50257398466</v>
      </c>
      <c r="AK22" s="335">
        <f t="shared" si="3"/>
        <v>229392.18198281366</v>
      </c>
      <c r="AL22" s="335">
        <f t="shared" si="3"/>
        <v>82681.383738602264</v>
      </c>
      <c r="AM22" s="335">
        <f t="shared" si="3"/>
        <v>224115.29910235049</v>
      </c>
      <c r="AN22" s="335">
        <f t="shared" si="3"/>
        <v>216861.27647235824</v>
      </c>
      <c r="AO22" s="335">
        <f t="shared" si="3"/>
        <v>215678.59690335882</v>
      </c>
      <c r="AP22" s="335">
        <f t="shared" si="3"/>
        <v>224400.73778192376</v>
      </c>
      <c r="AQ22" s="335">
        <f t="shared" si="3"/>
        <v>291258.19194036484</v>
      </c>
      <c r="AR22" s="335">
        <f t="shared" si="3"/>
        <v>200581.31233467534</v>
      </c>
      <c r="AS22" s="335">
        <f t="shared" si="3"/>
        <v>454257.59476921067</v>
      </c>
      <c r="AT22" s="335">
        <f t="shared" si="3"/>
        <v>582341.85054431669</v>
      </c>
      <c r="AU22" s="335">
        <f t="shared" si="3"/>
        <v>534784.59939926025</v>
      </c>
      <c r="AV22" s="335">
        <f t="shared" si="3"/>
        <v>67970.186835790941</v>
      </c>
      <c r="AW22" s="335">
        <f t="shared" si="3"/>
        <v>316427.73741516651</v>
      </c>
      <c r="AX22" s="335">
        <f t="shared" si="3"/>
        <v>243655.58526441132</v>
      </c>
      <c r="AY22" s="335">
        <f t="shared" si="3"/>
        <v>377088.44232710783</v>
      </c>
      <c r="AZ22" s="335">
        <f t="shared" si="3"/>
        <v>203410.377126248</v>
      </c>
      <c r="BA22" s="335">
        <f t="shared" si="3"/>
        <v>388037.75456370803</v>
      </c>
      <c r="BB22" s="335">
        <f t="shared" si="3"/>
        <v>15435308.293963712</v>
      </c>
      <c r="BD22" s="335">
        <f t="shared" si="3"/>
        <v>35274340.045574859</v>
      </c>
      <c r="BE22" s="335">
        <f t="shared" si="3"/>
        <v>125656770.81559677</v>
      </c>
      <c r="BF22" s="335">
        <f t="shared" si="3"/>
        <v>128476603.70845324</v>
      </c>
      <c r="BG22" s="335">
        <f t="shared" si="3"/>
        <v>56494749.075867049</v>
      </c>
      <c r="BH22" s="335">
        <f t="shared" si="3"/>
        <v>87124572.93441084</v>
      </c>
      <c r="BI22" s="335">
        <f t="shared" si="3"/>
        <v>113780135.20332895</v>
      </c>
      <c r="BJ22" s="335">
        <f t="shared" si="3"/>
        <v>224417018.22415411</v>
      </c>
      <c r="BK22" s="335">
        <f t="shared" si="3"/>
        <v>167064159.59193876</v>
      </c>
      <c r="BL22" s="335">
        <f t="shared" si="3"/>
        <v>49784751.455205575</v>
      </c>
      <c r="BM22" s="335">
        <f t="shared" si="3"/>
        <v>250165802.90879643</v>
      </c>
      <c r="BN22" s="335">
        <f t="shared" si="3"/>
        <v>198299924.2678141</v>
      </c>
      <c r="BO22" s="335">
        <f t="shared" si="3"/>
        <v>172676842.74014091</v>
      </c>
      <c r="BP22" s="335">
        <f t="shared" si="3"/>
        <v>143632590.56804752</v>
      </c>
      <c r="BQ22" s="335">
        <f t="shared" ref="BQ22:DB22" si="4">SUM(BQ9:BQ20)</f>
        <v>95406524.727267951</v>
      </c>
      <c r="BR22" s="335">
        <f t="shared" si="4"/>
        <v>133866354.34048615</v>
      </c>
      <c r="BS22" s="335">
        <f t="shared" si="4"/>
        <v>154900648.59877965</v>
      </c>
      <c r="BT22" s="335">
        <f t="shared" si="4"/>
        <v>153309170.08296049</v>
      </c>
      <c r="BU22" s="335">
        <f t="shared" si="4"/>
        <v>121840287.79599485</v>
      </c>
      <c r="BV22" s="335">
        <f t="shared" si="4"/>
        <v>168955795.66736355</v>
      </c>
      <c r="BW22" s="335">
        <f t="shared" si="4"/>
        <v>107221922.97243641</v>
      </c>
      <c r="BX22" s="335">
        <f t="shared" si="4"/>
        <v>201157947.0801518</v>
      </c>
      <c r="BY22" s="335">
        <f t="shared" si="4"/>
        <v>178081680.390946</v>
      </c>
      <c r="BZ22" s="335">
        <f t="shared" si="4"/>
        <v>163011747.48926294</v>
      </c>
      <c r="CA22" s="335">
        <f t="shared" si="4"/>
        <v>119064211.30766033</v>
      </c>
      <c r="CB22" s="335">
        <f t="shared" si="4"/>
        <v>145147140.3356204</v>
      </c>
      <c r="CC22" s="335">
        <f t="shared" si="4"/>
        <v>190190944.03665403</v>
      </c>
      <c r="CD22" s="335">
        <f t="shared" si="4"/>
        <v>129865244.22661306</v>
      </c>
      <c r="CE22" s="335">
        <f t="shared" si="4"/>
        <v>206466408.10462099</v>
      </c>
      <c r="CF22" s="335">
        <f t="shared" si="4"/>
        <v>99638097.364256427</v>
      </c>
      <c r="CG22" s="335">
        <f t="shared" si="4"/>
        <v>210120487.13589194</v>
      </c>
      <c r="CH22" s="335">
        <f t="shared" si="4"/>
        <v>175921520.03757152</v>
      </c>
      <c r="CI22" s="335">
        <f t="shared" si="4"/>
        <v>176031988.39782614</v>
      </c>
      <c r="CJ22" s="335">
        <f t="shared" si="4"/>
        <v>70500699.976496994</v>
      </c>
      <c r="CK22" s="335">
        <f t="shared" si="4"/>
        <v>114018857.60191029</v>
      </c>
      <c r="CL22" s="335">
        <f t="shared" si="4"/>
        <v>42510487.247404754</v>
      </c>
      <c r="CM22" s="335">
        <f t="shared" si="4"/>
        <v>107884153.53771847</v>
      </c>
      <c r="CN22" s="335">
        <f t="shared" si="4"/>
        <v>104196079.27551104</v>
      </c>
      <c r="CO22" s="335">
        <f t="shared" si="4"/>
        <v>103078894.18140118</v>
      </c>
      <c r="CP22" s="335">
        <f t="shared" si="4"/>
        <v>108211359.46893127</v>
      </c>
      <c r="CQ22" s="335">
        <f t="shared" si="4"/>
        <v>139293061.62142307</v>
      </c>
      <c r="CR22" s="335">
        <f t="shared" si="4"/>
        <v>96208337.060533702</v>
      </c>
      <c r="CS22" s="335">
        <f t="shared" si="4"/>
        <v>217447902.69187987</v>
      </c>
      <c r="CT22" s="335">
        <f t="shared" si="4"/>
        <v>261554480.60668397</v>
      </c>
      <c r="CU22" s="335">
        <f t="shared" si="4"/>
        <v>239157916.44506964</v>
      </c>
      <c r="CV22" s="335">
        <f t="shared" si="4"/>
        <v>29714929.413690858</v>
      </c>
      <c r="CW22" s="335">
        <f t="shared" si="4"/>
        <v>143764376.07633862</v>
      </c>
      <c r="CX22" s="335">
        <f t="shared" si="4"/>
        <v>112228966.01298442</v>
      </c>
      <c r="CY22" s="335">
        <f t="shared" si="4"/>
        <v>174550760.05966216</v>
      </c>
      <c r="CZ22" s="335">
        <f t="shared" si="4"/>
        <v>99671765.150697231</v>
      </c>
      <c r="DA22" s="335">
        <f t="shared" si="4"/>
        <v>180552089.2925598</v>
      </c>
      <c r="DB22" s="364">
        <f t="shared" si="4"/>
        <v>7027591497.3525906</v>
      </c>
      <c r="DD22" s="175">
        <f t="shared" ref="DD22:DX22" si="5">BD22/D22</f>
        <v>530.6862588567144</v>
      </c>
      <c r="DE22" s="175">
        <f t="shared" si="5"/>
        <v>477.79796523937364</v>
      </c>
      <c r="DF22" s="175">
        <f t="shared" si="5"/>
        <v>491.07577870646224</v>
      </c>
      <c r="DG22" s="175">
        <f t="shared" si="5"/>
        <v>824.78739071720577</v>
      </c>
      <c r="DH22" s="175">
        <f t="shared" si="5"/>
        <v>462.10697440446194</v>
      </c>
      <c r="DI22" s="175">
        <f t="shared" si="5"/>
        <v>450.63223135383066</v>
      </c>
      <c r="DJ22" s="175">
        <f t="shared" si="5"/>
        <v>399.78317623477091</v>
      </c>
      <c r="DK22" s="175">
        <f t="shared" si="5"/>
        <v>397.034305724136</v>
      </c>
      <c r="DL22" s="175">
        <f t="shared" si="5"/>
        <v>393.53914602506808</v>
      </c>
      <c r="DM22" s="175">
        <f t="shared" si="5"/>
        <v>401.353750170772</v>
      </c>
      <c r="DN22" s="175">
        <f t="shared" si="5"/>
        <v>401.06672529334247</v>
      </c>
      <c r="DO22" s="175">
        <f t="shared" si="5"/>
        <v>400.89410282785315</v>
      </c>
      <c r="DP22" s="175">
        <f t="shared" si="5"/>
        <v>482.55842021007214</v>
      </c>
      <c r="DQ22" s="175">
        <f t="shared" si="5"/>
        <v>481.60879201905868</v>
      </c>
      <c r="DR22" s="175">
        <f t="shared" si="5"/>
        <v>477.44527824484464</v>
      </c>
      <c r="DS22" s="175">
        <f t="shared" si="5"/>
        <v>484.39080040730056</v>
      </c>
      <c r="DT22" s="175">
        <f t="shared" si="5"/>
        <v>477.11992804180909</v>
      </c>
      <c r="DU22" s="175">
        <f t="shared" si="5"/>
        <v>480.19170453131795</v>
      </c>
      <c r="DV22" s="175">
        <f t="shared" si="5"/>
        <v>482.8954682551759</v>
      </c>
      <c r="DW22" s="175">
        <f t="shared" si="5"/>
        <v>491.81614763340639</v>
      </c>
      <c r="DX22" s="175">
        <f t="shared" si="5"/>
        <v>448.13800760221307</v>
      </c>
      <c r="DY22" s="175">
        <f t="shared" ref="DY22:FB22" si="6">BY22/Y22</f>
        <v>455.45459300082024</v>
      </c>
      <c r="DZ22" s="175">
        <f t="shared" si="6"/>
        <v>481.77193241849989</v>
      </c>
      <c r="EA22" s="175">
        <f t="shared" si="6"/>
        <v>448.57114932232963</v>
      </c>
      <c r="EB22" s="175">
        <f t="shared" si="6"/>
        <v>478.19129677632259</v>
      </c>
      <c r="EC22" s="175">
        <f t="shared" si="6"/>
        <v>451.67497459019677</v>
      </c>
      <c r="ED22" s="175">
        <f t="shared" si="6"/>
        <v>449.8152544307826</v>
      </c>
      <c r="EE22" s="175">
        <f t="shared" si="6"/>
        <v>450.01494647214111</v>
      </c>
      <c r="EF22" s="175">
        <f t="shared" si="6"/>
        <v>416.59740099726992</v>
      </c>
      <c r="EG22" s="175">
        <f t="shared" si="6"/>
        <v>421.30842889453294</v>
      </c>
      <c r="EH22" s="175">
        <f t="shared" si="6"/>
        <v>417.30099698700832</v>
      </c>
      <c r="EI22" s="175">
        <f t="shared" si="6"/>
        <v>440.80070577481189</v>
      </c>
      <c r="EJ22" s="175">
        <f t="shared" si="6"/>
        <v>634.00763809377872</v>
      </c>
      <c r="EK22" s="175">
        <f t="shared" si="6"/>
        <v>497.0477050105078</v>
      </c>
      <c r="EL22" s="175">
        <f t="shared" si="6"/>
        <v>514.14823174466869</v>
      </c>
      <c r="EM22" s="175">
        <f t="shared" si="6"/>
        <v>481.37790668386816</v>
      </c>
      <c r="EN22" s="175">
        <f t="shared" si="6"/>
        <v>480.47342047621015</v>
      </c>
      <c r="EO22" s="175">
        <f t="shared" si="6"/>
        <v>477.92824907697599</v>
      </c>
      <c r="EP22" s="175">
        <f t="shared" si="6"/>
        <v>482.2237241220339</v>
      </c>
      <c r="EQ22" s="175">
        <f t="shared" si="6"/>
        <v>478.24598749807302</v>
      </c>
      <c r="ER22" s="175">
        <f t="shared" si="6"/>
        <v>479.64756008778869</v>
      </c>
      <c r="ES22" s="175">
        <f t="shared" si="6"/>
        <v>478.68853530639609</v>
      </c>
      <c r="ET22" s="175">
        <f t="shared" si="6"/>
        <v>449.14251030079362</v>
      </c>
      <c r="EU22" s="175">
        <f t="shared" si="6"/>
        <v>447.2041953222344</v>
      </c>
      <c r="EV22" s="175">
        <f t="shared" si="6"/>
        <v>437.17592663794062</v>
      </c>
      <c r="EW22" s="175">
        <f t="shared" si="6"/>
        <v>454.33556884336502</v>
      </c>
      <c r="EX22" s="175">
        <f t="shared" si="6"/>
        <v>460.60493910367484</v>
      </c>
      <c r="EY22" s="175">
        <f t="shared" si="6"/>
        <v>462.89077167803242</v>
      </c>
      <c r="EZ22" s="175">
        <f t="shared" si="6"/>
        <v>490.00334475971835</v>
      </c>
      <c r="FA22" s="175">
        <f t="shared" si="6"/>
        <v>465.29516050716342</v>
      </c>
      <c r="FB22" s="175">
        <f t="shared" si="6"/>
        <v>455.29323830226781</v>
      </c>
      <c r="FD22" s="6" t="s">
        <v>218</v>
      </c>
      <c r="FF22" s="371">
        <f t="shared" si="0"/>
        <v>15435308.293963712</v>
      </c>
      <c r="FG22" s="371">
        <f t="shared" si="1"/>
        <v>7027591497.3525906</v>
      </c>
      <c r="FH22" s="371">
        <f t="shared" si="2"/>
        <v>455.29323830226781</v>
      </c>
    </row>
    <row r="23" spans="1:164">
      <c r="D23" s="390">
        <f>D22-'peasant income details'!F14</f>
        <v>0.355005588644417</v>
      </c>
      <c r="E23" s="390">
        <f>E22-'peasant income details'!G14</f>
        <v>1.0519615178927779</v>
      </c>
      <c r="F23" s="390">
        <f>F22-'peasant income details'!H14</f>
        <v>1.0464868794078939</v>
      </c>
      <c r="G23" s="390">
        <f>G22-'peasant income details'!I14</f>
        <v>0.27398344704124611</v>
      </c>
      <c r="H23" s="390">
        <f>H22-'peasant income details'!J14</f>
        <v>0.75414766938774846</v>
      </c>
      <c r="I23" s="390">
        <f>I22-'peasant income details'!K14</f>
        <v>1.0099559877708089</v>
      </c>
      <c r="J23" s="390">
        <f>J22-'peasant income details'!L14</f>
        <v>2.2453783340752125</v>
      </c>
      <c r="K23" s="390">
        <f>K22-'peasant income details'!M14</f>
        <v>1.6831139167188667</v>
      </c>
      <c r="L23" s="390">
        <f>L22-'peasant income details'!N14</f>
        <v>0.50601880720932968</v>
      </c>
      <c r="M23" s="390">
        <f>M22-'peasant income details'!O14</f>
        <v>2.4932100636651739</v>
      </c>
      <c r="N23" s="390">
        <f>N22-'peasant income details'!P14</f>
        <v>1.9777171086170711</v>
      </c>
      <c r="O23" s="390">
        <f>O22-'peasant income details'!Q14</f>
        <v>1.7229103727149777</v>
      </c>
      <c r="P23" s="390">
        <f>P22-'peasant income details'!R14</f>
        <v>1.1905875850352459</v>
      </c>
      <c r="Q23" s="390">
        <f>Q22-'peasant income details'!S14</f>
        <v>0.79239536056411453</v>
      </c>
      <c r="R23" s="390">
        <f>R22-'peasant income details'!T14</f>
        <v>1.1215175851830281</v>
      </c>
      <c r="S23" s="390">
        <f>S22-'peasant income details'!U14</f>
        <v>1.2791327075101435</v>
      </c>
      <c r="T23" s="390">
        <f>T22-'peasant income details'!V14</f>
        <v>1.2852831989875995</v>
      </c>
      <c r="U23" s="390">
        <f>U22-'peasant income details'!W14</f>
        <v>1.0149263245111797</v>
      </c>
      <c r="V23" s="390">
        <f>V22-'peasant income details'!X14</f>
        <v>1.3995171290589496</v>
      </c>
      <c r="W23" s="390">
        <f>W22-'peasant income details'!Y14</f>
        <v>0.8720453331770841</v>
      </c>
      <c r="X23" s="390">
        <f>X22-'peasant income details'!Z14</f>
        <v>1.7954928083927371</v>
      </c>
      <c r="Y23" s="390">
        <f>Y22-'peasant income details'!AA14</f>
        <v>1.5639843865646981</v>
      </c>
      <c r="Z23" s="390">
        <f>Z22-'peasant income details'!AB14</f>
        <v>1.3534295751014724</v>
      </c>
      <c r="AA23" s="390">
        <f>AA22-'peasant income details'!AC14</f>
        <v>1.0617154957726598</v>
      </c>
      <c r="AB23" s="390">
        <f>AB22-'peasant income details'!AD14</f>
        <v>1.2141296650515869</v>
      </c>
      <c r="AC23" s="390">
        <f>AC22-'peasant income details'!AE14</f>
        <v>1.6843101255362853</v>
      </c>
      <c r="AD23" s="390">
        <f>AD22-'peasant income details'!AF14</f>
        <v>1.1548272183863446</v>
      </c>
      <c r="AE23" s="390">
        <f>AE22-'peasant income details'!AG14</f>
        <v>1.8351886651944369</v>
      </c>
      <c r="AF23" s="390">
        <f>AF22-'peasant income details'!AH14</f>
        <v>0.95668094497523271</v>
      </c>
      <c r="AG23" s="390">
        <f>AG22-'peasant income details'!AI14</f>
        <v>1.994924689293839</v>
      </c>
      <c r="AH23" s="390">
        <f>AH22-'peasant income details'!AJ14</f>
        <v>1.6862726676627062</v>
      </c>
      <c r="AI23" s="390">
        <f>AI22-'peasant income details'!AK14</f>
        <v>1.5973775175516494</v>
      </c>
      <c r="AJ23" s="390">
        <f>AJ22-'peasant income details'!AL14</f>
        <v>0.50539780179678928</v>
      </c>
      <c r="AK23" s="390">
        <f>AK22-'peasant income details'!AM14</f>
        <v>0.91756505766534247</v>
      </c>
      <c r="AL23" s="390">
        <f>AL22-'peasant income details'!AN14</f>
        <v>0.33072421204997227</v>
      </c>
      <c r="AM23" s="390">
        <f>AM22-'peasant income details'!AO14</f>
        <v>0.89645761053543538</v>
      </c>
      <c r="AN23" s="390">
        <f>AN22-'peasant income details'!AP14</f>
        <v>0.86744163610273972</v>
      </c>
      <c r="AO23" s="390">
        <f>AO22-'peasant income details'!AQ14</f>
        <v>0.86271093672257848</v>
      </c>
      <c r="AP23" s="390">
        <f>AP22-'peasant income details'!AR14</f>
        <v>0.89759936070186086</v>
      </c>
      <c r="AQ23" s="390">
        <f>AQ22-'peasant income details'!AS14</f>
        <v>1.1650281077600084</v>
      </c>
      <c r="AR23" s="390">
        <f>AR22-'peasant income details'!AT14</f>
        <v>0.80232204005005769</v>
      </c>
      <c r="AS23" s="390">
        <f>AS22-'peasant income details'!AU14</f>
        <v>1.8170231109834276</v>
      </c>
      <c r="AT23" s="390">
        <f>AT22-'peasant income details'!AV14</f>
        <v>2.3293580848257989</v>
      </c>
      <c r="AU23" s="390">
        <f>AU22-'peasant income details'!AW14</f>
        <v>2.1391298410017043</v>
      </c>
      <c r="AV23" s="390">
        <f>AV22-'peasant income details'!AX14</f>
        <v>0.27187965982011519</v>
      </c>
      <c r="AW23" s="390">
        <f>AW22-'peasant income details'!AY14</f>
        <v>1.2657058868207969</v>
      </c>
      <c r="AX23" s="390">
        <f>AX22-'peasant income details'!AZ14</f>
        <v>0.97461844256031327</v>
      </c>
      <c r="AY23" s="390">
        <f>AY22-'peasant income details'!BA14</f>
        <v>1.5083477359148674</v>
      </c>
      <c r="AZ23" s="390">
        <f>AZ22-'peasant income details'!BB14</f>
        <v>0.81363825392327271</v>
      </c>
      <c r="BA23" s="390">
        <f>BA22-'peasant income details'!BC14</f>
        <v>1.5521448096842505</v>
      </c>
      <c r="BB23" s="390">
        <f>BB22-'peasant income details'!BD14</f>
        <v>61.890721257776022</v>
      </c>
    </row>
    <row r="24" spans="1:164" ht="17">
      <c r="C24" s="348" t="s">
        <v>184</v>
      </c>
      <c r="BD24" s="348" t="s">
        <v>114</v>
      </c>
    </row>
    <row r="25" spans="1:164">
      <c r="C25" s="6" t="s">
        <v>125</v>
      </c>
      <c r="D25" s="384">
        <f>0.25-SUM(D12:D20)/D22</f>
        <v>-2.5828006543553439E-3</v>
      </c>
      <c r="E25" s="384">
        <f t="shared" ref="E25:BB25" si="7">0.25-SUM(E12:E20)/E22</f>
        <v>5.0999796000872344E-5</v>
      </c>
      <c r="F25" s="384">
        <f t="shared" si="7"/>
        <v>5.0999796000789077E-5</v>
      </c>
      <c r="G25" s="384">
        <f t="shared" si="7"/>
        <v>5.0999796000789077E-5</v>
      </c>
      <c r="H25" s="384">
        <f t="shared" si="7"/>
        <v>5.0999796000844588E-5</v>
      </c>
      <c r="I25" s="384">
        <f t="shared" si="7"/>
        <v>5.0999796000761322E-5</v>
      </c>
      <c r="J25" s="384">
        <f t="shared" si="7"/>
        <v>5.0999796000872344E-5</v>
      </c>
      <c r="K25" s="384">
        <f t="shared" si="7"/>
        <v>5.0999796000844588E-5</v>
      </c>
      <c r="L25" s="384">
        <f t="shared" si="7"/>
        <v>5.0999796000789077E-5</v>
      </c>
      <c r="M25" s="384">
        <f t="shared" si="7"/>
        <v>5.0999796000844588E-5</v>
      </c>
      <c r="N25" s="384">
        <f t="shared" si="7"/>
        <v>5.0999796000872344E-5</v>
      </c>
      <c r="O25" s="384">
        <f t="shared" si="7"/>
        <v>5.0999796000816833E-5</v>
      </c>
      <c r="P25" s="384">
        <f t="shared" si="7"/>
        <v>5.0999796000789077E-5</v>
      </c>
      <c r="Q25" s="384">
        <f t="shared" si="7"/>
        <v>5.0999796000789077E-5</v>
      </c>
      <c r="R25" s="384">
        <f t="shared" si="7"/>
        <v>5.0999796000872344E-5</v>
      </c>
      <c r="S25" s="384">
        <f t="shared" si="7"/>
        <v>5.0999796000816833E-5</v>
      </c>
      <c r="T25" s="384">
        <f t="shared" si="7"/>
        <v>5.0999796000844588E-5</v>
      </c>
      <c r="U25" s="384">
        <f t="shared" si="7"/>
        <v>5.0999796000761322E-5</v>
      </c>
      <c r="V25" s="384">
        <f t="shared" si="7"/>
        <v>5.0999796000789077E-5</v>
      </c>
      <c r="W25" s="384">
        <f t="shared" si="7"/>
        <v>5.0999796000761322E-5</v>
      </c>
      <c r="X25" s="384">
        <f t="shared" si="7"/>
        <v>5.0999796000789077E-5</v>
      </c>
      <c r="Y25" s="384">
        <f t="shared" si="7"/>
        <v>5.0999796000789077E-5</v>
      </c>
      <c r="Z25" s="384">
        <f t="shared" si="7"/>
        <v>5.0999796000816833E-5</v>
      </c>
      <c r="AA25" s="384">
        <f t="shared" si="7"/>
        <v>5.0999796000816833E-5</v>
      </c>
      <c r="AB25" s="384">
        <f t="shared" si="7"/>
        <v>5.0999796000816833E-5</v>
      </c>
      <c r="AC25" s="384">
        <f t="shared" si="7"/>
        <v>5.0999796000872344E-5</v>
      </c>
      <c r="AD25" s="384">
        <f t="shared" si="7"/>
        <v>5.0999796000816833E-5</v>
      </c>
      <c r="AE25" s="384">
        <f t="shared" si="7"/>
        <v>5.0999796000761322E-5</v>
      </c>
      <c r="AF25" s="384">
        <f t="shared" si="7"/>
        <v>5.0999796000816833E-5</v>
      </c>
      <c r="AG25" s="384">
        <f t="shared" si="7"/>
        <v>5.0999796000816833E-5</v>
      </c>
      <c r="AH25" s="384">
        <f t="shared" si="7"/>
        <v>5.0999796000816833E-5</v>
      </c>
      <c r="AI25" s="384">
        <f t="shared" si="7"/>
        <v>5.0999796000872344E-5</v>
      </c>
      <c r="AJ25" s="384">
        <f t="shared" si="7"/>
        <v>-4.3289643777671971E-3</v>
      </c>
      <c r="AK25" s="384">
        <f t="shared" si="7"/>
        <v>5.0999796000816833E-5</v>
      </c>
      <c r="AL25" s="384">
        <f t="shared" si="7"/>
        <v>5.0999796000789077E-5</v>
      </c>
      <c r="AM25" s="384">
        <f t="shared" si="7"/>
        <v>5.0999796000761322E-5</v>
      </c>
      <c r="AN25" s="384">
        <f t="shared" si="7"/>
        <v>5.0999796000761322E-5</v>
      </c>
      <c r="AO25" s="384">
        <f t="shared" si="7"/>
        <v>5.0999796000761322E-5</v>
      </c>
      <c r="AP25" s="384">
        <f t="shared" si="7"/>
        <v>5.0999796000816833E-5</v>
      </c>
      <c r="AQ25" s="384">
        <f t="shared" si="7"/>
        <v>5.0999796000872344E-5</v>
      </c>
      <c r="AR25" s="384">
        <f t="shared" si="7"/>
        <v>5.0999796000816833E-5</v>
      </c>
      <c r="AS25" s="384">
        <f t="shared" si="7"/>
        <v>5.0999796000816833E-5</v>
      </c>
      <c r="AT25" s="384">
        <f t="shared" si="7"/>
        <v>5.0999796000844588E-5</v>
      </c>
      <c r="AU25" s="384">
        <f t="shared" si="7"/>
        <v>5.0999796000733566E-5</v>
      </c>
      <c r="AV25" s="384">
        <f t="shared" si="7"/>
        <v>5.0999796000789077E-5</v>
      </c>
      <c r="AW25" s="384">
        <f t="shared" si="7"/>
        <v>5.0999796000789077E-5</v>
      </c>
      <c r="AX25" s="384">
        <f t="shared" si="7"/>
        <v>5.0999796000761322E-5</v>
      </c>
      <c r="AY25" s="384">
        <f t="shared" si="7"/>
        <v>5.0999796000816833E-5</v>
      </c>
      <c r="AZ25" s="384">
        <f t="shared" si="7"/>
        <v>5.0999796000761322E-5</v>
      </c>
      <c r="BA25" s="384">
        <f t="shared" si="7"/>
        <v>5.0999796000844588E-5</v>
      </c>
      <c r="BB25" s="384">
        <f t="shared" si="7"/>
        <v>8.1038397447275035E-6</v>
      </c>
      <c r="FF25" s="405">
        <v>15399364</v>
      </c>
    </row>
    <row r="26" spans="1:164" s="29" customFormat="1"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</row>
    <row r="27" spans="1:164">
      <c r="C27" s="6" t="s">
        <v>127</v>
      </c>
      <c r="FF27" s="371">
        <f>FF22-FF25</f>
        <v>35944.293963711709</v>
      </c>
    </row>
    <row r="28" spans="1:164">
      <c r="C28" s="6" t="s">
        <v>180</v>
      </c>
    </row>
    <row r="29" spans="1:164">
      <c r="C29" s="6" t="s">
        <v>128</v>
      </c>
      <c r="BD29" s="9" t="s">
        <v>118</v>
      </c>
      <c r="BE29" s="23" t="s">
        <v>156</v>
      </c>
      <c r="BF29" s="6" t="s">
        <v>197</v>
      </c>
      <c r="CI29" s="9" t="s">
        <v>131</v>
      </c>
      <c r="CJ29" s="9" t="s">
        <v>185</v>
      </c>
      <c r="CZ29" s="9" t="s">
        <v>156</v>
      </c>
    </row>
    <row r="30" spans="1:164" ht="16" thickBot="1">
      <c r="C30" s="6" t="s">
        <v>174</v>
      </c>
      <c r="BD30" s="9" t="s">
        <v>113</v>
      </c>
      <c r="BE30" s="9" t="s">
        <v>113</v>
      </c>
      <c r="BF30" s="9" t="s">
        <v>113</v>
      </c>
      <c r="CI30" s="9" t="s">
        <v>113</v>
      </c>
      <c r="CJ30" s="9" t="s">
        <v>112</v>
      </c>
      <c r="CZ30" s="9" t="s">
        <v>112</v>
      </c>
    </row>
    <row r="31" spans="1:164" ht="16" thickBot="1">
      <c r="C31" s="6" t="s">
        <v>183</v>
      </c>
      <c r="D31" s="336">
        <f>D22/'peasant income details'!F24</f>
        <v>1.0000053409246972</v>
      </c>
      <c r="E31" s="336">
        <f>E22/'peasant income details'!G24</f>
        <v>1.0000039999999997</v>
      </c>
      <c r="F31" s="336">
        <f>F22/'peasant income details'!H24</f>
        <v>1.0000040000000001</v>
      </c>
      <c r="G31" s="336">
        <f>G22/'peasant income details'!I24</f>
        <v>1.0000039999999999</v>
      </c>
      <c r="H31" s="336">
        <f>H22/'peasant income details'!J24</f>
        <v>1.0000039999999999</v>
      </c>
      <c r="I31" s="336">
        <f>I22/'peasant income details'!K24</f>
        <v>1.0000039999999999</v>
      </c>
      <c r="J31" s="336">
        <f>J22/'peasant income details'!L24</f>
        <v>1.0000040000000001</v>
      </c>
      <c r="K31" s="336">
        <f>K22/'peasant income details'!M24</f>
        <v>1.0000040000000001</v>
      </c>
      <c r="L31" s="336">
        <f>L22/'peasant income details'!N24</f>
        <v>1.0000039999999999</v>
      </c>
      <c r="M31" s="336">
        <f>M22/'peasant income details'!O24</f>
        <v>1.0000039999999999</v>
      </c>
      <c r="N31" s="336">
        <f>N22/'peasant income details'!P24</f>
        <v>1.0000040000000001</v>
      </c>
      <c r="O31" s="336">
        <f>O22/'peasant income details'!Q24</f>
        <v>1.0000039999999999</v>
      </c>
      <c r="P31" s="336">
        <f>P22/'peasant income details'!R24</f>
        <v>1.0000039999999999</v>
      </c>
      <c r="Q31" s="336">
        <f>Q22/'peasant income details'!S24</f>
        <v>1.0000040000000001</v>
      </c>
      <c r="R31" s="336">
        <f>R22/'peasant income details'!T24</f>
        <v>1.0000040000000001</v>
      </c>
      <c r="S31" s="336">
        <f>S22/'peasant income details'!U24</f>
        <v>1.0000040000000001</v>
      </c>
      <c r="T31" s="336">
        <f>T22/'peasant income details'!V24</f>
        <v>1.0000039999999999</v>
      </c>
      <c r="U31" s="336">
        <f>U22/'peasant income details'!W24</f>
        <v>1.0000039999999999</v>
      </c>
      <c r="V31" s="336">
        <f>V22/'peasant income details'!X24</f>
        <v>1.0000039999999997</v>
      </c>
      <c r="W31" s="336">
        <f>W22/'peasant income details'!Y24</f>
        <v>1.0000039999999999</v>
      </c>
      <c r="X31" s="336">
        <f>X22/'peasant income details'!Z24</f>
        <v>1.0000039999999999</v>
      </c>
      <c r="Y31" s="336">
        <f>Y22/'peasant income details'!AA24</f>
        <v>1.0000039999999999</v>
      </c>
      <c r="Z31" s="336">
        <f>Z22/'peasant income details'!AB24</f>
        <v>1.0000039999999999</v>
      </c>
      <c r="AA31" s="336">
        <f>AA22/'peasant income details'!AC24</f>
        <v>1.0000039999999999</v>
      </c>
      <c r="AB31" s="336">
        <f>AB22/'peasant income details'!AD24</f>
        <v>1.0000039999999999</v>
      </c>
      <c r="AC31" s="336">
        <f>AC22/'peasant income details'!AE24</f>
        <v>1.0000040000000001</v>
      </c>
      <c r="AD31" s="336">
        <f>AD22/'peasant income details'!AF24</f>
        <v>1.0000039999999999</v>
      </c>
      <c r="AE31" s="336">
        <f>AE22/'peasant income details'!AG24</f>
        <v>1.0000039999999997</v>
      </c>
      <c r="AF31" s="336">
        <f>AF22/'peasant income details'!AH24</f>
        <v>1.0000040000000001</v>
      </c>
      <c r="AG31" s="336">
        <f>AG22/'peasant income details'!AI24</f>
        <v>1.0000039999999999</v>
      </c>
      <c r="AH31" s="336">
        <f>AH22/'peasant income details'!AJ24</f>
        <v>1.0000039999999999</v>
      </c>
      <c r="AI31" s="336">
        <f>AI22/'peasant income details'!AK24</f>
        <v>1.0000040000000001</v>
      </c>
      <c r="AJ31" s="336">
        <f>AJ22/'peasant income details'!AL24</f>
        <v>1.0000045450261212</v>
      </c>
      <c r="AK31" s="336">
        <f>AK22/'peasant income details'!AM24</f>
        <v>1.0000039999999999</v>
      </c>
      <c r="AL31" s="336">
        <f>AL22/'peasant income details'!AN24</f>
        <v>1.0000039999999999</v>
      </c>
      <c r="AM31" s="336">
        <f>AM22/'peasant income details'!AO24</f>
        <v>1.0000039999999999</v>
      </c>
      <c r="AN31" s="336">
        <f>AN22/'peasant income details'!AP24</f>
        <v>1.0000039999999999</v>
      </c>
      <c r="AO31" s="336">
        <f>AO22/'peasant income details'!AQ24</f>
        <v>1.0000039999999997</v>
      </c>
      <c r="AP31" s="336">
        <f>AP22/'peasant income details'!AR24</f>
        <v>1.0000039999999999</v>
      </c>
      <c r="AQ31" s="336">
        <f>AQ22/'peasant income details'!AS24</f>
        <v>1.0000040000000003</v>
      </c>
      <c r="AR31" s="336">
        <f>AR22/'peasant income details'!AT24</f>
        <v>1.0000040000000001</v>
      </c>
      <c r="AS31" s="336">
        <f>AS22/'peasant income details'!AU24</f>
        <v>1.0000039999999999</v>
      </c>
      <c r="AT31" s="336">
        <f>AT22/'peasant income details'!AV24</f>
        <v>1.0000040000000001</v>
      </c>
      <c r="AU31" s="336">
        <f>AU22/'peasant income details'!AW24</f>
        <v>1.0000039999999999</v>
      </c>
      <c r="AV31" s="336">
        <f>AV22/'peasant income details'!AX24</f>
        <v>1.0000039999999999</v>
      </c>
      <c r="AW31" s="336">
        <f>AW22/'peasant income details'!AY24</f>
        <v>1.0000039999999999</v>
      </c>
      <c r="AX31" s="336">
        <f>AX22/'peasant income details'!AZ24</f>
        <v>1.0000039999999999</v>
      </c>
      <c r="AY31" s="336">
        <f>AY22/'peasant income details'!BA24</f>
        <v>1.0000039999999999</v>
      </c>
      <c r="AZ31" s="336">
        <f>AZ22/'peasant income details'!BB24</f>
        <v>1.0000039999999997</v>
      </c>
      <c r="BA31" s="336">
        <f>BA22/'peasant income details'!BC24</f>
        <v>1.0000040000000001</v>
      </c>
      <c r="BB31" s="336">
        <f>BB22/'peasant income details'!BD24</f>
        <v>1.0023341115277762</v>
      </c>
      <c r="BD31" s="337">
        <f>BD22/'peasant income details'!F18</f>
        <v>1.1967216262271905</v>
      </c>
      <c r="BE31" s="339">
        <f>BE22/'peasant income details'!G18</f>
        <v>1.0774546762834107</v>
      </c>
      <c r="BF31" s="337">
        <f>BF22/'peasant income details'!H18</f>
        <v>1.1073967087986938</v>
      </c>
      <c r="BG31" s="392">
        <f>BG22/'peasant income details'!I18</f>
        <v>0.99968020767486609</v>
      </c>
      <c r="BH31" s="337">
        <f>BH22/'peasant income details'!J18</f>
        <v>1.042070826454486</v>
      </c>
      <c r="BI31" s="337">
        <f>BI22/'peasant income details'!K18</f>
        <v>1.0161947942012739</v>
      </c>
      <c r="BJ31" s="337">
        <f>BJ22/'peasant income details'!L18</f>
        <v>0.9947603724487819</v>
      </c>
      <c r="BK31" s="341">
        <f>BK22/'peasant income details'!M18</f>
        <v>0.98792049619704403</v>
      </c>
      <c r="BL31" s="337">
        <f>BL22/'peasant income details'!N18</f>
        <v>0.9792236660883874</v>
      </c>
      <c r="BM31" s="337">
        <f>BM22/'peasant income details'!O18</f>
        <v>0.99866835259004061</v>
      </c>
      <c r="BN31" s="337">
        <f>BN22/'peasant income details'!P18</f>
        <v>0.99795416302192785</v>
      </c>
      <c r="BO31" s="337">
        <f>BO22/'peasant income details'!Q18</f>
        <v>0.99752463522218249</v>
      </c>
      <c r="BP31" s="337">
        <f>BP22/'peasant income details'!R18</f>
        <v>0.99896736717295054</v>
      </c>
      <c r="BQ31" s="339">
        <f>BQ22/'peasant income details'!S18</f>
        <v>0.99700149623579637</v>
      </c>
      <c r="BR31" s="337">
        <f>BR22/'peasant income details'!T18</f>
        <v>0.98838240636186092</v>
      </c>
      <c r="BS31" s="337">
        <f>BS22/'peasant income details'!U18</f>
        <v>1.0027606654444599</v>
      </c>
      <c r="BT31" s="337">
        <f>BT22/'peasant income details'!V18</f>
        <v>0.9877088832771449</v>
      </c>
      <c r="BU31" s="337">
        <f>BU22/'peasant income details'!W18</f>
        <v>0.99406791535233396</v>
      </c>
      <c r="BV31" s="337">
        <f>BV22/'peasant income details'!X18</f>
        <v>0.99966510652248119</v>
      </c>
      <c r="BW31" s="337">
        <f>BW22/'peasant income details'!Y18</f>
        <v>1.018132233441509</v>
      </c>
      <c r="BX31" s="400">
        <f>BX22/'peasant income details'!Z18</f>
        <v>0.99000609083940916</v>
      </c>
      <c r="BY31" s="337">
        <f>BY22/'peasant income details'!AA18</f>
        <v>1.0061695583112358</v>
      </c>
      <c r="BZ31" s="337">
        <f>BZ22/'peasant income details'!AB18</f>
        <v>0.99733922101373806</v>
      </c>
      <c r="CA31" s="337">
        <f>CA22/'peasant income details'!AC18</f>
        <v>0.99096296781444271</v>
      </c>
      <c r="CB31" s="337">
        <f>CB22/'peasant income details'!AD18</f>
        <v>0.98992677516165994</v>
      </c>
      <c r="CC31" s="337">
        <f>CC22/'peasant income details'!AE18</f>
        <v>0.9978197973356232</v>
      </c>
      <c r="CD31" s="337">
        <f>CD22/'peasant income details'!AF18</f>
        <v>0.99371138819860749</v>
      </c>
      <c r="CE31" s="337">
        <f>CE22/'peasant income details'!AG18</f>
        <v>0.99415253876803755</v>
      </c>
      <c r="CF31" s="337">
        <f>CF22/'peasant income details'!AH18</f>
        <v>1.0154872427131043</v>
      </c>
      <c r="CG31" s="339">
        <f>CG22/'peasant income details'!AI18</f>
        <v>1.0269707246510231</v>
      </c>
      <c r="CH31" s="337">
        <f>CH22/'peasant income details'!AJ18</f>
        <v>1.017202310425704</v>
      </c>
      <c r="CI31" s="337">
        <f>CI22/'peasant income details'!AK18</f>
        <v>1.0744846036525983</v>
      </c>
      <c r="CJ31" s="337">
        <f>CJ22/'peasant income details'!AL18</f>
        <v>1.3124903838811504</v>
      </c>
      <c r="CK31" s="337">
        <f>CK22/'peasant income details'!AM18</f>
        <v>1.0289623316852454</v>
      </c>
      <c r="CL31" s="337">
        <f>CL22/'peasant income details'!AN18</f>
        <v>1.0643629535653043</v>
      </c>
      <c r="CM31" s="337">
        <f>CM22/'peasant income details'!AO18</f>
        <v>0.99652352941197886</v>
      </c>
      <c r="CN31" s="337">
        <f>CN22/'peasant income details'!AP18</f>
        <v>0.99465110906313292</v>
      </c>
      <c r="CO31" s="337">
        <f>CO22/'peasant income details'!AQ18</f>
        <v>0.98938222748276372</v>
      </c>
      <c r="CP31" s="337">
        <f>CP22/'peasant income details'!AR18</f>
        <v>0.99827449672272572</v>
      </c>
      <c r="CQ31" s="337">
        <f>CQ22/'peasant income details'!AS18</f>
        <v>0.99003999305202917</v>
      </c>
      <c r="CR31" s="337">
        <f>CR22/'peasant income details'!AT18</f>
        <v>0.99294145579977344</v>
      </c>
      <c r="CS31" s="337">
        <f>CS22/'peasant income details'!AU18</f>
        <v>0.99095613252947523</v>
      </c>
      <c r="CT31" s="337">
        <f>CT22/'peasant income details'!AV18</f>
        <v>0.99222519248441421</v>
      </c>
      <c r="CU31" s="337">
        <f>CU22/'peasant income details'!AW18</f>
        <v>0.9879431552499327</v>
      </c>
      <c r="CV31" s="337">
        <f>CV22/'peasant income details'!AX18</f>
        <v>0.96578916047688179</v>
      </c>
      <c r="CW31" s="337">
        <f>CW22/'peasant income details'!AY18</f>
        <v>1.0036974610713598</v>
      </c>
      <c r="CX31" s="337">
        <f>CX22/'peasant income details'!AZ18</f>
        <v>1.0175474685202783</v>
      </c>
      <c r="CY31" s="337">
        <f>CY22/'peasant income details'!BA18</f>
        <v>1.0225972258112552</v>
      </c>
      <c r="CZ31" s="337">
        <f>CZ22/'peasant income details'!BB18</f>
        <v>1.0824930883220367</v>
      </c>
      <c r="DA31" s="337">
        <f>DA22/'peasant income details'!BC18</f>
        <v>1.0279088921845723</v>
      </c>
      <c r="DB31" s="337">
        <f>DB22/'peasant income details'!BD18</f>
        <v>1.0100148657066987</v>
      </c>
    </row>
    <row r="32" spans="1:164">
      <c r="BE32" s="10"/>
      <c r="BK32" s="198"/>
      <c r="BQ32" s="10"/>
      <c r="BX32" s="343"/>
      <c r="CG32" s="10"/>
    </row>
    <row r="33" spans="3:106">
      <c r="C33" s="6" t="s">
        <v>175</v>
      </c>
      <c r="BA33" s="6" t="s">
        <v>175</v>
      </c>
      <c r="BE33" s="10"/>
      <c r="BK33" s="198"/>
      <c r="BQ33" s="10"/>
      <c r="BX33" s="343"/>
      <c r="CG33" s="10"/>
    </row>
    <row r="34" spans="3:106">
      <c r="C34" s="6" t="s">
        <v>176</v>
      </c>
      <c r="BA34" s="6" t="s">
        <v>176</v>
      </c>
      <c r="BE34" s="10"/>
      <c r="BK34" s="198"/>
      <c r="BQ34" s="10"/>
      <c r="BX34" s="343"/>
      <c r="CG34" s="10"/>
    </row>
    <row r="35" spans="3:106">
      <c r="C35" s="6" t="s">
        <v>177</v>
      </c>
      <c r="D35" s="20" t="s">
        <v>115</v>
      </c>
      <c r="BA35" s="6" t="s">
        <v>177</v>
      </c>
      <c r="BD35" s="338">
        <f>(BD22-SUM('peasant income details'!F243:F249))/'peasant income details'!F18</f>
        <v>1.1484285311799123</v>
      </c>
      <c r="BE35" s="340">
        <f>(BE22-SUM('peasant income details'!G243:G249))/'peasant income details'!G18</f>
        <v>1.0479322442448098</v>
      </c>
      <c r="BF35" s="338">
        <f>(BF22-SUM('peasant income details'!H243:H249))/'peasant income details'!H18</f>
        <v>1.0594791084933333</v>
      </c>
      <c r="BG35" s="338">
        <f>(BG22-SUM('peasant income details'!I243:I249))/'peasant income details'!I18</f>
        <v>0.99446735345735737</v>
      </c>
      <c r="BH35" s="338">
        <f>(BH22-SUM('peasant income details'!J243:J249))/'peasant income details'!J18</f>
        <v>1.0096913596934376</v>
      </c>
      <c r="BI35" s="338">
        <f>(BI22-SUM('peasant income details'!K243:K249))/'peasant income details'!K18</f>
        <v>1.0076979204238119</v>
      </c>
      <c r="BJ35" s="338">
        <f>(BJ22-SUM('peasant income details'!L243:L249))/'peasant income details'!L18</f>
        <v>0.99360181609810616</v>
      </c>
      <c r="BK35" s="342">
        <f>(BK22-SUM('peasant income details'!M243:M249))/'peasant income details'!M18</f>
        <v>0.98565622512678297</v>
      </c>
      <c r="BL35" s="338">
        <f>(BL22-SUM('peasant income details'!N243:N249))/'peasant income details'!N18</f>
        <v>0.96745595201853685</v>
      </c>
      <c r="BM35" s="338">
        <f>(BM22-SUM('peasant income details'!O243:O249))/'peasant income details'!O18</f>
        <v>0.99856381144324391</v>
      </c>
      <c r="BN35" s="338">
        <f>(BN22-SUM('peasant income details'!P243:P249))/'peasant income details'!P18</f>
        <v>0.98432093319165526</v>
      </c>
      <c r="BO35" s="338">
        <f>(BO22-SUM('peasant income details'!Q243:Q249))/'peasant income details'!Q18</f>
        <v>0.99418099519365755</v>
      </c>
      <c r="BP35" s="338">
        <f>(BP22-SUM('peasant income details'!R243:R249))/'peasant income details'!R18</f>
        <v>0.99202701344290956</v>
      </c>
      <c r="BQ35" s="340">
        <f>(BQ22-SUM('peasant income details'!S243:S249))/'peasant income details'!S18</f>
        <v>0.98212949104930702</v>
      </c>
      <c r="BR35" s="338">
        <f>(BR22-SUM('peasant income details'!T243:T249))/'peasant income details'!T18</f>
        <v>0.98029184141891157</v>
      </c>
      <c r="BS35" s="338">
        <f>(BS22-SUM('peasant income details'!U243:U249))/'peasant income details'!U18</f>
        <v>0.99450506768301483</v>
      </c>
      <c r="BT35" s="338">
        <f>(BT22-SUM('peasant income details'!V243:V249))/'peasant income details'!V18</f>
        <v>0.98027130238349136</v>
      </c>
      <c r="BU35" s="338">
        <f>(BU22-SUM('peasant income details'!W243:W249))/'peasant income details'!W18</f>
        <v>0.97888814891718645</v>
      </c>
      <c r="BV35" s="338">
        <f>(BV22-SUM('peasant income details'!X243:X249))/'peasant income details'!X18</f>
        <v>0.98389253908613661</v>
      </c>
      <c r="BW35" s="338">
        <f>(BW22-SUM('peasant income details'!Y243:Y249))/'peasant income details'!Y18</f>
        <v>0.99732181148267851</v>
      </c>
      <c r="BX35" s="344">
        <f>(BX22-SUM('peasant income details'!Z243:Z249))/'peasant income details'!Z18</f>
        <v>0.98314125580685907</v>
      </c>
      <c r="BY35" s="338">
        <f>(BY22-SUM('peasant income details'!AA243:AA249))/'peasant income details'!AA18</f>
        <v>0.98303971690894321</v>
      </c>
      <c r="BZ35" s="338">
        <f>(BZ22-SUM('peasant income details'!AB243:AB249))/'peasant income details'!AB18</f>
        <v>0.98527332176357885</v>
      </c>
      <c r="CA35" s="338">
        <f>(CA22-SUM('peasant income details'!AC243:AC249))/'peasant income details'!AC18</f>
        <v>0.98355643693396155</v>
      </c>
      <c r="CB35" s="338">
        <f>(CB22-SUM('peasant income details'!AD243:AD249))/'peasant income details'!AD18</f>
        <v>0.97659624139581147</v>
      </c>
      <c r="CC35" s="338">
        <f>(CC22-SUM('peasant income details'!AE243:AE249))/'peasant income details'!AE18</f>
        <v>0.98977496173521662</v>
      </c>
      <c r="CD35" s="338">
        <f>(CD22-SUM('peasant income details'!AF243:AF249))/'peasant income details'!AF18</f>
        <v>0.98747767386467045</v>
      </c>
      <c r="CE35" s="338">
        <f>(CE22-SUM('peasant income details'!AG243:AG249))/'peasant income details'!AG18</f>
        <v>0.98486176533588576</v>
      </c>
      <c r="CF35" s="338">
        <f>(CF22-SUM('peasant income details'!AH243:AH249))/'peasant income details'!AH18</f>
        <v>1.0028719181405685</v>
      </c>
      <c r="CG35" s="340">
        <f>(CG22-SUM('peasant income details'!AI243:AI249))/'peasant income details'!AI18</f>
        <v>1.0016787605420976</v>
      </c>
      <c r="CH35" s="338">
        <f>(CH22-SUM('peasant income details'!AJ243:AJ249))/'peasant income details'!AJ18</f>
        <v>1.0019821402195674</v>
      </c>
      <c r="CI35" s="338">
        <f>(CI22-SUM('peasant income details'!AK243:AK249))/'peasant income details'!AK18</f>
        <v>1.0391440297612584</v>
      </c>
      <c r="CJ35" s="338">
        <f>(CJ22-SUM('peasant income details'!AL243:AL249))/'peasant income details'!AL18</f>
        <v>1.1319962832389701</v>
      </c>
      <c r="CK35" s="338">
        <f>(CK22-SUM('peasant income details'!AM243:AM249))/'peasant income details'!AM18</f>
        <v>1.0001037189996249</v>
      </c>
      <c r="CL35" s="338">
        <f>(CL22-SUM('peasant income details'!AN243:AN249))/'peasant income details'!AN18</f>
        <v>1.0290147527445841</v>
      </c>
      <c r="CM35" s="338">
        <f>(CM22-SUM('peasant income details'!AO243:AO249))/'peasant income details'!AO18</f>
        <v>0.9900647715147346</v>
      </c>
      <c r="CN35" s="338">
        <f>(CN22-SUM('peasant income details'!AP243:AP249))/'peasant income details'!AP18</f>
        <v>0.98789300445245376</v>
      </c>
      <c r="CO35" s="338">
        <f>(CO22-SUM('peasant income details'!AQ243:AQ249))/'peasant income details'!AQ18</f>
        <v>0.98329085174833009</v>
      </c>
      <c r="CP35" s="338">
        <f>(CP22-SUM('peasant income details'!AR243:AR249))/'peasant income details'!AR18</f>
        <v>0.98852423781820409</v>
      </c>
      <c r="CQ35" s="338">
        <f>(CQ22-SUM('peasant income details'!AS243:AS249))/'peasant income details'!AS18</f>
        <v>0.98739251226597435</v>
      </c>
      <c r="CR35" s="338">
        <f>(CR22-SUM('peasant income details'!AT243:AT249))/'peasant income details'!AT18</f>
        <v>0.9818671139768349</v>
      </c>
      <c r="CS35" s="338">
        <f>(CS22-SUM('peasant income details'!AU243:AU249))/'peasant income details'!AU18</f>
        <v>0.98750913839523946</v>
      </c>
      <c r="CT35" s="338">
        <f>(CT22-SUM('peasant income details'!AV243:AV249))/'peasant income details'!AV18</f>
        <v>0.98834077575736046</v>
      </c>
      <c r="CU35" s="338">
        <f>(CU22-SUM('peasant income details'!AW243:AW249))/'peasant income details'!AW18</f>
        <v>0.98425982366687437</v>
      </c>
      <c r="CV35" s="338">
        <f>(CV22-SUM('peasant income details'!AX243:AX249))/'peasant income details'!AX18</f>
        <v>0.96192677562803375</v>
      </c>
      <c r="CW35" s="338">
        <f>(CW22-SUM('peasant income details'!AY243:AY249))/'peasant income details'!AY18</f>
        <v>0.99682483198626692</v>
      </c>
      <c r="CX35" s="338">
        <f>(CX22-SUM('peasant income details'!AZ243:AZ249))/'peasant income details'!AZ18</f>
        <v>0.985609214192669</v>
      </c>
      <c r="CY35" s="338">
        <f>(CY22-SUM('peasant income details'!BA243:BA249))/'peasant income details'!BA18</f>
        <v>0.99252481038032792</v>
      </c>
      <c r="CZ35" s="338">
        <f>(CZ22-SUM('peasant income details'!BB243:BB249))/'peasant income details'!BB18</f>
        <v>1.0041549287692053</v>
      </c>
      <c r="DA35" s="338">
        <f>(DA22-SUM('peasant income details'!BC243:BC249))/'peasant income details'!BC18</f>
        <v>1.0008509716668679</v>
      </c>
      <c r="DB35" s="338">
        <f>(DB22-SUM('peasant income details'!BD243:BD249))/'peasant income details'!BD18</f>
        <v>0.99503001851909512</v>
      </c>
    </row>
    <row r="36" spans="3:106">
      <c r="BX36" s="257"/>
    </row>
    <row r="37" spans="3:106">
      <c r="C37" s="6" t="s">
        <v>179</v>
      </c>
      <c r="D37" s="20" t="s">
        <v>115</v>
      </c>
      <c r="BA37" s="6" t="s">
        <v>179</v>
      </c>
      <c r="BD37" s="338">
        <f>(BD22-SUM('peasant income details'!F207:F213)-SUM('peasant income details'!F243:F249))/'peasant income details'!F18</f>
        <v>1.104009922588473</v>
      </c>
      <c r="BE37" s="340">
        <f>(BE22-SUM('peasant income details'!G207:G213)-SUM('peasant income details'!G243:G249))/'peasant income details'!G18</f>
        <v>1.0235188253956362</v>
      </c>
      <c r="BF37" s="338">
        <f>(BF22-SUM('peasant income details'!H207:H213)-SUM('peasant income details'!H243:H249))/'peasant income details'!H18</f>
        <v>1.0289242093055089</v>
      </c>
      <c r="BG37" s="338">
        <f>(BG22-SUM('peasant income details'!I207:I213)-SUM('peasant income details'!I243:I249))/'peasant income details'!I18</f>
        <v>0.99091943442503094</v>
      </c>
      <c r="BH37" s="338">
        <f>(BH22-SUM('peasant income details'!J207:J213)-SUM('peasant income details'!J243:J249))/'peasant income details'!J18</f>
        <v>0.99544579216128781</v>
      </c>
      <c r="BI37" s="338">
        <f>(BI22-SUM('peasant income details'!K207:K213)-SUM('peasant income details'!K243:K249))/'peasant income details'!K18</f>
        <v>1.0070015004435766</v>
      </c>
      <c r="BJ37" s="338">
        <f>(BJ22-SUM('peasant income details'!L207:L213)-SUM('peasant income details'!L243:L249))/'peasant income details'!L18</f>
        <v>0.99321554777858845</v>
      </c>
      <c r="BK37" s="338">
        <f>(BK22-SUM('peasant income details'!M207:M213)-SUM('peasant income details'!M243:M249))/'peasant income details'!M18</f>
        <v>0.98511758990225029</v>
      </c>
      <c r="BL37" s="338">
        <f>(BL22-SUM('peasant income details'!N207:N213)-SUM('peasant income details'!N243:N249))/'peasant income details'!N18</f>
        <v>0.96425272930559169</v>
      </c>
      <c r="BM37" s="338">
        <f>(BM22-SUM('peasant income details'!O207:O213)-SUM('peasant income details'!O243:O249))/'peasant income details'!O18</f>
        <v>0.99852927330190944</v>
      </c>
      <c r="BN37" s="338">
        <f>(BN22-SUM('peasant income details'!P207:P213)-SUM('peasant income details'!P243:P249))/'peasant income details'!P18</f>
        <v>0.98287337517933893</v>
      </c>
      <c r="BO37" s="338">
        <f>(BO22-SUM('peasant income details'!Q207:Q213)-SUM('peasant income details'!Q243:Q249))/'peasant income details'!Q18</f>
        <v>0.99361397661471551</v>
      </c>
      <c r="BP37" s="338">
        <f>(BP22-SUM('peasant income details'!R207:R213)-SUM('peasant income details'!R243:R249))/'peasant income details'!R18</f>
        <v>0.99073320441803281</v>
      </c>
      <c r="BQ37" s="340">
        <f>(BQ22-SUM('peasant income details'!S207:S213)-SUM('peasant income details'!S243:S249))/'peasant income details'!S18</f>
        <v>0.97826566637228785</v>
      </c>
      <c r="BR37" s="338">
        <f>(BR22-SUM('peasant income details'!T207:T213)-SUM('peasant income details'!T243:T249))/'peasant income details'!T18</f>
        <v>0.97703844827283159</v>
      </c>
      <c r="BS37" s="338">
        <f>(BS22-SUM('peasant income details'!U207:U213)-SUM('peasant income details'!U243:U249))/'peasant income details'!U18</f>
        <v>0.9935682275543184</v>
      </c>
      <c r="BT37" s="338">
        <f>(BT22-SUM('peasant income details'!V207:V213)-SUM('peasant income details'!V243:V249))/'peasant income details'!V18</f>
        <v>0.97738458050691279</v>
      </c>
      <c r="BU37" s="338">
        <f>(BU22-SUM('peasant income details'!W207:W213)-SUM('peasant income details'!W243:W249))/'peasant income details'!W18</f>
        <v>0.9758968727747509</v>
      </c>
      <c r="BV37" s="338">
        <f>(BV22-SUM('peasant income details'!X207:X213)-SUM('peasant income details'!X243:X249))/'peasant income details'!X18</f>
        <v>0.97972047785312566</v>
      </c>
      <c r="BW37" s="338">
        <f>(BW22-SUM('peasant income details'!Y207:Y213)-SUM('peasant income details'!Y243:Y249))/'peasant income details'!Y18</f>
        <v>0.98915811983226343</v>
      </c>
      <c r="BX37" s="345">
        <f>(BX22-SUM('peasant income details'!Z207:Z213)-SUM('peasant income details'!Z243:Z249))/'peasant income details'!Z18</f>
        <v>0.98187369829471383</v>
      </c>
      <c r="BY37" s="338">
        <f>(BY22-SUM('peasant income details'!AA207:AA213)-SUM('peasant income details'!AA243:AA249))/'peasant income details'!AA18</f>
        <v>0.97427467419946978</v>
      </c>
      <c r="BZ37" s="338">
        <f>(BZ22-SUM('peasant income details'!AB207:AB213)-SUM('peasant income details'!AB243:AB249))/'peasant income details'!AB18</f>
        <v>0.98251584019252092</v>
      </c>
      <c r="CA37" s="338">
        <f>(CA22-SUM('peasant income details'!AC207:AC213)-SUM('peasant income details'!AC243:AC249))/'peasant income details'!AC18</f>
        <v>0.98187064458643714</v>
      </c>
      <c r="CB37" s="338">
        <f>(CB22-SUM('peasant income details'!AD207:AD213)-SUM('peasant income details'!AD243:AD249))/'peasant income details'!AD18</f>
        <v>0.97359566978095236</v>
      </c>
      <c r="CC37" s="338">
        <f>(CC22-SUM('peasant income details'!AE207:AE213)-SUM('peasant income details'!AE243:AE249))/'peasant income details'!AE18</f>
        <v>0.98908443796542478</v>
      </c>
      <c r="CD37" s="338">
        <f>(CD22-SUM('peasant income details'!AF207:AF213)-SUM('peasant income details'!AF243:AF249))/'peasant income details'!AF18</f>
        <v>0.98624128248631038</v>
      </c>
      <c r="CE37" s="338">
        <f>(CE22-SUM('peasant income details'!AG207:AG213)-SUM('peasant income details'!AG243:AG249))/'peasant income details'!AG18</f>
        <v>0.98309645068933249</v>
      </c>
      <c r="CF37" s="338">
        <f>(CF22-SUM('peasant income details'!AH207:AH213)-SUM('peasant income details'!AH243:AH249))/'peasant income details'!AH18</f>
        <v>1.0000999769604138</v>
      </c>
      <c r="CG37" s="340">
        <f>(CG22-SUM('peasant income details'!AI207:AI213)-SUM('peasant income details'!AI243:AI249))/'peasant income details'!AI18</f>
        <v>0.9935800128913499</v>
      </c>
      <c r="CH37" s="338">
        <f>(CH22-SUM('peasant income details'!AJ207:AJ213)-SUM('peasant income details'!AJ243:AJ249))/'peasant income details'!AJ18</f>
        <v>0.99985208197197506</v>
      </c>
      <c r="CI37" s="338">
        <f>(CI22-SUM('peasant income details'!AK207:AK213)-SUM('peasant income details'!AK243:AK249))/'peasant income details'!AK18</f>
        <v>1.0206709219723871</v>
      </c>
      <c r="CJ37" s="338">
        <f>(CJ22-SUM('peasant income details'!AL207:AL213)-SUM('peasant income details'!AL243:AL249))/'peasant income details'!AL18</f>
        <v>1.0294988002539855</v>
      </c>
      <c r="CK37" s="338">
        <f>(CK22-SUM('peasant income details'!AM207:AM213)-SUM('peasant income details'!AM243:AM249))/'peasant income details'!AM18</f>
        <v>0.99637032119418178</v>
      </c>
      <c r="CL37" s="338">
        <f>(CL22-SUM('peasant income details'!AN207:AN213)-SUM('peasant income details'!AN243:AN249))/'peasant income details'!AN18</f>
        <v>1.0137975141750335</v>
      </c>
      <c r="CM37" s="338">
        <f>(CM22-SUM('peasant income details'!AO207:AO213)-SUM('peasant income details'!AO243:AO249))/'peasant income details'!AO18</f>
        <v>0.98987748200512315</v>
      </c>
      <c r="CN37" s="338">
        <f>(CN22-SUM('peasant income details'!AP207:AP213)-SUM('peasant income details'!AP243:AP249))/'peasant income details'!AP18</f>
        <v>0.98707436583396335</v>
      </c>
      <c r="CO37" s="338">
        <f>(CO22-SUM('peasant income details'!AQ207:AQ213)-SUM('peasant income details'!AQ243:AQ249))/'peasant income details'!AQ18</f>
        <v>0.98178417855355937</v>
      </c>
      <c r="CP37" s="338">
        <f>(CP22-SUM('peasant income details'!AR207:AR213)-SUM('peasant income details'!AR243:AR249))/'peasant income details'!AR18</f>
        <v>0.98735446092968715</v>
      </c>
      <c r="CQ37" s="338">
        <f>(CQ22-SUM('peasant income details'!AS207:AS213)-SUM('peasant income details'!AS243:AS249))/'peasant income details'!AS18</f>
        <v>0.98690187729187984</v>
      </c>
      <c r="CR37" s="338">
        <f>(CR22-SUM('peasant income details'!AT207:AT213)-SUM('peasant income details'!AT243:AT249))/'peasant income details'!AT18</f>
        <v>0.9803026060829535</v>
      </c>
      <c r="CS37" s="338">
        <f>(CS22-SUM('peasant income details'!AU207:AU213)-SUM('peasant income details'!AU243:AU249))/'peasant income details'!AU18</f>
        <v>0.98734002929475173</v>
      </c>
      <c r="CT37" s="338">
        <f>(CT22-SUM('peasant income details'!AV207:AV213)-SUM('peasant income details'!AV243:AV249))/'peasant income details'!AV18</f>
        <v>0.98793706108232782</v>
      </c>
      <c r="CU37" s="338">
        <f>(CU22-SUM('peasant income details'!AW207:AW213)-SUM('peasant income details'!AW243:AW249))/'peasant income details'!AW18</f>
        <v>0.98355638374858112</v>
      </c>
      <c r="CV37" s="338">
        <f>(CV22-SUM('peasant income details'!AX207:AX213)-SUM('peasant income details'!AX243:AX249))/'peasant income details'!AX18</f>
        <v>0.96137008256999268</v>
      </c>
      <c r="CW37" s="338">
        <f>(CW22-SUM('peasant income details'!AY207:AY213)-SUM('peasant income details'!AY243:AY249))/'peasant income details'!AY18</f>
        <v>0.9960531335083459</v>
      </c>
      <c r="CX37" s="338">
        <f>(CX22-SUM('peasant income details'!AZ207:AZ213)-SUM('peasant income details'!AZ243:AZ249))/'peasant income details'!AZ18</f>
        <v>0.97898599408757392</v>
      </c>
      <c r="CY37" s="338">
        <f>(CY22-SUM('peasant income details'!BA207:BA213)-SUM('peasant income details'!BA243:BA249))/'peasant income details'!BA18</f>
        <v>0.98995526936356448</v>
      </c>
      <c r="CZ37" s="338">
        <f>(CZ22-SUM('peasant income details'!BB207:BB213)-SUM('peasant income details'!BB243:BB249))/'peasant income details'!BB18</f>
        <v>0.99662519032856023</v>
      </c>
      <c r="DA37" s="338">
        <f>(DA22-SUM('peasant income details'!BC207:BC213)-SUM('peasant income details'!BC243:BC249))/'peasant income details'!BC18</f>
        <v>1.0000237991697831</v>
      </c>
      <c r="DB37" s="338">
        <f>(DB22-SUM('peasant income details'!BD207:BD213)-SUM('peasant income details'!BD243:BD249))/'peasant income details'!BD18</f>
        <v>0.99044537272370037</v>
      </c>
    </row>
    <row r="38" spans="3:106">
      <c r="C38" s="6" t="s">
        <v>178</v>
      </c>
      <c r="BA38" s="6" t="s">
        <v>178</v>
      </c>
    </row>
    <row r="39" spans="3:106">
      <c r="C39" s="6" t="s">
        <v>177</v>
      </c>
      <c r="BA39" s="6" t="s">
        <v>177</v>
      </c>
    </row>
  </sheetData>
  <sortState ref="A14:XFD20">
    <sortCondition ref="B14:B20"/>
  </sortState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F28"/>
  <sheetViews>
    <sheetView tabSelected="1" workbookViewId="0">
      <selection activeCell="D17" sqref="D17"/>
    </sheetView>
  </sheetViews>
  <sheetFormatPr baseColWidth="10" defaultRowHeight="15"/>
  <cols>
    <col min="1" max="1" width="3.7109375" style="408" customWidth="1"/>
    <col min="2" max="16384" width="10.7109375" style="408"/>
  </cols>
  <sheetData>
    <row r="2" spans="1:6" ht="17">
      <c r="B2" s="410" t="s">
        <v>27</v>
      </c>
      <c r="C2" s="411" t="s">
        <v>7</v>
      </c>
    </row>
    <row r="4" spans="1:6">
      <c r="D4" s="409" t="s">
        <v>807</v>
      </c>
      <c r="E4" s="409" t="s">
        <v>103</v>
      </c>
      <c r="F4" s="409" t="s">
        <v>615</v>
      </c>
    </row>
    <row r="5" spans="1:6">
      <c r="D5" s="409" t="s">
        <v>28</v>
      </c>
      <c r="E5" s="409" t="s">
        <v>29</v>
      </c>
      <c r="F5" s="409" t="s">
        <v>735</v>
      </c>
    </row>
    <row r="6" spans="1:6">
      <c r="A6" s="406" t="s">
        <v>15</v>
      </c>
      <c r="D6" s="413">
        <v>687.94893219251617</v>
      </c>
      <c r="E6" s="412">
        <v>152096.02181897359</v>
      </c>
      <c r="F6" s="414">
        <f>E6/D6</f>
        <v>221.0862096031438</v>
      </c>
    </row>
    <row r="7" spans="1:6">
      <c r="A7" s="407" t="s">
        <v>16</v>
      </c>
      <c r="D7" s="413">
        <v>3770.8306963121308</v>
      </c>
      <c r="E7" s="412">
        <v>1199048.5797803858</v>
      </c>
      <c r="F7" s="414">
        <f t="shared" ref="F7:F19" si="0">E7/D7</f>
        <v>317.97995623432638</v>
      </c>
    </row>
    <row r="8" spans="1:6">
      <c r="A8" s="407" t="s">
        <v>17</v>
      </c>
      <c r="D8" s="413">
        <v>7117.8266772329625</v>
      </c>
      <c r="E8" s="412">
        <v>2894741.8784321793</v>
      </c>
      <c r="F8" s="414">
        <f t="shared" si="0"/>
        <v>406.68900911724688</v>
      </c>
    </row>
    <row r="9" spans="1:6">
      <c r="A9" s="407" t="s">
        <v>18</v>
      </c>
      <c r="D9" s="413">
        <v>2569.3446266554224</v>
      </c>
      <c r="E9" s="412">
        <v>1442951.1859522022</v>
      </c>
      <c r="F9" s="414">
        <f t="shared" si="0"/>
        <v>561.60281924909634</v>
      </c>
    </row>
    <row r="10" spans="1:6">
      <c r="A10" s="407" t="s">
        <v>19</v>
      </c>
      <c r="D10" s="413">
        <v>737.77836157068043</v>
      </c>
      <c r="E10" s="412">
        <v>712283.21040742402</v>
      </c>
      <c r="F10" s="414">
        <f t="shared" si="0"/>
        <v>965.4433465506105</v>
      </c>
    </row>
    <row r="11" spans="1:6">
      <c r="A11" s="406" t="s">
        <v>20</v>
      </c>
      <c r="D11" s="413">
        <v>543.21372120091655</v>
      </c>
      <c r="E11" s="412">
        <v>591032.92086905928</v>
      </c>
      <c r="F11" s="414">
        <f t="shared" si="0"/>
        <v>1088.0301763409543</v>
      </c>
    </row>
    <row r="12" spans="1:6">
      <c r="B12" s="406" t="s">
        <v>21</v>
      </c>
      <c r="D12" s="413">
        <v>4.6363230807380589</v>
      </c>
      <c r="E12" s="412">
        <v>11185.981632734594</v>
      </c>
      <c r="F12" s="414">
        <f t="shared" si="0"/>
        <v>2412.6838095489006</v>
      </c>
    </row>
    <row r="13" spans="1:6">
      <c r="B13" s="406" t="s">
        <v>22</v>
      </c>
      <c r="D13" s="413">
        <v>2.6216099820223193</v>
      </c>
      <c r="E13" s="412">
        <v>10840.127655885477</v>
      </c>
      <c r="F13" s="414">
        <f t="shared" si="0"/>
        <v>4134.9124126859497</v>
      </c>
    </row>
    <row r="14" spans="1:6">
      <c r="B14" s="406" t="s">
        <v>23</v>
      </c>
      <c r="D14" s="413">
        <v>0.74401797183835905</v>
      </c>
      <c r="E14" s="412">
        <v>6016.9048381989414</v>
      </c>
      <c r="F14" s="414">
        <f t="shared" si="0"/>
        <v>8087.0423376092031</v>
      </c>
    </row>
    <row r="15" spans="1:6">
      <c r="B15" s="406" t="s">
        <v>24</v>
      </c>
      <c r="D15" s="413">
        <v>0.27397026701183463</v>
      </c>
      <c r="E15" s="412">
        <v>4053.0629285525597</v>
      </c>
      <c r="F15" s="414">
        <f t="shared" si="0"/>
        <v>14793.805812429568</v>
      </c>
    </row>
    <row r="16" spans="1:6">
      <c r="B16" s="406" t="s">
        <v>25</v>
      </c>
      <c r="D16" s="413">
        <v>8.1655493401460458E-2</v>
      </c>
      <c r="E16" s="412">
        <v>2444.6822332126289</v>
      </c>
      <c r="F16" s="414">
        <f t="shared" si="0"/>
        <v>29938.980604688924</v>
      </c>
    </row>
    <row r="17" spans="1:6">
      <c r="B17" s="406" t="s">
        <v>26</v>
      </c>
      <c r="D17" s="416">
        <v>7.7020040713017832E-3</v>
      </c>
      <c r="E17" s="412">
        <v>896.94080378248952</v>
      </c>
      <c r="F17" s="414">
        <f t="shared" si="0"/>
        <v>116455.50891417403</v>
      </c>
    </row>
    <row r="18" spans="1:6">
      <c r="D18" s="413"/>
      <c r="E18" s="413"/>
      <c r="F18" s="413"/>
    </row>
    <row r="19" spans="1:6">
      <c r="D19" s="413">
        <v>15435.308293963712</v>
      </c>
      <c r="E19" s="412">
        <v>7027591.4973525908</v>
      </c>
      <c r="F19" s="414">
        <f t="shared" si="0"/>
        <v>455.29323830226781</v>
      </c>
    </row>
    <row r="21" spans="1:6">
      <c r="A21" s="415" t="s">
        <v>8</v>
      </c>
    </row>
    <row r="22" spans="1:6">
      <c r="A22" s="408" t="s">
        <v>0</v>
      </c>
    </row>
    <row r="23" spans="1:6">
      <c r="A23" s="408" t="s">
        <v>1</v>
      </c>
    </row>
    <row r="24" spans="1:6">
      <c r="A24" s="408" t="s">
        <v>2</v>
      </c>
    </row>
    <row r="25" spans="1:6">
      <c r="A25" s="408" t="s">
        <v>3</v>
      </c>
    </row>
    <row r="26" spans="1:6">
      <c r="A26" s="408" t="s">
        <v>4</v>
      </c>
    </row>
    <row r="27" spans="1:6">
      <c r="A27" s="408" t="s">
        <v>5</v>
      </c>
    </row>
    <row r="28" spans="1:6">
      <c r="A28" s="408" t="s">
        <v>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K387"/>
  <sheetViews>
    <sheetView workbookViewId="0">
      <pane xSplit="13200" ySplit="5960" topLeftCell="BA243" activePane="bottomLeft"/>
      <selection activeCell="E34" sqref="E34:BG40"/>
      <selection pane="topRight" activeCell="Z8" sqref="Z8"/>
      <selection pane="bottomLeft" activeCell="D257" sqref="D257"/>
      <selection pane="bottomRight" activeCell="BI258" sqref="BI258"/>
    </sheetView>
  </sheetViews>
  <sheetFormatPr baseColWidth="10" defaultRowHeight="15"/>
  <cols>
    <col min="1" max="1" width="3.7109375" style="6" customWidth="1"/>
    <col min="2" max="2" width="11.85546875" style="6" customWidth="1"/>
    <col min="3" max="3" width="10.7109375" style="6"/>
    <col min="4" max="4" width="11.7109375" style="6" customWidth="1"/>
    <col min="5" max="5" width="12.42578125" style="9" customWidth="1"/>
    <col min="6" max="6" width="10.5703125" style="6" customWidth="1"/>
    <col min="7" max="7" width="11" style="6" customWidth="1"/>
    <col min="8" max="8" width="11.28515625" style="6" customWidth="1"/>
    <col min="9" max="10" width="11.7109375" style="6" customWidth="1"/>
    <col min="11" max="13" width="11.5703125" style="6" customWidth="1"/>
    <col min="14" max="14" width="9.85546875" style="6" customWidth="1"/>
    <col min="15" max="16" width="10.85546875" style="6" bestFit="1" customWidth="1"/>
    <col min="17" max="17" width="11.7109375" style="6" customWidth="1"/>
    <col min="18" max="18" width="11.5703125" style="6" customWidth="1"/>
    <col min="19" max="19" width="10.140625" style="6" customWidth="1"/>
    <col min="20" max="20" width="10.28515625" style="6" customWidth="1"/>
    <col min="21" max="21" width="11.28515625" style="6" customWidth="1"/>
    <col min="22" max="22" width="12" style="6" bestFit="1" customWidth="1"/>
    <col min="23" max="23" width="10.7109375" style="6"/>
    <col min="24" max="36" width="11.42578125" style="6" customWidth="1"/>
    <col min="37" max="37" width="10.7109375" style="6"/>
    <col min="38" max="38" width="11" style="6" customWidth="1"/>
    <col min="39" max="39" width="12" style="6" bestFit="1" customWidth="1"/>
    <col min="40" max="40" width="9.28515625" style="6" customWidth="1"/>
    <col min="41" max="44" width="11.7109375" style="6" customWidth="1"/>
    <col min="45" max="45" width="11.28515625" style="6" customWidth="1"/>
    <col min="46" max="46" width="10" style="6" customWidth="1"/>
    <col min="47" max="47" width="11.140625" style="6" customWidth="1"/>
    <col min="48" max="48" width="12.140625" style="6" customWidth="1"/>
    <col min="49" max="49" width="11.85546875" style="6" customWidth="1"/>
    <col min="50" max="51" width="10.85546875" style="6" bestFit="1" customWidth="1"/>
    <col min="52" max="52" width="17.5703125" style="6" customWidth="1"/>
    <col min="53" max="53" width="12.140625" style="6" customWidth="1"/>
    <col min="54" max="55" width="10.85546875" style="6" bestFit="1" customWidth="1"/>
    <col min="56" max="56" width="15.140625" style="6" customWidth="1"/>
    <col min="57" max="57" width="12.5703125" style="6" customWidth="1"/>
    <col min="58" max="58" width="9.28515625" style="6" customWidth="1"/>
    <col min="59" max="59" width="8.140625" style="29" customWidth="1"/>
    <col min="60" max="60" width="12.140625" style="6" customWidth="1"/>
    <col min="61" max="16384" width="10.7109375" style="6"/>
  </cols>
  <sheetData>
    <row r="1" spans="1:59" s="29" customFormat="1">
      <c r="E1" s="32"/>
    </row>
    <row r="2" spans="1:59" ht="21">
      <c r="C2" s="136" t="s">
        <v>438</v>
      </c>
    </row>
    <row r="3" spans="1:59">
      <c r="C3" s="6" t="s">
        <v>331</v>
      </c>
    </row>
    <row r="5" spans="1:59" s="7" customFormat="1" ht="18">
      <c r="A5" s="91"/>
      <c r="B5" s="137" t="s">
        <v>439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3"/>
      <c r="BE5" s="91"/>
      <c r="BF5" s="91"/>
      <c r="BG5" s="30"/>
    </row>
    <row r="6" spans="1:59" s="7" customFormat="1" ht="17">
      <c r="A6" s="91"/>
      <c r="B6" s="22"/>
      <c r="C6" s="1"/>
      <c r="D6" s="1"/>
      <c r="E6" s="24" t="s">
        <v>498</v>
      </c>
      <c r="F6" s="24">
        <v>1</v>
      </c>
      <c r="G6" s="24">
        <v>7</v>
      </c>
      <c r="H6" s="24">
        <v>26</v>
      </c>
      <c r="I6" s="24">
        <v>27</v>
      </c>
      <c r="J6" s="24">
        <v>34</v>
      </c>
      <c r="K6" s="24">
        <v>37</v>
      </c>
      <c r="L6" s="24">
        <v>10</v>
      </c>
      <c r="M6" s="24">
        <v>14</v>
      </c>
      <c r="N6" s="24">
        <v>28</v>
      </c>
      <c r="O6" s="24">
        <v>31</v>
      </c>
      <c r="P6" s="24">
        <v>36</v>
      </c>
      <c r="Q6" s="24">
        <v>45</v>
      </c>
      <c r="R6" s="24">
        <v>6</v>
      </c>
      <c r="S6" s="24">
        <v>15</v>
      </c>
      <c r="T6" s="24">
        <v>18</v>
      </c>
      <c r="U6" s="24">
        <v>24</v>
      </c>
      <c r="V6" s="24">
        <v>25</v>
      </c>
      <c r="W6" s="24">
        <v>40</v>
      </c>
      <c r="X6" s="24">
        <v>43</v>
      </c>
      <c r="Y6" s="24">
        <v>50</v>
      </c>
      <c r="Z6" s="24">
        <v>9</v>
      </c>
      <c r="AA6" s="24">
        <v>20</v>
      </c>
      <c r="AB6" s="24">
        <v>29</v>
      </c>
      <c r="AC6" s="24">
        <v>30</v>
      </c>
      <c r="AD6" s="24">
        <v>35</v>
      </c>
      <c r="AE6" s="24">
        <v>38</v>
      </c>
      <c r="AF6" s="24">
        <v>39</v>
      </c>
      <c r="AG6" s="24">
        <v>42</v>
      </c>
      <c r="AH6" s="24">
        <v>44</v>
      </c>
      <c r="AI6" s="24">
        <v>33</v>
      </c>
      <c r="AJ6" s="24">
        <v>46</v>
      </c>
      <c r="AK6" s="24">
        <v>48</v>
      </c>
      <c r="AL6" s="24">
        <v>19</v>
      </c>
      <c r="AM6" s="24">
        <v>21</v>
      </c>
      <c r="AN6" s="24">
        <v>49</v>
      </c>
      <c r="AO6" s="24">
        <v>4</v>
      </c>
      <c r="AP6" s="24">
        <v>5</v>
      </c>
      <c r="AQ6" s="24">
        <v>11</v>
      </c>
      <c r="AR6" s="24">
        <v>17</v>
      </c>
      <c r="AS6" s="24">
        <v>22</v>
      </c>
      <c r="AT6" s="24">
        <v>23</v>
      </c>
      <c r="AU6" s="24">
        <v>8</v>
      </c>
      <c r="AV6" s="24">
        <v>16</v>
      </c>
      <c r="AW6" s="24">
        <v>32</v>
      </c>
      <c r="AX6" s="24">
        <v>2</v>
      </c>
      <c r="AY6" s="24">
        <v>3</v>
      </c>
      <c r="AZ6" s="24">
        <v>12</v>
      </c>
      <c r="BA6" s="24">
        <v>13</v>
      </c>
      <c r="BB6" s="24">
        <v>41</v>
      </c>
      <c r="BC6" s="24">
        <v>47</v>
      </c>
      <c r="BD6" s="25">
        <v>0</v>
      </c>
      <c r="BG6" s="30"/>
    </row>
    <row r="7" spans="1:59" s="7" customFormat="1" ht="18" thickBot="1">
      <c r="A7" s="91"/>
      <c r="B7" s="22"/>
      <c r="C7" s="1"/>
      <c r="D7" s="1"/>
      <c r="E7" s="24" t="s">
        <v>499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4">
        <v>2</v>
      </c>
      <c r="R7" s="24">
        <v>3</v>
      </c>
      <c r="S7" s="24">
        <v>3</v>
      </c>
      <c r="T7" s="24">
        <v>3</v>
      </c>
      <c r="U7" s="24">
        <v>3</v>
      </c>
      <c r="V7" s="24">
        <v>3</v>
      </c>
      <c r="W7" s="24">
        <v>3</v>
      </c>
      <c r="X7" s="24">
        <v>3</v>
      </c>
      <c r="Y7" s="24">
        <v>3</v>
      </c>
      <c r="Z7" s="24">
        <v>4</v>
      </c>
      <c r="AA7" s="24">
        <v>4</v>
      </c>
      <c r="AB7" s="24">
        <v>4</v>
      </c>
      <c r="AC7" s="24">
        <v>4</v>
      </c>
      <c r="AD7" s="24">
        <v>4</v>
      </c>
      <c r="AE7" s="24">
        <v>4</v>
      </c>
      <c r="AF7" s="24">
        <v>4</v>
      </c>
      <c r="AG7" s="24">
        <v>4</v>
      </c>
      <c r="AH7" s="24">
        <v>4</v>
      </c>
      <c r="AI7" s="24">
        <v>5</v>
      </c>
      <c r="AJ7" s="24">
        <v>5</v>
      </c>
      <c r="AK7" s="24">
        <v>5</v>
      </c>
      <c r="AL7" s="24">
        <v>6</v>
      </c>
      <c r="AM7" s="24">
        <v>6</v>
      </c>
      <c r="AN7" s="24">
        <v>6</v>
      </c>
      <c r="AO7" s="24">
        <v>7</v>
      </c>
      <c r="AP7" s="24">
        <v>7</v>
      </c>
      <c r="AQ7" s="24">
        <v>7</v>
      </c>
      <c r="AR7" s="24">
        <v>7</v>
      </c>
      <c r="AS7" s="24">
        <v>7</v>
      </c>
      <c r="AT7" s="24">
        <v>7</v>
      </c>
      <c r="AU7" s="24">
        <v>8</v>
      </c>
      <c r="AV7" s="24">
        <v>8</v>
      </c>
      <c r="AW7" s="24">
        <v>8</v>
      </c>
      <c r="AX7" s="24">
        <v>9</v>
      </c>
      <c r="AY7" s="24">
        <v>9</v>
      </c>
      <c r="AZ7" s="24">
        <v>9</v>
      </c>
      <c r="BA7" s="24">
        <v>9</v>
      </c>
      <c r="BB7" s="24">
        <v>9</v>
      </c>
      <c r="BC7" s="24">
        <v>9</v>
      </c>
      <c r="BD7" s="25">
        <v>10</v>
      </c>
      <c r="BG7" s="30"/>
    </row>
    <row r="8" spans="1:59" s="7" customFormat="1" ht="18" thickBot="1">
      <c r="A8" s="91"/>
      <c r="B8" s="22"/>
      <c r="C8" s="9" t="s">
        <v>493</v>
      </c>
      <c r="D8" s="9" t="s">
        <v>494</v>
      </c>
      <c r="E8" s="1"/>
      <c r="F8" s="1" t="s">
        <v>403</v>
      </c>
      <c r="G8" s="1" t="s">
        <v>143</v>
      </c>
      <c r="H8" s="1" t="s">
        <v>253</v>
      </c>
      <c r="I8" s="1" t="s">
        <v>261</v>
      </c>
      <c r="J8" s="1" t="s">
        <v>254</v>
      </c>
      <c r="K8" s="1" t="s">
        <v>255</v>
      </c>
      <c r="L8" s="1" t="s">
        <v>447</v>
      </c>
      <c r="M8" s="1" t="s">
        <v>256</v>
      </c>
      <c r="N8" s="1" t="s">
        <v>257</v>
      </c>
      <c r="O8" s="1" t="s">
        <v>258</v>
      </c>
      <c r="P8" s="1" t="s">
        <v>448</v>
      </c>
      <c r="Q8" s="1" t="s">
        <v>449</v>
      </c>
      <c r="R8" s="1" t="s">
        <v>276</v>
      </c>
      <c r="S8" s="1" t="s">
        <v>274</v>
      </c>
      <c r="T8" s="1" t="s">
        <v>450</v>
      </c>
      <c r="U8" s="1" t="s">
        <v>451</v>
      </c>
      <c r="V8" s="1" t="s">
        <v>277</v>
      </c>
      <c r="W8" s="1" t="s">
        <v>464</v>
      </c>
      <c r="X8" s="1" t="s">
        <v>278</v>
      </c>
      <c r="Y8" s="1" t="s">
        <v>505</v>
      </c>
      <c r="Z8" s="397" t="s">
        <v>279</v>
      </c>
      <c r="AA8" s="1" t="s">
        <v>360</v>
      </c>
      <c r="AB8" s="1" t="s">
        <v>361</v>
      </c>
      <c r="AC8" s="1" t="s">
        <v>362</v>
      </c>
      <c r="AD8" s="1" t="s">
        <v>280</v>
      </c>
      <c r="AE8" s="1" t="s">
        <v>281</v>
      </c>
      <c r="AF8" s="1" t="s">
        <v>363</v>
      </c>
      <c r="AG8" s="1" t="s">
        <v>282</v>
      </c>
      <c r="AH8" s="1" t="s">
        <v>364</v>
      </c>
      <c r="AI8" s="1" t="s">
        <v>473</v>
      </c>
      <c r="AJ8" s="1" t="s">
        <v>230</v>
      </c>
      <c r="AK8" s="1" t="s">
        <v>231</v>
      </c>
      <c r="AL8" s="1" t="s">
        <v>232</v>
      </c>
      <c r="AM8" s="1" t="s">
        <v>233</v>
      </c>
      <c r="AN8" s="1" t="s">
        <v>203</v>
      </c>
      <c r="AO8" s="1" t="s">
        <v>463</v>
      </c>
      <c r="AP8" s="1" t="s">
        <v>365</v>
      </c>
      <c r="AQ8" s="1" t="s">
        <v>252</v>
      </c>
      <c r="AR8" s="1" t="s">
        <v>380</v>
      </c>
      <c r="AS8" s="1" t="s">
        <v>381</v>
      </c>
      <c r="AT8" s="1" t="s">
        <v>204</v>
      </c>
      <c r="AU8" s="1" t="s">
        <v>382</v>
      </c>
      <c r="AV8" s="1" t="s">
        <v>205</v>
      </c>
      <c r="AW8" s="1" t="s">
        <v>383</v>
      </c>
      <c r="AX8" s="1" t="s">
        <v>206</v>
      </c>
      <c r="AY8" s="1" t="s">
        <v>384</v>
      </c>
      <c r="AZ8" s="1" t="s">
        <v>144</v>
      </c>
      <c r="BA8" s="1" t="s">
        <v>208</v>
      </c>
      <c r="BB8" s="1" t="s">
        <v>145</v>
      </c>
      <c r="BC8" s="1" t="s">
        <v>389</v>
      </c>
      <c r="BD8" s="2" t="s">
        <v>385</v>
      </c>
      <c r="BG8" s="30"/>
    </row>
    <row r="9" spans="1:59" s="7" customFormat="1">
      <c r="A9" s="91"/>
      <c r="B9" s="8" t="s">
        <v>390</v>
      </c>
      <c r="C9" s="8" t="s">
        <v>495</v>
      </c>
      <c r="D9" s="8" t="s">
        <v>495</v>
      </c>
      <c r="E9" s="8" t="s">
        <v>496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2"/>
      <c r="BG9" s="30"/>
    </row>
    <row r="10" spans="1:59" s="7" customFormat="1">
      <c r="A10" s="91"/>
      <c r="B10" s="9" t="s">
        <v>475</v>
      </c>
      <c r="C10" s="9">
        <v>1</v>
      </c>
      <c r="D10" s="9">
        <v>5</v>
      </c>
      <c r="E10" s="9" t="s">
        <v>497</v>
      </c>
      <c r="F10" s="21">
        <v>57943.838502150611</v>
      </c>
      <c r="G10" s="21">
        <v>246997.6015635136</v>
      </c>
      <c r="H10" s="21">
        <v>228214.64951007205</v>
      </c>
      <c r="I10" s="21">
        <v>61584.778569361661</v>
      </c>
      <c r="J10" s="21">
        <v>177459.03446025177</v>
      </c>
      <c r="K10" s="21">
        <v>86024.13981852401</v>
      </c>
      <c r="L10" s="21">
        <v>514481.39930374909</v>
      </c>
      <c r="M10" s="21">
        <v>383006.39431100769</v>
      </c>
      <c r="N10" s="21">
        <v>115180.91860081496</v>
      </c>
      <c r="O10" s="21">
        <v>467673.76378380641</v>
      </c>
      <c r="P10" s="21">
        <v>455692.16204262967</v>
      </c>
      <c r="Q10" s="21">
        <v>393518.21751279093</v>
      </c>
      <c r="R10" s="21">
        <v>191356.065622761</v>
      </c>
      <c r="S10" s="21">
        <v>168309.7753498019</v>
      </c>
      <c r="T10" s="21">
        <v>242197.31141802215</v>
      </c>
      <c r="U10" s="21">
        <v>110399.08761149585</v>
      </c>
      <c r="V10" s="21">
        <v>239453.74724238392</v>
      </c>
      <c r="W10" s="21">
        <v>229740.67469886734</v>
      </c>
      <c r="X10" s="21">
        <v>303957.18968197325</v>
      </c>
      <c r="Y10" s="21">
        <v>179313.30973125057</v>
      </c>
      <c r="Z10" s="21">
        <v>400473.98127326183</v>
      </c>
      <c r="AA10" s="21">
        <v>344423.36573048722</v>
      </c>
      <c r="AB10" s="21">
        <v>297616.47693232965</v>
      </c>
      <c r="AC10" s="21">
        <v>241013.63173470119</v>
      </c>
      <c r="AD10" s="21">
        <v>254679.11309683902</v>
      </c>
      <c r="AE10" s="21">
        <v>363235.57377058116</v>
      </c>
      <c r="AF10" s="21">
        <v>257558.20412917668</v>
      </c>
      <c r="AG10" s="21">
        <v>410181.37021627155</v>
      </c>
      <c r="AH10" s="21">
        <v>207139.62394364525</v>
      </c>
      <c r="AI10" s="21">
        <v>454518.00731115096</v>
      </c>
      <c r="AJ10" s="21">
        <v>362355.71034005302</v>
      </c>
      <c r="AK10" s="21">
        <v>363263.8073109368</v>
      </c>
      <c r="AL10" s="21">
        <v>79590.369544473739</v>
      </c>
      <c r="AM10" s="21">
        <v>149873.19980615249</v>
      </c>
      <c r="AN10" s="21">
        <v>55513.65698857604</v>
      </c>
      <c r="AO10" s="21">
        <v>208276.34397453134</v>
      </c>
      <c r="AP10" s="21">
        <v>201983.74287559371</v>
      </c>
      <c r="AQ10" s="21">
        <v>201771.19091387946</v>
      </c>
      <c r="AR10" s="21">
        <v>198099.36201894641</v>
      </c>
      <c r="AS10" s="21">
        <v>286679.73565531173</v>
      </c>
      <c r="AT10" s="21">
        <v>196087.33834793887</v>
      </c>
      <c r="AU10" s="21">
        <v>440797.89847484347</v>
      </c>
      <c r="AV10" s="21">
        <v>519012.72586266039</v>
      </c>
      <c r="AW10" s="21">
        <v>489404.80954503565</v>
      </c>
      <c r="AX10" s="21">
        <v>52158.139571166103</v>
      </c>
      <c r="AY10" s="21">
        <v>316426.47170927969</v>
      </c>
      <c r="AZ10" s="21">
        <v>203315.35614841047</v>
      </c>
      <c r="BA10" s="21">
        <v>315639.55432201916</v>
      </c>
      <c r="BB10" s="21">
        <v>171954.63334284004</v>
      </c>
      <c r="BC10" s="21">
        <v>367833.79393699544</v>
      </c>
      <c r="BD10" s="26">
        <v>13263381.24816332</v>
      </c>
      <c r="BG10" s="30"/>
    </row>
    <row r="11" spans="1:59" s="7" customFormat="1">
      <c r="A11" s="91"/>
      <c r="B11" s="9" t="s">
        <v>500</v>
      </c>
      <c r="C11" s="9">
        <v>2</v>
      </c>
      <c r="D11" s="9">
        <v>5</v>
      </c>
      <c r="E11" s="9" t="s">
        <v>497</v>
      </c>
      <c r="F11" s="27">
        <v>2217.9556006372695</v>
      </c>
      <c r="G11" s="27">
        <v>3529.2672809255946</v>
      </c>
      <c r="H11" s="27">
        <v>8792.9983563668484</v>
      </c>
      <c r="I11" s="27">
        <v>1789.8270582392583</v>
      </c>
      <c r="J11" s="27">
        <v>4805.562260600952</v>
      </c>
      <c r="K11" s="27">
        <v>51228.253225105705</v>
      </c>
      <c r="L11" s="27">
        <v>6874.4323990180646</v>
      </c>
      <c r="M11" s="27">
        <v>10537.917844970445</v>
      </c>
      <c r="N11" s="27">
        <v>3750.4603708398035</v>
      </c>
      <c r="O11" s="27">
        <v>22599.343444485072</v>
      </c>
      <c r="P11" s="27">
        <v>14184.773088223541</v>
      </c>
      <c r="Q11" s="27">
        <v>10273.988399387319</v>
      </c>
      <c r="R11" s="27">
        <v>12394.01209758699</v>
      </c>
      <c r="S11" s="27">
        <v>6011.9201010214965</v>
      </c>
      <c r="T11" s="27">
        <v>6737.4697395318162</v>
      </c>
      <c r="U11" s="27">
        <v>41740.517249055658</v>
      </c>
      <c r="V11" s="27">
        <v>11850.219227307249</v>
      </c>
      <c r="W11" s="27">
        <v>8196.9851325582222</v>
      </c>
      <c r="X11" s="27">
        <v>10668.999513081681</v>
      </c>
      <c r="Y11" s="27">
        <v>9210.7596241119791</v>
      </c>
      <c r="Z11" s="27">
        <v>12255.449072485799</v>
      </c>
      <c r="AA11" s="27">
        <v>12461.616315621988</v>
      </c>
      <c r="AB11" s="27">
        <v>11915.15813346472</v>
      </c>
      <c r="AC11" s="27">
        <v>7394.4250240977708</v>
      </c>
      <c r="AD11" s="27">
        <v>8920.0432283785576</v>
      </c>
      <c r="AE11" s="27">
        <v>22198.007196885359</v>
      </c>
      <c r="AF11" s="27">
        <v>8521.2037862796387</v>
      </c>
      <c r="AG11" s="27">
        <v>12577.595146255117</v>
      </c>
      <c r="AH11" s="27">
        <v>9909.5198823810733</v>
      </c>
      <c r="AI11" s="27">
        <v>21968.348591446898</v>
      </c>
      <c r="AJ11" s="27">
        <v>20420.616333940648</v>
      </c>
      <c r="AK11" s="27">
        <v>14510.13065135436</v>
      </c>
      <c r="AL11" s="27">
        <v>12887.989972774392</v>
      </c>
      <c r="AM11" s="27">
        <v>24284.152398622675</v>
      </c>
      <c r="AN11" s="27">
        <v>9543.3659441716063</v>
      </c>
      <c r="AO11" s="27">
        <v>13948.468480095125</v>
      </c>
      <c r="AP11" s="27">
        <v>10594.768468231545</v>
      </c>
      <c r="AQ11" s="27">
        <v>12224.116210756691</v>
      </c>
      <c r="AR11" s="27">
        <v>21318.183150664467</v>
      </c>
      <c r="AS11" s="27">
        <v>4577.2912569453274</v>
      </c>
      <c r="AT11" s="27">
        <v>3618.4359946556083</v>
      </c>
      <c r="AU11" s="27">
        <v>10977.830866392356</v>
      </c>
      <c r="AV11" s="27">
        <v>43796.252009776559</v>
      </c>
      <c r="AW11" s="27">
        <v>30036.924927686156</v>
      </c>
      <c r="AX11" s="27">
        <v>11256.477056095406</v>
      </c>
      <c r="AY11" s="27">
        <v>0</v>
      </c>
      <c r="AZ11" s="27">
        <v>22025.12514947318</v>
      </c>
      <c r="BA11" s="27">
        <v>19383.828402566403</v>
      </c>
      <c r="BB11" s="27">
        <v>18112.662615480527</v>
      </c>
      <c r="BC11" s="27">
        <v>20202.408481902883</v>
      </c>
      <c r="BD11" s="28">
        <v>699236.0567619378</v>
      </c>
      <c r="BG11" s="30"/>
    </row>
    <row r="12" spans="1:59" s="7" customFormat="1">
      <c r="A12" s="91"/>
      <c r="B12" s="9" t="s">
        <v>501</v>
      </c>
      <c r="C12" s="9">
        <v>5</v>
      </c>
      <c r="D12" s="9">
        <v>5</v>
      </c>
      <c r="E12" s="9" t="s">
        <v>497</v>
      </c>
      <c r="F12" s="27">
        <v>418.20038261174108</v>
      </c>
      <c r="G12" s="27">
        <v>705.85345618511906</v>
      </c>
      <c r="H12" s="27">
        <v>776.52453017265702</v>
      </c>
      <c r="I12" s="27">
        <v>372.88063713317877</v>
      </c>
      <c r="J12" s="27">
        <v>470.24386069399873</v>
      </c>
      <c r="K12" s="27">
        <v>839.24424363637081</v>
      </c>
      <c r="L12" s="27">
        <v>1294.0108045210479</v>
      </c>
      <c r="M12" s="27">
        <v>1393.1484608604997</v>
      </c>
      <c r="N12" s="27">
        <v>81.08517360046045</v>
      </c>
      <c r="O12" s="27">
        <v>1938.9581621935019</v>
      </c>
      <c r="P12" s="27">
        <v>1429.1425517458304</v>
      </c>
      <c r="Q12" s="27">
        <v>927.386563484519</v>
      </c>
      <c r="R12" s="27">
        <v>1239.4012097586992</v>
      </c>
      <c r="S12" s="27">
        <v>658.23942711914196</v>
      </c>
      <c r="T12" s="27">
        <v>979.99559847735475</v>
      </c>
      <c r="U12" s="27">
        <v>2364.0646937518245</v>
      </c>
      <c r="V12" s="27">
        <v>1381.9497641174637</v>
      </c>
      <c r="W12" s="27">
        <v>669.14164347414078</v>
      </c>
      <c r="X12" s="27">
        <v>919.87133611022261</v>
      </c>
      <c r="Y12" s="27">
        <v>861.6517067717657</v>
      </c>
      <c r="Z12" s="27">
        <v>1018.1449998680516</v>
      </c>
      <c r="AA12" s="27">
        <v>919.98509712645557</v>
      </c>
      <c r="AB12" s="27">
        <v>944.22007850097782</v>
      </c>
      <c r="AC12" s="27">
        <v>880.55748378568865</v>
      </c>
      <c r="AD12" s="27">
        <v>781.31765504045757</v>
      </c>
      <c r="AE12" s="27">
        <v>1549.1375235273183</v>
      </c>
      <c r="AF12" s="27">
        <v>1066.6830638939982</v>
      </c>
      <c r="AG12" s="27">
        <v>1174.5614144362755</v>
      </c>
      <c r="AH12" s="27">
        <v>713.911647440357</v>
      </c>
      <c r="AI12" s="27">
        <v>1126.5819790485589</v>
      </c>
      <c r="AJ12" s="27">
        <v>1299.4937667053141</v>
      </c>
      <c r="AK12" s="27">
        <v>1023.1502382365256</v>
      </c>
      <c r="AL12" s="27">
        <v>698.26993291645397</v>
      </c>
      <c r="AM12" s="27">
        <v>1173.4623977857939</v>
      </c>
      <c r="AN12" s="27">
        <v>437.75206274528659</v>
      </c>
      <c r="AO12" s="27">
        <v>484.02657167304545</v>
      </c>
      <c r="AP12" s="27">
        <v>787.6738861198321</v>
      </c>
      <c r="AQ12" s="27">
        <v>441.18388633673459</v>
      </c>
      <c r="AR12" s="27">
        <v>845.15874029261499</v>
      </c>
      <c r="AS12" s="27">
        <v>0</v>
      </c>
      <c r="AT12" s="27">
        <v>421.97857673360022</v>
      </c>
      <c r="AU12" s="27">
        <v>505.58923513288323</v>
      </c>
      <c r="AV12" s="27">
        <v>1676.9846923401624</v>
      </c>
      <c r="AW12" s="27">
        <v>804.30809905146145</v>
      </c>
      <c r="AX12" s="27">
        <v>504.47796764066084</v>
      </c>
      <c r="AY12" s="27">
        <v>0</v>
      </c>
      <c r="AZ12" s="27">
        <v>1389.9846962080528</v>
      </c>
      <c r="BA12" s="27">
        <v>932.49597660453082</v>
      </c>
      <c r="BB12" s="27">
        <v>985.58048385248594</v>
      </c>
      <c r="BC12" s="27">
        <v>0</v>
      </c>
      <c r="BD12" s="28">
        <v>44307.66635946311</v>
      </c>
      <c r="BG12" s="30"/>
    </row>
    <row r="13" spans="1:59" s="7" customFormat="1" ht="16" thickBot="1">
      <c r="A13" s="91"/>
      <c r="B13" s="23" t="s">
        <v>502</v>
      </c>
      <c r="C13" s="9">
        <v>6</v>
      </c>
      <c r="D13" s="9">
        <v>5</v>
      </c>
      <c r="E13" s="9" t="s">
        <v>497</v>
      </c>
      <c r="F13" s="27">
        <v>5888.9427826957026</v>
      </c>
      <c r="G13" s="27">
        <v>11757.657174037273</v>
      </c>
      <c r="H13" s="27">
        <v>23837.547457932254</v>
      </c>
      <c r="I13" s="27">
        <v>4748.3754974699077</v>
      </c>
      <c r="J13" s="27">
        <v>5802.0767627413861</v>
      </c>
      <c r="K13" s="27">
        <v>114397.35965549867</v>
      </c>
      <c r="L13" s="27">
        <v>38694.741007362929</v>
      </c>
      <c r="M13" s="27">
        <v>25841.018545742907</v>
      </c>
      <c r="N13" s="27">
        <v>7492.2376610171432</v>
      </c>
      <c r="O13" s="27">
        <v>131090.45051510909</v>
      </c>
      <c r="P13" s="27">
        <v>23123.199456392518</v>
      </c>
      <c r="Q13" s="27">
        <v>26008.000715402941</v>
      </c>
      <c r="R13" s="27">
        <v>92657.417330569951</v>
      </c>
      <c r="S13" s="27">
        <v>23118.905267234935</v>
      </c>
      <c r="T13" s="27">
        <v>30464.619536921968</v>
      </c>
      <c r="U13" s="27">
        <v>165279.50731118576</v>
      </c>
      <c r="V13" s="27">
        <v>68634.883502937984</v>
      </c>
      <c r="W13" s="27">
        <v>15124.779656249892</v>
      </c>
      <c r="X13" s="27">
        <v>34333.221743655129</v>
      </c>
      <c r="Y13" s="27">
        <v>28625.612242809621</v>
      </c>
      <c r="Z13" s="27">
        <v>35125.626746490452</v>
      </c>
      <c r="AA13" s="27">
        <v>33191.129512118627</v>
      </c>
      <c r="AB13" s="27">
        <v>27881.538626163354</v>
      </c>
      <c r="AC13" s="27">
        <v>16140.259711064426</v>
      </c>
      <c r="AD13" s="27">
        <v>39151.942288862716</v>
      </c>
      <c r="AE13" s="27">
        <v>34094.812865441862</v>
      </c>
      <c r="AF13" s="27">
        <v>21560.713622131978</v>
      </c>
      <c r="AG13" s="27">
        <v>34863.63954131995</v>
      </c>
      <c r="AH13" s="27">
        <v>21407.180766471163</v>
      </c>
      <c r="AI13" s="27">
        <v>21118.23445363357</v>
      </c>
      <c r="AJ13" s="27">
        <v>37492.346480749809</v>
      </c>
      <c r="AK13" s="27">
        <v>20547.291167632004</v>
      </c>
      <c r="AL13" s="27">
        <v>18021.36772601827</v>
      </c>
      <c r="AM13" s="27">
        <v>54060.449815195039</v>
      </c>
      <c r="AN13" s="27">
        <v>17186.278018897283</v>
      </c>
      <c r="AO13" s="27">
        <v>1405.5636184404393</v>
      </c>
      <c r="AP13" s="27">
        <v>3494.2238007770393</v>
      </c>
      <c r="AQ13" s="27">
        <v>1241.243181449209</v>
      </c>
      <c r="AR13" s="27">
        <v>4137.1362726595489</v>
      </c>
      <c r="AS13" s="27">
        <v>0</v>
      </c>
      <c r="AT13" s="27">
        <v>452.757093307177</v>
      </c>
      <c r="AU13" s="27">
        <v>1974.4591697309595</v>
      </c>
      <c r="AV13" s="27">
        <v>17853.558621454784</v>
      </c>
      <c r="AW13" s="27">
        <v>14536.417697645968</v>
      </c>
      <c r="AX13" s="27">
        <v>4050.820361228949</v>
      </c>
      <c r="AY13" s="27">
        <v>0</v>
      </c>
      <c r="AZ13" s="27">
        <v>16924.144651877061</v>
      </c>
      <c r="BA13" s="27">
        <v>41131.055278181811</v>
      </c>
      <c r="BB13" s="27">
        <v>12356.687045821061</v>
      </c>
      <c r="BC13" s="27">
        <v>0</v>
      </c>
      <c r="BD13" s="28">
        <v>1428321.4319577322</v>
      </c>
      <c r="BG13" s="30"/>
    </row>
    <row r="14" spans="1:59" s="7" customFormat="1" ht="16" thickBot="1">
      <c r="A14" s="91"/>
      <c r="B14" s="1" t="s">
        <v>394</v>
      </c>
      <c r="C14" s="1"/>
      <c r="D14" s="9">
        <v>5</v>
      </c>
      <c r="E14" s="9" t="s">
        <v>497</v>
      </c>
      <c r="F14" s="3">
        <f>SUM(F10:F13)</f>
        <v>66468.937268095324</v>
      </c>
      <c r="G14" s="3">
        <f t="shared" ref="G14:BD14" si="0">SUM(G10:G13)</f>
        <v>262990.37947466155</v>
      </c>
      <c r="H14" s="3">
        <f t="shared" si="0"/>
        <v>261621.71985454383</v>
      </c>
      <c r="I14" s="3">
        <f t="shared" si="0"/>
        <v>68495.861762204004</v>
      </c>
      <c r="J14" s="3">
        <f t="shared" si="0"/>
        <v>188536.91734428809</v>
      </c>
      <c r="K14" s="3">
        <f t="shared" si="0"/>
        <v>252488.99694276476</v>
      </c>
      <c r="L14" s="3">
        <f t="shared" si="0"/>
        <v>561344.58351465117</v>
      </c>
      <c r="M14" s="3">
        <f t="shared" si="0"/>
        <v>420778.4791625815</v>
      </c>
      <c r="N14" s="3">
        <f t="shared" si="0"/>
        <v>126504.70180627237</v>
      </c>
      <c r="O14" s="3">
        <f t="shared" si="0"/>
        <v>623302.51590559399</v>
      </c>
      <c r="P14" s="3">
        <f t="shared" si="0"/>
        <v>494429.27713899151</v>
      </c>
      <c r="Q14" s="3">
        <f t="shared" si="0"/>
        <v>430727.59319106571</v>
      </c>
      <c r="R14" s="3">
        <f t="shared" si="0"/>
        <v>297646.89626067667</v>
      </c>
      <c r="S14" s="3">
        <f t="shared" si="0"/>
        <v>198098.8401451775</v>
      </c>
      <c r="T14" s="3">
        <f t="shared" si="0"/>
        <v>280379.39629295329</v>
      </c>
      <c r="U14" s="3">
        <f t="shared" si="0"/>
        <v>319783.17686548911</v>
      </c>
      <c r="V14" s="3">
        <f t="shared" si="0"/>
        <v>321320.79973674659</v>
      </c>
      <c r="W14" s="3">
        <f t="shared" si="0"/>
        <v>253731.58113114958</v>
      </c>
      <c r="X14" s="3">
        <f t="shared" si="0"/>
        <v>349879.28227482026</v>
      </c>
      <c r="Y14" s="3">
        <f t="shared" si="0"/>
        <v>218011.33330494395</v>
      </c>
      <c r="Z14" s="3">
        <f t="shared" si="0"/>
        <v>448873.2020921061</v>
      </c>
      <c r="AA14" s="3">
        <f t="shared" si="0"/>
        <v>390996.09665535431</v>
      </c>
      <c r="AB14" s="3">
        <f t="shared" si="0"/>
        <v>338357.39377045864</v>
      </c>
      <c r="AC14" s="3">
        <f t="shared" si="0"/>
        <v>265428.87395364908</v>
      </c>
      <c r="AD14" s="3">
        <f t="shared" si="0"/>
        <v>303532.41626912076</v>
      </c>
      <c r="AE14" s="3">
        <f t="shared" si="0"/>
        <v>421077.53135643568</v>
      </c>
      <c r="AF14" s="3">
        <f t="shared" si="0"/>
        <v>288706.80460148229</v>
      </c>
      <c r="AG14" s="3">
        <f t="shared" si="0"/>
        <v>458797.16631828283</v>
      </c>
      <c r="AH14" s="3">
        <f t="shared" si="0"/>
        <v>239170.23623993786</v>
      </c>
      <c r="AI14" s="3">
        <f t="shared" si="0"/>
        <v>498731.17233527993</v>
      </c>
      <c r="AJ14" s="3">
        <f t="shared" si="0"/>
        <v>421568.16692144878</v>
      </c>
      <c r="AK14" s="3">
        <f t="shared" si="0"/>
        <v>399344.37936815969</v>
      </c>
      <c r="AL14" s="3">
        <f t="shared" si="0"/>
        <v>111197.99717618286</v>
      </c>
      <c r="AM14" s="3">
        <f t="shared" si="0"/>
        <v>229391.264417756</v>
      </c>
      <c r="AN14" s="3">
        <f t="shared" si="0"/>
        <v>82681.053014390214</v>
      </c>
      <c r="AO14" s="3">
        <f t="shared" si="0"/>
        <v>224114.40264473995</v>
      </c>
      <c r="AP14" s="3">
        <f t="shared" si="0"/>
        <v>216860.40903072213</v>
      </c>
      <c r="AQ14" s="3">
        <f t="shared" si="0"/>
        <v>215677.7341924221</v>
      </c>
      <c r="AR14" s="3">
        <f t="shared" si="0"/>
        <v>224399.84018256306</v>
      </c>
      <c r="AS14" s="3">
        <f t="shared" si="0"/>
        <v>291257.02691225708</v>
      </c>
      <c r="AT14" s="3">
        <f t="shared" si="0"/>
        <v>200580.51001263529</v>
      </c>
      <c r="AU14" s="3">
        <f t="shared" si="0"/>
        <v>454255.77774609969</v>
      </c>
      <c r="AV14" s="3">
        <f t="shared" si="0"/>
        <v>582339.52118623187</v>
      </c>
      <c r="AW14" s="3">
        <f t="shared" si="0"/>
        <v>534782.46026941924</v>
      </c>
      <c r="AX14" s="3">
        <f t="shared" si="0"/>
        <v>67969.914956131121</v>
      </c>
      <c r="AY14" s="3">
        <f t="shared" si="0"/>
        <v>316426.47170927969</v>
      </c>
      <c r="AZ14" s="3">
        <f t="shared" si="0"/>
        <v>243654.61064596876</v>
      </c>
      <c r="BA14" s="3">
        <f t="shared" si="0"/>
        <v>377086.93397937191</v>
      </c>
      <c r="BB14" s="3">
        <f t="shared" si="0"/>
        <v>203409.56348799408</v>
      </c>
      <c r="BC14" s="3">
        <f t="shared" si="0"/>
        <v>388036.20241889835</v>
      </c>
      <c r="BD14" s="372">
        <f t="shared" si="0"/>
        <v>15435246.403242454</v>
      </c>
      <c r="BG14" s="30"/>
    </row>
    <row r="15" spans="1:59" s="7" customFormat="1">
      <c r="A15" s="9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"/>
      <c r="BG15" s="30"/>
    </row>
    <row r="16" spans="1:59" s="7" customFormat="1" ht="18">
      <c r="A16" s="94"/>
      <c r="B16" s="138" t="s">
        <v>340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6"/>
      <c r="BE16" s="94"/>
      <c r="BF16" s="94"/>
      <c r="BG16" s="30"/>
    </row>
    <row r="17" spans="1:59" s="35" customFormat="1">
      <c r="A17" s="97"/>
      <c r="B17" s="37" t="s">
        <v>207</v>
      </c>
      <c r="C17" s="33"/>
      <c r="D17" s="33"/>
      <c r="E17" s="33"/>
      <c r="F17" s="70">
        <v>443.45241331112419</v>
      </c>
      <c r="G17" s="33">
        <v>443.45241331112419</v>
      </c>
      <c r="H17" s="70">
        <v>443.45241331112419</v>
      </c>
      <c r="I17" s="387">
        <v>825.05453597519022</v>
      </c>
      <c r="J17" s="70">
        <v>443.45241331112419</v>
      </c>
      <c r="K17" s="70">
        <v>443.45241331112419</v>
      </c>
      <c r="L17" s="70">
        <v>401.89053207189346</v>
      </c>
      <c r="M17" s="33">
        <v>401.89053207189346</v>
      </c>
      <c r="N17" s="70">
        <v>401.89053207189346</v>
      </c>
      <c r="O17" s="70">
        <v>401.89053207189346</v>
      </c>
      <c r="P17" s="70">
        <v>401.89053207189346</v>
      </c>
      <c r="Q17" s="70">
        <v>401.89053207189346</v>
      </c>
      <c r="R17" s="70">
        <v>483.05917320341024</v>
      </c>
      <c r="S17" s="33">
        <v>483.05917320341024</v>
      </c>
      <c r="T17" s="70">
        <v>483.05917320341024</v>
      </c>
      <c r="U17" s="70">
        <v>483.05917320341024</v>
      </c>
      <c r="V17" s="70">
        <v>483.05917320341024</v>
      </c>
      <c r="W17" s="70">
        <v>483.05917320341024</v>
      </c>
      <c r="X17" s="70">
        <v>483.05917320341024</v>
      </c>
      <c r="Y17" s="70">
        <v>483.05917320341024</v>
      </c>
      <c r="Z17" s="33">
        <v>452.66367985097293</v>
      </c>
      <c r="AA17" s="70">
        <v>452.66367985097293</v>
      </c>
      <c r="AB17" s="70">
        <v>483.05917320341024</v>
      </c>
      <c r="AC17" s="70">
        <v>452.66367985097293</v>
      </c>
      <c r="AD17" s="70">
        <v>483.05917320341024</v>
      </c>
      <c r="AE17" s="70">
        <v>452.66367985097293</v>
      </c>
      <c r="AF17" s="70">
        <v>452.66367985097293</v>
      </c>
      <c r="AG17" s="70">
        <v>452.66367985097293</v>
      </c>
      <c r="AH17" s="70">
        <v>410.24549582113423</v>
      </c>
      <c r="AI17" s="33">
        <v>410.24549582113423</v>
      </c>
      <c r="AJ17" s="70">
        <v>410.24549582113423</v>
      </c>
      <c r="AK17" s="70">
        <v>410.24549582113423</v>
      </c>
      <c r="AL17" s="70">
        <v>483.05917320341024</v>
      </c>
      <c r="AM17" s="70">
        <v>483.05917320341024</v>
      </c>
      <c r="AN17" s="70">
        <v>483.05917320341024</v>
      </c>
      <c r="AO17" s="70">
        <v>483.05917320341024</v>
      </c>
      <c r="AP17" s="70">
        <v>483.05917320341024</v>
      </c>
      <c r="AQ17" s="70">
        <v>483.05917320341024</v>
      </c>
      <c r="AR17" s="70">
        <v>483.05917320341024</v>
      </c>
      <c r="AS17" s="70">
        <v>483.05917320341024</v>
      </c>
      <c r="AT17" s="70">
        <v>483.05917320341024</v>
      </c>
      <c r="AU17" s="70">
        <v>483.05917320341024</v>
      </c>
      <c r="AV17" s="70">
        <v>452.66367985097293</v>
      </c>
      <c r="AW17" s="70">
        <v>452.66367985097293</v>
      </c>
      <c r="AX17" s="70">
        <v>452.66367985097293</v>
      </c>
      <c r="AY17" s="70">
        <v>452.66367985097293</v>
      </c>
      <c r="AZ17" s="70">
        <v>452.66367985097293</v>
      </c>
      <c r="BA17" s="70">
        <v>452.66367985097293</v>
      </c>
      <c r="BB17" s="70">
        <v>452.66367985097293</v>
      </c>
      <c r="BC17" s="70">
        <v>452.66367985097293</v>
      </c>
      <c r="BD17" s="34">
        <f>BD18/BD14</f>
        <v>450.78055714893372</v>
      </c>
      <c r="BE17" s="35" t="s">
        <v>547</v>
      </c>
      <c r="BG17" s="36"/>
    </row>
    <row r="18" spans="1:59" s="7" customFormat="1">
      <c r="A18" s="94"/>
      <c r="B18" s="71" t="s">
        <v>290</v>
      </c>
      <c r="C18" s="1"/>
      <c r="D18" s="1"/>
      <c r="E18" s="1"/>
      <c r="F18" s="72">
        <f>F14*F17</f>
        <v>29475810.641762592</v>
      </c>
      <c r="G18" s="72">
        <f t="shared" ref="G18:BC18" si="1">G14*G17</f>
        <v>116623718.45564701</v>
      </c>
      <c r="H18" s="72">
        <f t="shared" si="1"/>
        <v>116016783.04410432</v>
      </c>
      <c r="I18" s="72">
        <f t="shared" si="1"/>
        <v>56512821.442436002</v>
      </c>
      <c r="J18" s="72">
        <f t="shared" si="1"/>
        <v>83607150.994564503</v>
      </c>
      <c r="K18" s="72">
        <f t="shared" si="1"/>
        <v>111966855.02877408</v>
      </c>
      <c r="L18" s="72">
        <f t="shared" si="1"/>
        <v>225599073.34437859</v>
      </c>
      <c r="M18" s="72">
        <f t="shared" si="1"/>
        <v>169106886.87505201</v>
      </c>
      <c r="N18" s="72">
        <f t="shared" si="1"/>
        <v>50841041.91851902</v>
      </c>
      <c r="O18" s="72">
        <f t="shared" si="1"/>
        <v>250499379.759049</v>
      </c>
      <c r="P18" s="72">
        <f t="shared" si="1"/>
        <v>198706445.26131096</v>
      </c>
      <c r="Q18" s="72">
        <f t="shared" si="1"/>
        <v>173105341.60560349</v>
      </c>
      <c r="R18" s="72">
        <f t="shared" si="1"/>
        <v>143781063.61424369</v>
      </c>
      <c r="S18" s="72">
        <f t="shared" si="1"/>
        <v>95693461.933083981</v>
      </c>
      <c r="T18" s="72">
        <f t="shared" si="1"/>
        <v>135439839.35654533</v>
      </c>
      <c r="U18" s="72">
        <f t="shared" si="1"/>
        <v>154474197.02100307</v>
      </c>
      <c r="V18" s="72">
        <f t="shared" si="1"/>
        <v>155216959.85389137</v>
      </c>
      <c r="W18" s="72">
        <f t="shared" si="1"/>
        <v>122567367.79680713</v>
      </c>
      <c r="X18" s="72">
        <f t="shared" si="1"/>
        <v>169012396.81667727</v>
      </c>
      <c r="Y18" s="72">
        <f t="shared" si="1"/>
        <v>105312374.41525932</v>
      </c>
      <c r="Z18" s="72">
        <f t="shared" si="1"/>
        <v>203188595.44550219</v>
      </c>
      <c r="AA18" s="72">
        <f t="shared" si="1"/>
        <v>176989731.91937938</v>
      </c>
      <c r="AB18" s="72">
        <f t="shared" si="1"/>
        <v>163446642.88201848</v>
      </c>
      <c r="AC18" s="72">
        <f t="shared" si="1"/>
        <v>120150010.82255885</v>
      </c>
      <c r="AD18" s="72">
        <f t="shared" si="1"/>
        <v>146624118.04339483</v>
      </c>
      <c r="AE18" s="72">
        <f t="shared" si="1"/>
        <v>190606504.84636763</v>
      </c>
      <c r="AF18" s="72">
        <f t="shared" si="1"/>
        <v>130687084.56892277</v>
      </c>
      <c r="AG18" s="72">
        <f t="shared" si="1"/>
        <v>207680813.61083275</v>
      </c>
      <c r="AH18" s="72">
        <f t="shared" si="1"/>
        <v>98118512.15191111</v>
      </c>
      <c r="AI18" s="72">
        <f t="shared" si="1"/>
        <v>204602217.07614246</v>
      </c>
      <c r="AJ18" s="72">
        <f t="shared" si="1"/>
        <v>172946441.66109642</v>
      </c>
      <c r="AK18" s="72">
        <f t="shared" si="1"/>
        <v>163829232.91727379</v>
      </c>
      <c r="AL18" s="72">
        <f>AL14*AL17</f>
        <v>53715212.57780204</v>
      </c>
      <c r="AM18" s="72">
        <f t="shared" si="1"/>
        <v>110809554.52972607</v>
      </c>
      <c r="AN18" s="72">
        <f t="shared" si="1"/>
        <v>39939841.108718663</v>
      </c>
      <c r="AO18" s="72">
        <f t="shared" si="1"/>
        <v>108260518.04454426</v>
      </c>
      <c r="AP18" s="72">
        <f t="shared" si="1"/>
        <v>104756409.886934</v>
      </c>
      <c r="AQ18" s="72">
        <f t="shared" si="1"/>
        <v>104185107.9573763</v>
      </c>
      <c r="AR18" s="72">
        <f t="shared" si="1"/>
        <v>108398401.2655663</v>
      </c>
      <c r="AS18" s="72">
        <f t="shared" si="1"/>
        <v>140694378.6099183</v>
      </c>
      <c r="AT18" s="72">
        <f t="shared" si="1"/>
        <v>96892255.327421948</v>
      </c>
      <c r="AU18" s="72">
        <f t="shared" si="1"/>
        <v>219432420.420903</v>
      </c>
      <c r="AV18" s="72">
        <f t="shared" si="1"/>
        <v>263603950.58281332</v>
      </c>
      <c r="AW18" s="72">
        <f t="shared" si="1"/>
        <v>242076596.38531205</v>
      </c>
      <c r="AX18" s="72">
        <f t="shared" si="1"/>
        <v>30767511.823199995</v>
      </c>
      <c r="AY18" s="72">
        <f t="shared" si="1"/>
        <v>143234771.08618233</v>
      </c>
      <c r="AZ18" s="72">
        <f t="shared" si="1"/>
        <v>110293592.66766027</v>
      </c>
      <c r="BA18" s="72">
        <f t="shared" si="1"/>
        <v>170693559.15882337</v>
      </c>
      <c r="BB18" s="72">
        <f t="shared" si="1"/>
        <v>92076121.525355503</v>
      </c>
      <c r="BC18" s="72">
        <f t="shared" si="1"/>
        <v>175649895.30233553</v>
      </c>
      <c r="BD18" s="73">
        <f>SUM(F18:BC18)</f>
        <v>6957908973.3847084</v>
      </c>
      <c r="BE18" s="295" t="s">
        <v>126</v>
      </c>
      <c r="BG18" s="30"/>
    </row>
    <row r="19" spans="1:59" s="7" customFormat="1">
      <c r="A19" s="94"/>
      <c r="B19" s="1"/>
      <c r="C19" s="1"/>
      <c r="D19" s="1"/>
      <c r="E19" s="1"/>
      <c r="F19" s="1"/>
      <c r="G19" s="1"/>
      <c r="H19" s="1"/>
      <c r="I19" s="92" t="s">
        <v>158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346" t="s">
        <v>182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"/>
      <c r="BG19" s="30"/>
    </row>
    <row r="20" spans="1:59" s="7" customFormat="1">
      <c r="A20" s="94"/>
      <c r="B20" s="1"/>
      <c r="C20" s="1"/>
      <c r="D20" s="1"/>
      <c r="E20" s="1"/>
      <c r="F20" s="1"/>
      <c r="G20" s="1"/>
      <c r="H20" s="1"/>
      <c r="I20" s="92" t="s">
        <v>159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347" t="s">
        <v>181</v>
      </c>
      <c r="U20" s="7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"/>
      <c r="BG20" s="30"/>
    </row>
    <row r="21" spans="1:59" s="7" customFormat="1" ht="19" thickBot="1">
      <c r="A21" s="98"/>
      <c r="B21" s="139" t="s">
        <v>441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100"/>
      <c r="BE21" s="98"/>
      <c r="BF21" s="98"/>
      <c r="BG21" s="30"/>
    </row>
    <row r="22" spans="1:59" s="7" customFormat="1" ht="16" thickBot="1">
      <c r="A22" s="98"/>
      <c r="B22" s="1"/>
      <c r="C22" s="1"/>
      <c r="D22" s="1"/>
      <c r="E22" s="1"/>
      <c r="F22" s="1" t="s">
        <v>403</v>
      </c>
      <c r="G22" s="1" t="s">
        <v>143</v>
      </c>
      <c r="H22" s="1" t="s">
        <v>253</v>
      </c>
      <c r="I22" s="1" t="s">
        <v>261</v>
      </c>
      <c r="J22" s="1" t="s">
        <v>254</v>
      </c>
      <c r="K22" s="1" t="s">
        <v>255</v>
      </c>
      <c r="L22" s="1" t="s">
        <v>447</v>
      </c>
      <c r="M22" s="1" t="s">
        <v>256</v>
      </c>
      <c r="N22" s="1" t="s">
        <v>257</v>
      </c>
      <c r="O22" s="1" t="s">
        <v>258</v>
      </c>
      <c r="P22" s="1" t="s">
        <v>448</v>
      </c>
      <c r="Q22" s="1" t="s">
        <v>449</v>
      </c>
      <c r="R22" s="1" t="s">
        <v>276</v>
      </c>
      <c r="S22" s="1" t="s">
        <v>274</v>
      </c>
      <c r="T22" s="1" t="s">
        <v>450</v>
      </c>
      <c r="U22" s="1" t="s">
        <v>451</v>
      </c>
      <c r="V22" s="1" t="s">
        <v>277</v>
      </c>
      <c r="W22" s="1" t="s">
        <v>464</v>
      </c>
      <c r="X22" s="1" t="s">
        <v>278</v>
      </c>
      <c r="Y22" s="1" t="s">
        <v>505</v>
      </c>
      <c r="Z22" s="397" t="s">
        <v>279</v>
      </c>
      <c r="AA22" s="1" t="s">
        <v>360</v>
      </c>
      <c r="AB22" s="1" t="s">
        <v>361</v>
      </c>
      <c r="AC22" s="1" t="s">
        <v>362</v>
      </c>
      <c r="AD22" s="1" t="s">
        <v>280</v>
      </c>
      <c r="AE22" s="1" t="s">
        <v>281</v>
      </c>
      <c r="AF22" s="1" t="s">
        <v>363</v>
      </c>
      <c r="AG22" s="1" t="s">
        <v>282</v>
      </c>
      <c r="AH22" s="1" t="s">
        <v>364</v>
      </c>
      <c r="AI22" s="1" t="s">
        <v>473</v>
      </c>
      <c r="AJ22" s="1" t="s">
        <v>230</v>
      </c>
      <c r="AK22" s="1" t="s">
        <v>231</v>
      </c>
      <c r="AL22" s="1" t="s">
        <v>232</v>
      </c>
      <c r="AM22" s="1" t="s">
        <v>233</v>
      </c>
      <c r="AN22" s="1" t="s">
        <v>203</v>
      </c>
      <c r="AO22" s="1" t="s">
        <v>463</v>
      </c>
      <c r="AP22" s="1" t="s">
        <v>365</v>
      </c>
      <c r="AQ22" s="1" t="s">
        <v>252</v>
      </c>
      <c r="AR22" s="1" t="s">
        <v>380</v>
      </c>
      <c r="AS22" s="1" t="s">
        <v>381</v>
      </c>
      <c r="AT22" s="1" t="s">
        <v>204</v>
      </c>
      <c r="AU22" s="1" t="s">
        <v>382</v>
      </c>
      <c r="AV22" s="1" t="s">
        <v>205</v>
      </c>
      <c r="AW22" s="1" t="s">
        <v>383</v>
      </c>
      <c r="AX22" s="1" t="s">
        <v>206</v>
      </c>
      <c r="AY22" s="1" t="s">
        <v>384</v>
      </c>
      <c r="AZ22" s="1" t="s">
        <v>144</v>
      </c>
      <c r="BA22" s="1" t="s">
        <v>208</v>
      </c>
      <c r="BB22" s="1" t="s">
        <v>145</v>
      </c>
      <c r="BC22" s="1" t="s">
        <v>389</v>
      </c>
      <c r="BD22" s="2" t="s">
        <v>385</v>
      </c>
      <c r="BG22" s="30"/>
    </row>
    <row r="23" spans="1:59" s="7" customFormat="1">
      <c r="A23" s="98"/>
      <c r="B23" s="1"/>
      <c r="C23" s="5" t="s">
        <v>492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2"/>
      <c r="BG23" s="30"/>
    </row>
    <row r="24" spans="1:59">
      <c r="A24" s="101"/>
      <c r="E24" s="4" t="s">
        <v>387</v>
      </c>
      <c r="F24" s="15">
        <v>66468.937268095324</v>
      </c>
      <c r="G24" s="15">
        <v>262990.3794746616</v>
      </c>
      <c r="H24" s="15">
        <v>261621.7198545438</v>
      </c>
      <c r="I24" s="15">
        <v>68495.861762204004</v>
      </c>
      <c r="J24" s="15">
        <v>188536.91734428811</v>
      </c>
      <c r="K24" s="15">
        <v>252488.99694276476</v>
      </c>
      <c r="L24" s="15">
        <v>561344.58351465117</v>
      </c>
      <c r="M24" s="15">
        <v>420778.47916258156</v>
      </c>
      <c r="N24" s="15">
        <v>126504.70180627237</v>
      </c>
      <c r="O24" s="15">
        <v>623302.5159055941</v>
      </c>
      <c r="P24" s="15">
        <v>494429.27713899151</v>
      </c>
      <c r="Q24" s="15">
        <v>430727.59319106571</v>
      </c>
      <c r="R24" s="15">
        <v>297646.89626067667</v>
      </c>
      <c r="S24" s="15">
        <v>198098.84014517747</v>
      </c>
      <c r="T24" s="15">
        <v>280379.39629295329</v>
      </c>
      <c r="U24" s="15">
        <v>319783.17686548911</v>
      </c>
      <c r="V24" s="15">
        <v>321320.79973674665</v>
      </c>
      <c r="W24" s="15">
        <v>253731.58113114961</v>
      </c>
      <c r="X24" s="15">
        <v>349879.28227482032</v>
      </c>
      <c r="Y24" s="15">
        <v>218011.33330494395</v>
      </c>
      <c r="Z24" s="15">
        <v>448873.20209210616</v>
      </c>
      <c r="AA24" s="15">
        <v>390996.09665535425</v>
      </c>
      <c r="AB24" s="15">
        <v>338357.3937704587</v>
      </c>
      <c r="AC24" s="15">
        <v>265428.87395364908</v>
      </c>
      <c r="AD24" s="15">
        <v>303532.41626912076</v>
      </c>
      <c r="AE24" s="15">
        <v>421077.53135643573</v>
      </c>
      <c r="AF24" s="15">
        <v>288706.80460148229</v>
      </c>
      <c r="AG24" s="15">
        <v>458797.16631828289</v>
      </c>
      <c r="AH24" s="15">
        <v>239170.23623993783</v>
      </c>
      <c r="AI24" s="15">
        <v>498731.17233527999</v>
      </c>
      <c r="AJ24" s="15">
        <v>421568.16692144878</v>
      </c>
      <c r="AK24" s="15">
        <v>399344.37936815969</v>
      </c>
      <c r="AL24" s="15">
        <v>111197.99717618286</v>
      </c>
      <c r="AM24" s="15">
        <v>229391.264417756</v>
      </c>
      <c r="AN24" s="15">
        <v>82681.053014390214</v>
      </c>
      <c r="AO24" s="15">
        <v>224114.40264473995</v>
      </c>
      <c r="AP24" s="15">
        <v>216860.40903072213</v>
      </c>
      <c r="AQ24" s="15">
        <v>215677.7341924221</v>
      </c>
      <c r="AR24" s="15">
        <v>224399.84018256303</v>
      </c>
      <c r="AS24" s="15">
        <v>291257.02691225708</v>
      </c>
      <c r="AT24" s="15">
        <v>200580.51001263526</v>
      </c>
      <c r="AU24" s="15">
        <v>454255.77774609969</v>
      </c>
      <c r="AV24" s="15">
        <v>582339.52118623187</v>
      </c>
      <c r="AW24" s="15">
        <v>534782.46026941924</v>
      </c>
      <c r="AX24" s="15">
        <v>67969.914956131121</v>
      </c>
      <c r="AY24" s="15">
        <v>316426.47170927969</v>
      </c>
      <c r="AZ24" s="15">
        <v>243654.61064596876</v>
      </c>
      <c r="BA24" s="15">
        <v>377086.93397937191</v>
      </c>
      <c r="BB24" s="15">
        <v>203409.56348799411</v>
      </c>
      <c r="BC24" s="15">
        <v>388036.20241889835</v>
      </c>
      <c r="BD24" s="15">
        <v>15399364.459857531</v>
      </c>
    </row>
    <row r="25" spans="1:59">
      <c r="A25" s="101"/>
      <c r="E25" s="4" t="s">
        <v>273</v>
      </c>
      <c r="F25" s="16">
        <v>5.1814593301435403</v>
      </c>
      <c r="G25" s="16">
        <v>5.3794913120524726</v>
      </c>
      <c r="H25" s="16">
        <v>5.3281910166664073</v>
      </c>
      <c r="I25" s="16">
        <v>5.3122684172137129</v>
      </c>
      <c r="J25" s="16">
        <v>6.0822937102350938</v>
      </c>
      <c r="K25" s="16">
        <v>6.645521108324707</v>
      </c>
      <c r="L25" s="16">
        <v>5.9981535502103727</v>
      </c>
      <c r="M25" s="16">
        <v>5.4721635398337174</v>
      </c>
      <c r="N25" s="16">
        <v>9.0416953902833193</v>
      </c>
      <c r="O25" s="16">
        <v>5.1591561478050814</v>
      </c>
      <c r="P25" s="16">
        <v>5.956252543708489</v>
      </c>
      <c r="Q25" s="16">
        <v>5.591781770417021</v>
      </c>
      <c r="R25" s="16">
        <v>5.1532205694857627</v>
      </c>
      <c r="S25" s="16">
        <v>5.7809025173119419</v>
      </c>
      <c r="T25" s="16">
        <v>5.0797106757004213</v>
      </c>
      <c r="U25" s="16">
        <v>6.436204129837253</v>
      </c>
      <c r="V25" s="16">
        <v>5.1673818343071787</v>
      </c>
      <c r="W25" s="16">
        <v>6.2103435218625176</v>
      </c>
      <c r="X25" s="16">
        <v>5.3563243099225222</v>
      </c>
      <c r="Y25" s="16">
        <v>4.6873509710670582</v>
      </c>
      <c r="Z25" s="381">
        <v>6.3437221972998641</v>
      </c>
      <c r="AA25" s="16">
        <v>6.475538646835032</v>
      </c>
      <c r="AB25" s="16">
        <v>6.1827152537323418</v>
      </c>
      <c r="AC25" s="16">
        <v>5.8943448563365832</v>
      </c>
      <c r="AD25" s="16">
        <v>6.3168011440508653</v>
      </c>
      <c r="AE25" s="16">
        <v>5.8968854094410794</v>
      </c>
      <c r="AF25" s="16">
        <v>5.6628700412526269</v>
      </c>
      <c r="AG25" s="16">
        <v>6.3232352740234319</v>
      </c>
      <c r="AH25" s="16">
        <v>6.0530398331791062</v>
      </c>
      <c r="AI25" s="16">
        <v>5.7354546618165001</v>
      </c>
      <c r="AJ25" s="16">
        <v>6.2331118341582243</v>
      </c>
      <c r="AK25" s="16">
        <v>5.7350001996645634</v>
      </c>
      <c r="AL25" s="16">
        <v>5.1802147298200847</v>
      </c>
      <c r="AM25" s="16">
        <v>5.1265697929037275</v>
      </c>
      <c r="AN25" s="16">
        <v>4.8198720044845142</v>
      </c>
      <c r="AO25" s="16">
        <v>5.9567211224581476</v>
      </c>
      <c r="AP25" s="16">
        <v>6.0631867796320345</v>
      </c>
      <c r="AQ25" s="16">
        <v>6.02853329322856</v>
      </c>
      <c r="AR25" s="16">
        <v>5.3038067701859086</v>
      </c>
      <c r="AS25" s="16">
        <v>6.1905010348147425</v>
      </c>
      <c r="AT25" s="16">
        <v>7.8773630725547337</v>
      </c>
      <c r="AU25" s="16">
        <v>5.721792322282683</v>
      </c>
      <c r="AV25" s="16">
        <v>5.4889695620056349</v>
      </c>
      <c r="AW25" s="16">
        <v>5.2123304822050569</v>
      </c>
      <c r="AX25" s="16">
        <v>8.0248692564811996</v>
      </c>
      <c r="AY25" s="16">
        <v>5.0543903770268752</v>
      </c>
      <c r="AZ25" s="16">
        <v>5.9334423961107623</v>
      </c>
      <c r="BA25" s="16">
        <v>6.0731999551766647</v>
      </c>
      <c r="BB25" s="16">
        <v>6.0755950582468863</v>
      </c>
      <c r="BC25" s="16">
        <v>5.541109149398074</v>
      </c>
      <c r="BD25" s="16">
        <v>5.8291473386615831</v>
      </c>
    </row>
    <row r="26" spans="1:59">
      <c r="A26" s="101"/>
      <c r="E26" s="4" t="s">
        <v>462</v>
      </c>
      <c r="F26" s="18">
        <v>3.422283693678918</v>
      </c>
      <c r="G26" s="133">
        <v>3.422283693678918</v>
      </c>
      <c r="H26" s="133">
        <v>3.422283693678918</v>
      </c>
      <c r="I26" s="133">
        <v>3.422283693678918</v>
      </c>
      <c r="J26" s="133">
        <v>3.422283693678918</v>
      </c>
      <c r="K26" s="133">
        <v>3.422283693678918</v>
      </c>
      <c r="L26" s="133">
        <v>3.422283693678918</v>
      </c>
      <c r="M26" s="133">
        <v>3.422283693678918</v>
      </c>
      <c r="N26" s="133">
        <v>3.422283693678918</v>
      </c>
      <c r="O26" s="133">
        <v>3.422283693678918</v>
      </c>
      <c r="P26" s="133">
        <v>3.422283693678918</v>
      </c>
      <c r="Q26" s="133">
        <v>3.422283693678918</v>
      </c>
      <c r="R26" s="133">
        <v>3.422283693678918</v>
      </c>
      <c r="S26" s="133">
        <v>3.422283693678918</v>
      </c>
      <c r="T26" s="133">
        <v>3.422283693678918</v>
      </c>
      <c r="U26" s="133">
        <v>3.422283693678918</v>
      </c>
      <c r="V26" s="133">
        <v>3.422283693678918</v>
      </c>
      <c r="W26" s="133">
        <v>3.422283693678918</v>
      </c>
      <c r="X26" s="133">
        <v>3.422283693678918</v>
      </c>
      <c r="Y26" s="133">
        <v>3.422283693678918</v>
      </c>
      <c r="Z26" s="158">
        <v>3.422283693678918</v>
      </c>
      <c r="AA26" s="133">
        <v>3.422283693678918</v>
      </c>
      <c r="AB26" s="133">
        <v>3.422283693678918</v>
      </c>
      <c r="AC26" s="133">
        <v>3.422283693678918</v>
      </c>
      <c r="AD26" s="133">
        <v>3.422283693678918</v>
      </c>
      <c r="AE26" s="133">
        <v>3.422283693678918</v>
      </c>
      <c r="AF26" s="133">
        <v>3.422283693678918</v>
      </c>
      <c r="AG26" s="133">
        <v>3.422283693678918</v>
      </c>
      <c r="AH26" s="133">
        <v>3.422283693678918</v>
      </c>
      <c r="AI26" s="133">
        <v>3.422283693678918</v>
      </c>
      <c r="AJ26" s="133">
        <v>3.422283693678918</v>
      </c>
      <c r="AK26" s="133">
        <v>3.422283693678918</v>
      </c>
      <c r="AL26" s="133">
        <v>3.422283693678918</v>
      </c>
      <c r="AM26" s="133">
        <v>3.422283693678918</v>
      </c>
      <c r="AN26" s="133">
        <v>3.422283693678918</v>
      </c>
      <c r="AO26" s="133">
        <v>3.422283693678918</v>
      </c>
      <c r="AP26" s="133">
        <v>3.422283693678918</v>
      </c>
      <c r="AQ26" s="133">
        <v>3.422283693678918</v>
      </c>
      <c r="AR26" s="133">
        <v>3.422283693678918</v>
      </c>
      <c r="AS26" s="133">
        <v>3.422283693678918</v>
      </c>
      <c r="AT26" s="133">
        <v>3.422283693678918</v>
      </c>
      <c r="AU26" s="133">
        <v>3.422283693678918</v>
      </c>
      <c r="AV26" s="133">
        <v>3.422283693678918</v>
      </c>
      <c r="AW26" s="133">
        <v>3.422283693678918</v>
      </c>
      <c r="AX26" s="133">
        <v>3.422283693678918</v>
      </c>
      <c r="AY26" s="133">
        <v>3.422283693678918</v>
      </c>
      <c r="AZ26" s="133">
        <v>3.422283693678918</v>
      </c>
      <c r="BA26" s="133">
        <v>3.422283693678918</v>
      </c>
      <c r="BB26" s="133">
        <v>3.422283693678918</v>
      </c>
      <c r="BC26" s="133">
        <v>3.422283693678918</v>
      </c>
      <c r="BD26" s="133">
        <v>3.422283693678918</v>
      </c>
    </row>
    <row r="27" spans="1:59">
      <c r="A27" s="101"/>
      <c r="E27" s="4" t="s">
        <v>228</v>
      </c>
      <c r="F27" s="19">
        <f t="shared" ref="F27:AK27" si="2">F24*F26</f>
        <v>227475.56014876955</v>
      </c>
      <c r="G27" s="19">
        <f t="shared" si="2"/>
        <v>900027.68727056519</v>
      </c>
      <c r="H27" s="19">
        <f t="shared" si="2"/>
        <v>895343.74577043927</v>
      </c>
      <c r="I27" s="19">
        <f t="shared" si="2"/>
        <v>234412.27079327608</v>
      </c>
      <c r="J27" s="19">
        <f t="shared" si="2"/>
        <v>645226.81788384716</v>
      </c>
      <c r="K27" s="19">
        <f t="shared" si="2"/>
        <v>864088.97707056999</v>
      </c>
      <c r="L27" s="19">
        <f t="shared" si="2"/>
        <v>1921080.4146971742</v>
      </c>
      <c r="M27" s="19">
        <f t="shared" si="2"/>
        <v>1440023.3278891172</v>
      </c>
      <c r="N27" s="19">
        <f t="shared" si="2"/>
        <v>432934.97816531989</v>
      </c>
      <c r="O27" s="19">
        <f t="shared" si="2"/>
        <v>2133118.0364127592</v>
      </c>
      <c r="P27" s="19">
        <f t="shared" si="2"/>
        <v>1692077.2528302253</v>
      </c>
      <c r="Q27" s="19">
        <f t="shared" si="2"/>
        <v>1474072.0185953507</v>
      </c>
      <c r="R27" s="19">
        <f t="shared" si="2"/>
        <v>1018632.1195470543</v>
      </c>
      <c r="S27" s="19">
        <f t="shared" si="2"/>
        <v>677950.43036554754</v>
      </c>
      <c r="T27" s="19">
        <f t="shared" si="2"/>
        <v>959537.83597691334</v>
      </c>
      <c r="U27" s="19">
        <f t="shared" si="2"/>
        <v>1094388.7516996048</v>
      </c>
      <c r="V27" s="19">
        <f t="shared" si="2"/>
        <v>1099650.9333789372</v>
      </c>
      <c r="W27" s="19">
        <f t="shared" si="2"/>
        <v>868341.45267650275</v>
      </c>
      <c r="X27" s="19">
        <f t="shared" si="2"/>
        <v>1197386.1624852009</v>
      </c>
      <c r="Y27" s="19">
        <f t="shared" si="2"/>
        <v>746096.6310067093</v>
      </c>
      <c r="Z27" s="19">
        <f t="shared" si="2"/>
        <v>1536171.4400492564</v>
      </c>
      <c r="AA27" s="19">
        <f t="shared" si="2"/>
        <v>1338099.5658757251</v>
      </c>
      <c r="AB27" s="19">
        <f t="shared" si="2"/>
        <v>1157954.9913363375</v>
      </c>
      <c r="AC27" s="19">
        <f t="shared" si="2"/>
        <v>908372.90716313012</v>
      </c>
      <c r="AD27" s="19">
        <f t="shared" si="2"/>
        <v>1038774.0387007735</v>
      </c>
      <c r="AE27" s="19">
        <f t="shared" si="2"/>
        <v>1441046.7693357032</v>
      </c>
      <c r="AF27" s="19">
        <f t="shared" si="2"/>
        <v>988036.58964179852</v>
      </c>
      <c r="AG27" s="19">
        <f t="shared" si="2"/>
        <v>1570134.0609971541</v>
      </c>
      <c r="AH27" s="19">
        <f t="shared" si="2"/>
        <v>818508.39949727384</v>
      </c>
      <c r="AI27" s="19">
        <f t="shared" si="2"/>
        <v>1706799.558612399</v>
      </c>
      <c r="AJ27" s="19">
        <f t="shared" si="2"/>
        <v>1442725.8634293864</v>
      </c>
      <c r="AK27" s="19">
        <f t="shared" si="2"/>
        <v>1366669.7576739807</v>
      </c>
      <c r="AL27" s="19">
        <f t="shared" ref="AL27:BD27" si="3">AL24*AL26</f>
        <v>380551.09250580496</v>
      </c>
      <c r="AM27" s="19">
        <f t="shared" si="3"/>
        <v>785041.98368927534</v>
      </c>
      <c r="AN27" s="19">
        <f t="shared" si="3"/>
        <v>282958.01950734976</v>
      </c>
      <c r="AO27" s="19">
        <f t="shared" si="3"/>
        <v>766983.06568968494</v>
      </c>
      <c r="AP27" s="19">
        <f t="shared" si="3"/>
        <v>742157.84163038072</v>
      </c>
      <c r="AQ27" s="19">
        <f t="shared" si="3"/>
        <v>738110.39281634218</v>
      </c>
      <c r="AR27" s="19">
        <f t="shared" si="3"/>
        <v>767959.91392094071</v>
      </c>
      <c r="AS27" s="19">
        <f t="shared" si="3"/>
        <v>996764.17387121916</v>
      </c>
      <c r="AT27" s="19">
        <f t="shared" si="3"/>
        <v>686443.40868604265</v>
      </c>
      <c r="AU27" s="19">
        <f t="shared" si="3"/>
        <v>1554592.1409399116</v>
      </c>
      <c r="AV27" s="19">
        <f t="shared" si="3"/>
        <v>1992931.0475404302</v>
      </c>
      <c r="AW27" s="19">
        <f t="shared" si="3"/>
        <v>1830177.2934455273</v>
      </c>
      <c r="AX27" s="19">
        <f t="shared" si="3"/>
        <v>232612.33161511034</v>
      </c>
      <c r="AY27" s="19">
        <f t="shared" si="3"/>
        <v>1082901.1543790214</v>
      </c>
      <c r="AZ27" s="19">
        <f t="shared" si="3"/>
        <v>833855.2009033846</v>
      </c>
      <c r="BA27" s="19">
        <f t="shared" si="3"/>
        <v>1290498.4652569832</v>
      </c>
      <c r="BB27" s="19">
        <f t="shared" si="3"/>
        <v>696125.23226330883</v>
      </c>
      <c r="BC27" s="19">
        <f t="shared" si="3"/>
        <v>1327969.9680952877</v>
      </c>
      <c r="BD27" s="19">
        <f t="shared" si="3"/>
        <v>52700993.883989088</v>
      </c>
      <c r="BE27" s="20" t="s">
        <v>388</v>
      </c>
    </row>
    <row r="28" spans="1:59">
      <c r="A28" s="101"/>
      <c r="BD28" s="19">
        <f>SUM(F27:BC27)</f>
        <v>52823792.073732816</v>
      </c>
    </row>
    <row r="29" spans="1:59">
      <c r="A29" s="101"/>
      <c r="C29" s="10" t="s">
        <v>402</v>
      </c>
    </row>
    <row r="30" spans="1:59" s="11" customFormat="1">
      <c r="A30" s="102"/>
      <c r="E30" s="12" t="s">
        <v>436</v>
      </c>
      <c r="F30" s="11">
        <v>48</v>
      </c>
      <c r="G30" s="11">
        <v>45.7</v>
      </c>
      <c r="H30" s="11">
        <v>56.8</v>
      </c>
      <c r="I30" s="11">
        <v>52.5</v>
      </c>
      <c r="J30" s="11">
        <v>46.4</v>
      </c>
      <c r="K30" s="11">
        <v>71.599999999999994</v>
      </c>
      <c r="L30" s="11">
        <v>46.2</v>
      </c>
      <c r="M30" s="11">
        <v>37.5</v>
      </c>
      <c r="N30" s="11">
        <v>41.6</v>
      </c>
      <c r="O30" s="11">
        <v>46.2</v>
      </c>
      <c r="P30" s="11">
        <v>48.2</v>
      </c>
      <c r="Q30" s="11">
        <v>43.2</v>
      </c>
      <c r="R30" s="11">
        <v>83</v>
      </c>
      <c r="S30" s="11">
        <v>59.6</v>
      </c>
      <c r="T30" s="11">
        <v>67.900000000000006</v>
      </c>
      <c r="U30" s="11">
        <v>77</v>
      </c>
      <c r="V30" s="11">
        <v>76</v>
      </c>
      <c r="W30" s="11">
        <v>55</v>
      </c>
      <c r="X30" s="11">
        <v>69</v>
      </c>
      <c r="Y30" s="11">
        <v>79</v>
      </c>
      <c r="Z30" s="11">
        <v>53</v>
      </c>
      <c r="AA30" s="11">
        <v>56.6</v>
      </c>
      <c r="AB30" s="11">
        <v>47.9</v>
      </c>
      <c r="AC30" s="11">
        <v>51</v>
      </c>
      <c r="AD30" s="11">
        <v>55</v>
      </c>
      <c r="AE30" s="11">
        <v>61.7</v>
      </c>
      <c r="AF30" s="11">
        <v>48.3</v>
      </c>
      <c r="AG30" s="11">
        <v>53</v>
      </c>
      <c r="AH30" s="11">
        <v>54</v>
      </c>
      <c r="AI30" s="11">
        <v>58.3</v>
      </c>
      <c r="AJ30" s="11">
        <v>65.400000000000006</v>
      </c>
      <c r="AK30" s="11">
        <v>48.3</v>
      </c>
      <c r="AL30" s="11">
        <v>103</v>
      </c>
      <c r="AM30" s="11">
        <v>92</v>
      </c>
      <c r="AN30" s="11">
        <v>86.2</v>
      </c>
      <c r="AO30" s="11">
        <v>46</v>
      </c>
      <c r="AP30" s="11">
        <v>66</v>
      </c>
      <c r="AQ30" s="11">
        <v>53.4</v>
      </c>
      <c r="AR30" s="11">
        <v>44</v>
      </c>
      <c r="AS30" s="11">
        <v>49.4</v>
      </c>
      <c r="AT30" s="11">
        <v>49.2</v>
      </c>
      <c r="AU30" s="11">
        <v>49.6</v>
      </c>
      <c r="AV30" s="11">
        <v>43.4</v>
      </c>
      <c r="AW30" s="11">
        <v>59.7</v>
      </c>
      <c r="AX30" s="11">
        <v>87.7</v>
      </c>
      <c r="AY30" s="11">
        <v>88.4</v>
      </c>
      <c r="AZ30" s="11">
        <v>91.8</v>
      </c>
      <c r="BA30" s="11">
        <v>70</v>
      </c>
      <c r="BB30" s="11">
        <v>102.9</v>
      </c>
      <c r="BC30" s="11">
        <v>82.5</v>
      </c>
      <c r="BE30" s="6"/>
      <c r="BG30" s="31"/>
    </row>
    <row r="31" spans="1:59" s="11" customFormat="1">
      <c r="A31" s="102"/>
      <c r="B31" s="6"/>
      <c r="C31" s="6"/>
      <c r="D31" s="6"/>
      <c r="E31" s="9" t="s">
        <v>456</v>
      </c>
      <c r="F31" s="38">
        <f>F30/0.844459</f>
        <v>56.841125501652542</v>
      </c>
      <c r="G31" s="38">
        <f t="shared" ref="G31:BC31" si="4">G30/0.844459</f>
        <v>54.11748823803169</v>
      </c>
      <c r="H31" s="38">
        <f t="shared" si="4"/>
        <v>67.261998510288834</v>
      </c>
      <c r="I31" s="38">
        <f t="shared" si="4"/>
        <v>62.169981017432463</v>
      </c>
      <c r="J31" s="38">
        <f t="shared" si="4"/>
        <v>54.946421318264122</v>
      </c>
      <c r="K31" s="38">
        <f t="shared" si="4"/>
        <v>84.788012206631706</v>
      </c>
      <c r="L31" s="38">
        <f t="shared" si="4"/>
        <v>54.709583295340572</v>
      </c>
      <c r="M31" s="38">
        <f t="shared" si="4"/>
        <v>44.407129298166048</v>
      </c>
      <c r="N31" s="38">
        <f t="shared" si="4"/>
        <v>49.262308768098869</v>
      </c>
      <c r="O31" s="38">
        <f t="shared" si="4"/>
        <v>54.709583295340572</v>
      </c>
      <c r="P31" s="38">
        <f t="shared" si="4"/>
        <v>57.077963524576099</v>
      </c>
      <c r="Q31" s="38">
        <f t="shared" si="4"/>
        <v>51.157012951487289</v>
      </c>
      <c r="R31" s="38">
        <f t="shared" si="4"/>
        <v>98.287779513274188</v>
      </c>
      <c r="S31" s="38">
        <f t="shared" si="4"/>
        <v>70.577730831218574</v>
      </c>
      <c r="T31" s="38">
        <f t="shared" si="4"/>
        <v>80.406508782545998</v>
      </c>
      <c r="U31" s="38">
        <f t="shared" si="4"/>
        <v>91.182638825567622</v>
      </c>
      <c r="V31" s="38">
        <f t="shared" si="4"/>
        <v>89.998448710949859</v>
      </c>
      <c r="W31" s="38">
        <f t="shared" si="4"/>
        <v>65.130456303976871</v>
      </c>
      <c r="X31" s="38">
        <f t="shared" si="4"/>
        <v>81.709117908625529</v>
      </c>
      <c r="Y31" s="38">
        <f t="shared" si="4"/>
        <v>93.551019054803135</v>
      </c>
      <c r="Z31" s="195">
        <f t="shared" si="4"/>
        <v>62.762076074741344</v>
      </c>
      <c r="AA31" s="38">
        <f t="shared" si="4"/>
        <v>67.025160487365284</v>
      </c>
      <c r="AB31" s="38">
        <f t="shared" si="4"/>
        <v>56.72270649019076</v>
      </c>
      <c r="AC31" s="38">
        <f t="shared" si="4"/>
        <v>60.393695845505825</v>
      </c>
      <c r="AD31" s="38">
        <f t="shared" si="4"/>
        <v>65.130456303976871</v>
      </c>
      <c r="AE31" s="38">
        <f t="shared" si="4"/>
        <v>73.064530071915868</v>
      </c>
      <c r="AF31" s="38">
        <f t="shared" si="4"/>
        <v>57.196382536037866</v>
      </c>
      <c r="AG31" s="38">
        <f t="shared" si="4"/>
        <v>62.762076074741344</v>
      </c>
      <c r="AH31" s="38">
        <f t="shared" si="4"/>
        <v>63.946266189359108</v>
      </c>
      <c r="AI31" s="38">
        <f t="shared" si="4"/>
        <v>69.038283682215479</v>
      </c>
      <c r="AJ31" s="38">
        <f t="shared" si="4"/>
        <v>77.44603349600159</v>
      </c>
      <c r="AK31" s="38">
        <f t="shared" si="4"/>
        <v>57.196382536037866</v>
      </c>
      <c r="AL31" s="38">
        <f t="shared" si="4"/>
        <v>121.97158180562941</v>
      </c>
      <c r="AM31" s="38">
        <f t="shared" si="4"/>
        <v>108.94549054483403</v>
      </c>
      <c r="AN31" s="38">
        <f t="shared" si="4"/>
        <v>102.07718788005103</v>
      </c>
      <c r="AO31" s="38">
        <f t="shared" si="4"/>
        <v>54.472745272417015</v>
      </c>
      <c r="AP31" s="38">
        <f t="shared" si="4"/>
        <v>78.156547564772239</v>
      </c>
      <c r="AQ31" s="38">
        <f t="shared" si="4"/>
        <v>63.235752120588451</v>
      </c>
      <c r="AR31" s="38">
        <f t="shared" si="4"/>
        <v>52.104365043181495</v>
      </c>
      <c r="AS31" s="38">
        <f t="shared" si="4"/>
        <v>58.498991662117405</v>
      </c>
      <c r="AT31" s="38">
        <f t="shared" si="4"/>
        <v>58.262153639193855</v>
      </c>
      <c r="AU31" s="38">
        <f t="shared" si="4"/>
        <v>58.735829685040962</v>
      </c>
      <c r="AV31" s="38">
        <f t="shared" si="4"/>
        <v>51.393850974410839</v>
      </c>
      <c r="AW31" s="38">
        <f t="shared" si="4"/>
        <v>70.696149842680356</v>
      </c>
      <c r="AX31" s="38">
        <f t="shared" si="4"/>
        <v>103.85347305197766</v>
      </c>
      <c r="AY31" s="38">
        <f t="shared" si="4"/>
        <v>104.6824061322101</v>
      </c>
      <c r="AZ31" s="38">
        <f t="shared" si="4"/>
        <v>108.70865252191048</v>
      </c>
      <c r="BA31" s="38">
        <f t="shared" si="4"/>
        <v>82.893308023243293</v>
      </c>
      <c r="BB31" s="38">
        <f t="shared" si="4"/>
        <v>121.85316279416764</v>
      </c>
      <c r="BC31" s="38">
        <f t="shared" si="4"/>
        <v>97.695684455965306</v>
      </c>
      <c r="BD31" s="39"/>
      <c r="BE31" s="9" t="s">
        <v>333</v>
      </c>
      <c r="BF31" s="157">
        <f>AVERAGE(F31:BC31)</f>
        <v>72.664273813175086</v>
      </c>
      <c r="BG31" s="158">
        <f>MEDIAN(F31:BC31)</f>
        <v>65.130456303976871</v>
      </c>
    </row>
    <row r="32" spans="1:59">
      <c r="A32" s="101"/>
    </row>
    <row r="33" spans="1:59">
      <c r="A33" s="101"/>
      <c r="C33" s="10" t="s">
        <v>457</v>
      </c>
    </row>
    <row r="34" spans="1:59">
      <c r="A34" s="101"/>
      <c r="E34" s="9" t="s">
        <v>359</v>
      </c>
      <c r="F34" s="40"/>
      <c r="G34" s="40"/>
      <c r="H34" s="40"/>
      <c r="I34" s="40"/>
      <c r="J34" s="40"/>
      <c r="K34" s="40">
        <v>245.11835545713981</v>
      </c>
      <c r="L34" s="40"/>
      <c r="M34" s="40"/>
      <c r="N34" s="40"/>
      <c r="O34" s="40"/>
      <c r="P34" s="40"/>
      <c r="Q34" s="40"/>
      <c r="R34" s="40"/>
      <c r="S34" s="40"/>
      <c r="T34" s="40"/>
      <c r="U34" s="40">
        <v>185.9110232211157</v>
      </c>
      <c r="V34" s="40">
        <v>152.45888050776207</v>
      </c>
      <c r="W34" s="40"/>
      <c r="X34" s="40">
        <v>121.96710440620967</v>
      </c>
      <c r="Y34" s="40">
        <v>150.03137988608509</v>
      </c>
      <c r="Z34" s="40"/>
      <c r="AA34" s="40"/>
      <c r="AB34" s="40"/>
      <c r="AC34" s="40"/>
      <c r="AD34" s="40">
        <v>171.70126348446993</v>
      </c>
      <c r="AE34" s="40"/>
      <c r="AF34" s="40"/>
      <c r="AG34" s="40"/>
      <c r="AH34" s="40"/>
      <c r="AI34" s="40"/>
      <c r="AJ34" s="40">
        <v>167.31992089900416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>
        <v>131.55869222844558</v>
      </c>
      <c r="AW34" s="40"/>
      <c r="AX34" s="40"/>
      <c r="AY34" s="40"/>
      <c r="AZ34" s="40"/>
      <c r="BA34" s="40"/>
      <c r="BB34" s="40"/>
      <c r="BC34" s="40">
        <v>266.43299506210849</v>
      </c>
    </row>
    <row r="35" spans="1:59">
      <c r="A35" s="101"/>
      <c r="E35" s="9" t="s">
        <v>378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>
        <v>119.51422921357438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>
        <v>100.37928217030397</v>
      </c>
      <c r="AW35" s="40"/>
      <c r="AX35" s="40"/>
      <c r="AY35" s="40"/>
      <c r="AZ35" s="40"/>
      <c r="BA35" s="40"/>
      <c r="BB35" s="40"/>
      <c r="BC35" s="40">
        <v>159.85979703726511</v>
      </c>
    </row>
    <row r="36" spans="1:59">
      <c r="A36" s="101"/>
      <c r="E36" s="9" t="s">
        <v>379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120.78295776148919</v>
      </c>
      <c r="S36" s="40"/>
      <c r="T36" s="40"/>
      <c r="U36" s="40">
        <v>146.83418394533979</v>
      </c>
      <c r="V36" s="40">
        <v>182.06254662577413</v>
      </c>
      <c r="W36" s="40"/>
      <c r="X36" s="40">
        <v>115.69112718919111</v>
      </c>
      <c r="Y36" s="40">
        <v>113.97411455434641</v>
      </c>
      <c r="Z36" s="40"/>
      <c r="AA36" s="40"/>
      <c r="AB36" s="40"/>
      <c r="AC36" s="40"/>
      <c r="AD36" s="40">
        <v>76.969531906831349</v>
      </c>
      <c r="AE36" s="40"/>
      <c r="AF36" s="40"/>
      <c r="AG36" s="40"/>
      <c r="AH36" s="40"/>
      <c r="AI36" s="40"/>
      <c r="AJ36" s="40"/>
      <c r="AK36" s="40"/>
      <c r="AL36" s="40"/>
      <c r="AM36" s="40">
        <v>162.8201636490663</v>
      </c>
      <c r="AN36" s="40">
        <v>224.98786249689164</v>
      </c>
      <c r="AO36" s="40">
        <v>243.7763225931233</v>
      </c>
      <c r="AP36" s="40"/>
      <c r="AQ36" s="40"/>
      <c r="AR36" s="40">
        <v>243.7763225931233</v>
      </c>
      <c r="AS36" s="40"/>
      <c r="AT36" s="40"/>
      <c r="AU36" s="40"/>
      <c r="AV36" s="40">
        <v>108.34941799192413</v>
      </c>
      <c r="AW36" s="40"/>
      <c r="AX36" s="40"/>
      <c r="AY36" s="40"/>
      <c r="AZ36" s="40"/>
      <c r="BA36" s="40"/>
      <c r="BB36" s="40"/>
      <c r="BC36" s="40">
        <v>367.08545986334951</v>
      </c>
    </row>
    <row r="37" spans="1:59">
      <c r="A37" s="101"/>
      <c r="E37" s="9" t="s">
        <v>588</v>
      </c>
      <c r="F37" s="40"/>
      <c r="G37" s="40"/>
      <c r="H37" s="40"/>
      <c r="I37" s="40"/>
      <c r="J37" s="40"/>
      <c r="K37" s="40">
        <v>423.33242548757238</v>
      </c>
      <c r="L37" s="40"/>
      <c r="M37" s="40"/>
      <c r="N37" s="40"/>
      <c r="O37" s="40"/>
      <c r="P37" s="40"/>
      <c r="Q37" s="40"/>
      <c r="R37" s="40"/>
      <c r="S37" s="40"/>
      <c r="T37" s="40"/>
      <c r="U37" s="40">
        <v>376.67704768558536</v>
      </c>
      <c r="V37" s="40">
        <v>370.63789979751095</v>
      </c>
      <c r="W37" s="40"/>
      <c r="X37" s="40">
        <v>355.24399341614469</v>
      </c>
      <c r="Y37" s="40">
        <v>290.11592795651814</v>
      </c>
      <c r="Z37" s="40"/>
      <c r="AA37" s="40"/>
      <c r="AB37" s="40"/>
      <c r="AC37" s="40"/>
      <c r="AD37" s="40">
        <v>343.40252696893987</v>
      </c>
      <c r="AE37" s="40"/>
      <c r="AF37" s="40"/>
      <c r="AG37" s="40"/>
      <c r="AH37" s="40"/>
      <c r="AI37" s="40"/>
      <c r="AJ37" s="40">
        <v>290.11592795651814</v>
      </c>
      <c r="AK37" s="40"/>
      <c r="AL37" s="40"/>
      <c r="AM37" s="40">
        <v>373.0061930869519</v>
      </c>
      <c r="AN37" s="40">
        <v>296.03666118012057</v>
      </c>
      <c r="AO37" s="40">
        <v>351.9283828109273</v>
      </c>
      <c r="AP37" s="40"/>
      <c r="AQ37" s="40"/>
      <c r="AR37" s="40">
        <v>351.9283828109273</v>
      </c>
      <c r="AS37" s="40"/>
      <c r="AT37" s="40"/>
      <c r="AU37" s="40"/>
      <c r="AV37" s="40">
        <v>304.91776101552415</v>
      </c>
      <c r="AW37" s="40"/>
      <c r="AX37" s="40"/>
      <c r="AY37" s="40"/>
      <c r="AZ37" s="40"/>
      <c r="BA37" s="40"/>
      <c r="BB37" s="40"/>
      <c r="BC37" s="40">
        <v>455.89645821738566</v>
      </c>
    </row>
    <row r="38" spans="1:59">
      <c r="A38" s="101"/>
      <c r="E38" s="9" t="s">
        <v>589</v>
      </c>
      <c r="F38" s="40"/>
      <c r="G38" s="40"/>
      <c r="H38" s="40"/>
      <c r="I38" s="40"/>
      <c r="J38" s="40"/>
      <c r="K38" s="40">
        <v>512.14342384160852</v>
      </c>
      <c r="L38" s="40"/>
      <c r="M38" s="40"/>
      <c r="N38" s="40"/>
      <c r="O38" s="40"/>
      <c r="P38" s="40"/>
      <c r="Q38" s="40"/>
      <c r="R38" s="40"/>
      <c r="S38" s="40"/>
      <c r="T38" s="40"/>
      <c r="U38" s="40">
        <v>391.1236367511753</v>
      </c>
      <c r="V38" s="40">
        <v>404.58347641771962</v>
      </c>
      <c r="W38" s="40"/>
      <c r="X38" s="40">
        <v>289.91853071084324</v>
      </c>
      <c r="Y38" s="40">
        <v>390.76839275775916</v>
      </c>
      <c r="Z38" s="40"/>
      <c r="AA38" s="40"/>
      <c r="AB38" s="40"/>
      <c r="AC38" s="40"/>
      <c r="AD38" s="40">
        <v>432.21352532297601</v>
      </c>
      <c r="AE38" s="40"/>
      <c r="AF38" s="40"/>
      <c r="AG38" s="40"/>
      <c r="AH38" s="40"/>
      <c r="AI38" s="40"/>
      <c r="AJ38" s="40">
        <v>370.99314379092704</v>
      </c>
      <c r="AK38" s="40"/>
      <c r="AL38" s="40"/>
      <c r="AM38" s="40">
        <v>473.65865788819292</v>
      </c>
      <c r="AN38" s="40">
        <v>355.24399341614469</v>
      </c>
      <c r="AO38" s="40">
        <v>263.4726284503073</v>
      </c>
      <c r="AP38" s="40"/>
      <c r="AQ38" s="40"/>
      <c r="AR38" s="40">
        <v>263.4726284503073</v>
      </c>
      <c r="AS38" s="40"/>
      <c r="AT38" s="40"/>
      <c r="AU38" s="40"/>
      <c r="AV38" s="40">
        <v>378.92692631055434</v>
      </c>
      <c r="AW38" s="40"/>
      <c r="AX38" s="40"/>
      <c r="AY38" s="40"/>
      <c r="AZ38" s="40"/>
      <c r="BA38" s="40"/>
      <c r="BB38" s="40"/>
      <c r="BC38" s="40">
        <v>497.34159078260257</v>
      </c>
    </row>
    <row r="39" spans="1:59">
      <c r="A39" s="101"/>
      <c r="E39" s="9" t="s">
        <v>591</v>
      </c>
      <c r="I39" s="41">
        <v>536.69222343921138</v>
      </c>
    </row>
    <row r="40" spans="1:59">
      <c r="A40" s="101"/>
      <c r="E40" s="9" t="s">
        <v>590</v>
      </c>
      <c r="F40" s="156">
        <v>183.24</v>
      </c>
      <c r="G40" s="156">
        <v>138.91999999999999</v>
      </c>
      <c r="H40" s="156">
        <v>182.29</v>
      </c>
      <c r="I40" s="156">
        <v>202.12</v>
      </c>
      <c r="J40" s="156">
        <v>168.35</v>
      </c>
      <c r="K40" s="156">
        <v>366.17</v>
      </c>
      <c r="L40" s="156">
        <v>155.4</v>
      </c>
      <c r="M40" s="156">
        <v>122.8</v>
      </c>
      <c r="N40" s="156">
        <v>318.8</v>
      </c>
      <c r="O40" s="156">
        <v>226.2</v>
      </c>
      <c r="P40" s="156">
        <v>167.9</v>
      </c>
      <c r="Q40" s="156">
        <v>180.8</v>
      </c>
      <c r="R40" s="156">
        <v>163.47</v>
      </c>
      <c r="S40" s="156">
        <v>158.1</v>
      </c>
      <c r="T40" s="156">
        <v>147.5</v>
      </c>
      <c r="U40" s="156">
        <v>204.45</v>
      </c>
      <c r="V40" s="156">
        <v>122.8</v>
      </c>
      <c r="W40" s="156">
        <v>141.56</v>
      </c>
      <c r="X40" s="156">
        <v>195.5</v>
      </c>
      <c r="Y40" s="156">
        <v>157.63</v>
      </c>
      <c r="Z40" s="156">
        <v>104</v>
      </c>
      <c r="AA40" s="156">
        <v>114.9</v>
      </c>
      <c r="AB40" s="156">
        <v>258.7</v>
      </c>
      <c r="AC40" s="156">
        <v>92.9</v>
      </c>
      <c r="AD40" s="156">
        <v>113.58</v>
      </c>
      <c r="AE40" s="156">
        <v>162.30000000000001</v>
      </c>
      <c r="AF40" s="156">
        <v>125.9</v>
      </c>
      <c r="AG40" s="156">
        <v>103.8</v>
      </c>
      <c r="AH40" s="156">
        <v>288.3</v>
      </c>
      <c r="AI40" s="156">
        <v>139.80000000000001</v>
      </c>
      <c r="AJ40" s="156">
        <v>213</v>
      </c>
      <c r="AK40" s="156">
        <v>98.3</v>
      </c>
      <c r="AL40" s="156">
        <v>247.11</v>
      </c>
      <c r="AM40" s="156">
        <v>296.76</v>
      </c>
      <c r="AN40" s="156">
        <v>254.77</v>
      </c>
      <c r="AO40" s="156">
        <v>215.52</v>
      </c>
      <c r="AP40" s="156">
        <v>134</v>
      </c>
      <c r="AQ40" s="156">
        <v>171.81</v>
      </c>
      <c r="AR40" s="156">
        <v>259.73</v>
      </c>
      <c r="AS40" s="156">
        <v>125</v>
      </c>
      <c r="AT40" s="156">
        <v>150.6</v>
      </c>
      <c r="AU40" s="156">
        <v>140.1</v>
      </c>
      <c r="AV40" s="156">
        <v>111</v>
      </c>
      <c r="AW40" s="156">
        <v>70.099999999999994</v>
      </c>
      <c r="AX40" s="156">
        <v>179.6</v>
      </c>
      <c r="AY40" s="156">
        <v>204.9</v>
      </c>
      <c r="AZ40" s="156">
        <v>297.7</v>
      </c>
      <c r="BA40" s="156">
        <v>337.2</v>
      </c>
      <c r="BB40" s="156">
        <v>312.8</v>
      </c>
      <c r="BC40" s="156">
        <v>291.10000000000002</v>
      </c>
      <c r="BD40" s="157"/>
      <c r="BE40" s="9" t="s">
        <v>333</v>
      </c>
      <c r="BF40" s="157">
        <f>AVERAGE(F40:BC40)</f>
        <v>186.3856000000001</v>
      </c>
      <c r="BG40" s="158">
        <f>MEDIAN(F40:BC40)</f>
        <v>168.125</v>
      </c>
    </row>
    <row r="41" spans="1:59">
      <c r="A41" s="101"/>
    </row>
    <row r="42" spans="1:59">
      <c r="A42" s="101"/>
      <c r="C42" s="10" t="s">
        <v>546</v>
      </c>
    </row>
    <row r="43" spans="1:59" s="45" customFormat="1">
      <c r="A43" s="103"/>
      <c r="B43" s="45">
        <v>1895</v>
      </c>
      <c r="C43" s="45">
        <v>1896</v>
      </c>
      <c r="D43" s="45">
        <v>1897</v>
      </c>
      <c r="E43" s="8">
        <v>1898</v>
      </c>
      <c r="F43" s="45">
        <v>1899</v>
      </c>
      <c r="G43" s="45">
        <v>1900</v>
      </c>
      <c r="H43" s="45">
        <v>1901</v>
      </c>
      <c r="I43" s="45">
        <v>1902</v>
      </c>
      <c r="J43" s="45">
        <v>1903</v>
      </c>
      <c r="K43" s="45">
        <v>1904</v>
      </c>
      <c r="L43" s="45" t="s">
        <v>355</v>
      </c>
      <c r="BG43" s="47"/>
    </row>
    <row r="44" spans="1:59">
      <c r="A44" s="101"/>
      <c r="B44" s="6">
        <v>175.4</v>
      </c>
      <c r="C44" s="6">
        <v>175.7</v>
      </c>
      <c r="D44" s="6">
        <v>179.5</v>
      </c>
      <c r="E44" s="9">
        <v>188.6</v>
      </c>
      <c r="F44" s="6">
        <v>190.6</v>
      </c>
      <c r="G44" s="6">
        <v>187.3</v>
      </c>
      <c r="H44" s="6">
        <v>196</v>
      </c>
      <c r="I44" s="6">
        <v>196.5</v>
      </c>
      <c r="J44" s="6">
        <v>203.5</v>
      </c>
      <c r="K44" s="6">
        <v>207.7</v>
      </c>
      <c r="L44" s="6" t="s">
        <v>354</v>
      </c>
    </row>
    <row r="45" spans="1:59">
      <c r="A45" s="101"/>
    </row>
    <row r="46" spans="1:59">
      <c r="A46" s="101"/>
      <c r="C46" s="10" t="s">
        <v>353</v>
      </c>
    </row>
    <row r="47" spans="1:59">
      <c r="A47" s="101"/>
      <c r="C47" s="9" t="s">
        <v>209</v>
      </c>
      <c r="D47" s="6" t="s">
        <v>506</v>
      </c>
      <c r="E47" s="44">
        <v>6.3100073276348576</v>
      </c>
      <c r="G47" s="6" t="s">
        <v>417</v>
      </c>
    </row>
    <row r="48" spans="1:59">
      <c r="A48" s="101"/>
      <c r="C48" s="9" t="s">
        <v>548</v>
      </c>
      <c r="D48" s="6" t="s">
        <v>507</v>
      </c>
      <c r="E48" s="44">
        <v>7.0740443997386615</v>
      </c>
      <c r="G48" s="6" t="s">
        <v>332</v>
      </c>
    </row>
    <row r="49" spans="1:63">
      <c r="A49" s="101"/>
      <c r="C49" s="9" t="s">
        <v>548</v>
      </c>
      <c r="D49" s="6" t="s">
        <v>508</v>
      </c>
      <c r="E49" s="44">
        <v>13.384051727373519</v>
      </c>
      <c r="G49" s="6" t="s">
        <v>339</v>
      </c>
      <c r="I49" s="41">
        <v>10</v>
      </c>
    </row>
    <row r="50" spans="1:63">
      <c r="A50" s="101"/>
      <c r="C50" s="9" t="s">
        <v>509</v>
      </c>
      <c r="D50" s="6" t="s">
        <v>508</v>
      </c>
      <c r="E50" s="44">
        <v>18.152899699054753</v>
      </c>
    </row>
    <row r="51" spans="1:63">
      <c r="A51" s="101"/>
      <c r="C51" s="9" t="s">
        <v>510</v>
      </c>
      <c r="D51" s="6" t="s">
        <v>508</v>
      </c>
      <c r="E51" s="44">
        <v>18.5</v>
      </c>
    </row>
    <row r="52" spans="1:63">
      <c r="A52" s="101"/>
      <c r="C52" s="9" t="s">
        <v>511</v>
      </c>
      <c r="D52" s="6" t="s">
        <v>508</v>
      </c>
      <c r="E52" s="44">
        <v>17.8</v>
      </c>
    </row>
    <row r="53" spans="1:63">
      <c r="A53" s="101"/>
    </row>
    <row r="54" spans="1:63">
      <c r="A54" s="101"/>
    </row>
    <row r="55" spans="1:63">
      <c r="A55" s="101"/>
      <c r="B55" s="388" t="s">
        <v>161</v>
      </c>
      <c r="C55" s="10" t="s">
        <v>396</v>
      </c>
      <c r="BD55" s="141" t="s">
        <v>160</v>
      </c>
      <c r="BE55" s="9" t="s">
        <v>524</v>
      </c>
      <c r="BF55" s="6" t="s">
        <v>136</v>
      </c>
    </row>
    <row r="56" spans="1:63">
      <c r="A56" s="101"/>
      <c r="B56" s="388" t="s">
        <v>133</v>
      </c>
      <c r="E56" s="9" t="s">
        <v>525</v>
      </c>
      <c r="F56" s="68">
        <f t="shared" ref="F56:O57" si="5">F$58*$BD56/$BD$58</f>
        <v>140.28913929039166</v>
      </c>
      <c r="G56" s="68">
        <f t="shared" si="5"/>
        <v>236.78499100105424</v>
      </c>
      <c r="H56" s="68">
        <f t="shared" si="5"/>
        <v>260.49224846581802</v>
      </c>
      <c r="I56" s="68">
        <f t="shared" si="5"/>
        <v>125.08621659974031</v>
      </c>
      <c r="J56" s="68">
        <f t="shared" si="5"/>
        <v>157.74759951522768</v>
      </c>
      <c r="K56" s="68">
        <f t="shared" si="5"/>
        <v>1806.3411787773748</v>
      </c>
      <c r="L56" s="68">
        <f t="shared" si="5"/>
        <v>434.08774727799209</v>
      </c>
      <c r="M56" s="68">
        <f t="shared" si="5"/>
        <v>467.34437988141212</v>
      </c>
      <c r="N56" s="68">
        <f t="shared" si="5"/>
        <v>182.53981885263903</v>
      </c>
      <c r="O56" s="68">
        <f t="shared" si="5"/>
        <v>650.44123105632275</v>
      </c>
      <c r="P56" s="68">
        <f t="shared" ref="P56:Y57" si="6">P$58*$BD56/$BD$58</f>
        <v>479.41892653368342</v>
      </c>
      <c r="Q56" s="68">
        <f t="shared" si="6"/>
        <v>311.10029591126613</v>
      </c>
      <c r="R56" s="68">
        <f t="shared" si="6"/>
        <v>415.76845976715401</v>
      </c>
      <c r="S56" s="68">
        <f t="shared" si="6"/>
        <v>220.81242991897813</v>
      </c>
      <c r="T56" s="68">
        <f t="shared" si="6"/>
        <v>328.74847736904132</v>
      </c>
      <c r="U56" s="68">
        <f t="shared" si="6"/>
        <v>793.04710110979136</v>
      </c>
      <c r="V56" s="68">
        <f t="shared" si="6"/>
        <v>463.58767474058203</v>
      </c>
      <c r="W56" s="68">
        <f t="shared" si="6"/>
        <v>224.46967800480874</v>
      </c>
      <c r="X56" s="68">
        <f t="shared" si="6"/>
        <v>308.57924422468631</v>
      </c>
      <c r="Y56" s="68">
        <f t="shared" si="6"/>
        <v>289.04893763173288</v>
      </c>
      <c r="Z56" s="68">
        <f t="shared" ref="Z56:AI57" si="7">Z$58*$BD56/$BD$58</f>
        <v>341.54604262261802</v>
      </c>
      <c r="AA56" s="68">
        <f t="shared" si="7"/>
        <v>308.61740639697427</v>
      </c>
      <c r="AB56" s="68">
        <f t="shared" si="7"/>
        <v>316.74725232518068</v>
      </c>
      <c r="AC56" s="68">
        <f t="shared" si="7"/>
        <v>295.39105326619341</v>
      </c>
      <c r="AD56" s="68">
        <f t="shared" si="7"/>
        <v>262.10014599574311</v>
      </c>
      <c r="AE56" s="68">
        <f t="shared" si="7"/>
        <v>519.67233616776434</v>
      </c>
      <c r="AF56" s="68">
        <f t="shared" si="7"/>
        <v>357.82857967458392</v>
      </c>
      <c r="AG56" s="68">
        <f t="shared" si="7"/>
        <v>394.01735800885405</v>
      </c>
      <c r="AH56" s="68">
        <f t="shared" si="7"/>
        <v>239.48818488235736</v>
      </c>
      <c r="AI56" s="68">
        <f t="shared" si="7"/>
        <v>377.92221803756706</v>
      </c>
      <c r="AJ56" s="68">
        <f t="shared" ref="AJ56:AS57" si="8">AJ$58*$BD56/$BD$58</f>
        <v>435.92705703851567</v>
      </c>
      <c r="AK56" s="68">
        <f t="shared" si="8"/>
        <v>343.2250955643471</v>
      </c>
      <c r="AL56" s="68">
        <f t="shared" si="8"/>
        <v>234.24102883271399</v>
      </c>
      <c r="AM56" s="68">
        <f t="shared" si="8"/>
        <v>393.64868283213849</v>
      </c>
      <c r="AN56" s="68">
        <f t="shared" si="8"/>
        <v>146.8479290277092</v>
      </c>
      <c r="AO56" s="68">
        <f t="shared" si="8"/>
        <v>267.77166546176556</v>
      </c>
      <c r="AP56" s="68">
        <f t="shared" si="8"/>
        <v>264.23240178586786</v>
      </c>
      <c r="AQ56" s="68">
        <f t="shared" si="8"/>
        <v>279.44705068983211</v>
      </c>
      <c r="AR56" s="68">
        <f t="shared" si="8"/>
        <v>283.51622133612523</v>
      </c>
      <c r="AS56" s="68">
        <f t="shared" si="8"/>
        <v>294.10489021944556</v>
      </c>
      <c r="AT56" s="68">
        <f t="shared" ref="AT56:BC57" si="9">AT$58*$BD56/$BD$58</f>
        <v>171.31137181914568</v>
      </c>
      <c r="AU56" s="68">
        <f t="shared" si="9"/>
        <v>414.67926812995734</v>
      </c>
      <c r="AV56" s="68">
        <f t="shared" si="9"/>
        <v>562.55983703865365</v>
      </c>
      <c r="AW56" s="68">
        <f t="shared" si="9"/>
        <v>435.35991538728223</v>
      </c>
      <c r="AX56" s="68">
        <f t="shared" si="9"/>
        <v>169.23174347494586</v>
      </c>
      <c r="AY56" s="68">
        <f t="shared" si="9"/>
        <v>441.37638786513884</v>
      </c>
      <c r="AZ56" s="68">
        <f t="shared" si="9"/>
        <v>466.28306612259331</v>
      </c>
      <c r="BA56" s="68">
        <f t="shared" si="9"/>
        <v>312.81429522520494</v>
      </c>
      <c r="BB56" s="68">
        <f t="shared" si="9"/>
        <v>330.62197819517525</v>
      </c>
      <c r="BC56" s="68">
        <f t="shared" si="9"/>
        <v>655.2223404864859</v>
      </c>
      <c r="BD56" s="123">
        <v>18611.488579840578</v>
      </c>
      <c r="BE56" s="63">
        <v>47497.607345246128</v>
      </c>
      <c r="BF56" s="6" t="s">
        <v>311</v>
      </c>
    </row>
    <row r="57" spans="1:63">
      <c r="A57" s="101"/>
      <c r="B57" s="388" t="s">
        <v>134</v>
      </c>
      <c r="E57" s="9" t="s">
        <v>489</v>
      </c>
      <c r="F57" s="68">
        <f t="shared" si="5"/>
        <v>193.6944191452076</v>
      </c>
      <c r="G57" s="68">
        <f t="shared" si="5"/>
        <v>326.9243187764971</v>
      </c>
      <c r="H57" s="68">
        <f t="shared" si="5"/>
        <v>359.65645675517675</v>
      </c>
      <c r="I57" s="68">
        <f t="shared" si="5"/>
        <v>172.70404672742706</v>
      </c>
      <c r="J57" s="68">
        <f t="shared" si="5"/>
        <v>217.79896729144411</v>
      </c>
      <c r="K57" s="68">
        <f t="shared" si="5"/>
        <v>2493.9792714610812</v>
      </c>
      <c r="L57" s="68">
        <f t="shared" si="5"/>
        <v>599.33630281257979</v>
      </c>
      <c r="M57" s="68">
        <f t="shared" si="5"/>
        <v>645.25307275947603</v>
      </c>
      <c r="N57" s="68">
        <f t="shared" si="5"/>
        <v>252.02909050818386</v>
      </c>
      <c r="O57" s="68">
        <f t="shared" si="5"/>
        <v>898.05124669530983</v>
      </c>
      <c r="P57" s="68">
        <f t="shared" si="6"/>
        <v>661.92415871868388</v>
      </c>
      <c r="Q57" s="68">
        <f t="shared" si="6"/>
        <v>429.52997942130759</v>
      </c>
      <c r="R57" s="68">
        <f t="shared" si="6"/>
        <v>574.04322758584431</v>
      </c>
      <c r="S57" s="68">
        <f t="shared" si="6"/>
        <v>304.87132196788406</v>
      </c>
      <c r="T57" s="68">
        <f t="shared" si="6"/>
        <v>453.89647189338103</v>
      </c>
      <c r="U57" s="68">
        <f t="shared" si="6"/>
        <v>1094.9443298407373</v>
      </c>
      <c r="V57" s="68">
        <f t="shared" si="6"/>
        <v>640.0662648295571</v>
      </c>
      <c r="W57" s="68">
        <f t="shared" si="6"/>
        <v>309.92081152379723</v>
      </c>
      <c r="X57" s="68">
        <f t="shared" si="6"/>
        <v>426.04921359341034</v>
      </c>
      <c r="Y57" s="68">
        <f t="shared" si="6"/>
        <v>399.08410845138297</v>
      </c>
      <c r="Z57" s="68">
        <f t="shared" si="7"/>
        <v>471.56581522817339</v>
      </c>
      <c r="AA57" s="68">
        <f t="shared" si="7"/>
        <v>426.10190334424942</v>
      </c>
      <c r="AB57" s="68">
        <f t="shared" si="7"/>
        <v>437.32661961786198</v>
      </c>
      <c r="AC57" s="68">
        <f t="shared" si="7"/>
        <v>407.84054113164757</v>
      </c>
      <c r="AD57" s="68">
        <f t="shared" si="7"/>
        <v>361.87644883495688</v>
      </c>
      <c r="AE57" s="68">
        <f t="shared" si="7"/>
        <v>717.5012392904614</v>
      </c>
      <c r="AF57" s="68">
        <f t="shared" si="7"/>
        <v>494.04678968167377</v>
      </c>
      <c r="AG57" s="68">
        <f t="shared" si="7"/>
        <v>544.01191481172157</v>
      </c>
      <c r="AH57" s="68">
        <f t="shared" si="7"/>
        <v>330.6565647031905</v>
      </c>
      <c r="AI57" s="68">
        <f t="shared" si="7"/>
        <v>521.7896757733447</v>
      </c>
      <c r="AJ57" s="68">
        <f t="shared" si="8"/>
        <v>601.87580114790899</v>
      </c>
      <c r="AK57" s="68">
        <f t="shared" si="8"/>
        <v>473.88405016715234</v>
      </c>
      <c r="AL57" s="68">
        <f t="shared" si="8"/>
        <v>323.41192090295914</v>
      </c>
      <c r="AM57" s="68">
        <f t="shared" si="8"/>
        <v>543.5028923416404</v>
      </c>
      <c r="AN57" s="68">
        <f t="shared" si="8"/>
        <v>202.75000944172797</v>
      </c>
      <c r="AO57" s="68">
        <f t="shared" si="8"/>
        <v>369.70700274810082</v>
      </c>
      <c r="AP57" s="68">
        <f t="shared" si="8"/>
        <v>364.82041191596443</v>
      </c>
      <c r="AQ57" s="68">
        <f t="shared" si="8"/>
        <v>385.82697448280356</v>
      </c>
      <c r="AR57" s="68">
        <f t="shared" si="8"/>
        <v>391.44519730976799</v>
      </c>
      <c r="AS57" s="68">
        <f t="shared" si="8"/>
        <v>406.06476144174457</v>
      </c>
      <c r="AT57" s="68">
        <f t="shared" si="9"/>
        <v>236.52619743280962</v>
      </c>
      <c r="AU57" s="68">
        <f t="shared" si="9"/>
        <v>572.53940239615577</v>
      </c>
      <c r="AV57" s="68">
        <f t="shared" si="9"/>
        <v>776.71515714465295</v>
      </c>
      <c r="AW57" s="68">
        <f t="shared" si="9"/>
        <v>601.09275997120517</v>
      </c>
      <c r="AX57" s="68">
        <f t="shared" si="9"/>
        <v>233.65489601770938</v>
      </c>
      <c r="AY57" s="68">
        <f t="shared" si="9"/>
        <v>609.39958363407845</v>
      </c>
      <c r="AZ57" s="68">
        <f t="shared" si="9"/>
        <v>643.78773800095485</v>
      </c>
      <c r="BA57" s="68">
        <f t="shared" si="9"/>
        <v>431.89646412003725</v>
      </c>
      <c r="BB57" s="68">
        <f t="shared" si="9"/>
        <v>456.48317715168997</v>
      </c>
      <c r="BC57" s="68">
        <f t="shared" si="9"/>
        <v>904.65242921470781</v>
      </c>
      <c r="BD57" s="124">
        <v>25696.511420159422</v>
      </c>
      <c r="BE57" s="63">
        <v>65579</v>
      </c>
      <c r="BF57" s="42" t="s">
        <v>288</v>
      </c>
      <c r="BG57" s="43"/>
      <c r="BH57" s="42"/>
      <c r="BI57" s="42"/>
      <c r="BJ57" s="42"/>
      <c r="BK57" s="42"/>
    </row>
    <row r="58" spans="1:63">
      <c r="A58" s="101"/>
      <c r="E58" s="9" t="s">
        <v>111</v>
      </c>
      <c r="F58" s="68">
        <v>1045.5009565293526</v>
      </c>
      <c r="G58" s="68">
        <v>1764.6336404627975</v>
      </c>
      <c r="H58" s="68">
        <v>1941.3113254316422</v>
      </c>
      <c r="I58" s="68">
        <v>932.20159283294697</v>
      </c>
      <c r="J58" s="68">
        <v>1175.6096517349968</v>
      </c>
      <c r="K58" s="68">
        <v>13461.708010916909</v>
      </c>
      <c r="L58" s="68">
        <v>3235.0270113026195</v>
      </c>
      <c r="M58" s="68">
        <v>3482.8711521512491</v>
      </c>
      <c r="N58" s="68">
        <v>1360.3729852536044</v>
      </c>
      <c r="O58" s="68">
        <v>4847.395405483755</v>
      </c>
      <c r="P58" s="68">
        <v>3572.8563793645758</v>
      </c>
      <c r="Q58" s="68">
        <v>2318.4664087112974</v>
      </c>
      <c r="R58" s="68">
        <v>3098.5030243967476</v>
      </c>
      <c r="S58" s="68">
        <v>1645.5985677978547</v>
      </c>
      <c r="T58" s="68">
        <v>2449.9889961933868</v>
      </c>
      <c r="U58" s="68">
        <v>5910.1617343795606</v>
      </c>
      <c r="V58" s="68">
        <v>3454.8744102936589</v>
      </c>
      <c r="W58" s="68">
        <v>1672.8541086853518</v>
      </c>
      <c r="X58" s="68">
        <v>2299.6783402755564</v>
      </c>
      <c r="Y58" s="68">
        <v>2154.1292669294144</v>
      </c>
      <c r="Z58" s="68">
        <v>2545.3624996701287</v>
      </c>
      <c r="AA58" s="68">
        <v>2299.9627428161389</v>
      </c>
      <c r="AB58" s="68">
        <v>2360.5501962524445</v>
      </c>
      <c r="AC58" s="68">
        <v>2201.3937094642215</v>
      </c>
      <c r="AD58" s="68">
        <v>1953.2941376011438</v>
      </c>
      <c r="AE58" s="68">
        <v>3872.8438088182957</v>
      </c>
      <c r="AF58" s="68">
        <v>2666.7076597349951</v>
      </c>
      <c r="AG58" s="68">
        <v>2936.4035360906887</v>
      </c>
      <c r="AH58" s="68">
        <v>1784.7791186008924</v>
      </c>
      <c r="AI58" s="68">
        <v>2816.454947621397</v>
      </c>
      <c r="AJ58" s="68">
        <v>3248.734416763285</v>
      </c>
      <c r="AK58" s="68">
        <v>2557.8755955913139</v>
      </c>
      <c r="AL58" s="68">
        <v>1745.6748322911349</v>
      </c>
      <c r="AM58" s="68">
        <v>2933.6559944644846</v>
      </c>
      <c r="AN58" s="68">
        <v>1094.3801568632164</v>
      </c>
      <c r="AO58" s="68">
        <v>1995.5609806133277</v>
      </c>
      <c r="AP58" s="68">
        <v>1969.1847152995804</v>
      </c>
      <c r="AQ58" s="68">
        <v>2082.5714682785569</v>
      </c>
      <c r="AR58" s="68">
        <v>2112.8968507315376</v>
      </c>
      <c r="AS58" s="68">
        <v>2191.8086146918877</v>
      </c>
      <c r="AT58" s="68">
        <v>1276.6932922051171</v>
      </c>
      <c r="AU58" s="68">
        <v>3090.3858536428825</v>
      </c>
      <c r="AV58" s="68">
        <v>4192.4617308504057</v>
      </c>
      <c r="AW58" s="68">
        <v>3244.5078091880196</v>
      </c>
      <c r="AX58" s="68">
        <v>1261.194919101652</v>
      </c>
      <c r="AY58" s="68">
        <v>3289.3454050443256</v>
      </c>
      <c r="AZ58" s="68">
        <v>3474.961740520132</v>
      </c>
      <c r="BA58" s="68">
        <v>2331.2399415113268</v>
      </c>
      <c r="BB58" s="68">
        <v>2463.9512096312146</v>
      </c>
      <c r="BC58" s="68">
        <v>4883.0264921650987</v>
      </c>
      <c r="BD58" s="68">
        <v>138701.60734524613</v>
      </c>
      <c r="BE58" s="388" t="s">
        <v>161</v>
      </c>
    </row>
    <row r="59" spans="1:63">
      <c r="A59" s="101"/>
      <c r="E59" s="9" t="s">
        <v>446</v>
      </c>
      <c r="F59" s="68">
        <f>400*F56</f>
        <v>56115.655716156667</v>
      </c>
      <c r="G59" s="68">
        <f t="shared" ref="G59:BD59" si="10">400*G56</f>
        <v>94713.996400421689</v>
      </c>
      <c r="H59" s="68">
        <f t="shared" si="10"/>
        <v>104196.8993863272</v>
      </c>
      <c r="I59" s="68">
        <f t="shared" si="10"/>
        <v>50034.486639896124</v>
      </c>
      <c r="J59" s="68">
        <f t="shared" si="10"/>
        <v>63099.039806091074</v>
      </c>
      <c r="K59" s="68">
        <f t="shared" si="10"/>
        <v>722536.47151094989</v>
      </c>
      <c r="L59" s="68">
        <f t="shared" si="10"/>
        <v>173635.09891119684</v>
      </c>
      <c r="M59" s="68">
        <f t="shared" si="10"/>
        <v>186937.75195256484</v>
      </c>
      <c r="N59" s="68">
        <f t="shared" si="10"/>
        <v>73015.927541055615</v>
      </c>
      <c r="O59" s="68">
        <f t="shared" si="10"/>
        <v>260176.49242252909</v>
      </c>
      <c r="P59" s="68">
        <f t="shared" si="10"/>
        <v>191767.57061347336</v>
      </c>
      <c r="Q59" s="68">
        <f t="shared" si="10"/>
        <v>124440.11836450646</v>
      </c>
      <c r="R59" s="68">
        <f t="shared" si="10"/>
        <v>166307.38390686159</v>
      </c>
      <c r="S59" s="68">
        <f t="shared" si="10"/>
        <v>88324.971967591249</v>
      </c>
      <c r="T59" s="68">
        <f t="shared" si="10"/>
        <v>131499.39094761654</v>
      </c>
      <c r="U59" s="68">
        <f t="shared" si="10"/>
        <v>317218.84044391656</v>
      </c>
      <c r="V59" s="68">
        <f t="shared" si="10"/>
        <v>185435.0698962328</v>
      </c>
      <c r="W59" s="68">
        <f t="shared" si="10"/>
        <v>89787.871201923495</v>
      </c>
      <c r="X59" s="68">
        <f t="shared" si="10"/>
        <v>123431.69768987452</v>
      </c>
      <c r="Y59" s="68">
        <f t="shared" si="10"/>
        <v>115619.57505269315</v>
      </c>
      <c r="Z59" s="68">
        <f t="shared" si="10"/>
        <v>136618.41704904722</v>
      </c>
      <c r="AA59" s="68">
        <f t="shared" si="10"/>
        <v>123446.9625587897</v>
      </c>
      <c r="AB59" s="68">
        <f t="shared" si="10"/>
        <v>126698.90093007227</v>
      </c>
      <c r="AC59" s="68">
        <f t="shared" si="10"/>
        <v>118156.42130647736</v>
      </c>
      <c r="AD59" s="68">
        <f t="shared" si="10"/>
        <v>104840.05839829725</v>
      </c>
      <c r="AE59" s="68">
        <f t="shared" si="10"/>
        <v>207868.93446710575</v>
      </c>
      <c r="AF59" s="68">
        <f t="shared" si="10"/>
        <v>143131.43186983356</v>
      </c>
      <c r="AG59" s="68">
        <f t="shared" si="10"/>
        <v>157606.94320354162</v>
      </c>
      <c r="AH59" s="68">
        <f t="shared" si="10"/>
        <v>95795.273952942938</v>
      </c>
      <c r="AI59" s="68">
        <f t="shared" si="10"/>
        <v>151168.88721502683</v>
      </c>
      <c r="AJ59" s="68">
        <f t="shared" si="10"/>
        <v>174370.82281540628</v>
      </c>
      <c r="AK59" s="68">
        <f t="shared" si="10"/>
        <v>137290.03822573883</v>
      </c>
      <c r="AL59" s="68">
        <f t="shared" si="10"/>
        <v>93696.4115330856</v>
      </c>
      <c r="AM59" s="68">
        <f t="shared" si="10"/>
        <v>157459.4731328554</v>
      </c>
      <c r="AN59" s="68">
        <f t="shared" si="10"/>
        <v>58739.171611083679</v>
      </c>
      <c r="AO59" s="68">
        <f t="shared" si="10"/>
        <v>107108.66618470622</v>
      </c>
      <c r="AP59" s="68">
        <f t="shared" si="10"/>
        <v>105692.96071434715</v>
      </c>
      <c r="AQ59" s="68">
        <f t="shared" si="10"/>
        <v>111778.82027593284</v>
      </c>
      <c r="AR59" s="68">
        <f t="shared" si="10"/>
        <v>113406.48853445009</v>
      </c>
      <c r="AS59" s="68">
        <f t="shared" si="10"/>
        <v>117641.95608777822</v>
      </c>
      <c r="AT59" s="68">
        <f t="shared" si="10"/>
        <v>68524.548727658272</v>
      </c>
      <c r="AU59" s="68">
        <f t="shared" si="10"/>
        <v>165871.70725198294</v>
      </c>
      <c r="AV59" s="68">
        <f t="shared" si="10"/>
        <v>225023.93481546146</v>
      </c>
      <c r="AW59" s="68">
        <f t="shared" si="10"/>
        <v>174143.96615491289</v>
      </c>
      <c r="AX59" s="68">
        <f t="shared" si="10"/>
        <v>67692.697389978348</v>
      </c>
      <c r="AY59" s="68">
        <f t="shared" si="10"/>
        <v>176550.55514605553</v>
      </c>
      <c r="AZ59" s="68">
        <f t="shared" si="10"/>
        <v>186513.22644903732</v>
      </c>
      <c r="BA59" s="68">
        <f t="shared" si="10"/>
        <v>125125.71809008198</v>
      </c>
      <c r="BB59" s="68">
        <f t="shared" si="10"/>
        <v>132248.7912780701</v>
      </c>
      <c r="BC59" s="68">
        <f t="shared" si="10"/>
        <v>262088.93619459437</v>
      </c>
      <c r="BD59" s="69">
        <f t="shared" si="10"/>
        <v>7444595.4319362314</v>
      </c>
      <c r="BE59" s="388" t="s">
        <v>110</v>
      </c>
    </row>
    <row r="60" spans="1:63">
      <c r="A60" s="101"/>
      <c r="E60" s="9" t="s">
        <v>726</v>
      </c>
      <c r="F60" s="68">
        <f>1469*F57</f>
        <v>284537.10172430996</v>
      </c>
      <c r="G60" s="68">
        <f t="shared" ref="G60:BD60" si="11">1469*G57</f>
        <v>480251.82428267424</v>
      </c>
      <c r="H60" s="68">
        <f t="shared" si="11"/>
        <v>528335.33497335459</v>
      </c>
      <c r="I60" s="68">
        <f t="shared" si="11"/>
        <v>253702.24464259035</v>
      </c>
      <c r="J60" s="68">
        <f t="shared" si="11"/>
        <v>319946.68295113143</v>
      </c>
      <c r="K60" s="68">
        <f t="shared" si="11"/>
        <v>3663655.5497763283</v>
      </c>
      <c r="L60" s="68">
        <f t="shared" si="11"/>
        <v>880425.02883167972</v>
      </c>
      <c r="M60" s="68">
        <f t="shared" si="11"/>
        <v>947876.76388367033</v>
      </c>
      <c r="N60" s="68">
        <f t="shared" si="11"/>
        <v>370230.73395652208</v>
      </c>
      <c r="O60" s="68">
        <f t="shared" si="11"/>
        <v>1319237.2813954102</v>
      </c>
      <c r="P60" s="68">
        <f t="shared" si="11"/>
        <v>972366.58915774664</v>
      </c>
      <c r="Q60" s="68">
        <f t="shared" si="11"/>
        <v>630979.53976990085</v>
      </c>
      <c r="R60" s="68">
        <f t="shared" si="11"/>
        <v>843269.50132360531</v>
      </c>
      <c r="S60" s="68">
        <f t="shared" si="11"/>
        <v>447855.97197082167</v>
      </c>
      <c r="T60" s="68">
        <f t="shared" si="11"/>
        <v>666773.91721137671</v>
      </c>
      <c r="U60" s="68">
        <f t="shared" si="11"/>
        <v>1608473.2205360432</v>
      </c>
      <c r="V60" s="68">
        <f t="shared" si="11"/>
        <v>940257.34303461935</v>
      </c>
      <c r="W60" s="68">
        <f t="shared" si="11"/>
        <v>455273.6721284581</v>
      </c>
      <c r="X60" s="68">
        <f t="shared" si="11"/>
        <v>625866.29476871982</v>
      </c>
      <c r="Y60" s="68">
        <f t="shared" si="11"/>
        <v>586254.55531508161</v>
      </c>
      <c r="Z60" s="68">
        <f t="shared" si="11"/>
        <v>692730.18257018668</v>
      </c>
      <c r="AA60" s="68">
        <f t="shared" si="11"/>
        <v>625943.69601270242</v>
      </c>
      <c r="AB60" s="68">
        <f t="shared" si="11"/>
        <v>642432.80421863927</v>
      </c>
      <c r="AC60" s="68">
        <f t="shared" si="11"/>
        <v>599117.75492239033</v>
      </c>
      <c r="AD60" s="68">
        <f t="shared" si="11"/>
        <v>531596.50333855161</v>
      </c>
      <c r="AE60" s="68">
        <f t="shared" si="11"/>
        <v>1054009.3205176878</v>
      </c>
      <c r="AF60" s="68">
        <f t="shared" si="11"/>
        <v>725754.73404237872</v>
      </c>
      <c r="AG60" s="68">
        <f t="shared" si="11"/>
        <v>799153.50285841897</v>
      </c>
      <c r="AH60" s="68">
        <f t="shared" si="11"/>
        <v>485734.49354898685</v>
      </c>
      <c r="AI60" s="68">
        <f t="shared" si="11"/>
        <v>766509.0337110433</v>
      </c>
      <c r="AJ60" s="68">
        <f t="shared" si="11"/>
        <v>884155.55188627832</v>
      </c>
      <c r="AK60" s="68">
        <f t="shared" si="11"/>
        <v>696135.66969554673</v>
      </c>
      <c r="AL60" s="68">
        <f t="shared" si="11"/>
        <v>475092.11180644698</v>
      </c>
      <c r="AM60" s="68">
        <f t="shared" si="11"/>
        <v>798405.74884986971</v>
      </c>
      <c r="AN60" s="68">
        <f t="shared" si="11"/>
        <v>297839.76386989839</v>
      </c>
      <c r="AO60" s="68">
        <f t="shared" si="11"/>
        <v>543099.58703696006</v>
      </c>
      <c r="AP60" s="68">
        <f t="shared" si="11"/>
        <v>535921.18510455173</v>
      </c>
      <c r="AQ60" s="68">
        <f t="shared" si="11"/>
        <v>566779.82551523845</v>
      </c>
      <c r="AR60" s="68">
        <f t="shared" si="11"/>
        <v>575032.99484804913</v>
      </c>
      <c r="AS60" s="68">
        <f t="shared" si="11"/>
        <v>596509.13455792272</v>
      </c>
      <c r="AT60" s="68">
        <f t="shared" si="11"/>
        <v>347456.98402879736</v>
      </c>
      <c r="AU60" s="68">
        <f t="shared" si="11"/>
        <v>841060.38211995282</v>
      </c>
      <c r="AV60" s="68">
        <f t="shared" si="11"/>
        <v>1140994.5658454951</v>
      </c>
      <c r="AW60" s="68">
        <f t="shared" si="11"/>
        <v>883005.26439770043</v>
      </c>
      <c r="AX60" s="68">
        <f t="shared" si="11"/>
        <v>343239.04225001507</v>
      </c>
      <c r="AY60" s="68">
        <f t="shared" si="11"/>
        <v>895207.9883584613</v>
      </c>
      <c r="AZ60" s="68">
        <f t="shared" si="11"/>
        <v>945724.18712340272</v>
      </c>
      <c r="BA60" s="68">
        <f t="shared" si="11"/>
        <v>634455.9057923347</v>
      </c>
      <c r="BB60" s="68">
        <f t="shared" si="11"/>
        <v>670573.78723583254</v>
      </c>
      <c r="BC60" s="68">
        <f t="shared" si="11"/>
        <v>1328934.4185164059</v>
      </c>
      <c r="BD60" s="69">
        <f t="shared" si="11"/>
        <v>37748175.27621419</v>
      </c>
      <c r="BE60" s="388" t="s">
        <v>108</v>
      </c>
    </row>
    <row r="61" spans="1:63">
      <c r="A61" s="101"/>
      <c r="BD61" s="389">
        <f>(BD59+BD60)/(BD56+BD57)</f>
        <v>1019.9686446725292</v>
      </c>
      <c r="BE61" s="20" t="s">
        <v>109</v>
      </c>
    </row>
    <row r="62" spans="1:63">
      <c r="A62" s="101"/>
      <c r="C62" s="10" t="s">
        <v>310</v>
      </c>
      <c r="BD62" s="6" t="s">
        <v>137</v>
      </c>
    </row>
    <row r="63" spans="1:63">
      <c r="A63" s="101"/>
      <c r="C63" s="6" t="s">
        <v>135</v>
      </c>
    </row>
    <row r="64" spans="1:63">
      <c r="A64" s="101"/>
    </row>
    <row r="65" spans="1:59">
      <c r="A65" s="101"/>
      <c r="C65" s="10" t="s">
        <v>503</v>
      </c>
    </row>
    <row r="66" spans="1:59">
      <c r="A66" s="101"/>
      <c r="B66" s="45" t="s">
        <v>416</v>
      </c>
      <c r="C66" s="6" t="s">
        <v>504</v>
      </c>
    </row>
    <row r="67" spans="1:59">
      <c r="A67" s="101"/>
      <c r="B67" s="9" t="s">
        <v>586</v>
      </c>
      <c r="C67" s="6">
        <v>1</v>
      </c>
      <c r="D67" s="6">
        <v>5</v>
      </c>
      <c r="E67" s="23" t="s">
        <v>465</v>
      </c>
      <c r="F67" s="59">
        <v>0</v>
      </c>
      <c r="G67" s="59">
        <v>0</v>
      </c>
      <c r="H67" s="59">
        <v>0.4375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1.5510204081632653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0.8</v>
      </c>
      <c r="BA67" s="59">
        <v>0.95121951219512202</v>
      </c>
      <c r="BB67" s="59">
        <v>3.9622641509433962</v>
      </c>
      <c r="BC67" s="59">
        <v>0</v>
      </c>
      <c r="BD67" s="60">
        <f>SUM(F67:BC67)</f>
        <v>7.7020040713017828</v>
      </c>
      <c r="BF67" s="29"/>
      <c r="BG67" s="6"/>
    </row>
    <row r="68" spans="1:59">
      <c r="A68" s="101"/>
      <c r="B68" s="9" t="s">
        <v>587</v>
      </c>
      <c r="C68" s="6">
        <v>1</v>
      </c>
      <c r="D68" s="6">
        <v>5</v>
      </c>
      <c r="E68" s="23" t="s">
        <v>465</v>
      </c>
      <c r="F68" s="59">
        <v>0</v>
      </c>
      <c r="G68" s="59">
        <v>0</v>
      </c>
      <c r="H68" s="59">
        <v>1.4375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4.408163265306122</v>
      </c>
      <c r="Q68" s="59">
        <v>0</v>
      </c>
      <c r="R68" s="59">
        <v>0</v>
      </c>
      <c r="S68" s="59">
        <v>0</v>
      </c>
      <c r="T68" s="59">
        <v>0</v>
      </c>
      <c r="U68" s="59">
        <v>1.5365853658536586</v>
      </c>
      <c r="V68" s="59">
        <v>1.75</v>
      </c>
      <c r="W68" s="59">
        <v>0</v>
      </c>
      <c r="X68" s="59">
        <v>1.5</v>
      </c>
      <c r="Y68" s="59">
        <v>0</v>
      </c>
      <c r="Z68" s="59">
        <v>0.9423076923076924</v>
      </c>
      <c r="AA68" s="59">
        <v>0</v>
      </c>
      <c r="AB68" s="59">
        <v>1.2222222222222221</v>
      </c>
      <c r="AC68" s="59">
        <v>0</v>
      </c>
      <c r="AD68" s="59">
        <v>0</v>
      </c>
      <c r="AE68" s="59">
        <v>0.88571428571428568</v>
      </c>
      <c r="AF68" s="59">
        <v>0</v>
      </c>
      <c r="AG68" s="59">
        <v>2.5909090909090908</v>
      </c>
      <c r="AH68" s="59">
        <v>0</v>
      </c>
      <c r="AI68" s="59">
        <v>1.452054794520548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1.72</v>
      </c>
      <c r="AZ68" s="59">
        <v>4.05</v>
      </c>
      <c r="BA68" s="59">
        <v>10.327868852459016</v>
      </c>
      <c r="BB68" s="59">
        <v>30</v>
      </c>
      <c r="BC68" s="59">
        <v>17.832167832167833</v>
      </c>
      <c r="BD68" s="60">
        <f t="shared" ref="BD68:BD73" si="12">SUM(F68:BC68)</f>
        <v>81.655493401460461</v>
      </c>
      <c r="BF68" s="29"/>
      <c r="BG68" s="6"/>
    </row>
    <row r="69" spans="1:59">
      <c r="A69" s="101"/>
      <c r="B69" s="9" t="s">
        <v>568</v>
      </c>
      <c r="C69" s="6">
        <v>1</v>
      </c>
      <c r="D69" s="6">
        <v>5</v>
      </c>
      <c r="E69" s="23" t="s">
        <v>465</v>
      </c>
      <c r="F69" s="59">
        <v>0</v>
      </c>
      <c r="G69" s="59">
        <v>0</v>
      </c>
      <c r="H69" s="59">
        <v>4.0677966101694913</v>
      </c>
      <c r="I69" s="59">
        <v>0</v>
      </c>
      <c r="J69" s="59">
        <v>1.3913043478260869</v>
      </c>
      <c r="K69" s="59">
        <v>3.0952380952380949</v>
      </c>
      <c r="L69" s="59">
        <v>2.5</v>
      </c>
      <c r="M69" s="59">
        <v>1.0263157894736841</v>
      </c>
      <c r="N69" s="59">
        <v>0.44444444444444442</v>
      </c>
      <c r="O69" s="59">
        <v>0</v>
      </c>
      <c r="P69" s="59">
        <v>18.653543307086615</v>
      </c>
      <c r="Q69" s="59">
        <v>0</v>
      </c>
      <c r="R69" s="59">
        <v>1.8888888888888888</v>
      </c>
      <c r="S69" s="59">
        <v>1</v>
      </c>
      <c r="T69" s="59">
        <v>0.64285714285714279</v>
      </c>
      <c r="U69" s="59">
        <v>4.8205128205128203</v>
      </c>
      <c r="V69" s="59">
        <v>3.375</v>
      </c>
      <c r="W69" s="59">
        <v>0</v>
      </c>
      <c r="X69" s="59">
        <v>0</v>
      </c>
      <c r="Y69" s="59">
        <v>0</v>
      </c>
      <c r="Z69" s="59">
        <v>2.2424242424242427</v>
      </c>
      <c r="AA69" s="59">
        <v>2.5614035087719298</v>
      </c>
      <c r="AB69" s="59">
        <v>2.7272727272727271</v>
      </c>
      <c r="AC69" s="59">
        <v>0.96825396825396814</v>
      </c>
      <c r="AD69" s="59">
        <v>8.9333333333333336</v>
      </c>
      <c r="AE69" s="59">
        <v>8.9764705882352942</v>
      </c>
      <c r="AF69" s="59">
        <v>0.86538461538461542</v>
      </c>
      <c r="AG69" s="59">
        <v>0</v>
      </c>
      <c r="AH69" s="59">
        <v>0</v>
      </c>
      <c r="AI69" s="59">
        <v>5.4388489208633093</v>
      </c>
      <c r="AJ69" s="59">
        <v>2.7755102040816326</v>
      </c>
      <c r="AK69" s="59">
        <v>0</v>
      </c>
      <c r="AL69" s="59">
        <v>0</v>
      </c>
      <c r="AM69" s="59">
        <v>0</v>
      </c>
      <c r="AN69" s="59">
        <v>0</v>
      </c>
      <c r="AO69" s="59">
        <v>1.380281690140845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2.1084337349397591</v>
      </c>
      <c r="AW69" s="59">
        <v>4.3962264150943398</v>
      </c>
      <c r="AX69" s="59">
        <v>0</v>
      </c>
      <c r="AY69" s="59">
        <v>4.6958333333333337</v>
      </c>
      <c r="AZ69" s="59">
        <v>17.109375</v>
      </c>
      <c r="BA69" s="59">
        <v>43.666666666666664</v>
      </c>
      <c r="BB69" s="59">
        <v>70.515789473684222</v>
      </c>
      <c r="BC69" s="59">
        <v>51.702857142857141</v>
      </c>
      <c r="BD69" s="60">
        <f t="shared" si="12"/>
        <v>273.97026701183461</v>
      </c>
      <c r="BF69" s="29"/>
      <c r="BG69" s="6"/>
    </row>
    <row r="70" spans="1:59">
      <c r="A70" s="101"/>
      <c r="B70" s="9" t="s">
        <v>569</v>
      </c>
      <c r="C70" s="6">
        <v>1</v>
      </c>
      <c r="D70" s="6">
        <v>5</v>
      </c>
      <c r="E70" s="23" t="s">
        <v>465</v>
      </c>
      <c r="F70" s="59">
        <v>0</v>
      </c>
      <c r="G70" s="59">
        <v>1.3333333333333333</v>
      </c>
      <c r="H70" s="59">
        <v>9.8181818181818183</v>
      </c>
      <c r="I70" s="59">
        <v>0</v>
      </c>
      <c r="J70" s="59">
        <v>2.1142857142857143</v>
      </c>
      <c r="K70" s="59">
        <v>11.503267973856209</v>
      </c>
      <c r="L70" s="59">
        <v>2.7857142857142856</v>
      </c>
      <c r="M70" s="59">
        <v>0.82558139534883723</v>
      </c>
      <c r="N70" s="59">
        <v>1.875</v>
      </c>
      <c r="O70" s="59">
        <v>0</v>
      </c>
      <c r="P70" s="59">
        <v>36.51136363636364</v>
      </c>
      <c r="Q70" s="59">
        <v>3.2352941176470589</v>
      </c>
      <c r="R70" s="59">
        <v>11.360655737704917</v>
      </c>
      <c r="S70" s="59">
        <v>5.4653465346534649</v>
      </c>
      <c r="T70" s="59">
        <v>5.48780487804878</v>
      </c>
      <c r="U70" s="59">
        <v>21.71268656716418</v>
      </c>
      <c r="V70" s="59">
        <v>1.7058823529411764</v>
      </c>
      <c r="W70" s="59">
        <v>4.4822695035460995</v>
      </c>
      <c r="X70" s="59">
        <v>4.5161290322580641</v>
      </c>
      <c r="Y70" s="59">
        <v>0.91666666666666663</v>
      </c>
      <c r="Z70" s="59">
        <v>8.8706896551724146</v>
      </c>
      <c r="AA70" s="59">
        <v>7.7712177121771218</v>
      </c>
      <c r="AB70" s="59">
        <v>7.2025723472668801</v>
      </c>
      <c r="AC70" s="59">
        <v>5.9090909090909092</v>
      </c>
      <c r="AD70" s="59">
        <v>13.333333333333332</v>
      </c>
      <c r="AE70" s="59">
        <v>23.047619047619047</v>
      </c>
      <c r="AF70" s="59">
        <v>5.8947368421052628</v>
      </c>
      <c r="AG70" s="59">
        <v>6.1805555555555554</v>
      </c>
      <c r="AH70" s="59">
        <v>4.0461095100864553</v>
      </c>
      <c r="AI70" s="59">
        <v>21.684887459807076</v>
      </c>
      <c r="AJ70" s="59">
        <v>25.253012048192772</v>
      </c>
      <c r="AK70" s="59">
        <v>7.2931034482758621</v>
      </c>
      <c r="AL70" s="59">
        <v>0</v>
      </c>
      <c r="AM70" s="59">
        <v>0</v>
      </c>
      <c r="AN70" s="59">
        <v>0</v>
      </c>
      <c r="AO70" s="59">
        <v>3.6912751677852351</v>
      </c>
      <c r="AP70" s="59">
        <v>3.1388888888888888</v>
      </c>
      <c r="AQ70" s="59">
        <v>0.67592592592592593</v>
      </c>
      <c r="AR70" s="59">
        <v>0</v>
      </c>
      <c r="AS70" s="59">
        <v>3.57</v>
      </c>
      <c r="AT70" s="59">
        <v>0</v>
      </c>
      <c r="AU70" s="59">
        <v>4.503968253968254</v>
      </c>
      <c r="AV70" s="59">
        <v>4.2469879518072293</v>
      </c>
      <c r="AW70" s="59">
        <v>7.9264705882352944</v>
      </c>
      <c r="AX70" s="59">
        <v>6.16</v>
      </c>
      <c r="AY70" s="59">
        <v>7.1166666666666671</v>
      </c>
      <c r="AZ70" s="59">
        <v>32.609756097560975</v>
      </c>
      <c r="BA70" s="59">
        <v>109.47517730496453</v>
      </c>
      <c r="BB70" s="59">
        <v>136.43046357615896</v>
      </c>
      <c r="BC70" s="59">
        <v>162.33600000000001</v>
      </c>
      <c r="BD70" s="60">
        <f t="shared" si="12"/>
        <v>744.01797183835902</v>
      </c>
      <c r="BF70" s="29"/>
      <c r="BG70" s="6"/>
    </row>
    <row r="71" spans="1:59">
      <c r="A71" s="101"/>
      <c r="B71" s="9" t="s">
        <v>570</v>
      </c>
      <c r="C71" s="6">
        <v>1</v>
      </c>
      <c r="D71" s="6">
        <v>5</v>
      </c>
      <c r="E71" s="23" t="s">
        <v>465</v>
      </c>
      <c r="F71" s="59">
        <v>0</v>
      </c>
      <c r="G71" s="59">
        <v>8.4</v>
      </c>
      <c r="H71" s="59">
        <v>46.095444685466376</v>
      </c>
      <c r="I71" s="59">
        <v>10</v>
      </c>
      <c r="J71" s="59">
        <v>6.2929936305732488</v>
      </c>
      <c r="K71" s="59">
        <v>36.840970350404312</v>
      </c>
      <c r="L71" s="59">
        <v>7.4249999999999998</v>
      </c>
      <c r="M71" s="59">
        <v>12.785714285714285</v>
      </c>
      <c r="N71" s="59">
        <v>12</v>
      </c>
      <c r="O71" s="59">
        <v>0</v>
      </c>
      <c r="P71" s="59">
        <v>127.37722419928825</v>
      </c>
      <c r="Q71" s="59">
        <v>3.0408163265306118</v>
      </c>
      <c r="R71" s="59">
        <v>33.478260869565219</v>
      </c>
      <c r="S71" s="59">
        <v>42.172588832487307</v>
      </c>
      <c r="T71" s="59">
        <v>12.716666666666667</v>
      </c>
      <c r="U71" s="59">
        <v>90.917647058823533</v>
      </c>
      <c r="V71" s="59">
        <v>20.297872340425531</v>
      </c>
      <c r="W71" s="59">
        <v>20.314606741573034</v>
      </c>
      <c r="X71" s="59">
        <v>28.133333333333333</v>
      </c>
      <c r="Y71" s="59">
        <v>21.796296296296294</v>
      </c>
      <c r="Z71" s="59">
        <v>67.535836177474408</v>
      </c>
      <c r="AA71" s="59">
        <v>58.801089918256132</v>
      </c>
      <c r="AB71" s="59">
        <v>44.256756756756758</v>
      </c>
      <c r="AC71" s="59">
        <v>29.383561643835616</v>
      </c>
      <c r="AD71" s="59">
        <v>41.333333333333329</v>
      </c>
      <c r="AE71" s="59">
        <v>89.931034482758619</v>
      </c>
      <c r="AF71" s="59">
        <v>29.133689839572195</v>
      </c>
      <c r="AG71" s="59">
        <v>61.024958402662236</v>
      </c>
      <c r="AH71" s="59">
        <v>30.073170731707314</v>
      </c>
      <c r="AI71" s="59">
        <v>113.75810473815463</v>
      </c>
      <c r="AJ71" s="59">
        <v>103.77083333333334</v>
      </c>
      <c r="AK71" s="59">
        <v>39.989690721649488</v>
      </c>
      <c r="AL71" s="59">
        <v>0</v>
      </c>
      <c r="AM71" s="59">
        <v>0</v>
      </c>
      <c r="AN71" s="59">
        <v>0</v>
      </c>
      <c r="AO71" s="59">
        <v>14.795221843003413</v>
      </c>
      <c r="AP71" s="59">
        <v>17.588357588357589</v>
      </c>
      <c r="AQ71" s="59">
        <v>9.0476190476190474</v>
      </c>
      <c r="AR71" s="59">
        <v>11.958456973293769</v>
      </c>
      <c r="AS71" s="59">
        <v>8.6424870466321249</v>
      </c>
      <c r="AT71" s="59">
        <v>13.611111111111111</v>
      </c>
      <c r="AU71" s="59">
        <v>16.933333333333334</v>
      </c>
      <c r="AV71" s="59">
        <v>17.062906724511933</v>
      </c>
      <c r="AW71" s="59">
        <v>28.082706766917291</v>
      </c>
      <c r="AX71" s="59">
        <v>7.764705882352942</v>
      </c>
      <c r="AY71" s="59">
        <v>23.051051051051051</v>
      </c>
      <c r="AZ71" s="59">
        <v>234.265306122449</v>
      </c>
      <c r="BA71" s="59">
        <v>317.44504896626768</v>
      </c>
      <c r="BB71" s="59">
        <v>274.43262411347519</v>
      </c>
      <c r="BC71" s="59">
        <v>377.85154975530179</v>
      </c>
      <c r="BD71" s="60">
        <f t="shared" si="12"/>
        <v>2621.6099820223194</v>
      </c>
      <c r="BF71" s="29"/>
      <c r="BG71" s="6"/>
    </row>
    <row r="72" spans="1:59">
      <c r="A72" s="101"/>
      <c r="B72" s="9" t="s">
        <v>571</v>
      </c>
      <c r="C72" s="6">
        <v>1</v>
      </c>
      <c r="D72" s="6">
        <v>5</v>
      </c>
      <c r="E72" s="23" t="s">
        <v>465</v>
      </c>
      <c r="F72" s="59">
        <v>0</v>
      </c>
      <c r="G72" s="59">
        <v>19.798245614035089</v>
      </c>
      <c r="H72" s="59">
        <v>152.42326332794832</v>
      </c>
      <c r="I72" s="59">
        <v>11.781818181818181</v>
      </c>
      <c r="J72" s="59">
        <v>46.051660516605168</v>
      </c>
      <c r="K72" s="59">
        <v>77.290023201856144</v>
      </c>
      <c r="L72" s="59">
        <v>3.75</v>
      </c>
      <c r="M72" s="59">
        <v>25.241379310344826</v>
      </c>
      <c r="N72" s="59">
        <v>41.193181818181813</v>
      </c>
      <c r="O72" s="59">
        <v>0</v>
      </c>
      <c r="P72" s="59">
        <v>169.93103448275863</v>
      </c>
      <c r="Q72" s="59">
        <v>24.270440251572328</v>
      </c>
      <c r="R72" s="59">
        <v>71.031007751937992</v>
      </c>
      <c r="S72" s="59">
        <v>66.177121771217713</v>
      </c>
      <c r="T72" s="59">
        <v>26.986754966887418</v>
      </c>
      <c r="U72" s="59">
        <v>114.08406304728545</v>
      </c>
      <c r="V72" s="59">
        <v>33.669201520912544</v>
      </c>
      <c r="W72" s="59">
        <v>77.083333333333329</v>
      </c>
      <c r="X72" s="59">
        <v>87.326530612244895</v>
      </c>
      <c r="Y72" s="59">
        <v>38.142307692307689</v>
      </c>
      <c r="Z72" s="59">
        <v>119.22988505747126</v>
      </c>
      <c r="AA72" s="59">
        <v>144.09206081081081</v>
      </c>
      <c r="AB72" s="59">
        <v>83.22018348623854</v>
      </c>
      <c r="AC72" s="59">
        <v>65.266457680250781</v>
      </c>
      <c r="AD72" s="59">
        <v>101.38461538461539</v>
      </c>
      <c r="AE72" s="59">
        <v>93.531428571428577</v>
      </c>
      <c r="AF72" s="59">
        <v>48.375</v>
      </c>
      <c r="AG72" s="59">
        <v>116.22036262203626</v>
      </c>
      <c r="AH72" s="59">
        <v>54.166666666666671</v>
      </c>
      <c r="AI72" s="59">
        <v>281.91800188501418</v>
      </c>
      <c r="AJ72" s="59">
        <v>199.87619047619049</v>
      </c>
      <c r="AK72" s="59">
        <v>85.917293233082702</v>
      </c>
      <c r="AL72" s="59">
        <v>0</v>
      </c>
      <c r="AM72" s="59">
        <v>0</v>
      </c>
      <c r="AN72" s="59">
        <v>0</v>
      </c>
      <c r="AO72" s="59">
        <v>24.605504587155966</v>
      </c>
      <c r="AP72" s="59">
        <v>27.25339366515837</v>
      </c>
      <c r="AQ72" s="59">
        <v>11.883495145631066</v>
      </c>
      <c r="AR72" s="59">
        <v>36.989795918367349</v>
      </c>
      <c r="AS72" s="59">
        <v>6.6006711409395979</v>
      </c>
      <c r="AT72" s="59">
        <v>30.415094339622645</v>
      </c>
      <c r="AU72" s="59">
        <v>35.53405994550409</v>
      </c>
      <c r="AV72" s="59">
        <v>25.978647686832741</v>
      </c>
      <c r="AW72" s="59">
        <v>20.821052631578947</v>
      </c>
      <c r="AX72" s="59">
        <v>6.375</v>
      </c>
      <c r="AY72" s="59">
        <v>16.45067264573991</v>
      </c>
      <c r="AZ72" s="59">
        <v>759.20873269435572</v>
      </c>
      <c r="BA72" s="59">
        <v>373.30396475770925</v>
      </c>
      <c r="BB72" s="59">
        <v>436.87410926365794</v>
      </c>
      <c r="BC72" s="59">
        <v>344.59937304075237</v>
      </c>
      <c r="BD72" s="60">
        <f t="shared" si="12"/>
        <v>4636.3230807380587</v>
      </c>
      <c r="BF72" s="29"/>
      <c r="BG72" s="6"/>
    </row>
    <row r="73" spans="1:59">
      <c r="A73" s="101"/>
      <c r="B73" s="9" t="s">
        <v>567</v>
      </c>
      <c r="C73" s="6">
        <v>1</v>
      </c>
      <c r="D73" s="6">
        <v>5</v>
      </c>
      <c r="E73" s="23" t="s">
        <v>465</v>
      </c>
      <c r="F73" s="59">
        <v>16789</v>
      </c>
      <c r="G73" s="59">
        <v>38190.468421052632</v>
      </c>
      <c r="H73" s="59">
        <v>39214.720313558231</v>
      </c>
      <c r="I73" s="59">
        <v>375.21818181818185</v>
      </c>
      <c r="J73" s="59">
        <v>19034.14975579071</v>
      </c>
      <c r="K73" s="59">
        <v>4984.270500378645</v>
      </c>
      <c r="L73" s="59">
        <v>2589.5392857142856</v>
      </c>
      <c r="M73" s="59">
        <v>1647.1210092191184</v>
      </c>
      <c r="N73" s="59">
        <v>684.48737373737379</v>
      </c>
      <c r="O73" s="59">
        <v>358</v>
      </c>
      <c r="P73" s="59">
        <v>2690.5676507010335</v>
      </c>
      <c r="Q73" s="59">
        <v>3354.4534493042502</v>
      </c>
      <c r="R73" s="59">
        <v>5825.2411867519031</v>
      </c>
      <c r="S73" s="59">
        <v>6866.1849428616415</v>
      </c>
      <c r="T73" s="59">
        <v>13941.165916345541</v>
      </c>
      <c r="U73" s="59">
        <v>3343.9285051403604</v>
      </c>
      <c r="V73" s="59">
        <v>15519.202043785721</v>
      </c>
      <c r="W73" s="59">
        <v>10928.119790421548</v>
      </c>
      <c r="X73" s="59">
        <v>30599.524007022163</v>
      </c>
      <c r="Y73" s="59">
        <v>23236.144729344731</v>
      </c>
      <c r="Z73" s="59">
        <v>3766.1788571751499</v>
      </c>
      <c r="AA73" s="59">
        <v>22759.774228049984</v>
      </c>
      <c r="AB73" s="59">
        <v>11420.370992460243</v>
      </c>
      <c r="AC73" s="59">
        <v>3905.4726357985687</v>
      </c>
      <c r="AD73" s="59">
        <v>14194.015384615384</v>
      </c>
      <c r="AE73" s="59">
        <v>2474.6277330242442</v>
      </c>
      <c r="AF73" s="59">
        <v>4955.7311887029382</v>
      </c>
      <c r="AG73" s="59">
        <v>7268.9832143288368</v>
      </c>
      <c r="AH73" s="59">
        <v>6642.7140530915394</v>
      </c>
      <c r="AI73" s="59">
        <v>35561.748102201644</v>
      </c>
      <c r="AJ73" s="59">
        <v>10425.324453938201</v>
      </c>
      <c r="AK73" s="59">
        <v>45440.799912596995</v>
      </c>
      <c r="AL73" s="59">
        <v>28281</v>
      </c>
      <c r="AM73" s="59">
        <v>22498</v>
      </c>
      <c r="AN73" s="59">
        <v>11605</v>
      </c>
      <c r="AO73" s="59">
        <v>4790.5277167119148</v>
      </c>
      <c r="AP73" s="59">
        <v>4643.0193598575952</v>
      </c>
      <c r="AQ73" s="59">
        <v>7840.3929598808236</v>
      </c>
      <c r="AR73" s="59">
        <v>5568.0517471083385</v>
      </c>
      <c r="AS73" s="59">
        <v>3395.1868418124282</v>
      </c>
      <c r="AT73" s="59">
        <v>6295.9737945492661</v>
      </c>
      <c r="AU73" s="59">
        <v>9164.0286384671945</v>
      </c>
      <c r="AV73" s="59">
        <v>6732.6030239019083</v>
      </c>
      <c r="AW73" s="59">
        <v>3725.773543598174</v>
      </c>
      <c r="AX73" s="59">
        <v>42.700294117647061</v>
      </c>
      <c r="AY73" s="59">
        <v>1917.9657763032089</v>
      </c>
      <c r="AZ73" s="59">
        <v>2706.9568300856345</v>
      </c>
      <c r="BA73" s="59">
        <v>3638.8300539397378</v>
      </c>
      <c r="BB73" s="59">
        <v>9352.7847494220805</v>
      </c>
      <c r="BC73" s="59">
        <v>2027.6780522289209</v>
      </c>
      <c r="BD73" s="60">
        <f t="shared" si="12"/>
        <v>543213.72120091657</v>
      </c>
      <c r="BF73" s="29"/>
      <c r="BG73" s="6"/>
    </row>
    <row r="74" spans="1:59">
      <c r="A74" s="101"/>
      <c r="B74" s="9"/>
      <c r="E74" s="23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60"/>
      <c r="BF74" s="29"/>
      <c r="BG74" s="6"/>
    </row>
    <row r="75" spans="1:59">
      <c r="A75" s="101"/>
      <c r="C75" s="6" t="s">
        <v>371</v>
      </c>
      <c r="D75" s="9"/>
      <c r="E75" s="6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F75" s="29"/>
      <c r="BG75" s="6"/>
    </row>
    <row r="76" spans="1:59">
      <c r="A76" s="101"/>
      <c r="B76" s="9" t="s">
        <v>586</v>
      </c>
      <c r="C76" s="6">
        <v>1</v>
      </c>
      <c r="D76" s="6">
        <v>5</v>
      </c>
      <c r="E76" s="23" t="s">
        <v>465</v>
      </c>
      <c r="F76" s="59">
        <v>0</v>
      </c>
      <c r="G76" s="59">
        <v>0</v>
      </c>
      <c r="H76" s="59">
        <v>52877.272499999999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184860.48979591834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59153.472000000002</v>
      </c>
      <c r="BA76" s="59">
        <v>95402.789268292676</v>
      </c>
      <c r="BB76" s="59">
        <v>496540.7660377358</v>
      </c>
      <c r="BC76" s="59">
        <v>0</v>
      </c>
      <c r="BD76" s="60">
        <f>SUM(F76:BC76)</f>
        <v>888834.78960194672</v>
      </c>
      <c r="BF76" s="29"/>
      <c r="BG76" s="6"/>
    </row>
    <row r="77" spans="1:59">
      <c r="A77" s="101"/>
      <c r="B77" s="9" t="s">
        <v>587</v>
      </c>
      <c r="C77" s="6">
        <v>1</v>
      </c>
      <c r="D77" s="6">
        <v>5</v>
      </c>
      <c r="E77" s="23" t="s">
        <v>465</v>
      </c>
      <c r="F77" s="59">
        <v>0</v>
      </c>
      <c r="G77" s="59">
        <v>0</v>
      </c>
      <c r="H77" s="59">
        <v>43669.08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140161.22448979589</v>
      </c>
      <c r="Q77" s="59">
        <v>0</v>
      </c>
      <c r="R77" s="59">
        <v>0</v>
      </c>
      <c r="S77" s="59">
        <v>0</v>
      </c>
      <c r="T77" s="59">
        <v>0</v>
      </c>
      <c r="U77" s="59">
        <v>45608.452682926829</v>
      </c>
      <c r="V77" s="59">
        <v>53879.174999999996</v>
      </c>
      <c r="W77" s="59">
        <v>0</v>
      </c>
      <c r="X77" s="59">
        <v>44937</v>
      </c>
      <c r="Y77" s="59">
        <v>0</v>
      </c>
      <c r="Z77" s="59">
        <v>28968.190384615387</v>
      </c>
      <c r="AA77" s="59">
        <v>0</v>
      </c>
      <c r="AB77" s="59">
        <v>36948.377777777772</v>
      </c>
      <c r="AC77" s="59">
        <v>0</v>
      </c>
      <c r="AD77" s="59">
        <v>0</v>
      </c>
      <c r="AE77" s="59">
        <v>27785.077714285711</v>
      </c>
      <c r="AF77" s="59">
        <v>0</v>
      </c>
      <c r="AG77" s="59">
        <v>78473.792727272725</v>
      </c>
      <c r="AH77" s="59">
        <v>0</v>
      </c>
      <c r="AI77" s="59">
        <v>42906.999452054792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59">
        <v>51570</v>
      </c>
      <c r="AZ77" s="59">
        <v>112687.848</v>
      </c>
      <c r="BA77" s="59">
        <v>281576.98032786883</v>
      </c>
      <c r="BB77" s="59">
        <v>854284.54999999993</v>
      </c>
      <c r="BC77" s="59">
        <v>516844.82769230771</v>
      </c>
      <c r="BD77" s="60">
        <f t="shared" ref="BD77:BD82" si="13">SUM(F77:BC77)</f>
        <v>2360301.5762489056</v>
      </c>
      <c r="BF77" s="29"/>
      <c r="BG77" s="6"/>
    </row>
    <row r="78" spans="1:59">
      <c r="A78" s="101"/>
      <c r="B78" s="9" t="s">
        <v>568</v>
      </c>
      <c r="C78" s="6">
        <v>1</v>
      </c>
      <c r="D78" s="6">
        <v>5</v>
      </c>
      <c r="E78" s="23" t="s">
        <v>465</v>
      </c>
      <c r="F78" s="59">
        <v>0</v>
      </c>
      <c r="G78" s="59">
        <v>0</v>
      </c>
      <c r="H78" s="59">
        <v>56691.372927201774</v>
      </c>
      <c r="I78" s="59">
        <v>0</v>
      </c>
      <c r="J78" s="59">
        <v>19485.885506565643</v>
      </c>
      <c r="K78" s="59">
        <v>48813.243666294635</v>
      </c>
      <c r="L78" s="59">
        <v>34723.260258992799</v>
      </c>
      <c r="M78" s="59">
        <v>14205.096022065327</v>
      </c>
      <c r="N78" s="59">
        <v>5349.3478817880305</v>
      </c>
      <c r="O78" s="59">
        <v>0</v>
      </c>
      <c r="P78" s="59">
        <v>263792.78173617856</v>
      </c>
      <c r="Q78" s="59">
        <v>0</v>
      </c>
      <c r="R78" s="59">
        <v>25953.27775029073</v>
      </c>
      <c r="S78" s="59">
        <v>13626.075860186844</v>
      </c>
      <c r="T78" s="59">
        <v>9463.7973659064064</v>
      </c>
      <c r="U78" s="59">
        <v>65208.931102415016</v>
      </c>
      <c r="V78" s="59">
        <v>46920.185504587149</v>
      </c>
      <c r="W78" s="59">
        <v>0</v>
      </c>
      <c r="X78" s="59">
        <v>0</v>
      </c>
      <c r="Y78" s="59">
        <v>0</v>
      </c>
      <c r="Z78" s="59">
        <v>30221.615060194996</v>
      </c>
      <c r="AA78" s="59">
        <v>34091.764667700641</v>
      </c>
      <c r="AB78" s="59">
        <v>34882.437685194098</v>
      </c>
      <c r="AC78" s="59">
        <v>13302.807707549036</v>
      </c>
      <c r="AD78" s="59">
        <v>122061.06214593124</v>
      </c>
      <c r="AE78" s="59">
        <v>123782.00086603344</v>
      </c>
      <c r="AF78" s="59">
        <v>12347.029919935076</v>
      </c>
      <c r="AG78" s="59">
        <v>0</v>
      </c>
      <c r="AH78" s="59">
        <v>0</v>
      </c>
      <c r="AI78" s="59">
        <v>71535.627714155402</v>
      </c>
      <c r="AJ78" s="59">
        <v>38685.109870271386</v>
      </c>
      <c r="AK78" s="59">
        <v>0</v>
      </c>
      <c r="AL78" s="59">
        <v>0</v>
      </c>
      <c r="AM78" s="59">
        <v>0</v>
      </c>
      <c r="AN78" s="59">
        <v>0</v>
      </c>
      <c r="AO78" s="59">
        <v>18985.126128483214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28619.418948556686</v>
      </c>
      <c r="AW78" s="59">
        <v>61541.037349714781</v>
      </c>
      <c r="AX78" s="59">
        <v>0</v>
      </c>
      <c r="AY78" s="59">
        <v>65068.788380447615</v>
      </c>
      <c r="AZ78" s="59">
        <v>238874.17511424603</v>
      </c>
      <c r="BA78" s="59">
        <v>583008.78270761424</v>
      </c>
      <c r="BB78" s="59">
        <v>963184.95034080301</v>
      </c>
      <c r="BC78" s="59">
        <v>725440.51784810866</v>
      </c>
      <c r="BD78" s="60">
        <f t="shared" si="13"/>
        <v>3769865.5080374125</v>
      </c>
      <c r="BF78" s="29"/>
      <c r="BG78" s="6"/>
    </row>
    <row r="79" spans="1:59">
      <c r="A79" s="101"/>
      <c r="B79" s="9" t="s">
        <v>569</v>
      </c>
      <c r="C79" s="6">
        <v>1</v>
      </c>
      <c r="D79" s="6">
        <v>5</v>
      </c>
      <c r="E79" s="23" t="s">
        <v>465</v>
      </c>
      <c r="F79" s="59">
        <v>0</v>
      </c>
      <c r="G79" s="59">
        <v>9376.6666666666661</v>
      </c>
      <c r="H79" s="59">
        <v>65865.155844155845</v>
      </c>
      <c r="I79" s="59"/>
      <c r="J79" s="59">
        <v>14328.82857142857</v>
      </c>
      <c r="K79" s="59">
        <v>80459.294117647049</v>
      </c>
      <c r="L79" s="59">
        <v>19866.857142857141</v>
      </c>
      <c r="M79" s="59">
        <v>5492.6976744186049</v>
      </c>
      <c r="N79" s="59">
        <v>12113.125</v>
      </c>
      <c r="O79" s="59">
        <v>0</v>
      </c>
      <c r="P79" s="59">
        <v>254802.06818181821</v>
      </c>
      <c r="Q79" s="59">
        <v>22844.647058823528</v>
      </c>
      <c r="R79" s="59">
        <v>77475.393442622939</v>
      </c>
      <c r="S79" s="59">
        <v>38025.148514851484</v>
      </c>
      <c r="T79" s="59">
        <v>38085.731707317071</v>
      </c>
      <c r="U79" s="59">
        <v>153691.6641791045</v>
      </c>
      <c r="V79" s="59">
        <v>12420.294117647058</v>
      </c>
      <c r="W79" s="59">
        <v>31032.425531914898</v>
      </c>
      <c r="X79" s="59">
        <v>31252.258064516125</v>
      </c>
      <c r="Y79" s="59">
        <v>6030.5416666666661</v>
      </c>
      <c r="Z79" s="59">
        <v>60142.672413793101</v>
      </c>
      <c r="AA79" s="59">
        <v>52089.011070110704</v>
      </c>
      <c r="AB79" s="59">
        <v>48717.299035369768</v>
      </c>
      <c r="AC79" s="59">
        <v>41575.909090909096</v>
      </c>
      <c r="AD79" s="59">
        <v>93379</v>
      </c>
      <c r="AE79" s="59">
        <v>162304.58095238096</v>
      </c>
      <c r="AF79" s="59">
        <v>41674.526315789473</v>
      </c>
      <c r="AG79" s="59">
        <v>42852.893518518518</v>
      </c>
      <c r="AH79" s="59">
        <v>27114.034582132565</v>
      </c>
      <c r="AI79" s="59">
        <v>149689.77491961414</v>
      </c>
      <c r="AJ79" s="59">
        <v>180770.21686746989</v>
      </c>
      <c r="AK79" s="59">
        <v>49533</v>
      </c>
      <c r="AL79" s="59">
        <v>0</v>
      </c>
      <c r="AM79" s="59">
        <v>0</v>
      </c>
      <c r="AN79" s="59">
        <v>0</v>
      </c>
      <c r="AO79" s="59">
        <v>25192.24832214765</v>
      </c>
      <c r="AP79" s="59">
        <v>22045.888888888887</v>
      </c>
      <c r="AQ79" s="59">
        <v>4558.0925925925931</v>
      </c>
      <c r="AR79" s="59">
        <v>0</v>
      </c>
      <c r="AS79" s="59">
        <v>25412.37</v>
      </c>
      <c r="AT79" s="59">
        <v>0</v>
      </c>
      <c r="AU79" s="59">
        <v>28581.269841269841</v>
      </c>
      <c r="AV79" s="59">
        <v>29275.030120481933</v>
      </c>
      <c r="AW79" s="59">
        <v>56483.174369747903</v>
      </c>
      <c r="AX79" s="59">
        <v>47013.56</v>
      </c>
      <c r="AY79" s="59">
        <v>50364.3</v>
      </c>
      <c r="AZ79" s="59">
        <v>225067.41463414632</v>
      </c>
      <c r="BA79" s="59">
        <v>773097.06382978719</v>
      </c>
      <c r="BB79" s="59">
        <v>971587.25165562925</v>
      </c>
      <c r="BC79" s="59">
        <v>1170266.8384000002</v>
      </c>
      <c r="BD79" s="60">
        <f t="shared" si="13"/>
        <v>5251950.2189032361</v>
      </c>
      <c r="BF79" s="29"/>
      <c r="BG79" s="6"/>
    </row>
    <row r="80" spans="1:59">
      <c r="A80" s="101"/>
      <c r="B80" s="9" t="s">
        <v>570</v>
      </c>
      <c r="C80" s="6">
        <v>1</v>
      </c>
      <c r="D80" s="6">
        <v>5</v>
      </c>
      <c r="E80" s="23" t="s">
        <v>465</v>
      </c>
      <c r="F80" s="59">
        <v>0</v>
      </c>
      <c r="G80" s="59">
        <v>25558.920893424038</v>
      </c>
      <c r="H80" s="59">
        <v>141347.81749764152</v>
      </c>
      <c r="I80" s="59">
        <v>24897.78</v>
      </c>
      <c r="J80" s="59">
        <v>19164.219741333662</v>
      </c>
      <c r="K80" s="59">
        <v>119569.90236280745</v>
      </c>
      <c r="L80" s="59">
        <v>23443.945148201437</v>
      </c>
      <c r="M80" s="59">
        <v>42364.725951170447</v>
      </c>
      <c r="N80" s="59">
        <v>36290.822209695783</v>
      </c>
      <c r="O80" s="59">
        <v>0</v>
      </c>
      <c r="P80" s="59">
        <v>397011.46014083055</v>
      </c>
      <c r="Q80" s="59">
        <v>9550.5259211376851</v>
      </c>
      <c r="R80" s="59">
        <v>102042.97461079166</v>
      </c>
      <c r="S80" s="59">
        <v>128242.68558072942</v>
      </c>
      <c r="T80" s="59">
        <v>39595.699876313847</v>
      </c>
      <c r="U80" s="59">
        <v>278050.60540834477</v>
      </c>
      <c r="V80" s="59">
        <v>64555.623386230633</v>
      </c>
      <c r="W80" s="59">
        <v>61881.276596722964</v>
      </c>
      <c r="X80" s="59">
        <v>88302.256498679926</v>
      </c>
      <c r="Y80" s="59">
        <v>63695.66829300065</v>
      </c>
      <c r="Z80" s="59">
        <v>207378.38753641499</v>
      </c>
      <c r="AA80" s="59">
        <v>184597.97149026845</v>
      </c>
      <c r="AB80" s="59">
        <v>137205.16213710338</v>
      </c>
      <c r="AC80" s="59">
        <v>94997.930433378293</v>
      </c>
      <c r="AD80" s="59">
        <v>124826.67891048276</v>
      </c>
      <c r="AE80" s="59">
        <v>278752.9078467061</v>
      </c>
      <c r="AF80" s="59">
        <v>93295.316312535957</v>
      </c>
      <c r="AG80" s="59">
        <v>189405.8962003729</v>
      </c>
      <c r="AH80" s="59">
        <v>92930.26012654409</v>
      </c>
      <c r="AI80" s="59">
        <v>354923.53687761305</v>
      </c>
      <c r="AJ80" s="59">
        <v>326536.4314813551</v>
      </c>
      <c r="AK80" s="59">
        <v>125714.2132099164</v>
      </c>
      <c r="AL80" s="59">
        <v>0</v>
      </c>
      <c r="AM80" s="59">
        <v>0</v>
      </c>
      <c r="AN80" s="59">
        <v>0</v>
      </c>
      <c r="AO80" s="59">
        <v>45537.143997156869</v>
      </c>
      <c r="AP80" s="59">
        <v>55496.871584725923</v>
      </c>
      <c r="AQ80" s="59">
        <v>26775.932671443919</v>
      </c>
      <c r="AR80" s="59">
        <v>36943.882538165853</v>
      </c>
      <c r="AS80" s="59">
        <v>27745.036496910401</v>
      </c>
      <c r="AT80" s="59">
        <v>44406.325163429021</v>
      </c>
      <c r="AU80" s="59">
        <v>54260.063770049012</v>
      </c>
      <c r="AV80" s="59">
        <v>57844.231072015733</v>
      </c>
      <c r="AW80" s="59">
        <v>93161.291295681047</v>
      </c>
      <c r="AX80" s="59">
        <v>25148.849140367252</v>
      </c>
      <c r="AY80" s="59">
        <v>73523.512972462253</v>
      </c>
      <c r="AZ80" s="59">
        <v>600359.38917127752</v>
      </c>
      <c r="BA80" s="59">
        <v>1016623.3576015499</v>
      </c>
      <c r="BB80" s="59">
        <v>863205.67506447749</v>
      </c>
      <c r="BC80" s="59">
        <v>1239795.4905505653</v>
      </c>
      <c r="BD80" s="60">
        <f t="shared" si="13"/>
        <v>8136958.6557700243</v>
      </c>
      <c r="BF80" s="29"/>
      <c r="BG80" s="6"/>
    </row>
    <row r="81" spans="1:59">
      <c r="A81" s="101"/>
      <c r="B81" s="9" t="s">
        <v>571</v>
      </c>
      <c r="C81" s="6">
        <v>1</v>
      </c>
      <c r="D81" s="6">
        <v>5</v>
      </c>
      <c r="E81" s="23" t="s">
        <v>465</v>
      </c>
      <c r="F81" s="59">
        <v>0</v>
      </c>
      <c r="G81" s="59">
        <v>28394.876859410433</v>
      </c>
      <c r="H81" s="59">
        <v>208950.08832856826</v>
      </c>
      <c r="I81" s="59">
        <v>15612.263999999999</v>
      </c>
      <c r="J81" s="59">
        <v>62656.550742704429</v>
      </c>
      <c r="K81" s="59">
        <v>102267.35029654873</v>
      </c>
      <c r="L81" s="59">
        <v>5088.7708834532368</v>
      </c>
      <c r="M81" s="59">
        <v>35999.327759632106</v>
      </c>
      <c r="N81" s="59">
        <v>55334.480264050828</v>
      </c>
      <c r="O81" s="59">
        <v>0</v>
      </c>
      <c r="P81" s="59">
        <v>243104.61791332808</v>
      </c>
      <c r="Q81" s="59">
        <v>34956.541757781</v>
      </c>
      <c r="R81" s="59">
        <v>99943.091109390094</v>
      </c>
      <c r="S81" s="59">
        <v>92470.638638368255</v>
      </c>
      <c r="T81" s="59">
        <v>37988.56048338773</v>
      </c>
      <c r="U81" s="59">
        <v>162134.57677104117</v>
      </c>
      <c r="V81" s="59">
        <v>46067.740316725649</v>
      </c>
      <c r="W81" s="59">
        <v>106856.27121729468</v>
      </c>
      <c r="X81" s="59">
        <v>119815.78927142666</v>
      </c>
      <c r="Y81" s="59">
        <v>53398.09515643608</v>
      </c>
      <c r="Z81" s="59">
        <v>172498.59973989523</v>
      </c>
      <c r="AA81" s="59">
        <v>208118.03169920636</v>
      </c>
      <c r="AB81" s="59">
        <v>120276.21590275416</v>
      </c>
      <c r="AC81" s="59">
        <v>90976.840768872891</v>
      </c>
      <c r="AD81" s="59">
        <v>145721.61241271714</v>
      </c>
      <c r="AE81" s="59">
        <v>136562.13492805258</v>
      </c>
      <c r="AF81" s="59">
        <v>68731.58229038128</v>
      </c>
      <c r="AG81" s="59">
        <v>165663.69979395386</v>
      </c>
      <c r="AH81" s="59">
        <v>78154.631404434927</v>
      </c>
      <c r="AI81" s="59">
        <v>402226.39224017475</v>
      </c>
      <c r="AJ81" s="59">
        <v>283044.21850374987</v>
      </c>
      <c r="AK81" s="59">
        <v>120970.2653341698</v>
      </c>
      <c r="AL81" s="59">
        <v>0</v>
      </c>
      <c r="AM81" s="59">
        <v>0</v>
      </c>
      <c r="AN81" s="59">
        <v>0</v>
      </c>
      <c r="AO81" s="59">
        <v>34009.031902339164</v>
      </c>
      <c r="AP81" s="59">
        <v>38440.838327194389</v>
      </c>
      <c r="AQ81" s="59">
        <v>16684.372844930571</v>
      </c>
      <c r="AR81" s="59">
        <v>51780.105571549168</v>
      </c>
      <c r="AS81" s="59">
        <v>9409.4493845545876</v>
      </c>
      <c r="AT81" s="59">
        <v>43172.768069854756</v>
      </c>
      <c r="AU81" s="59">
        <v>50956.992863414132</v>
      </c>
      <c r="AV81" s="59">
        <v>37606.297958132971</v>
      </c>
      <c r="AW81" s="59">
        <v>28946.383984496126</v>
      </c>
      <c r="AX81" s="59">
        <v>9139.5881904761882</v>
      </c>
      <c r="AY81" s="59">
        <v>23727.399047343391</v>
      </c>
      <c r="AZ81" s="59">
        <v>834715.80868125614</v>
      </c>
      <c r="BA81" s="59">
        <v>551607.80945037398</v>
      </c>
      <c r="BB81" s="59">
        <v>634844.32734812819</v>
      </c>
      <c r="BC81" s="59">
        <v>502516.07214315288</v>
      </c>
      <c r="BD81" s="60">
        <f t="shared" si="13"/>
        <v>6371541.1025551092</v>
      </c>
      <c r="BF81" s="29"/>
      <c r="BG81" s="6"/>
    </row>
    <row r="82" spans="1:59">
      <c r="A82" s="101"/>
      <c r="B82" s="9" t="s">
        <v>567</v>
      </c>
      <c r="C82" s="6">
        <v>1</v>
      </c>
      <c r="D82" s="6">
        <v>5</v>
      </c>
      <c r="E82" s="23" t="s">
        <v>465</v>
      </c>
      <c r="F82" s="59">
        <v>113860.59620914055</v>
      </c>
      <c r="G82" s="59">
        <v>496647.63286696898</v>
      </c>
      <c r="H82" s="59">
        <v>1220688.2762526036</v>
      </c>
      <c r="I82" s="59">
        <v>53571.996000000014</v>
      </c>
      <c r="J82" s="59">
        <v>1264244.688138766</v>
      </c>
      <c r="K82" s="59">
        <v>504117.79198834271</v>
      </c>
      <c r="L82" s="59">
        <v>90785.4092139774</v>
      </c>
      <c r="M82" s="59">
        <v>191423.1527178601</v>
      </c>
      <c r="N82" s="59">
        <v>319203.50211389759</v>
      </c>
      <c r="O82" s="59">
        <v>17445.678992087476</v>
      </c>
      <c r="P82" s="59">
        <v>925454.35184311261</v>
      </c>
      <c r="Q82" s="59">
        <v>386332.63313556102</v>
      </c>
      <c r="R82" s="59">
        <v>492056.85821535374</v>
      </c>
      <c r="S82" s="59">
        <v>746853.42250530503</v>
      </c>
      <c r="T82" s="59">
        <v>494556.93727531319</v>
      </c>
      <c r="U82" s="59">
        <v>407966.50101169082</v>
      </c>
      <c r="V82" s="59">
        <v>432915.73271911941</v>
      </c>
      <c r="W82" s="59">
        <v>1104415.1920168295</v>
      </c>
      <c r="X82" s="59">
        <v>1416819.8138536578</v>
      </c>
      <c r="Y82" s="59">
        <v>1128999.7573399316</v>
      </c>
      <c r="Z82" s="59">
        <v>617059.1396926305</v>
      </c>
      <c r="AA82" s="59">
        <v>1951356.6085995659</v>
      </c>
      <c r="AB82" s="59">
        <v>1061822.4154456174</v>
      </c>
      <c r="AC82" s="59">
        <v>425556.18467612832</v>
      </c>
      <c r="AD82" s="59">
        <v>925435.35175965936</v>
      </c>
      <c r="AE82" s="59">
        <v>635903.15222293511</v>
      </c>
      <c r="AF82" s="59">
        <v>420868.09498860396</v>
      </c>
      <c r="AG82" s="59">
        <v>1053584.9425380935</v>
      </c>
      <c r="AH82" s="59">
        <v>723299.3287549864</v>
      </c>
      <c r="AI82" s="59">
        <v>2266069.6650880445</v>
      </c>
      <c r="AJ82" s="59">
        <v>1342331.8287331546</v>
      </c>
      <c r="AK82" s="59">
        <v>2107233.1341187204</v>
      </c>
      <c r="AL82" s="59">
        <v>4188765.8815813186</v>
      </c>
      <c r="AM82" s="59">
        <v>2784113.8683360792</v>
      </c>
      <c r="AN82" s="59">
        <v>803874.23537352076</v>
      </c>
      <c r="AO82" s="59">
        <v>553230.32374735374</v>
      </c>
      <c r="AP82" s="59">
        <v>483348.41985639249</v>
      </c>
      <c r="AQ82" s="59">
        <v>397817.0385475076</v>
      </c>
      <c r="AR82" s="59">
        <v>840700.08159486402</v>
      </c>
      <c r="AS82" s="59">
        <v>226664.4074338988</v>
      </c>
      <c r="AT82" s="59">
        <v>743998.62861526851</v>
      </c>
      <c r="AU82" s="59">
        <v>565499.20922168903</v>
      </c>
      <c r="AV82" s="59">
        <v>732510.80232351553</v>
      </c>
      <c r="AW82" s="59">
        <v>460079.17418899067</v>
      </c>
      <c r="AX82" s="59">
        <v>20405.913926667028</v>
      </c>
      <c r="AY82" s="59">
        <v>587862.0889206396</v>
      </c>
      <c r="AZ82" s="59">
        <v>665620.1577771157</v>
      </c>
      <c r="BA82" s="59">
        <v>1282787.6236187676</v>
      </c>
      <c r="BB82" s="59">
        <v>1555293.3766039358</v>
      </c>
      <c r="BC82" s="59">
        <v>402745.27627239795</v>
      </c>
      <c r="BD82" s="60">
        <f t="shared" si="13"/>
        <v>42634196.278967582</v>
      </c>
      <c r="BF82" s="29"/>
      <c r="BG82" s="6"/>
    </row>
    <row r="83" spans="1:59">
      <c r="A83" s="101"/>
      <c r="D83" s="9"/>
      <c r="E83" s="6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F83" s="29"/>
      <c r="BG83" s="6"/>
    </row>
    <row r="84" spans="1:59">
      <c r="A84" s="101"/>
      <c r="C84" s="6" t="s">
        <v>289</v>
      </c>
      <c r="D84" s="9"/>
      <c r="E84" s="6"/>
      <c r="BF84" s="29"/>
      <c r="BG84" s="6"/>
    </row>
    <row r="85" spans="1:59">
      <c r="A85" s="101"/>
      <c r="B85" s="9" t="s">
        <v>586</v>
      </c>
      <c r="C85" s="6">
        <v>1</v>
      </c>
      <c r="D85" s="6">
        <v>5</v>
      </c>
      <c r="E85" s="23" t="s">
        <v>465</v>
      </c>
      <c r="F85" s="46"/>
      <c r="G85" s="46"/>
      <c r="H85" s="46">
        <v>120862.33714285714</v>
      </c>
      <c r="I85" s="46"/>
      <c r="J85" s="46"/>
      <c r="K85" s="46"/>
      <c r="L85" s="46"/>
      <c r="M85" s="46"/>
      <c r="N85" s="46"/>
      <c r="O85" s="46"/>
      <c r="P85" s="46">
        <v>119186.36842105263</v>
      </c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>
        <v>73941.84</v>
      </c>
      <c r="BA85" s="46">
        <v>100295.23999999999</v>
      </c>
      <c r="BB85" s="46">
        <v>125317.43142857142</v>
      </c>
      <c r="BC85" s="46">
        <v>0</v>
      </c>
      <c r="BD85" s="57">
        <f>BD76/BD67</f>
        <v>115403.05372127867</v>
      </c>
      <c r="BF85" s="29"/>
      <c r="BG85" s="6"/>
    </row>
    <row r="86" spans="1:59">
      <c r="A86" s="101"/>
      <c r="B86" s="9" t="s">
        <v>587</v>
      </c>
      <c r="C86" s="6">
        <v>1</v>
      </c>
      <c r="D86" s="6">
        <v>5</v>
      </c>
      <c r="E86" s="23" t="s">
        <v>465</v>
      </c>
      <c r="F86" s="46"/>
      <c r="G86" s="46"/>
      <c r="H86" s="46">
        <v>30378.490434782609</v>
      </c>
      <c r="I86" s="46"/>
      <c r="J86" s="46"/>
      <c r="K86" s="46"/>
      <c r="L86" s="46"/>
      <c r="M86" s="46"/>
      <c r="N86" s="46"/>
      <c r="O86" s="46"/>
      <c r="P86" s="46">
        <v>31795.833333333328</v>
      </c>
      <c r="Q86" s="46"/>
      <c r="R86" s="46"/>
      <c r="S86" s="46"/>
      <c r="T86" s="46"/>
      <c r="U86" s="46">
        <v>29681.691428571427</v>
      </c>
      <c r="V86" s="46">
        <v>30788.1</v>
      </c>
      <c r="W86" s="46"/>
      <c r="X86" s="46">
        <v>29958</v>
      </c>
      <c r="Y86" s="46"/>
      <c r="Z86" s="46">
        <v>30741.753061224488</v>
      </c>
      <c r="AA86" s="46"/>
      <c r="AB86" s="46">
        <v>30230.490909090906</v>
      </c>
      <c r="AC86" s="46"/>
      <c r="AD86" s="46"/>
      <c r="AE86" s="46">
        <v>31370.249032258063</v>
      </c>
      <c r="AF86" s="46"/>
      <c r="AG86" s="46">
        <v>30288.130526315788</v>
      </c>
      <c r="AH86" s="46"/>
      <c r="AI86" s="46">
        <v>29549.159999999996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>
        <v>29982.558139534885</v>
      </c>
      <c r="AZ86" s="46">
        <v>27824.16</v>
      </c>
      <c r="BA86" s="46">
        <v>27263.802857142859</v>
      </c>
      <c r="BB86" s="46">
        <v>28476.151666666665</v>
      </c>
      <c r="BC86" s="46">
        <v>28983.8472</v>
      </c>
      <c r="BD86" s="57">
        <f t="shared" ref="BD86:BD91" si="14">BD77/BD68</f>
        <v>28905.606688878204</v>
      </c>
      <c r="BF86" s="29"/>
      <c r="BG86" s="6"/>
    </row>
    <row r="87" spans="1:59">
      <c r="A87" s="101"/>
      <c r="B87" s="9" t="s">
        <v>568</v>
      </c>
      <c r="C87" s="6">
        <v>1</v>
      </c>
      <c r="D87" s="6">
        <v>5</v>
      </c>
      <c r="E87" s="23" t="s">
        <v>465</v>
      </c>
      <c r="F87" s="46"/>
      <c r="G87" s="46"/>
      <c r="H87" s="46">
        <v>13936.629177937104</v>
      </c>
      <c r="I87" s="46"/>
      <c r="J87" s="46">
        <v>14005.480207844055</v>
      </c>
      <c r="K87" s="46">
        <v>15770.432569110577</v>
      </c>
      <c r="L87" s="46">
        <v>13889.30410359712</v>
      </c>
      <c r="M87" s="46">
        <v>13840.86279073032</v>
      </c>
      <c r="N87" s="46">
        <v>12036.032734023069</v>
      </c>
      <c r="O87" s="46"/>
      <c r="P87" s="46">
        <v>14141.698303290281</v>
      </c>
      <c r="Q87" s="46"/>
      <c r="R87" s="46">
        <v>13739.970573683328</v>
      </c>
      <c r="S87" s="46">
        <v>13626.075860186844</v>
      </c>
      <c r="T87" s="46">
        <v>14721.462569187745</v>
      </c>
      <c r="U87" s="46">
        <v>13527.384643586094</v>
      </c>
      <c r="V87" s="46">
        <v>13902.277186544341</v>
      </c>
      <c r="W87" s="46"/>
      <c r="X87" s="46"/>
      <c r="Y87" s="46"/>
      <c r="Z87" s="46">
        <v>13477.206716032902</v>
      </c>
      <c r="AA87" s="46">
        <v>13309.79853465025</v>
      </c>
      <c r="AB87" s="46">
        <v>12790.227151237837</v>
      </c>
      <c r="AC87" s="46">
        <v>13738.965337304744</v>
      </c>
      <c r="AD87" s="46">
        <v>13663.551732753496</v>
      </c>
      <c r="AE87" s="46">
        <v>13789.606911681314</v>
      </c>
      <c r="AF87" s="46">
        <v>14267.679018591642</v>
      </c>
      <c r="AG87" s="46"/>
      <c r="AH87" s="46"/>
      <c r="AI87" s="46">
        <v>13152.714619401588</v>
      </c>
      <c r="AJ87" s="46">
        <v>13938.017526788955</v>
      </c>
      <c r="AK87" s="46"/>
      <c r="AL87" s="46"/>
      <c r="AM87" s="46"/>
      <c r="AN87" s="46"/>
      <c r="AO87" s="46">
        <v>13754.530154309268</v>
      </c>
      <c r="AP87" s="46"/>
      <c r="AQ87" s="46"/>
      <c r="AR87" s="46"/>
      <c r="AS87" s="46"/>
      <c r="AT87" s="46"/>
      <c r="AU87" s="46"/>
      <c r="AV87" s="46">
        <v>13573.781558458313</v>
      </c>
      <c r="AW87" s="46">
        <v>13998.605062381474</v>
      </c>
      <c r="AX87" s="46"/>
      <c r="AY87" s="46">
        <v>13856.707374718213</v>
      </c>
      <c r="AZ87" s="46">
        <v>13961.595623115749</v>
      </c>
      <c r="BA87" s="46">
        <v>13351.346168876662</v>
      </c>
      <c r="BB87" s="46">
        <v>13659.138719566543</v>
      </c>
      <c r="BC87" s="46">
        <v>14030.956081279732</v>
      </c>
      <c r="BD87" s="57">
        <f t="shared" si="14"/>
        <v>13760.126415011913</v>
      </c>
      <c r="BF87" s="29"/>
      <c r="BG87" s="6"/>
    </row>
    <row r="88" spans="1:59">
      <c r="A88" s="101"/>
      <c r="B88" s="9" t="s">
        <v>569</v>
      </c>
      <c r="C88" s="6">
        <v>1</v>
      </c>
      <c r="D88" s="6">
        <v>5</v>
      </c>
      <c r="E88" s="23" t="s">
        <v>465</v>
      </c>
      <c r="F88" s="46"/>
      <c r="G88" s="46">
        <v>7032.5</v>
      </c>
      <c r="H88" s="46">
        <v>6708.4880952380954</v>
      </c>
      <c r="I88" s="46"/>
      <c r="J88" s="46">
        <v>6777.1486486486483</v>
      </c>
      <c r="K88" s="46">
        <v>6994.4727272727259</v>
      </c>
      <c r="L88" s="46">
        <v>7131.6923076923076</v>
      </c>
      <c r="M88" s="46">
        <v>6653.1267605633802</v>
      </c>
      <c r="N88" s="46">
        <v>6460.333333333333</v>
      </c>
      <c r="O88" s="46"/>
      <c r="P88" s="46">
        <v>6978.7058823529414</v>
      </c>
      <c r="Q88" s="46">
        <v>7061.0727272727263</v>
      </c>
      <c r="R88" s="46">
        <v>6819.6233766233763</v>
      </c>
      <c r="S88" s="46">
        <v>6957.5</v>
      </c>
      <c r="T88" s="46">
        <v>6940.0666666666666</v>
      </c>
      <c r="U88" s="46">
        <v>7078.426877470356</v>
      </c>
      <c r="V88" s="46">
        <v>7280.8620689655172</v>
      </c>
      <c r="W88" s="46">
        <v>6923.3734177215192</v>
      </c>
      <c r="X88" s="46">
        <v>6920.1428571428569</v>
      </c>
      <c r="Y88" s="46">
        <v>6578.772727272727</v>
      </c>
      <c r="Z88" s="46">
        <v>6779.9319727891152</v>
      </c>
      <c r="AA88" s="46">
        <v>6702.8119658119658</v>
      </c>
      <c r="AB88" s="46">
        <v>6763.875</v>
      </c>
      <c r="AC88" s="46">
        <v>7035.923076923078</v>
      </c>
      <c r="AD88" s="46">
        <v>7003.4250000000002</v>
      </c>
      <c r="AE88" s="46">
        <v>7042.1409090909092</v>
      </c>
      <c r="AF88" s="46">
        <v>7069.7857142857147</v>
      </c>
      <c r="AG88" s="46">
        <v>6933.5018726591761</v>
      </c>
      <c r="AH88" s="46">
        <v>6701.2606837606836</v>
      </c>
      <c r="AI88" s="46">
        <v>6902.9537366548029</v>
      </c>
      <c r="AJ88" s="46">
        <v>7158.3625954198478</v>
      </c>
      <c r="AK88" s="46">
        <v>6791.7588652482273</v>
      </c>
      <c r="AL88" s="46"/>
      <c r="AM88" s="46"/>
      <c r="AN88" s="46"/>
      <c r="AO88" s="46">
        <v>6824.8090909090906</v>
      </c>
      <c r="AP88" s="46">
        <v>7023.4690265486724</v>
      </c>
      <c r="AQ88" s="46">
        <v>6743.4794520547948</v>
      </c>
      <c r="AR88" s="46"/>
      <c r="AS88" s="46">
        <v>7118.3109243697481</v>
      </c>
      <c r="AT88" s="46"/>
      <c r="AU88" s="46">
        <v>6345.7973568281941</v>
      </c>
      <c r="AV88" s="46">
        <v>6893.1276595744685</v>
      </c>
      <c r="AW88" s="46">
        <v>7125.8921282798838</v>
      </c>
      <c r="AX88" s="46">
        <v>7632.0714285714284</v>
      </c>
      <c r="AY88" s="46">
        <v>7076.9508196721308</v>
      </c>
      <c r="AZ88" s="46">
        <v>6901.8429319371726</v>
      </c>
      <c r="BA88" s="46">
        <v>7061.8480176211451</v>
      </c>
      <c r="BB88" s="46">
        <v>7121.4831804281348</v>
      </c>
      <c r="BC88" s="46">
        <v>7208.9175438596503</v>
      </c>
      <c r="BD88" s="57">
        <f t="shared" si="14"/>
        <v>7058.9023621653105</v>
      </c>
      <c r="BF88" s="29"/>
      <c r="BG88" s="6"/>
    </row>
    <row r="89" spans="1:59">
      <c r="A89" s="101"/>
      <c r="B89" s="9" t="s">
        <v>570</v>
      </c>
      <c r="C89" s="6">
        <v>1</v>
      </c>
      <c r="D89" s="6">
        <v>5</v>
      </c>
      <c r="E89" s="23" t="s">
        <v>465</v>
      </c>
      <c r="F89" s="46"/>
      <c r="G89" s="46">
        <v>3042.7286777885756</v>
      </c>
      <c r="H89" s="46">
        <v>3066.4161819488349</v>
      </c>
      <c r="I89" s="46">
        <v>2489.7779999999998</v>
      </c>
      <c r="J89" s="46">
        <v>3045.3264163860167</v>
      </c>
      <c r="K89" s="46">
        <v>3245.5687574335357</v>
      </c>
      <c r="L89" s="46">
        <v>3157.4336899934597</v>
      </c>
      <c r="M89" s="46">
        <v>3313.4422531641694</v>
      </c>
      <c r="N89" s="46">
        <v>3024.2351841413151</v>
      </c>
      <c r="O89" s="46"/>
      <c r="P89" s="46">
        <v>3116.8167043716198</v>
      </c>
      <c r="Q89" s="46">
        <v>3140.7769807768232</v>
      </c>
      <c r="R89" s="46">
        <v>3048.0369039587117</v>
      </c>
      <c r="S89" s="46">
        <v>3040.9014274679462</v>
      </c>
      <c r="T89" s="46">
        <v>3113.6854424362132</v>
      </c>
      <c r="U89" s="46">
        <v>3058.2688224261524</v>
      </c>
      <c r="V89" s="46">
        <v>3180.4133114809642</v>
      </c>
      <c r="W89" s="46">
        <v>3046.1469121174468</v>
      </c>
      <c r="X89" s="46">
        <v>3138.705799716111</v>
      </c>
      <c r="Y89" s="46">
        <v>2922.316132389155</v>
      </c>
      <c r="Z89" s="46">
        <v>3070.642184564867</v>
      </c>
      <c r="AA89" s="46">
        <v>3139.3630925360758</v>
      </c>
      <c r="AB89" s="46">
        <v>3100.2082437085955</v>
      </c>
      <c r="AC89" s="46">
        <v>3233.0298002967902</v>
      </c>
      <c r="AD89" s="46">
        <v>3020.0002962213575</v>
      </c>
      <c r="AE89" s="46">
        <v>3099.6297268230355</v>
      </c>
      <c r="AF89" s="46">
        <v>3202.3172082313185</v>
      </c>
      <c r="AG89" s="46">
        <v>3103.7447817762049</v>
      </c>
      <c r="AH89" s="46">
        <v>3090.1384145890574</v>
      </c>
      <c r="AI89" s="46">
        <v>3119.9846173120286</v>
      </c>
      <c r="AJ89" s="46">
        <v>3146.7072296938454</v>
      </c>
      <c r="AK89" s="46">
        <v>3143.6655533286644</v>
      </c>
      <c r="AL89" s="46"/>
      <c r="AM89" s="46"/>
      <c r="AN89" s="46"/>
      <c r="AO89" s="46">
        <v>3077.8277257593918</v>
      </c>
      <c r="AP89" s="46">
        <v>3155.318585372715</v>
      </c>
      <c r="AQ89" s="46">
        <v>2959.4451900016966</v>
      </c>
      <c r="AR89" s="46">
        <v>3089.3519641096505</v>
      </c>
      <c r="AS89" s="46">
        <v>3210.306980757618</v>
      </c>
      <c r="AT89" s="46">
        <v>3262.5055222111118</v>
      </c>
      <c r="AU89" s="46">
        <v>3204.3344746091934</v>
      </c>
      <c r="AV89" s="46">
        <v>3390.0572748791315</v>
      </c>
      <c r="AW89" s="46">
        <v>3317.3900247190309</v>
      </c>
      <c r="AX89" s="46">
        <v>3238.8669347442669</v>
      </c>
      <c r="AY89" s="46">
        <v>3189.5948175911844</v>
      </c>
      <c r="AZ89" s="46">
        <v>2562.7328224926036</v>
      </c>
      <c r="BA89" s="46">
        <v>3202.5176039509702</v>
      </c>
      <c r="BB89" s="46">
        <v>3145.4193095772407</v>
      </c>
      <c r="BC89" s="46">
        <v>3281.1708496457454</v>
      </c>
      <c r="BD89" s="57">
        <f t="shared" si="14"/>
        <v>3103.8021336389425</v>
      </c>
      <c r="BF89" s="29"/>
      <c r="BG89" s="6"/>
    </row>
    <row r="90" spans="1:59">
      <c r="A90" s="101"/>
      <c r="B90" s="9" t="s">
        <v>571</v>
      </c>
      <c r="C90" s="6">
        <v>1</v>
      </c>
      <c r="D90" s="6">
        <v>5</v>
      </c>
      <c r="E90" s="23" t="s">
        <v>465</v>
      </c>
      <c r="F90" s="46"/>
      <c r="G90" s="46">
        <v>1434.2117687074831</v>
      </c>
      <c r="H90" s="46">
        <v>1370.8543155843533</v>
      </c>
      <c r="I90" s="46">
        <v>1325.115</v>
      </c>
      <c r="J90" s="46">
        <v>1360.5709335955848</v>
      </c>
      <c r="K90" s="46">
        <v>1323.1636640793859</v>
      </c>
      <c r="L90" s="46">
        <v>1357.0055689208632</v>
      </c>
      <c r="M90" s="46">
        <v>1426.2028757231301</v>
      </c>
      <c r="N90" s="46">
        <v>1343.2922105479927</v>
      </c>
      <c r="O90" s="46"/>
      <c r="P90" s="46">
        <v>1430.6075323633347</v>
      </c>
      <c r="Q90" s="46">
        <v>1440.2928581205438</v>
      </c>
      <c r="R90" s="46">
        <v>1407.0346778469193</v>
      </c>
      <c r="S90" s="46">
        <v>1397.3203452100925</v>
      </c>
      <c r="T90" s="46">
        <v>1407.6742657647969</v>
      </c>
      <c r="U90" s="46">
        <v>1421.1851545280238</v>
      </c>
      <c r="V90" s="46">
        <v>1368.2457033652001</v>
      </c>
      <c r="W90" s="46">
        <v>1386.2435184946337</v>
      </c>
      <c r="X90" s="46">
        <v>1372.0433919840866</v>
      </c>
      <c r="Y90" s="46">
        <v>1399.9702269510317</v>
      </c>
      <c r="Z90" s="46">
        <v>1446.77317819058</v>
      </c>
      <c r="AA90" s="46">
        <v>1444.340725839573</v>
      </c>
      <c r="AB90" s="46">
        <v>1445.2769852717674</v>
      </c>
      <c r="AC90" s="46">
        <v>1393.9295007334513</v>
      </c>
      <c r="AD90" s="46">
        <v>1437.3148417035832</v>
      </c>
      <c r="AE90" s="46">
        <v>1460.0668140523703</v>
      </c>
      <c r="AF90" s="46">
        <v>1420.8079026435407</v>
      </c>
      <c r="AG90" s="46">
        <v>1425.4274901267841</v>
      </c>
      <c r="AH90" s="46">
        <v>1442.8547336203369</v>
      </c>
      <c r="AI90" s="46">
        <v>1426.7495851656565</v>
      </c>
      <c r="AJ90" s="46">
        <v>1416.0977244434048</v>
      </c>
      <c r="AK90" s="46">
        <v>1407.9850607722574</v>
      </c>
      <c r="AL90" s="46"/>
      <c r="AM90" s="46"/>
      <c r="AN90" s="46"/>
      <c r="AO90" s="46">
        <v>1382.171691780376</v>
      </c>
      <c r="AP90" s="46">
        <v>1410.4973053810327</v>
      </c>
      <c r="AQ90" s="46">
        <v>1403.9954273103342</v>
      </c>
      <c r="AR90" s="46">
        <v>1399.848371313605</v>
      </c>
      <c r="AS90" s="46">
        <v>1425.52918993252</v>
      </c>
      <c r="AT90" s="46">
        <v>1419.4520519245048</v>
      </c>
      <c r="AU90" s="46">
        <v>1434.0323886874462</v>
      </c>
      <c r="AV90" s="46">
        <v>1447.5848940048445</v>
      </c>
      <c r="AW90" s="46">
        <v>1390.2459446547684</v>
      </c>
      <c r="AX90" s="46">
        <v>1433.6608926237159</v>
      </c>
      <c r="AY90" s="46">
        <v>1442.3361012832429</v>
      </c>
      <c r="AZ90" s="46">
        <v>1099.4549624303363</v>
      </c>
      <c r="BA90" s="46">
        <v>1477.6371577204968</v>
      </c>
      <c r="BB90" s="46">
        <v>1453.1516377066723</v>
      </c>
      <c r="BC90" s="46">
        <v>1458.261713330875</v>
      </c>
      <c r="BD90" s="57">
        <f t="shared" si="14"/>
        <v>1374.2659844017644</v>
      </c>
      <c r="BF90" s="29"/>
      <c r="BG90" s="6"/>
    </row>
    <row r="91" spans="1:59">
      <c r="A91" s="101"/>
      <c r="B91" s="9" t="s">
        <v>567</v>
      </c>
      <c r="C91" s="6">
        <v>1</v>
      </c>
      <c r="D91" s="6">
        <v>5</v>
      </c>
      <c r="E91" s="23" t="s">
        <v>465</v>
      </c>
      <c r="F91" s="61">
        <f>F82/F73</f>
        <v>6.7818569425898234</v>
      </c>
      <c r="G91" s="61">
        <f t="shared" ref="G91:BC91" si="15">G82/G73</f>
        <v>13.004491785525998</v>
      </c>
      <c r="H91" s="61">
        <f t="shared" si="15"/>
        <v>31.128317797298141</v>
      </c>
      <c r="I91" s="61">
        <f t="shared" si="15"/>
        <v>142.77558656781511</v>
      </c>
      <c r="J91" s="61">
        <f t="shared" si="15"/>
        <v>66.419814089891148</v>
      </c>
      <c r="K91" s="61">
        <f t="shared" si="15"/>
        <v>101.14174019047439</v>
      </c>
      <c r="L91" s="61">
        <f t="shared" si="15"/>
        <v>35.058517827790205</v>
      </c>
      <c r="M91" s="61">
        <f t="shared" si="15"/>
        <v>116.21681202925805</v>
      </c>
      <c r="N91" s="61">
        <f t="shared" si="15"/>
        <v>466.33950363614827</v>
      </c>
      <c r="O91" s="61">
        <f t="shared" si="15"/>
        <v>48.730946905272283</v>
      </c>
      <c r="P91" s="61">
        <f t="shared" si="15"/>
        <v>343.9624911873089</v>
      </c>
      <c r="Q91" s="61">
        <f t="shared" si="15"/>
        <v>115.17006838049596</v>
      </c>
      <c r="R91" s="61">
        <f t="shared" si="15"/>
        <v>84.469782870865089</v>
      </c>
      <c r="S91" s="61">
        <f t="shared" si="15"/>
        <v>108.77269236415827</v>
      </c>
      <c r="T91" s="61">
        <f t="shared" si="15"/>
        <v>35.474575099594944</v>
      </c>
      <c r="U91" s="61">
        <f t="shared" si="15"/>
        <v>122.00216014922441</v>
      </c>
      <c r="V91" s="61">
        <f t="shared" si="15"/>
        <v>27.895489181576174</v>
      </c>
      <c r="W91" s="61">
        <f t="shared" si="15"/>
        <v>101.06177578551481</v>
      </c>
      <c r="X91" s="61">
        <f t="shared" si="15"/>
        <v>46.302021349368623</v>
      </c>
      <c r="Y91" s="61">
        <f t="shared" si="15"/>
        <v>48.588084232154365</v>
      </c>
      <c r="Z91" s="61">
        <f t="shared" si="15"/>
        <v>163.84222924438066</v>
      </c>
      <c r="AA91" s="61">
        <f t="shared" si="15"/>
        <v>85.7370810908415</v>
      </c>
      <c r="AB91" s="61">
        <f t="shared" si="15"/>
        <v>92.976175305218646</v>
      </c>
      <c r="AC91" s="61">
        <f t="shared" si="15"/>
        <v>108.96406769704917</v>
      </c>
      <c r="AD91" s="61">
        <f t="shared" si="15"/>
        <v>65.198981872509492</v>
      </c>
      <c r="AE91" s="61">
        <f t="shared" si="15"/>
        <v>256.96921752582051</v>
      </c>
      <c r="AF91" s="61">
        <f t="shared" si="15"/>
        <v>84.925529445183173</v>
      </c>
      <c r="AG91" s="61">
        <f t="shared" si="15"/>
        <v>144.94254718613678</v>
      </c>
      <c r="AH91" s="61">
        <f t="shared" si="15"/>
        <v>108.88611537002119</v>
      </c>
      <c r="AI91" s="61">
        <f t="shared" si="15"/>
        <v>63.722111145254729</v>
      </c>
      <c r="AJ91" s="61">
        <f t="shared" si="15"/>
        <v>128.7568396229706</v>
      </c>
      <c r="AK91" s="61">
        <f t="shared" si="15"/>
        <v>46.373152281030997</v>
      </c>
      <c r="AL91" s="61">
        <f t="shared" si="15"/>
        <v>148.1123680768473</v>
      </c>
      <c r="AM91" s="61">
        <f t="shared" si="15"/>
        <v>123.74939409441191</v>
      </c>
      <c r="AN91" s="61">
        <f t="shared" si="15"/>
        <v>69.269645443646766</v>
      </c>
      <c r="AO91" s="61">
        <f t="shared" si="15"/>
        <v>115.48421311025744</v>
      </c>
      <c r="AP91" s="61">
        <f t="shared" si="15"/>
        <v>104.10217627677889</v>
      </c>
      <c r="AQ91" s="61">
        <f t="shared" si="15"/>
        <v>50.73942601896762</v>
      </c>
      <c r="AR91" s="61">
        <f t="shared" si="15"/>
        <v>150.98639879406034</v>
      </c>
      <c r="AS91" s="61">
        <f t="shared" si="15"/>
        <v>66.760510686033456</v>
      </c>
      <c r="AT91" s="61">
        <f t="shared" si="15"/>
        <v>118.17054087159396</v>
      </c>
      <c r="AU91" s="61">
        <f t="shared" si="15"/>
        <v>61.708581621835293</v>
      </c>
      <c r="AV91" s="61">
        <f t="shared" si="15"/>
        <v>108.80053371971809</v>
      </c>
      <c r="AW91" s="61">
        <f t="shared" si="15"/>
        <v>123.48554435884157</v>
      </c>
      <c r="AX91" s="61">
        <f t="shared" si="15"/>
        <v>477.88696420790524</v>
      </c>
      <c r="AY91" s="61">
        <f t="shared" si="15"/>
        <v>306.50290854183896</v>
      </c>
      <c r="AZ91" s="61">
        <f t="shared" si="15"/>
        <v>245.89241704163373</v>
      </c>
      <c r="BA91" s="61">
        <f t="shared" si="15"/>
        <v>352.52748949621918</v>
      </c>
      <c r="BB91" s="61">
        <f t="shared" si="15"/>
        <v>166.29201016307354</v>
      </c>
      <c r="BC91" s="61">
        <f t="shared" si="15"/>
        <v>198.62387711386481</v>
      </c>
      <c r="BD91" s="62">
        <f t="shared" si="14"/>
        <v>78.48512402211324</v>
      </c>
    </row>
    <row r="92" spans="1:59">
      <c r="A92" s="101"/>
      <c r="B92" s="9"/>
      <c r="E92" s="23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2"/>
    </row>
    <row r="93" spans="1:59">
      <c r="A93" s="101"/>
      <c r="B93" s="9"/>
      <c r="C93" s="121" t="s">
        <v>391</v>
      </c>
      <c r="E93" s="23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</row>
    <row r="94" spans="1:59">
      <c r="A94" s="101"/>
      <c r="E94" s="9" t="s">
        <v>259</v>
      </c>
      <c r="F94" s="63">
        <v>781.77038821154565</v>
      </c>
      <c r="G94" s="63">
        <v>142015.76453514723</v>
      </c>
      <c r="H94" s="63">
        <v>856622.99068518844</v>
      </c>
      <c r="I94" s="63">
        <v>808.9199999999837</v>
      </c>
      <c r="J94" s="63">
        <v>774561.19416627497</v>
      </c>
      <c r="K94" s="63">
        <v>516350.21484374988</v>
      </c>
      <c r="L94" s="63">
        <v>39581.919194244605</v>
      </c>
      <c r="M94" s="63">
        <v>334810.40488071949</v>
      </c>
      <c r="N94" s="63">
        <v>702267.96283352305</v>
      </c>
      <c r="O94" s="63">
        <v>90230.80855503105</v>
      </c>
      <c r="P94" s="63">
        <v>1137379.2160387328</v>
      </c>
      <c r="Q94" s="63">
        <v>1975023.8694419311</v>
      </c>
      <c r="R94" s="63">
        <v>414997.05919695552</v>
      </c>
      <c r="S94" s="63">
        <v>558534.71211756731</v>
      </c>
      <c r="T94" s="63">
        <v>409118.47688663157</v>
      </c>
      <c r="U94" s="63">
        <v>921090.48917877907</v>
      </c>
      <c r="V94" s="63">
        <v>588986.68099160609</v>
      </c>
      <c r="W94" s="63">
        <v>2512322.6821020059</v>
      </c>
      <c r="X94" s="63">
        <v>1701271.1154973824</v>
      </c>
      <c r="Y94" s="63">
        <v>429504.23455283325</v>
      </c>
      <c r="Z94" s="63">
        <v>1370752.9240732407</v>
      </c>
      <c r="AA94" s="63">
        <v>1098942.8085499862</v>
      </c>
      <c r="AB94" s="63">
        <v>1374600.4061496961</v>
      </c>
      <c r="AC94" s="63">
        <v>798353.77947295422</v>
      </c>
      <c r="AD94" s="63">
        <v>1255744.3054563438</v>
      </c>
      <c r="AE94" s="63">
        <v>3304787.042247992</v>
      </c>
      <c r="AF94" s="63">
        <v>533162.5836870682</v>
      </c>
      <c r="AG94" s="63">
        <v>1165948.1808815093</v>
      </c>
      <c r="AH94" s="63">
        <v>906516.34346827224</v>
      </c>
      <c r="AI94" s="63">
        <v>1838227.5686294171</v>
      </c>
      <c r="AJ94" s="63">
        <v>2087199.9267498464</v>
      </c>
      <c r="AK94" s="63">
        <v>1815524.6101245065</v>
      </c>
      <c r="AL94" s="63">
        <v>1898.9874791209586</v>
      </c>
      <c r="AM94" s="63">
        <v>0</v>
      </c>
      <c r="AN94" s="63">
        <v>628.29607988160569</v>
      </c>
      <c r="AO94" s="63">
        <v>53325.655721344519</v>
      </c>
      <c r="AP94" s="63">
        <v>608468.04430475761</v>
      </c>
      <c r="AQ94" s="63">
        <v>502519.91030658636</v>
      </c>
      <c r="AR94" s="63">
        <v>15786.459527326515</v>
      </c>
      <c r="AS94" s="63">
        <v>698568.74579235958</v>
      </c>
      <c r="AT94" s="63">
        <v>1636343.6469905346</v>
      </c>
      <c r="AU94" s="63">
        <v>566494.85007836204</v>
      </c>
      <c r="AV94" s="63">
        <v>1565417.6415776936</v>
      </c>
      <c r="AW94" s="63">
        <v>1719339.6969509048</v>
      </c>
      <c r="AX94" s="63">
        <v>0</v>
      </c>
      <c r="AY94" s="63">
        <v>2009931.2332254634</v>
      </c>
      <c r="AZ94" s="63">
        <v>2077064.5986955347</v>
      </c>
      <c r="BA94" s="63">
        <v>5335308.1850250047</v>
      </c>
      <c r="BB94" s="63">
        <v>2054606.7903661439</v>
      </c>
      <c r="BC94" s="63">
        <v>3731729.9035528135</v>
      </c>
      <c r="BD94" s="64">
        <v>54233453.611251175</v>
      </c>
    </row>
    <row r="95" spans="1:59">
      <c r="A95" s="101"/>
      <c r="B95" s="9"/>
      <c r="E95" s="9" t="s">
        <v>260</v>
      </c>
      <c r="F95" s="65">
        <f t="shared" ref="F95:AK95" si="16">F94/F14</f>
        <v>1.1761439558727391E-2</v>
      </c>
      <c r="G95" s="66">
        <f t="shared" si="16"/>
        <v>0.5400036488742741</v>
      </c>
      <c r="H95" s="66">
        <f t="shared" si="16"/>
        <v>3.274280863077625</v>
      </c>
      <c r="I95" s="66">
        <f t="shared" si="16"/>
        <v>1.1809764549109527E-2</v>
      </c>
      <c r="J95" s="66">
        <f t="shared" si="16"/>
        <v>4.1082733560973921</v>
      </c>
      <c r="K95" s="66">
        <f t="shared" si="16"/>
        <v>2.0450404615485018</v>
      </c>
      <c r="L95" s="66">
        <f t="shared" si="16"/>
        <v>7.0512694620507563E-2</v>
      </c>
      <c r="M95" s="66">
        <f t="shared" si="16"/>
        <v>0.79569279671110404</v>
      </c>
      <c r="N95" s="66">
        <f t="shared" si="16"/>
        <v>5.5513190640848036</v>
      </c>
      <c r="O95" s="66">
        <f t="shared" si="16"/>
        <v>0.14476246485855274</v>
      </c>
      <c r="P95" s="66">
        <f t="shared" si="16"/>
        <v>2.3003880810217443</v>
      </c>
      <c r="Q95" s="66">
        <f t="shared" si="16"/>
        <v>4.5853200506841771</v>
      </c>
      <c r="R95" s="66">
        <f t="shared" si="16"/>
        <v>1.3942596560237757</v>
      </c>
      <c r="S95" s="66">
        <f t="shared" si="16"/>
        <v>2.8194749232668044</v>
      </c>
      <c r="T95" s="66">
        <f t="shared" si="16"/>
        <v>1.4591602745986576</v>
      </c>
      <c r="U95" s="66">
        <f t="shared" si="16"/>
        <v>2.8803594304343871</v>
      </c>
      <c r="V95" s="66">
        <f t="shared" si="16"/>
        <v>1.8330175994649405</v>
      </c>
      <c r="W95" s="66">
        <f t="shared" si="16"/>
        <v>9.9014977595691125</v>
      </c>
      <c r="X95" s="66">
        <f t="shared" si="16"/>
        <v>4.8624517131628338</v>
      </c>
      <c r="Y95" s="66">
        <f t="shared" si="16"/>
        <v>1.970100489922985</v>
      </c>
      <c r="Z95" s="66">
        <f t="shared" si="16"/>
        <v>3.053764220462353</v>
      </c>
      <c r="AA95" s="66">
        <f t="shared" si="16"/>
        <v>2.810623476680524</v>
      </c>
      <c r="AB95" s="66">
        <f t="shared" si="16"/>
        <v>4.0625694353297446</v>
      </c>
      <c r="AC95" s="66">
        <f t="shared" si="16"/>
        <v>3.0077879907382195</v>
      </c>
      <c r="AD95" s="66">
        <f t="shared" si="16"/>
        <v>4.1371011402715023</v>
      </c>
      <c r="AE95" s="66">
        <f t="shared" si="16"/>
        <v>7.8484050944303183</v>
      </c>
      <c r="AF95" s="66">
        <f t="shared" si="16"/>
        <v>1.846726766357383</v>
      </c>
      <c r="AG95" s="66">
        <f t="shared" si="16"/>
        <v>2.5413151311240934</v>
      </c>
      <c r="AH95" s="66">
        <f t="shared" si="16"/>
        <v>3.7902556677614618</v>
      </c>
      <c r="AI95" s="66">
        <f t="shared" si="16"/>
        <v>3.6858084487120037</v>
      </c>
      <c r="AJ95" s="66">
        <f t="shared" si="16"/>
        <v>4.9510377929905616</v>
      </c>
      <c r="AK95" s="66">
        <f t="shared" si="16"/>
        <v>4.5462630850020194</v>
      </c>
      <c r="AL95" s="65">
        <f t="shared" ref="AL95:BD95" si="17">AL94/AL14</f>
        <v>1.7077533115207013E-2</v>
      </c>
      <c r="AM95" s="63">
        <f t="shared" si="17"/>
        <v>0</v>
      </c>
      <c r="AN95" s="65">
        <f t="shared" si="17"/>
        <v>7.5990333574035875E-3</v>
      </c>
      <c r="AO95" s="66">
        <f t="shared" si="17"/>
        <v>0.23793944116065979</v>
      </c>
      <c r="AP95" s="66">
        <f t="shared" si="17"/>
        <v>2.8058051122579837</v>
      </c>
      <c r="AQ95" s="66">
        <f t="shared" si="17"/>
        <v>2.3299572957227523</v>
      </c>
      <c r="AR95" s="66">
        <f t="shared" si="17"/>
        <v>7.0349691490347144E-2</v>
      </c>
      <c r="AS95" s="66">
        <f t="shared" si="17"/>
        <v>2.3984614318088457</v>
      </c>
      <c r="AT95" s="66">
        <f t="shared" si="17"/>
        <v>8.1580391179953402</v>
      </c>
      <c r="AU95" s="66">
        <f t="shared" si="17"/>
        <v>1.2470834226680918</v>
      </c>
      <c r="AV95" s="66">
        <f t="shared" si="17"/>
        <v>2.6881528466227418</v>
      </c>
      <c r="AW95" s="66">
        <f t="shared" si="17"/>
        <v>3.2150263418974414</v>
      </c>
      <c r="AX95" s="63">
        <f t="shared" si="17"/>
        <v>0</v>
      </c>
      <c r="AY95" s="66">
        <f t="shared" si="17"/>
        <v>6.3519692975375017</v>
      </c>
      <c r="AZ95" s="66">
        <f t="shared" si="17"/>
        <v>8.5246266967363855</v>
      </c>
      <c r="BA95" s="66">
        <f t="shared" si="17"/>
        <v>14.148748482801757</v>
      </c>
      <c r="BB95" s="66">
        <f t="shared" si="17"/>
        <v>10.100836731245499</v>
      </c>
      <c r="BC95" s="66">
        <f t="shared" si="17"/>
        <v>9.6169632634541742</v>
      </c>
      <c r="BD95" s="67">
        <f t="shared" si="17"/>
        <v>3.5136111335325655</v>
      </c>
    </row>
    <row r="96" spans="1:59">
      <c r="A96" s="101"/>
      <c r="B96" s="9"/>
      <c r="E96" s="9" t="s">
        <v>140</v>
      </c>
      <c r="F96" s="113">
        <f t="shared" ref="F96:AK96" si="18">F94/F27</f>
        <v>3.4367225547230918E-3</v>
      </c>
      <c r="G96" s="115">
        <f t="shared" si="18"/>
        <v>0.15779043972061121</v>
      </c>
      <c r="H96" s="115">
        <f t="shared" si="18"/>
        <v>0.95675319644754786</v>
      </c>
      <c r="I96" s="115">
        <f t="shared" si="18"/>
        <v>3.450843239829179E-3</v>
      </c>
      <c r="J96" s="115">
        <f t="shared" si="18"/>
        <v>1.2004479241991308</v>
      </c>
      <c r="K96" s="115">
        <f t="shared" si="18"/>
        <v>0.59756602450164076</v>
      </c>
      <c r="L96" s="114">
        <f t="shared" si="18"/>
        <v>2.0603988719797565E-2</v>
      </c>
      <c r="M96" s="115">
        <f t="shared" si="18"/>
        <v>0.232503459073477</v>
      </c>
      <c r="N96" s="115">
        <f t="shared" si="18"/>
        <v>1.6221095505139713</v>
      </c>
      <c r="O96" s="114">
        <f t="shared" si="18"/>
        <v>4.2299960440431696E-2</v>
      </c>
      <c r="P96" s="115">
        <f t="shared" si="18"/>
        <v>0.67217924839797594</v>
      </c>
      <c r="Q96" s="115">
        <f t="shared" si="18"/>
        <v>1.339842181743562</v>
      </c>
      <c r="R96" s="115">
        <f t="shared" si="18"/>
        <v>0.40740621784191178</v>
      </c>
      <c r="S96" s="115">
        <f t="shared" si="18"/>
        <v>0.82385774401884826</v>
      </c>
      <c r="T96" s="115">
        <f t="shared" si="18"/>
        <v>0.42637034366665144</v>
      </c>
      <c r="U96" s="115">
        <f t="shared" si="18"/>
        <v>0.841648351875245</v>
      </c>
      <c r="V96" s="115">
        <f t="shared" si="18"/>
        <v>0.53561240491271667</v>
      </c>
      <c r="W96" s="115">
        <f t="shared" si="18"/>
        <v>2.893242830177269</v>
      </c>
      <c r="X96" s="115">
        <f t="shared" si="18"/>
        <v>1.4208207584146098</v>
      </c>
      <c r="Y96" s="115">
        <f t="shared" si="18"/>
        <v>0.57566837418003425</v>
      </c>
      <c r="Z96" s="115">
        <f t="shared" si="18"/>
        <v>0.89231767258300831</v>
      </c>
      <c r="AA96" s="115">
        <f t="shared" si="18"/>
        <v>0.82127132881235054</v>
      </c>
      <c r="AB96" s="115">
        <f t="shared" si="18"/>
        <v>1.1870931223011862</v>
      </c>
      <c r="AC96" s="115">
        <f t="shared" si="18"/>
        <v>0.87888330131535053</v>
      </c>
      <c r="AD96" s="115">
        <f t="shared" si="18"/>
        <v>1.2088714760593571</v>
      </c>
      <c r="AE96" s="115">
        <f t="shared" si="18"/>
        <v>2.2933239313054634</v>
      </c>
      <c r="AF96" s="115">
        <f t="shared" si="18"/>
        <v>0.53961825834846888</v>
      </c>
      <c r="AG96" s="115">
        <f t="shared" si="18"/>
        <v>0.74257874524487666</v>
      </c>
      <c r="AH96" s="115">
        <f t="shared" si="18"/>
        <v>1.1075223467774462</v>
      </c>
      <c r="AI96" s="115">
        <f t="shared" si="18"/>
        <v>1.0770026037057725</v>
      </c>
      <c r="AJ96" s="115">
        <f t="shared" si="18"/>
        <v>1.4467058362622911</v>
      </c>
      <c r="AK96" s="115">
        <f t="shared" si="18"/>
        <v>1.3284296370283772</v>
      </c>
      <c r="AL96" s="114">
        <f t="shared" ref="AL96:BD96" si="19">AL94/AL27</f>
        <v>4.9900986136099225E-3</v>
      </c>
      <c r="AM96" s="116">
        <f t="shared" si="19"/>
        <v>0</v>
      </c>
      <c r="AN96" s="113">
        <f t="shared" si="19"/>
        <v>2.2204568754598804E-3</v>
      </c>
      <c r="AO96" s="115">
        <f t="shared" si="19"/>
        <v>6.9526509915043735E-2</v>
      </c>
      <c r="AP96" s="115">
        <f t="shared" si="19"/>
        <v>0.81986339047239354</v>
      </c>
      <c r="AQ96" s="115">
        <f t="shared" si="19"/>
        <v>0.68081944814401796</v>
      </c>
      <c r="AR96" s="114">
        <f t="shared" si="19"/>
        <v>2.0556358790560111E-2</v>
      </c>
      <c r="AS96" s="115">
        <f t="shared" si="19"/>
        <v>0.70083653095121567</v>
      </c>
      <c r="AT96" s="115">
        <f t="shared" si="19"/>
        <v>2.3837997805569229</v>
      </c>
      <c r="AU96" s="115">
        <f t="shared" si="19"/>
        <v>0.3644009481071076</v>
      </c>
      <c r="AV96" s="115">
        <f t="shared" si="19"/>
        <v>0.78548509920082232</v>
      </c>
      <c r="AW96" s="115">
        <f t="shared" si="19"/>
        <v>0.93943887464259945</v>
      </c>
      <c r="AX96" s="116">
        <f t="shared" si="19"/>
        <v>0</v>
      </c>
      <c r="AY96" s="115">
        <f t="shared" si="19"/>
        <v>1.8560615852127686</v>
      </c>
      <c r="AZ96" s="115">
        <f t="shared" si="19"/>
        <v>2.4909176034943217</v>
      </c>
      <c r="BA96" s="115">
        <f t="shared" si="19"/>
        <v>4.1343002945474705</v>
      </c>
      <c r="BB96" s="115">
        <f t="shared" si="19"/>
        <v>2.9514901847272652</v>
      </c>
      <c r="BC96" s="115">
        <f t="shared" si="19"/>
        <v>2.8101011266883149</v>
      </c>
      <c r="BD96" s="115">
        <f t="shared" si="19"/>
        <v>1.0290783838087665</v>
      </c>
    </row>
    <row r="97" spans="1:58">
      <c r="A97" s="101"/>
      <c r="B97" s="9"/>
      <c r="F97" s="113"/>
      <c r="G97" s="115"/>
      <c r="H97" s="115"/>
      <c r="I97" s="115"/>
      <c r="J97" s="115"/>
      <c r="K97" s="115"/>
      <c r="L97" s="114"/>
      <c r="M97" s="115"/>
      <c r="N97" s="115"/>
      <c r="O97" s="114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4"/>
      <c r="AM97" s="116"/>
      <c r="AN97" s="113"/>
      <c r="AO97" s="115"/>
      <c r="AP97" s="115"/>
      <c r="AQ97" s="115"/>
      <c r="AR97" s="114"/>
      <c r="AS97" s="115"/>
      <c r="AT97" s="115"/>
      <c r="AU97" s="115"/>
      <c r="AV97" s="115"/>
      <c r="AW97" s="115"/>
      <c r="AX97" s="116"/>
      <c r="AY97" s="115"/>
      <c r="AZ97" s="115"/>
      <c r="BA97" s="115"/>
      <c r="BB97" s="115"/>
      <c r="BC97" s="115"/>
      <c r="BD97" s="115"/>
    </row>
    <row r="98" spans="1:58">
      <c r="A98" s="101"/>
      <c r="C98" s="10" t="s">
        <v>265</v>
      </c>
    </row>
    <row r="99" spans="1:58">
      <c r="A99" s="101"/>
      <c r="F99" s="1" t="s">
        <v>403</v>
      </c>
      <c r="G99" s="1" t="s">
        <v>143</v>
      </c>
      <c r="H99" s="1" t="s">
        <v>253</v>
      </c>
      <c r="I99" s="1" t="s">
        <v>261</v>
      </c>
      <c r="J99" s="1" t="s">
        <v>254</v>
      </c>
      <c r="K99" s="1" t="s">
        <v>255</v>
      </c>
      <c r="L99" s="1" t="s">
        <v>447</v>
      </c>
      <c r="M99" s="1" t="s">
        <v>256</v>
      </c>
      <c r="N99" s="1" t="s">
        <v>257</v>
      </c>
      <c r="O99" s="1" t="s">
        <v>258</v>
      </c>
      <c r="P99" s="1" t="s">
        <v>448</v>
      </c>
      <c r="Q99" s="1" t="s">
        <v>449</v>
      </c>
      <c r="R99" s="1" t="s">
        <v>276</v>
      </c>
      <c r="S99" s="1" t="s">
        <v>274</v>
      </c>
      <c r="T99" s="1" t="s">
        <v>450</v>
      </c>
      <c r="U99" s="1" t="s">
        <v>451</v>
      </c>
      <c r="V99" s="1" t="s">
        <v>277</v>
      </c>
      <c r="W99" s="1" t="s">
        <v>464</v>
      </c>
      <c r="X99" s="1" t="s">
        <v>278</v>
      </c>
      <c r="Y99" s="1" t="s">
        <v>505</v>
      </c>
      <c r="Z99" s="1" t="s">
        <v>279</v>
      </c>
      <c r="AA99" s="1" t="s">
        <v>360</v>
      </c>
      <c r="AB99" s="1" t="s">
        <v>361</v>
      </c>
      <c r="AC99" s="1" t="s">
        <v>362</v>
      </c>
      <c r="AD99" s="1" t="s">
        <v>280</v>
      </c>
      <c r="AE99" s="1" t="s">
        <v>281</v>
      </c>
      <c r="AF99" s="1" t="s">
        <v>363</v>
      </c>
      <c r="AG99" s="1" t="s">
        <v>282</v>
      </c>
      <c r="AH99" s="1" t="s">
        <v>364</v>
      </c>
      <c r="AI99" s="1" t="s">
        <v>473</v>
      </c>
      <c r="AJ99" s="1" t="s">
        <v>230</v>
      </c>
      <c r="AK99" s="1" t="s">
        <v>231</v>
      </c>
      <c r="AL99" s="1" t="s">
        <v>232</v>
      </c>
      <c r="AM99" s="1" t="s">
        <v>233</v>
      </c>
      <c r="AN99" s="1" t="s">
        <v>203</v>
      </c>
      <c r="AO99" s="1" t="s">
        <v>463</v>
      </c>
      <c r="AP99" s="1" t="s">
        <v>365</v>
      </c>
      <c r="AQ99" s="1" t="s">
        <v>252</v>
      </c>
      <c r="AR99" s="1" t="s">
        <v>380</v>
      </c>
      <c r="AS99" s="1" t="s">
        <v>381</v>
      </c>
      <c r="AT99" s="1" t="s">
        <v>204</v>
      </c>
      <c r="AU99" s="1" t="s">
        <v>382</v>
      </c>
      <c r="AV99" s="1" t="s">
        <v>205</v>
      </c>
      <c r="AW99" s="1" t="s">
        <v>383</v>
      </c>
      <c r="AX99" s="1" t="s">
        <v>206</v>
      </c>
      <c r="AY99" s="1" t="s">
        <v>384</v>
      </c>
      <c r="AZ99" s="1" t="s">
        <v>144</v>
      </c>
      <c r="BA99" s="1" t="s">
        <v>208</v>
      </c>
      <c r="BB99" s="1" t="s">
        <v>145</v>
      </c>
      <c r="BC99" s="1" t="s">
        <v>389</v>
      </c>
      <c r="BD99" s="2" t="s">
        <v>385</v>
      </c>
    </row>
    <row r="100" spans="1:58">
      <c r="A100" s="101"/>
      <c r="E100" s="9" t="s">
        <v>356</v>
      </c>
      <c r="F100" s="48">
        <v>2983830.5279999999</v>
      </c>
      <c r="G100" s="48">
        <v>11277535.542000001</v>
      </c>
      <c r="H100" s="48">
        <v>13539706.390000001</v>
      </c>
      <c r="I100" s="382">
        <v>19913337.598000001</v>
      </c>
      <c r="J100" s="48">
        <v>6771161.8199999994</v>
      </c>
      <c r="K100" s="48">
        <v>2216546.7999999998</v>
      </c>
      <c r="L100" s="48">
        <v>10805156.6</v>
      </c>
      <c r="M100" s="48">
        <v>13078080.960000001</v>
      </c>
      <c r="N100" s="48">
        <v>16026034.151111113</v>
      </c>
      <c r="O100" s="48">
        <v>8671036.4000000004</v>
      </c>
      <c r="P100" s="48">
        <v>26849996</v>
      </c>
      <c r="Q100" s="48">
        <v>7189543.5499999998</v>
      </c>
      <c r="R100" s="48">
        <v>5363114.08</v>
      </c>
      <c r="S100" s="48">
        <v>6039674.2000000002</v>
      </c>
      <c r="T100" s="48">
        <v>5084567.74</v>
      </c>
      <c r="U100" s="48">
        <v>7447450.8000000007</v>
      </c>
      <c r="V100" s="48">
        <v>5319429.3000000007</v>
      </c>
      <c r="W100" s="48">
        <v>4854895.8640000001</v>
      </c>
      <c r="X100" s="48">
        <v>4622763.25</v>
      </c>
      <c r="Y100" s="48">
        <v>4631211.42</v>
      </c>
      <c r="Z100" s="48">
        <v>16784060.16</v>
      </c>
      <c r="AA100" s="48">
        <v>15198696.970000001</v>
      </c>
      <c r="AB100" s="48">
        <v>7594401.7799999993</v>
      </c>
      <c r="AC100" s="48">
        <v>7723359.5521621611</v>
      </c>
      <c r="AD100" s="48">
        <v>5353524.96</v>
      </c>
      <c r="AE100" s="48">
        <v>11855346.720000001</v>
      </c>
      <c r="AF100" s="48">
        <v>5328005.4450000003</v>
      </c>
      <c r="AG100" s="48">
        <v>12987965.279999999</v>
      </c>
      <c r="AH100" s="48">
        <v>5563038.2400000002</v>
      </c>
      <c r="AI100" s="48">
        <v>13219367.601975311</v>
      </c>
      <c r="AJ100" s="48">
        <v>8310540.8800000008</v>
      </c>
      <c r="AK100" s="48">
        <v>15265510.392857142</v>
      </c>
      <c r="AL100" s="48">
        <v>12461268.149999999</v>
      </c>
      <c r="AM100" s="48">
        <v>2428085.5169491526</v>
      </c>
      <c r="AN100" s="48">
        <v>2492599.9118644069</v>
      </c>
      <c r="AO100" s="48">
        <v>541011.35593220347</v>
      </c>
      <c r="AP100" s="48">
        <v>2282113.3576271189</v>
      </c>
      <c r="AQ100" s="48">
        <v>2478828.7220338983</v>
      </c>
      <c r="AR100" s="48">
        <v>2916040.6372881359</v>
      </c>
      <c r="AS100" s="48">
        <v>3389984.26779661</v>
      </c>
      <c r="AT100" s="48">
        <v>2760678.5186440679</v>
      </c>
      <c r="AU100" s="48">
        <v>1052300.4345762711</v>
      </c>
      <c r="AV100" s="48">
        <v>5260105.6779661011</v>
      </c>
      <c r="AW100" s="48">
        <v>13842393.8824</v>
      </c>
      <c r="AX100" s="48">
        <v>10637360.991428569</v>
      </c>
      <c r="AY100" s="48">
        <v>10214846.040000001</v>
      </c>
      <c r="AZ100" s="48">
        <v>27285612.229166664</v>
      </c>
      <c r="BA100" s="48">
        <v>21185106.119999997</v>
      </c>
      <c r="BB100" s="48">
        <v>7877706.9027777771</v>
      </c>
      <c r="BC100" s="48">
        <v>10883238</v>
      </c>
      <c r="BD100" s="51">
        <v>447858171.69155675</v>
      </c>
      <c r="BE100" s="373">
        <f>BD100-SUM(F100:BC100)</f>
        <v>0</v>
      </c>
    </row>
    <row r="101" spans="1:58">
      <c r="A101" s="101"/>
      <c r="E101" s="9" t="s">
        <v>357</v>
      </c>
      <c r="F101" s="49">
        <f t="shared" ref="F101:AK101" si="20">F100/F14</f>
        <v>44.890600792442939</v>
      </c>
      <c r="G101" s="49">
        <f t="shared" si="20"/>
        <v>42.881931896244758</v>
      </c>
      <c r="H101" s="49">
        <f t="shared" si="20"/>
        <v>51.752990529715163</v>
      </c>
      <c r="I101" s="385">
        <f t="shared" si="20"/>
        <v>290.72322160326735</v>
      </c>
      <c r="J101" s="49">
        <f t="shared" si="20"/>
        <v>35.91424913156478</v>
      </c>
      <c r="K101" s="49">
        <f t="shared" si="20"/>
        <v>8.7787857167591969</v>
      </c>
      <c r="L101" s="49">
        <f t="shared" si="20"/>
        <v>19.248705549713357</v>
      </c>
      <c r="M101" s="49">
        <f t="shared" si="20"/>
        <v>31.08067928290329</v>
      </c>
      <c r="N101" s="49">
        <f t="shared" si="20"/>
        <v>126.68330838527386</v>
      </c>
      <c r="O101" s="49">
        <f t="shared" si="20"/>
        <v>13.911441360704092</v>
      </c>
      <c r="P101" s="49">
        <f t="shared" si="20"/>
        <v>54.305028527774788</v>
      </c>
      <c r="Q101" s="49">
        <f t="shared" si="20"/>
        <v>16.691625202685362</v>
      </c>
      <c r="R101" s="49">
        <f t="shared" si="20"/>
        <v>18.018377303363611</v>
      </c>
      <c r="S101" s="49">
        <f t="shared" si="20"/>
        <v>30.488185572282006</v>
      </c>
      <c r="T101" s="49">
        <f t="shared" si="20"/>
        <v>18.134598359315284</v>
      </c>
      <c r="U101" s="49">
        <f t="shared" si="20"/>
        <v>23.289063774398095</v>
      </c>
      <c r="V101" s="49">
        <f t="shared" si="20"/>
        <v>16.554886282986136</v>
      </c>
      <c r="W101" s="49">
        <f t="shared" si="20"/>
        <v>19.133983410171499</v>
      </c>
      <c r="X101" s="49">
        <f t="shared" si="20"/>
        <v>13.212452077596724</v>
      </c>
      <c r="Y101" s="49">
        <f t="shared" si="20"/>
        <v>21.242984709983311</v>
      </c>
      <c r="Z101" s="31">
        <f t="shared" si="20"/>
        <v>37.391539708258215</v>
      </c>
      <c r="AA101" s="49">
        <f t="shared" si="20"/>
        <v>38.871735805068603</v>
      </c>
      <c r="AB101" s="49">
        <f t="shared" si="20"/>
        <v>22.444911563398655</v>
      </c>
      <c r="AC101" s="49">
        <f t="shared" si="20"/>
        <v>29.097661596194182</v>
      </c>
      <c r="AD101" s="49">
        <f t="shared" si="20"/>
        <v>17.637407647601655</v>
      </c>
      <c r="AE101" s="49">
        <f t="shared" si="20"/>
        <v>28.154783471371289</v>
      </c>
      <c r="AF101" s="49">
        <f t="shared" si="20"/>
        <v>18.454727633990256</v>
      </c>
      <c r="AG101" s="49">
        <f t="shared" si="20"/>
        <v>28.308730379101373</v>
      </c>
      <c r="AH101" s="49">
        <f t="shared" si="20"/>
        <v>23.259743049378049</v>
      </c>
      <c r="AI101" s="49">
        <f t="shared" si="20"/>
        <v>26.505998291777882</v>
      </c>
      <c r="AJ101" s="49">
        <f t="shared" si="20"/>
        <v>19.713397576218114</v>
      </c>
      <c r="AK101" s="49">
        <f t="shared" si="20"/>
        <v>38.226431074377814</v>
      </c>
      <c r="AL101" s="49">
        <f t="shared" ref="AL101:BD101" si="21">AL100/AL14</f>
        <v>112.06378232025421</v>
      </c>
      <c r="AM101" s="49">
        <f t="shared" si="21"/>
        <v>10.584908379628805</v>
      </c>
      <c r="AN101" s="49">
        <f t="shared" si="21"/>
        <v>30.147171824608748</v>
      </c>
      <c r="AO101" s="49">
        <f t="shared" si="21"/>
        <v>2.4139963766175256</v>
      </c>
      <c r="AP101" s="49">
        <f t="shared" si="21"/>
        <v>10.523420885477611</v>
      </c>
      <c r="AQ101" s="49">
        <f t="shared" si="21"/>
        <v>11.493206432808458</v>
      </c>
      <c r="AR101" s="49">
        <f t="shared" si="21"/>
        <v>12.994842754414432</v>
      </c>
      <c r="AS101" s="49">
        <f t="shared" si="21"/>
        <v>11.639150147673048</v>
      </c>
      <c r="AT101" s="49">
        <f t="shared" si="21"/>
        <v>13.763443509392626</v>
      </c>
      <c r="AU101" s="49">
        <f t="shared" si="21"/>
        <v>2.3165372596855347</v>
      </c>
      <c r="AV101" s="49">
        <f t="shared" si="21"/>
        <v>9.0327128532358731</v>
      </c>
      <c r="AW101" s="49">
        <f t="shared" si="21"/>
        <v>25.88415834622981</v>
      </c>
      <c r="AX101" s="49">
        <f t="shared" si="21"/>
        <v>156.50101958041427</v>
      </c>
      <c r="AY101" s="49">
        <f t="shared" si="21"/>
        <v>32.281894699963672</v>
      </c>
      <c r="AZ101" s="49">
        <f t="shared" si="21"/>
        <v>111.98479748373316</v>
      </c>
      <c r="BA101" s="49">
        <f t="shared" si="21"/>
        <v>56.180960439108993</v>
      </c>
      <c r="BB101" s="49">
        <f t="shared" si="21"/>
        <v>38.728301500154124</v>
      </c>
      <c r="BC101" s="49">
        <f t="shared" si="21"/>
        <v>28.04696554640325</v>
      </c>
      <c r="BD101" s="52">
        <f t="shared" si="21"/>
        <v>29.015291365706737</v>
      </c>
    </row>
    <row r="102" spans="1:58">
      <c r="A102" s="101"/>
      <c r="E102" s="9" t="s">
        <v>474</v>
      </c>
      <c r="F102" s="50">
        <f t="shared" ref="F102:AK102" si="22">F100/F10</f>
        <v>51.495216836372578</v>
      </c>
      <c r="G102" s="50">
        <f t="shared" si="22"/>
        <v>45.658481987729211</v>
      </c>
      <c r="H102" s="50">
        <f t="shared" si="22"/>
        <v>59.328822312970921</v>
      </c>
      <c r="I102" s="50">
        <f t="shared" si="22"/>
        <v>323.34836725234015</v>
      </c>
      <c r="J102" s="50">
        <f t="shared" si="22"/>
        <v>38.156196671500773</v>
      </c>
      <c r="K102" s="50">
        <f t="shared" si="22"/>
        <v>25.76656743881442</v>
      </c>
      <c r="L102" s="50">
        <f t="shared" si="22"/>
        <v>21.002035476156546</v>
      </c>
      <c r="M102" s="50">
        <f t="shared" si="22"/>
        <v>34.145855406738661</v>
      </c>
      <c r="N102" s="50">
        <f t="shared" si="22"/>
        <v>139.13792619290433</v>
      </c>
      <c r="O102" s="50">
        <f t="shared" si="22"/>
        <v>18.540780072513108</v>
      </c>
      <c r="P102" s="50">
        <f t="shared" si="22"/>
        <v>58.921346989260265</v>
      </c>
      <c r="Q102" s="50">
        <f t="shared" si="22"/>
        <v>18.269912878344218</v>
      </c>
      <c r="R102" s="50">
        <f t="shared" si="22"/>
        <v>28.026883091194158</v>
      </c>
      <c r="S102" s="50">
        <f t="shared" si="22"/>
        <v>35.884274620696345</v>
      </c>
      <c r="T102" s="50">
        <f t="shared" si="22"/>
        <v>20.993493735462053</v>
      </c>
      <c r="U102" s="50">
        <f t="shared" si="22"/>
        <v>67.459350988553808</v>
      </c>
      <c r="V102" s="50">
        <f t="shared" si="22"/>
        <v>22.214850931589215</v>
      </c>
      <c r="W102" s="50">
        <f t="shared" si="22"/>
        <v>21.132069322785597</v>
      </c>
      <c r="X102" s="50">
        <f t="shared" si="22"/>
        <v>15.208599786163116</v>
      </c>
      <c r="Y102" s="50">
        <f t="shared" si="22"/>
        <v>25.82748278385537</v>
      </c>
      <c r="Z102" s="50">
        <f t="shared" si="22"/>
        <v>41.910488433323373</v>
      </c>
      <c r="AA102" s="50">
        <f t="shared" si="22"/>
        <v>44.127949733506313</v>
      </c>
      <c r="AB102" s="50">
        <f t="shared" si="22"/>
        <v>25.517410387620345</v>
      </c>
      <c r="AC102" s="50">
        <f t="shared" si="22"/>
        <v>32.045322484761968</v>
      </c>
      <c r="AD102" s="50">
        <f t="shared" si="22"/>
        <v>21.020667517262709</v>
      </c>
      <c r="AE102" s="50">
        <f t="shared" si="22"/>
        <v>32.638176368396707</v>
      </c>
      <c r="AF102" s="50">
        <f t="shared" si="22"/>
        <v>20.68660737488204</v>
      </c>
      <c r="AG102" s="50">
        <f t="shared" si="22"/>
        <v>31.663957027477835</v>
      </c>
      <c r="AH102" s="50">
        <f t="shared" si="22"/>
        <v>26.856465866296492</v>
      </c>
      <c r="AI102" s="50">
        <f t="shared" si="22"/>
        <v>29.084364952180394</v>
      </c>
      <c r="AJ102" s="50">
        <f t="shared" si="22"/>
        <v>22.934758975375239</v>
      </c>
      <c r="AK102" s="50">
        <f t="shared" si="22"/>
        <v>42.023207612837084</v>
      </c>
      <c r="AL102" s="50">
        <f t="shared" ref="AL102:BD102" si="23">AL100/AL10</f>
        <v>156.56753727015749</v>
      </c>
      <c r="AM102" s="50">
        <f t="shared" si="23"/>
        <v>16.200931988438647</v>
      </c>
      <c r="AN102" s="50">
        <f t="shared" si="23"/>
        <v>44.900661334153327</v>
      </c>
      <c r="AO102" s="50">
        <f t="shared" si="23"/>
        <v>2.5975650695998387</v>
      </c>
      <c r="AP102" s="50">
        <f t="shared" si="23"/>
        <v>11.298500191833377</v>
      </c>
      <c r="AQ102" s="50">
        <f t="shared" si="23"/>
        <v>12.285345151637227</v>
      </c>
      <c r="AR102" s="50">
        <f t="shared" si="23"/>
        <v>14.720091006700178</v>
      </c>
      <c r="AS102" s="50">
        <f t="shared" si="23"/>
        <v>11.82498742036146</v>
      </c>
      <c r="AT102" s="50">
        <f t="shared" si="23"/>
        <v>14.078820906556949</v>
      </c>
      <c r="AU102" s="50">
        <f t="shared" si="23"/>
        <v>2.3872628209372606</v>
      </c>
      <c r="AV102" s="50">
        <f t="shared" si="23"/>
        <v>10.134829871894151</v>
      </c>
      <c r="AW102" s="50">
        <f t="shared" si="23"/>
        <v>28.284139453529839</v>
      </c>
      <c r="AX102" s="50">
        <f t="shared" si="23"/>
        <v>203.94440980615576</v>
      </c>
      <c r="AY102" s="50">
        <f t="shared" si="23"/>
        <v>32.281894699963672</v>
      </c>
      <c r="AZ102" s="50">
        <f t="shared" si="23"/>
        <v>134.20340079600024</v>
      </c>
      <c r="BA102" s="50">
        <f t="shared" si="23"/>
        <v>67.118033307025598</v>
      </c>
      <c r="BB102" s="50">
        <f t="shared" si="23"/>
        <v>45.812705070129439</v>
      </c>
      <c r="BC102" s="50">
        <f t="shared" si="23"/>
        <v>29.587379352817539</v>
      </c>
      <c r="BD102" s="53">
        <f t="shared" si="23"/>
        <v>33.766515740741077</v>
      </c>
    </row>
    <row r="103" spans="1:58">
      <c r="A103" s="101"/>
      <c r="E103" s="9" t="s">
        <v>322</v>
      </c>
      <c r="F103" s="54">
        <f t="shared" ref="F103:AK103" si="24">F100/F27</f>
        <v>13.117147732479777</v>
      </c>
      <c r="G103" s="54">
        <f t="shared" si="24"/>
        <v>12.530209571885941</v>
      </c>
      <c r="H103" s="54">
        <f t="shared" si="24"/>
        <v>15.122355468456581</v>
      </c>
      <c r="I103" s="385">
        <f t="shared" si="24"/>
        <v>84.950064817900298</v>
      </c>
      <c r="J103" s="54">
        <f t="shared" si="24"/>
        <v>10.494234945483829</v>
      </c>
      <c r="K103" s="54">
        <f t="shared" si="24"/>
        <v>2.5651835156079938</v>
      </c>
      <c r="L103" s="54">
        <f t="shared" si="24"/>
        <v>5.624520721431252</v>
      </c>
      <c r="M103" s="54">
        <f t="shared" si="24"/>
        <v>9.081853541338619</v>
      </c>
      <c r="N103" s="54">
        <f t="shared" si="24"/>
        <v>37.017184933926579</v>
      </c>
      <c r="O103" s="54">
        <f t="shared" si="24"/>
        <v>4.0649585498709602</v>
      </c>
      <c r="P103" s="54">
        <f t="shared" si="24"/>
        <v>15.868067462694032</v>
      </c>
      <c r="Q103" s="54">
        <f t="shared" si="24"/>
        <v>4.8773353399998367</v>
      </c>
      <c r="R103" s="54">
        <f t="shared" si="24"/>
        <v>5.2650156784617845</v>
      </c>
      <c r="S103" s="54">
        <f t="shared" si="24"/>
        <v>8.9087253720650903</v>
      </c>
      <c r="T103" s="54">
        <f t="shared" si="24"/>
        <v>5.2989757666234807</v>
      </c>
      <c r="U103" s="54">
        <f t="shared" si="24"/>
        <v>6.8051236714869194</v>
      </c>
      <c r="V103" s="54">
        <f t="shared" si="24"/>
        <v>4.8373798798631471</v>
      </c>
      <c r="W103" s="54">
        <f t="shared" si="24"/>
        <v>5.5909986204570528</v>
      </c>
      <c r="X103" s="54">
        <f t="shared" si="24"/>
        <v>3.8607121034415117</v>
      </c>
      <c r="Y103" s="54">
        <f t="shared" si="24"/>
        <v>6.2072541645860264</v>
      </c>
      <c r="Z103" s="307">
        <f t="shared" si="24"/>
        <v>10.925903009537679</v>
      </c>
      <c r="AA103" s="54">
        <f t="shared" si="24"/>
        <v>11.358420073960001</v>
      </c>
      <c r="AB103" s="54">
        <f t="shared" si="24"/>
        <v>6.5584602483000509</v>
      </c>
      <c r="AC103" s="54">
        <f t="shared" si="24"/>
        <v>8.502410729402305</v>
      </c>
      <c r="AD103" s="54">
        <f t="shared" si="24"/>
        <v>5.1536953760375237</v>
      </c>
      <c r="AE103" s="54">
        <f t="shared" si="24"/>
        <v>8.2268993430831561</v>
      </c>
      <c r="AF103" s="54">
        <f t="shared" si="24"/>
        <v>5.3925183549443325</v>
      </c>
      <c r="AG103" s="54">
        <f t="shared" si="24"/>
        <v>8.2718830210916234</v>
      </c>
      <c r="AH103" s="54">
        <f t="shared" si="24"/>
        <v>6.7965560810576982</v>
      </c>
      <c r="AI103" s="54">
        <f t="shared" si="24"/>
        <v>7.7451201198589752</v>
      </c>
      <c r="AJ103" s="54">
        <f t="shared" si="24"/>
        <v>5.760304913537551</v>
      </c>
      <c r="AK103" s="54">
        <f t="shared" si="24"/>
        <v>11.16986039029535</v>
      </c>
      <c r="AL103" s="54">
        <f t="shared" ref="AL103:BD103" si="25">AL100/AL27</f>
        <v>32.745322232414594</v>
      </c>
      <c r="AM103" s="54">
        <f t="shared" si="25"/>
        <v>3.0929371516392741</v>
      </c>
      <c r="AN103" s="54">
        <f t="shared" si="25"/>
        <v>8.809080287613698</v>
      </c>
      <c r="AO103" s="54">
        <f t="shared" si="25"/>
        <v>0.70537588133802709</v>
      </c>
      <c r="AP103" s="54">
        <f t="shared" si="25"/>
        <v>3.074970349452546</v>
      </c>
      <c r="AQ103" s="54">
        <f t="shared" si="25"/>
        <v>3.3583441530685567</v>
      </c>
      <c r="AR103" s="54">
        <f t="shared" si="25"/>
        <v>3.797126105710166</v>
      </c>
      <c r="AS103" s="54">
        <f t="shared" si="25"/>
        <v>3.4009892777653064</v>
      </c>
      <c r="AT103" s="54">
        <f t="shared" si="25"/>
        <v>4.0217132012796624</v>
      </c>
      <c r="AU103" s="54">
        <f t="shared" si="25"/>
        <v>0.6768980794795777</v>
      </c>
      <c r="AV103" s="54">
        <f t="shared" si="25"/>
        <v>2.6393816707596804</v>
      </c>
      <c r="AW103" s="54">
        <f t="shared" si="25"/>
        <v>7.5634169060965899</v>
      </c>
      <c r="AX103" s="54">
        <f t="shared" si="25"/>
        <v>45.729995987614153</v>
      </c>
      <c r="AY103" s="54">
        <f t="shared" si="25"/>
        <v>9.4328517415401603</v>
      </c>
      <c r="AZ103" s="54">
        <f t="shared" si="25"/>
        <v>32.722242662282248</v>
      </c>
      <c r="BA103" s="54">
        <f t="shared" si="25"/>
        <v>16.416219538689109</v>
      </c>
      <c r="BB103" s="54">
        <f t="shared" si="25"/>
        <v>11.316508205233452</v>
      </c>
      <c r="BC103" s="54">
        <f t="shared" si="25"/>
        <v>8.1953946711685575</v>
      </c>
      <c r="BD103" s="55">
        <f t="shared" si="25"/>
        <v>8.4980972593691266</v>
      </c>
    </row>
    <row r="104" spans="1:58">
      <c r="A104" s="101"/>
      <c r="F104" s="370"/>
      <c r="G104" s="370"/>
      <c r="H104" s="370"/>
      <c r="I104" s="385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07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70"/>
      <c r="AR104" s="370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70"/>
      <c r="BC104" s="370"/>
      <c r="BD104" s="55"/>
    </row>
    <row r="105" spans="1:58" s="29" customFormat="1">
      <c r="A105" s="101"/>
      <c r="E105" s="308" t="s">
        <v>129</v>
      </c>
      <c r="F105" s="401">
        <f>F94/F100</f>
        <v>2.6200227555669866E-4</v>
      </c>
      <c r="G105" s="401">
        <f t="shared" ref="G105:BD105" si="26">G94/G100</f>
        <v>1.2592801326694965E-2</v>
      </c>
      <c r="H105" s="401">
        <f t="shared" si="26"/>
        <v>6.3267471687411411E-2</v>
      </c>
      <c r="I105" s="401">
        <f t="shared" si="26"/>
        <v>4.0622020091761396E-5</v>
      </c>
      <c r="J105" s="401">
        <f t="shared" si="26"/>
        <v>0.11439118053248283</v>
      </c>
      <c r="K105" s="401">
        <f t="shared" si="26"/>
        <v>0.23295254349863037</v>
      </c>
      <c r="L105" s="401">
        <f t="shared" si="26"/>
        <v>3.663243454911575E-3</v>
      </c>
      <c r="M105" s="401">
        <f t="shared" si="26"/>
        <v>2.5600881804047147E-2</v>
      </c>
      <c r="N105" s="401">
        <f t="shared" si="26"/>
        <v>4.3820445920167567E-2</v>
      </c>
      <c r="O105" s="401">
        <f t="shared" si="26"/>
        <v>1.0406000435545518E-2</v>
      </c>
      <c r="P105" s="401">
        <f t="shared" si="26"/>
        <v>4.2360498528146252E-2</v>
      </c>
      <c r="Q105" s="401">
        <f t="shared" si="26"/>
        <v>0.27470782473275807</v>
      </c>
      <c r="R105" s="401">
        <f t="shared" si="26"/>
        <v>7.737986792870076E-2</v>
      </c>
      <c r="S105" s="401">
        <f t="shared" si="26"/>
        <v>9.2477622736267348E-2</v>
      </c>
      <c r="T105" s="401">
        <f t="shared" si="26"/>
        <v>8.0462784214304042E-2</v>
      </c>
      <c r="U105" s="401">
        <f t="shared" si="26"/>
        <v>0.12367862694423963</v>
      </c>
      <c r="V105" s="401">
        <f t="shared" si="26"/>
        <v>0.11072365995946332</v>
      </c>
      <c r="W105" s="401">
        <f t="shared" si="26"/>
        <v>0.51748230085250002</v>
      </c>
      <c r="X105" s="401">
        <f t="shared" si="26"/>
        <v>0.36802038596663639</v>
      </c>
      <c r="Y105" s="401">
        <f t="shared" si="26"/>
        <v>9.2741228072207776E-2</v>
      </c>
      <c r="Z105" s="401">
        <f t="shared" si="26"/>
        <v>8.16699243809932E-2</v>
      </c>
      <c r="AA105" s="401">
        <f t="shared" si="26"/>
        <v>7.2305067383022253E-2</v>
      </c>
      <c r="AB105" s="401">
        <f t="shared" si="26"/>
        <v>0.18100180184958509</v>
      </c>
      <c r="AC105" s="401">
        <f t="shared" si="26"/>
        <v>0.10336871850663154</v>
      </c>
      <c r="AD105" s="401">
        <f t="shared" si="26"/>
        <v>0.2345640143342759</v>
      </c>
      <c r="AE105" s="401">
        <f t="shared" si="26"/>
        <v>0.27875920631429596</v>
      </c>
      <c r="AF105" s="401">
        <f t="shared" si="26"/>
        <v>0.10006795022843078</v>
      </c>
      <c r="AG105" s="401">
        <f t="shared" si="26"/>
        <v>8.9771427297926171E-2</v>
      </c>
      <c r="AH105" s="401">
        <f t="shared" si="26"/>
        <v>0.16295346254320772</v>
      </c>
      <c r="AI105" s="401">
        <f t="shared" si="26"/>
        <v>0.13905563594091588</v>
      </c>
      <c r="AJ105" s="401">
        <f t="shared" si="26"/>
        <v>0.25115091266476586</v>
      </c>
      <c r="AK105" s="401">
        <f t="shared" si="26"/>
        <v>0.11892983355302719</v>
      </c>
      <c r="AL105" s="401">
        <f t="shared" si="26"/>
        <v>1.5239118974588143E-4</v>
      </c>
      <c r="AM105" s="401">
        <f t="shared" si="26"/>
        <v>0</v>
      </c>
      <c r="AN105" s="401">
        <f t="shared" si="26"/>
        <v>2.5206455191264723E-4</v>
      </c>
      <c r="AO105" s="401">
        <f t="shared" si="26"/>
        <v>9.8566610731230186E-2</v>
      </c>
      <c r="AP105" s="401">
        <f t="shared" si="26"/>
        <v>0.26662481172163444</v>
      </c>
      <c r="AQ105" s="401">
        <f t="shared" si="26"/>
        <v>0.20272474085836187</v>
      </c>
      <c r="AR105" s="401">
        <f t="shared" si="26"/>
        <v>5.4136623905240329E-3</v>
      </c>
      <c r="AS105" s="401">
        <f t="shared" si="26"/>
        <v>0.20606843295069588</v>
      </c>
      <c r="AT105" s="401">
        <f t="shared" si="26"/>
        <v>0.59273241557812373</v>
      </c>
      <c r="AU105" s="401">
        <f t="shared" si="26"/>
        <v>0.53833946225297535</v>
      </c>
      <c r="AV105" s="401">
        <f t="shared" si="26"/>
        <v>0.29760193756848358</v>
      </c>
      <c r="AW105" s="401">
        <f t="shared" si="26"/>
        <v>0.12420826278733263</v>
      </c>
      <c r="AX105" s="401">
        <f t="shared" si="26"/>
        <v>0</v>
      </c>
      <c r="AY105" s="401">
        <f t="shared" si="26"/>
        <v>0.19676569038386243</v>
      </c>
      <c r="AZ105" s="401">
        <f t="shared" si="26"/>
        <v>7.6123071062165093E-2</v>
      </c>
      <c r="BA105" s="401">
        <f t="shared" si="26"/>
        <v>0.25184241017268999</v>
      </c>
      <c r="BB105" s="401">
        <f t="shared" si="26"/>
        <v>0.26081279942538405</v>
      </c>
      <c r="BC105" s="401">
        <f t="shared" si="26"/>
        <v>0.34288783389215721</v>
      </c>
      <c r="BD105" s="401">
        <f t="shared" si="26"/>
        <v>0.12109515252655065</v>
      </c>
    </row>
    <row r="106" spans="1:58">
      <c r="A106" s="101"/>
      <c r="Z106" s="305"/>
    </row>
    <row r="107" spans="1:58" ht="18">
      <c r="A107" s="104"/>
      <c r="B107" s="135" t="s">
        <v>793</v>
      </c>
      <c r="C107" s="104"/>
      <c r="D107" s="104"/>
      <c r="E107" s="105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</row>
    <row r="108" spans="1:58" s="29" customFormat="1" ht="17">
      <c r="A108" s="104"/>
      <c r="B108" s="107"/>
      <c r="E108" s="32"/>
      <c r="BE108" s="5"/>
      <c r="BF108" s="6"/>
    </row>
    <row r="109" spans="1:58" ht="17">
      <c r="A109" s="104"/>
      <c r="C109" s="56" t="s">
        <v>771</v>
      </c>
      <c r="G109" s="6" t="s">
        <v>215</v>
      </c>
      <c r="BE109" s="10"/>
    </row>
    <row r="110" spans="1:58">
      <c r="A110" s="104"/>
      <c r="F110" s="1" t="s">
        <v>403</v>
      </c>
      <c r="G110" s="1" t="s">
        <v>143</v>
      </c>
      <c r="H110" s="1" t="s">
        <v>253</v>
      </c>
      <c r="I110" s="1" t="s">
        <v>261</v>
      </c>
      <c r="J110" s="1" t="s">
        <v>254</v>
      </c>
      <c r="K110" s="1" t="s">
        <v>255</v>
      </c>
      <c r="L110" s="1" t="s">
        <v>447</v>
      </c>
      <c r="M110" s="1" t="s">
        <v>256</v>
      </c>
      <c r="N110" s="1" t="s">
        <v>257</v>
      </c>
      <c r="O110" s="1" t="s">
        <v>258</v>
      </c>
      <c r="P110" s="1" t="s">
        <v>448</v>
      </c>
      <c r="Q110" s="1" t="s">
        <v>449</v>
      </c>
      <c r="R110" s="1" t="s">
        <v>276</v>
      </c>
      <c r="S110" s="1" t="s">
        <v>274</v>
      </c>
      <c r="T110" s="1" t="s">
        <v>450</v>
      </c>
      <c r="U110" s="1" t="s">
        <v>451</v>
      </c>
      <c r="V110" s="1" t="s">
        <v>277</v>
      </c>
      <c r="W110" s="1" t="s">
        <v>464</v>
      </c>
      <c r="X110" s="1" t="s">
        <v>278</v>
      </c>
      <c r="Y110" s="1" t="s">
        <v>505</v>
      </c>
      <c r="Z110" s="299" t="s">
        <v>279</v>
      </c>
      <c r="AA110" s="1" t="s">
        <v>360</v>
      </c>
      <c r="AB110" s="1" t="s">
        <v>361</v>
      </c>
      <c r="AC110" s="1" t="s">
        <v>362</v>
      </c>
      <c r="AD110" s="1" t="s">
        <v>280</v>
      </c>
      <c r="AE110" s="1" t="s">
        <v>281</v>
      </c>
      <c r="AF110" s="1" t="s">
        <v>363</v>
      </c>
      <c r="AG110" s="1" t="s">
        <v>282</v>
      </c>
      <c r="AH110" s="1" t="s">
        <v>364</v>
      </c>
      <c r="AI110" s="1" t="s">
        <v>473</v>
      </c>
      <c r="AJ110" s="1" t="s">
        <v>230</v>
      </c>
      <c r="AK110" s="1" t="s">
        <v>231</v>
      </c>
      <c r="AL110" s="1" t="s">
        <v>232</v>
      </c>
      <c r="AM110" s="1" t="s">
        <v>233</v>
      </c>
      <c r="AN110" s="1" t="s">
        <v>203</v>
      </c>
      <c r="AO110" s="1" t="s">
        <v>463</v>
      </c>
      <c r="AP110" s="1" t="s">
        <v>365</v>
      </c>
      <c r="AQ110" s="1" t="s">
        <v>252</v>
      </c>
      <c r="AR110" s="1" t="s">
        <v>380</v>
      </c>
      <c r="AS110" s="1" t="s">
        <v>381</v>
      </c>
      <c r="AT110" s="1" t="s">
        <v>204</v>
      </c>
      <c r="AU110" s="1" t="s">
        <v>382</v>
      </c>
      <c r="AV110" s="1" t="s">
        <v>205</v>
      </c>
      <c r="AW110" s="1" t="s">
        <v>383</v>
      </c>
      <c r="AX110" s="1" t="s">
        <v>206</v>
      </c>
      <c r="AY110" s="1" t="s">
        <v>384</v>
      </c>
      <c r="AZ110" s="1" t="s">
        <v>144</v>
      </c>
      <c r="BA110" s="1" t="s">
        <v>208</v>
      </c>
      <c r="BB110" s="1" t="s">
        <v>145</v>
      </c>
      <c r="BC110" s="1" t="s">
        <v>389</v>
      </c>
      <c r="BD110" s="2" t="s">
        <v>385</v>
      </c>
      <c r="BE110" s="9"/>
    </row>
    <row r="111" spans="1:58" ht="16" thickBot="1">
      <c r="A111" s="104"/>
      <c r="E111" s="9" t="s">
        <v>431</v>
      </c>
      <c r="F111" s="251">
        <f>0.04457*F14</f>
        <v>2962.5205340390085</v>
      </c>
      <c r="G111" s="371">
        <f t="shared" ref="G111:BC111" si="27">0.04457*G14</f>
        <v>11721.481213185665</v>
      </c>
      <c r="H111" s="371">
        <f t="shared" si="27"/>
        <v>11660.480053917017</v>
      </c>
      <c r="I111" s="371">
        <f t="shared" si="27"/>
        <v>3052.8605587414322</v>
      </c>
      <c r="J111" s="371">
        <f t="shared" si="27"/>
        <v>8403.0904060349203</v>
      </c>
      <c r="K111" s="371">
        <f t="shared" si="27"/>
        <v>11253.434593739024</v>
      </c>
      <c r="L111" s="371">
        <f t="shared" si="27"/>
        <v>25019.128087248002</v>
      </c>
      <c r="M111" s="371">
        <f t="shared" si="27"/>
        <v>18754.096816276258</v>
      </c>
      <c r="N111" s="371">
        <f t="shared" si="27"/>
        <v>5638.3145595055594</v>
      </c>
      <c r="O111" s="371">
        <f t="shared" si="27"/>
        <v>27780.593133912324</v>
      </c>
      <c r="P111" s="371">
        <f t="shared" si="27"/>
        <v>22036.712882084852</v>
      </c>
      <c r="Q111" s="371">
        <f t="shared" si="27"/>
        <v>19197.528828525799</v>
      </c>
      <c r="R111" s="371">
        <f t="shared" si="27"/>
        <v>13266.122166338359</v>
      </c>
      <c r="S111" s="371">
        <f t="shared" si="27"/>
        <v>8829.2653052705609</v>
      </c>
      <c r="T111" s="371">
        <f t="shared" si="27"/>
        <v>12496.509692776928</v>
      </c>
      <c r="U111" s="371">
        <f t="shared" si="27"/>
        <v>14252.736192894849</v>
      </c>
      <c r="V111" s="371">
        <f t="shared" si="27"/>
        <v>14321.268044266795</v>
      </c>
      <c r="W111" s="371">
        <f t="shared" si="27"/>
        <v>11308.816571015337</v>
      </c>
      <c r="X111" s="371">
        <f t="shared" si="27"/>
        <v>15594.119610988739</v>
      </c>
      <c r="Y111" s="371">
        <f t="shared" si="27"/>
        <v>9716.7651254013508</v>
      </c>
      <c r="Z111" s="371">
        <f t="shared" si="27"/>
        <v>20006.278617245167</v>
      </c>
      <c r="AA111" s="371">
        <f t="shared" si="27"/>
        <v>17426.696027929142</v>
      </c>
      <c r="AB111" s="371">
        <f t="shared" si="27"/>
        <v>15080.589040349341</v>
      </c>
      <c r="AC111" s="371">
        <f t="shared" si="27"/>
        <v>11830.164912114138</v>
      </c>
      <c r="AD111" s="371">
        <f t="shared" si="27"/>
        <v>13528.439793114712</v>
      </c>
      <c r="AE111" s="371">
        <f t="shared" si="27"/>
        <v>18767.425572556338</v>
      </c>
      <c r="AF111" s="371">
        <f t="shared" si="27"/>
        <v>12867.662281088065</v>
      </c>
      <c r="AG111" s="371">
        <f t="shared" si="27"/>
        <v>20448.589702805864</v>
      </c>
      <c r="AH111" s="371">
        <f t="shared" si="27"/>
        <v>10659.81742921403</v>
      </c>
      <c r="AI111" s="371">
        <f t="shared" si="27"/>
        <v>22228.448350983424</v>
      </c>
      <c r="AJ111" s="371">
        <f t="shared" si="27"/>
        <v>18789.293199688971</v>
      </c>
      <c r="AK111" s="371">
        <f t="shared" si="27"/>
        <v>17798.778988438877</v>
      </c>
      <c r="AL111" s="371">
        <f t="shared" si="27"/>
        <v>4956.0947341424699</v>
      </c>
      <c r="AM111" s="371">
        <f t="shared" si="27"/>
        <v>10223.968655099385</v>
      </c>
      <c r="AN111" s="371">
        <f t="shared" si="27"/>
        <v>3685.0945328513717</v>
      </c>
      <c r="AO111" s="371">
        <f t="shared" si="27"/>
        <v>9988.7789258760586</v>
      </c>
      <c r="AP111" s="371">
        <f t="shared" si="27"/>
        <v>9665.4684304992843</v>
      </c>
      <c r="AQ111" s="371">
        <f t="shared" si="27"/>
        <v>9612.7566129562529</v>
      </c>
      <c r="AR111" s="371">
        <f t="shared" si="27"/>
        <v>10001.500876936836</v>
      </c>
      <c r="AS111" s="371">
        <f t="shared" si="27"/>
        <v>12981.325689479298</v>
      </c>
      <c r="AT111" s="371">
        <f t="shared" si="27"/>
        <v>8939.8733312631539</v>
      </c>
      <c r="AU111" s="371">
        <f t="shared" si="27"/>
        <v>20246.180014143662</v>
      </c>
      <c r="AV111" s="371">
        <f t="shared" si="27"/>
        <v>25954.872459270355</v>
      </c>
      <c r="AW111" s="371">
        <f t="shared" si="27"/>
        <v>23835.254254208015</v>
      </c>
      <c r="AX111" s="371">
        <f t="shared" si="27"/>
        <v>3029.419109594764</v>
      </c>
      <c r="AY111" s="371">
        <f t="shared" si="27"/>
        <v>14103.127844082595</v>
      </c>
      <c r="AZ111" s="371">
        <f t="shared" si="27"/>
        <v>10859.685996490827</v>
      </c>
      <c r="BA111" s="371">
        <f t="shared" si="27"/>
        <v>16806.764647460604</v>
      </c>
      <c r="BB111" s="371">
        <f t="shared" si="27"/>
        <v>9065.9642446598955</v>
      </c>
      <c r="BC111" s="371">
        <f t="shared" si="27"/>
        <v>17294.7735418103</v>
      </c>
      <c r="BD111" s="168">
        <f>SUM(F111:BC111)</f>
        <v>687948.93219251616</v>
      </c>
      <c r="BE111" s="127"/>
      <c r="BF111" s="23"/>
    </row>
    <row r="112" spans="1:58">
      <c r="A112" s="104"/>
      <c r="E112" s="9" t="s">
        <v>227</v>
      </c>
      <c r="F112" s="164">
        <f>$Z112*F31/$Z31</f>
        <v>151.25433962264151</v>
      </c>
      <c r="G112" s="164">
        <f t="shared" ref="G112:BC112" si="28">$Z112*G31/$Z31</f>
        <v>144.00673584905661</v>
      </c>
      <c r="H112" s="164">
        <f t="shared" si="28"/>
        <v>178.98430188679242</v>
      </c>
      <c r="I112" s="164">
        <f t="shared" si="28"/>
        <v>165.43443396226414</v>
      </c>
      <c r="J112" s="164">
        <f t="shared" si="28"/>
        <v>146.21252830188678</v>
      </c>
      <c r="K112" s="164">
        <f t="shared" si="28"/>
        <v>225.62105660377358</v>
      </c>
      <c r="L112" s="164">
        <f t="shared" si="28"/>
        <v>145.58230188679244</v>
      </c>
      <c r="M112" s="164">
        <f t="shared" si="28"/>
        <v>118.16745283018868</v>
      </c>
      <c r="N112" s="164">
        <f t="shared" si="28"/>
        <v>131.08709433962264</v>
      </c>
      <c r="O112" s="164">
        <f t="shared" si="28"/>
        <v>145.58230188679244</v>
      </c>
      <c r="P112" s="164">
        <f t="shared" si="28"/>
        <v>151.88456603773585</v>
      </c>
      <c r="Q112" s="164">
        <f t="shared" si="28"/>
        <v>136.12890566037737</v>
      </c>
      <c r="R112" s="164">
        <f t="shared" si="28"/>
        <v>261.54396226415093</v>
      </c>
      <c r="S112" s="164">
        <f t="shared" si="28"/>
        <v>187.8074716981132</v>
      </c>
      <c r="T112" s="164">
        <f t="shared" si="28"/>
        <v>213.96186792452832</v>
      </c>
      <c r="U112" s="164">
        <f t="shared" si="28"/>
        <v>242.63716981132075</v>
      </c>
      <c r="V112" s="164">
        <f t="shared" si="28"/>
        <v>239.48603773584907</v>
      </c>
      <c r="W112" s="164">
        <f t="shared" si="28"/>
        <v>173.31226415094341</v>
      </c>
      <c r="X112" s="164">
        <f t="shared" si="28"/>
        <v>217.42811320754717</v>
      </c>
      <c r="Y112" s="164">
        <f t="shared" si="28"/>
        <v>248.93943396226413</v>
      </c>
      <c r="Z112" s="161">
        <v>167.01</v>
      </c>
      <c r="AA112" s="164">
        <f t="shared" si="28"/>
        <v>178.35407547169808</v>
      </c>
      <c r="AB112" s="164">
        <f t="shared" si="28"/>
        <v>150.93922641509434</v>
      </c>
      <c r="AC112" s="164">
        <f t="shared" si="28"/>
        <v>160.70773584905658</v>
      </c>
      <c r="AD112" s="164">
        <f t="shared" si="28"/>
        <v>173.31226415094341</v>
      </c>
      <c r="AE112" s="164">
        <f t="shared" si="28"/>
        <v>194.42484905660376</v>
      </c>
      <c r="AF112" s="164">
        <f t="shared" si="28"/>
        <v>152.19967924528299</v>
      </c>
      <c r="AG112" s="164">
        <f t="shared" si="28"/>
        <v>167.01</v>
      </c>
      <c r="AH112" s="164">
        <f t="shared" si="28"/>
        <v>170.1611320754717</v>
      </c>
      <c r="AI112" s="164">
        <f t="shared" si="28"/>
        <v>183.71099999999998</v>
      </c>
      <c r="AJ112" s="164">
        <f t="shared" si="28"/>
        <v>206.08403773584905</v>
      </c>
      <c r="AK112" s="164">
        <f t="shared" si="28"/>
        <v>152.19967924528299</v>
      </c>
      <c r="AL112" s="164">
        <f t="shared" si="28"/>
        <v>324.56660377358492</v>
      </c>
      <c r="AM112" s="164">
        <f t="shared" si="28"/>
        <v>289.90415094339625</v>
      </c>
      <c r="AN112" s="164">
        <f t="shared" si="28"/>
        <v>271.6275849056604</v>
      </c>
      <c r="AO112" s="164">
        <f t="shared" si="28"/>
        <v>144.95207547169812</v>
      </c>
      <c r="AP112" s="164">
        <f t="shared" si="28"/>
        <v>207.97471698113205</v>
      </c>
      <c r="AQ112" s="164">
        <f t="shared" si="28"/>
        <v>168.27045283018867</v>
      </c>
      <c r="AR112" s="164">
        <f t="shared" si="28"/>
        <v>138.64981132075471</v>
      </c>
      <c r="AS112" s="164">
        <f t="shared" si="28"/>
        <v>155.6659245283019</v>
      </c>
      <c r="AT112" s="164">
        <f t="shared" si="28"/>
        <v>155.03569811320756</v>
      </c>
      <c r="AU112" s="164">
        <f t="shared" si="28"/>
        <v>156.29615094339621</v>
      </c>
      <c r="AV112" s="164">
        <f t="shared" si="28"/>
        <v>136.75913207547168</v>
      </c>
      <c r="AW112" s="164">
        <f t="shared" si="28"/>
        <v>188.1225849056604</v>
      </c>
      <c r="AX112" s="164">
        <f t="shared" si="28"/>
        <v>276.35428301886793</v>
      </c>
      <c r="AY112" s="164">
        <f t="shared" si="28"/>
        <v>278.5600754716981</v>
      </c>
      <c r="AZ112" s="164">
        <f t="shared" si="28"/>
        <v>289.2739245283019</v>
      </c>
      <c r="BA112" s="164">
        <f t="shared" si="28"/>
        <v>220.57924528301888</v>
      </c>
      <c r="BB112" s="164">
        <f t="shared" si="28"/>
        <v>324.25149056603777</v>
      </c>
      <c r="BC112" s="164">
        <f t="shared" si="28"/>
        <v>259.96839622641511</v>
      </c>
      <c r="BD112" s="164"/>
      <c r="BE112" s="127"/>
      <c r="BF112" s="23"/>
    </row>
    <row r="113" spans="1:62">
      <c r="A113" s="104"/>
      <c r="E113" s="9" t="s">
        <v>214</v>
      </c>
      <c r="F113" s="165">
        <f>$Z113*F40/$Z40</f>
        <v>294.25877307692309</v>
      </c>
      <c r="G113" s="165">
        <f t="shared" ref="G113:BC113" si="29">$Z113*G40/$Z40</f>
        <v>223.08681923076921</v>
      </c>
      <c r="H113" s="165">
        <f t="shared" si="29"/>
        <v>292.73320096153844</v>
      </c>
      <c r="I113" s="165">
        <f t="shared" si="29"/>
        <v>324.57751153846152</v>
      </c>
      <c r="J113" s="165">
        <f t="shared" si="29"/>
        <v>270.34743749999996</v>
      </c>
      <c r="K113" s="165">
        <f t="shared" si="29"/>
        <v>588.01972788461535</v>
      </c>
      <c r="L113" s="165">
        <f t="shared" si="29"/>
        <v>249.55148076923075</v>
      </c>
      <c r="M113" s="165">
        <f t="shared" si="29"/>
        <v>197.20026923076921</v>
      </c>
      <c r="N113" s="165">
        <f t="shared" si="29"/>
        <v>511.94988461538463</v>
      </c>
      <c r="O113" s="165">
        <f t="shared" si="29"/>
        <v>363.24674999999996</v>
      </c>
      <c r="P113" s="165">
        <f t="shared" si="29"/>
        <v>269.62479807692307</v>
      </c>
      <c r="Q113" s="165">
        <f t="shared" si="29"/>
        <v>290.34046153846151</v>
      </c>
      <c r="R113" s="165">
        <f t="shared" si="29"/>
        <v>262.51081442307691</v>
      </c>
      <c r="S113" s="165">
        <f t="shared" si="29"/>
        <v>253.88731730769229</v>
      </c>
      <c r="T113" s="165">
        <f t="shared" si="29"/>
        <v>236.8651442307692</v>
      </c>
      <c r="U113" s="165">
        <f t="shared" si="29"/>
        <v>328.31917788461539</v>
      </c>
      <c r="V113" s="165">
        <f t="shared" si="29"/>
        <v>197.20026923076921</v>
      </c>
      <c r="W113" s="165">
        <f t="shared" si="29"/>
        <v>227.32630384615385</v>
      </c>
      <c r="X113" s="165">
        <f t="shared" si="29"/>
        <v>313.94668269230766</v>
      </c>
      <c r="Y113" s="165">
        <f t="shared" si="29"/>
        <v>253.13256057692303</v>
      </c>
      <c r="Z113" s="162">
        <v>167.01</v>
      </c>
      <c r="AA113" s="165">
        <f t="shared" si="29"/>
        <v>184.51393269230769</v>
      </c>
      <c r="AB113" s="165">
        <f t="shared" si="29"/>
        <v>415.43737499999992</v>
      </c>
      <c r="AC113" s="165">
        <f t="shared" si="29"/>
        <v>149.18489423076923</v>
      </c>
      <c r="AD113" s="165">
        <f t="shared" si="29"/>
        <v>182.39419038461534</v>
      </c>
      <c r="AE113" s="165">
        <f t="shared" si="29"/>
        <v>260.63195192307694</v>
      </c>
      <c r="AF113" s="165">
        <f t="shared" si="29"/>
        <v>202.17845192307692</v>
      </c>
      <c r="AG113" s="165">
        <f t="shared" si="29"/>
        <v>166.6888269230769</v>
      </c>
      <c r="AH113" s="165">
        <f t="shared" si="29"/>
        <v>462.97099038461539</v>
      </c>
      <c r="AI113" s="165">
        <f t="shared" si="29"/>
        <v>224.49998076923077</v>
      </c>
      <c r="AJ113" s="165">
        <f t="shared" si="29"/>
        <v>342.04932692307688</v>
      </c>
      <c r="AK113" s="165">
        <f t="shared" si="29"/>
        <v>157.8565673076923</v>
      </c>
      <c r="AL113" s="165">
        <f t="shared" si="29"/>
        <v>396.82539519230767</v>
      </c>
      <c r="AM113" s="165">
        <f t="shared" si="29"/>
        <v>476.55661153846148</v>
      </c>
      <c r="AN113" s="165">
        <f t="shared" si="29"/>
        <v>409.12632403846152</v>
      </c>
      <c r="AO113" s="165">
        <f t="shared" si="29"/>
        <v>346.09610769230767</v>
      </c>
      <c r="AP113" s="165">
        <f t="shared" si="29"/>
        <v>215.18596153846153</v>
      </c>
      <c r="AQ113" s="165">
        <f t="shared" si="29"/>
        <v>275.90373173076921</v>
      </c>
      <c r="AR113" s="165">
        <f t="shared" si="29"/>
        <v>417.09141634615384</v>
      </c>
      <c r="AS113" s="165">
        <f t="shared" si="29"/>
        <v>200.73317307692307</v>
      </c>
      <c r="AT113" s="165">
        <f t="shared" si="29"/>
        <v>241.84332692307692</v>
      </c>
      <c r="AU113" s="165">
        <f t="shared" si="29"/>
        <v>224.98174038461536</v>
      </c>
      <c r="AV113" s="165">
        <f t="shared" si="29"/>
        <v>178.25105769230771</v>
      </c>
      <c r="AW113" s="165">
        <f t="shared" si="29"/>
        <v>112.57116346153845</v>
      </c>
      <c r="AX113" s="165">
        <f t="shared" si="29"/>
        <v>288.4134230769231</v>
      </c>
      <c r="AY113" s="165">
        <f t="shared" si="29"/>
        <v>329.04181730769233</v>
      </c>
      <c r="AZ113" s="165">
        <f t="shared" si="29"/>
        <v>478.06612499999994</v>
      </c>
      <c r="BA113" s="165">
        <f t="shared" si="29"/>
        <v>541.49780769230767</v>
      </c>
      <c r="BB113" s="165">
        <f t="shared" si="29"/>
        <v>502.31469230769227</v>
      </c>
      <c r="BC113" s="165">
        <f t="shared" si="29"/>
        <v>467.46741346153851</v>
      </c>
      <c r="BD113" s="134"/>
      <c r="BE113" s="127"/>
      <c r="BF113" s="23"/>
    </row>
    <row r="114" spans="1:62" ht="16" thickBot="1">
      <c r="A114" s="104"/>
      <c r="E114" s="9" t="s">
        <v>805</v>
      </c>
      <c r="F114" s="166">
        <f>EXP((0.545*LN(F112))+(0.455*LN(F113)))</f>
        <v>204.74469642603128</v>
      </c>
      <c r="G114" s="166">
        <f t="shared" ref="G114:AA114" si="30">EXP((0.545*LN(G112))+(0.455*LN(G113)))</f>
        <v>175.74147180049314</v>
      </c>
      <c r="H114" s="166">
        <f t="shared" si="30"/>
        <v>223.88700934236954</v>
      </c>
      <c r="I114" s="166">
        <f t="shared" si="30"/>
        <v>224.80243175842921</v>
      </c>
      <c r="J114" s="166">
        <f t="shared" si="30"/>
        <v>193.39321223977313</v>
      </c>
      <c r="K114" s="166">
        <f t="shared" si="30"/>
        <v>348.87127359979138</v>
      </c>
      <c r="L114" s="166">
        <f t="shared" si="30"/>
        <v>186.03816448817574</v>
      </c>
      <c r="M114" s="166">
        <f t="shared" si="30"/>
        <v>149.17438481575647</v>
      </c>
      <c r="N114" s="166">
        <f t="shared" si="30"/>
        <v>243.65125640547211</v>
      </c>
      <c r="O114" s="166">
        <f t="shared" si="30"/>
        <v>220.69168352714033</v>
      </c>
      <c r="P114" s="166">
        <f t="shared" si="30"/>
        <v>197.20624341801289</v>
      </c>
      <c r="Q114" s="166">
        <f t="shared" si="30"/>
        <v>192.1435824104741</v>
      </c>
      <c r="R114" s="166">
        <f t="shared" si="30"/>
        <v>261.98343768551337</v>
      </c>
      <c r="S114" s="166">
        <f t="shared" si="30"/>
        <v>215.41957765497418</v>
      </c>
      <c r="T114" s="166">
        <f t="shared" si="30"/>
        <v>224.09458062811089</v>
      </c>
      <c r="U114" s="166">
        <f t="shared" si="30"/>
        <v>278.43032877089172</v>
      </c>
      <c r="V114" s="166">
        <f t="shared" si="30"/>
        <v>219.22527442785957</v>
      </c>
      <c r="W114" s="166">
        <f t="shared" si="30"/>
        <v>196.08193117050604</v>
      </c>
      <c r="X114" s="166">
        <f t="shared" si="30"/>
        <v>256.9842390889076</v>
      </c>
      <c r="Y114" s="166">
        <f t="shared" si="30"/>
        <v>250.83862463513191</v>
      </c>
      <c r="Z114" s="163">
        <v>167.01</v>
      </c>
      <c r="AA114" s="166">
        <f t="shared" si="30"/>
        <v>181.13089196082277</v>
      </c>
      <c r="AB114" s="166">
        <f t="shared" ref="AB114" si="31">EXP((0.545*LN(AB112))+(0.455*LN(AB113)))</f>
        <v>239.25839639275881</v>
      </c>
      <c r="AC114" s="166">
        <f t="shared" ref="AC114" si="32">EXP((0.545*LN(AC112))+(0.455*LN(AC113)))</f>
        <v>155.35844066075521</v>
      </c>
      <c r="AD114" s="166">
        <f t="shared" ref="AD114" si="33">EXP((0.545*LN(AD112))+(0.455*LN(AD113)))</f>
        <v>177.38707468449005</v>
      </c>
      <c r="AE114" s="166">
        <f t="shared" ref="AE114" si="34">EXP((0.545*LN(AE112))+(0.455*LN(AE113)))</f>
        <v>222.15817476832612</v>
      </c>
      <c r="AF114" s="166">
        <f t="shared" ref="AF114" si="35">EXP((0.545*LN(AF112))+(0.455*LN(AF113)))</f>
        <v>173.19081310542705</v>
      </c>
      <c r="AG114" s="166">
        <f t="shared" ref="AG114" si="36">EXP((0.545*LN(AG112))+(0.455*LN(AG113)))</f>
        <v>166.86378959435828</v>
      </c>
      <c r="AH114" s="166">
        <f t="shared" ref="AH114" si="37">EXP((0.545*LN(AH112))+(0.455*LN(AH113)))</f>
        <v>268.31556639318171</v>
      </c>
      <c r="AI114" s="166">
        <f t="shared" ref="AI114" si="38">EXP((0.545*LN(AI112))+(0.455*LN(AI113)))</f>
        <v>201.25982144245668</v>
      </c>
      <c r="AJ114" s="166">
        <f t="shared" ref="AJ114" si="39">EXP((0.545*LN(AJ112))+(0.455*LN(AJ113)))</f>
        <v>259.51624586311459</v>
      </c>
      <c r="AK114" s="166">
        <f t="shared" ref="AK114" si="40">EXP((0.545*LN(AK112))+(0.455*LN(AK113)))</f>
        <v>154.74798210676138</v>
      </c>
      <c r="AL114" s="166">
        <f t="shared" ref="AL114" si="41">EXP((0.545*LN(AL112))+(0.455*LN(AL113)))</f>
        <v>355.65043243922321</v>
      </c>
      <c r="AM114" s="166">
        <f t="shared" ref="AM114" si="42">EXP((0.545*LN(AM112))+(0.455*LN(AM113)))</f>
        <v>363.47183498024566</v>
      </c>
      <c r="AN114" s="166">
        <f t="shared" ref="AN114" si="43">EXP((0.545*LN(AN112))+(0.455*LN(AN113)))</f>
        <v>327.27353555634971</v>
      </c>
      <c r="AO114" s="166">
        <f t="shared" ref="AO114" si="44">EXP((0.545*LN(AO112))+(0.455*LN(AO113)))</f>
        <v>215.37824020512983</v>
      </c>
      <c r="AP114" s="166">
        <f t="shared" ref="AP114" si="45">EXP((0.545*LN(AP112))+(0.455*LN(AP113)))</f>
        <v>211.22537306834371</v>
      </c>
      <c r="AQ114" s="166">
        <f t="shared" ref="AQ114" si="46">EXP((0.545*LN(AQ112))+(0.455*LN(AQ113)))</f>
        <v>210.72641658142965</v>
      </c>
      <c r="AR114" s="166">
        <f t="shared" ref="AR114" si="47">EXP((0.545*LN(AR112))+(0.455*LN(AR113)))</f>
        <v>228.85016451108831</v>
      </c>
      <c r="AS114" s="166">
        <f t="shared" ref="AS114" si="48">EXP((0.545*LN(AS112))+(0.455*LN(AS113)))</f>
        <v>174.75805431045714</v>
      </c>
      <c r="AT114" s="166">
        <f t="shared" ref="AT114" si="49">EXP((0.545*LN(AT112))+(0.455*LN(AT113)))</f>
        <v>189.79872948124117</v>
      </c>
      <c r="AU114" s="166">
        <f t="shared" ref="AU114" si="50">EXP((0.545*LN(AU112))+(0.455*LN(AU113)))</f>
        <v>184.47130621625257</v>
      </c>
      <c r="AV114" s="166">
        <f t="shared" ref="AV114" si="51">EXP((0.545*LN(AV112))+(0.455*LN(AV113)))</f>
        <v>154.28219735292114</v>
      </c>
      <c r="AW114" s="166">
        <f t="shared" ref="AW114" si="52">EXP((0.545*LN(AW112))+(0.455*LN(AW113)))</f>
        <v>148.92570557246108</v>
      </c>
      <c r="AX114" s="166">
        <f t="shared" ref="AX114" si="53">EXP((0.545*LN(AX112))+(0.455*LN(AX113)))</f>
        <v>281.77737391400012</v>
      </c>
      <c r="AY114" s="166">
        <f t="shared" ref="AY114" si="54">EXP((0.545*LN(AY112))+(0.455*LN(AY113)))</f>
        <v>300.49000658347745</v>
      </c>
      <c r="AZ114" s="166">
        <f t="shared" ref="AZ114" si="55">EXP((0.545*LN(AZ112))+(0.455*LN(AZ113)))</f>
        <v>363.56376205618932</v>
      </c>
      <c r="BA114" s="166">
        <f t="shared" ref="BA114" si="56">EXP((0.545*LN(BA112))+(0.455*LN(BA113)))</f>
        <v>331.9167978665983</v>
      </c>
      <c r="BB114" s="166">
        <f t="shared" ref="BB114" si="57">EXP((0.545*LN(BB112))+(0.455*LN(BB113)))</f>
        <v>395.70788628861214</v>
      </c>
      <c r="BC114" s="166">
        <f t="shared" ref="BC114" si="58">EXP((0.545*LN(BC112))+(0.455*LN(BC113)))</f>
        <v>339.52250240922632</v>
      </c>
      <c r="BD114" s="167">
        <f>BD116/BD111</f>
        <v>221.08620960314383</v>
      </c>
      <c r="BE114" s="127"/>
      <c r="BF114" s="23"/>
    </row>
    <row r="115" spans="1:62">
      <c r="A115" s="104"/>
      <c r="C115" s="6" t="s">
        <v>488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303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27"/>
      <c r="BF115" s="23"/>
    </row>
    <row r="116" spans="1:62">
      <c r="A116" s="104"/>
      <c r="E116" s="9" t="s">
        <v>585</v>
      </c>
      <c r="F116" s="58">
        <f>F111*F114</f>
        <v>606560.3673977009</v>
      </c>
      <c r="G116" s="134">
        <f t="shared" ref="G116:BC116" si="59">G111*G114</f>
        <v>2059950.3600870788</v>
      </c>
      <c r="H116" s="134">
        <f t="shared" si="59"/>
        <v>2610630.0067678331</v>
      </c>
      <c r="I116" s="134">
        <f t="shared" si="59"/>
        <v>686290.47742447082</v>
      </c>
      <c r="J116" s="134">
        <f t="shared" si="59"/>
        <v>1625100.6463643129</v>
      </c>
      <c r="K116" s="134">
        <f t="shared" si="59"/>
        <v>3926000.0590896844</v>
      </c>
      <c r="L116" s="134">
        <f t="shared" si="59"/>
        <v>4654512.666446181</v>
      </c>
      <c r="M116" s="134">
        <f t="shared" si="59"/>
        <v>2797630.8553431476</v>
      </c>
      <c r="N116" s="134">
        <f t="shared" si="59"/>
        <v>1373782.4264327956</v>
      </c>
      <c r="O116" s="134">
        <f t="shared" si="59"/>
        <v>6130945.8681056257</v>
      </c>
      <c r="P116" s="134">
        <f t="shared" si="59"/>
        <v>4345777.3647572855</v>
      </c>
      <c r="Q116" s="134">
        <f t="shared" si="59"/>
        <v>3688681.9625412989</v>
      </c>
      <c r="R116" s="134">
        <f t="shared" si="59"/>
        <v>3475504.2898933128</v>
      </c>
      <c r="S116" s="134">
        <f t="shared" si="59"/>
        <v>1901996.603065101</v>
      </c>
      <c r="T116" s="134">
        <f t="shared" si="59"/>
        <v>2800400.0989179686</v>
      </c>
      <c r="U116" s="134">
        <f t="shared" si="59"/>
        <v>3968394.0240725004</v>
      </c>
      <c r="V116" s="134">
        <f t="shared" si="59"/>
        <v>3139583.917159324</v>
      </c>
      <c r="W116" s="134">
        <f t="shared" si="59"/>
        <v>2217454.5924977073</v>
      </c>
      <c r="X116" s="134">
        <f t="shared" si="59"/>
        <v>4007442.9624913526</v>
      </c>
      <c r="Y116" s="134">
        <f t="shared" si="59"/>
        <v>2437339.9999582898</v>
      </c>
      <c r="Z116" s="134">
        <f t="shared" si="59"/>
        <v>3341248.5918661151</v>
      </c>
      <c r="AA116" s="134">
        <f t="shared" si="59"/>
        <v>3156512.9954689327</v>
      </c>
      <c r="AB116" s="134">
        <f t="shared" si="59"/>
        <v>3608157.550452197</v>
      </c>
      <c r="AC116" s="134">
        <f t="shared" si="59"/>
        <v>1837915.9735056327</v>
      </c>
      <c r="AD116" s="134">
        <f t="shared" si="59"/>
        <v>2399770.3599458667</v>
      </c>
      <c r="AE116" s="134">
        <f t="shared" si="59"/>
        <v>4169337.0102995238</v>
      </c>
      <c r="AF116" s="134">
        <f t="shared" si="59"/>
        <v>2228560.8932276764</v>
      </c>
      <c r="AG116" s="134">
        <f t="shared" si="59"/>
        <v>3412129.1696703592</v>
      </c>
      <c r="AH116" s="134">
        <f t="shared" si="59"/>
        <v>2860194.9511674726</v>
      </c>
      <c r="AI116" s="134">
        <f t="shared" si="59"/>
        <v>4473693.5460617943</v>
      </c>
      <c r="AJ116" s="134">
        <f t="shared" si="59"/>
        <v>4876126.8336046301</v>
      </c>
      <c r="AK116" s="134">
        <f t="shared" si="59"/>
        <v>2754325.1324251397</v>
      </c>
      <c r="AL116" s="134">
        <f t="shared" si="59"/>
        <v>1762637.2354075264</v>
      </c>
      <c r="AM116" s="134">
        <f t="shared" si="59"/>
        <v>3716124.6478494876</v>
      </c>
      <c r="AN116" s="134">
        <f t="shared" si="59"/>
        <v>1206033.9166256434</v>
      </c>
      <c r="AO116" s="134">
        <f t="shared" si="59"/>
        <v>2151365.6268532723</v>
      </c>
      <c r="AP116" s="134">
        <f t="shared" si="59"/>
        <v>2041592.1751125099</v>
      </c>
      <c r="AQ116" s="134">
        <f t="shared" si="59"/>
        <v>2025661.7545177119</v>
      </c>
      <c r="AR116" s="134">
        <f t="shared" si="59"/>
        <v>2288845.121044789</v>
      </c>
      <c r="AS116" s="134">
        <f t="shared" si="59"/>
        <v>2268591.2198637556</v>
      </c>
      <c r="AT116" s="134">
        <f t="shared" si="59"/>
        <v>1696776.5999969777</v>
      </c>
      <c r="AU116" s="134">
        <f t="shared" si="59"/>
        <v>3734839.2730984683</v>
      </c>
      <c r="AV116" s="134">
        <f t="shared" si="59"/>
        <v>4004374.7550310465</v>
      </c>
      <c r="AW116" s="134">
        <f t="shared" si="59"/>
        <v>3549682.0573069332</v>
      </c>
      <c r="AX116" s="134">
        <f t="shared" si="59"/>
        <v>853621.76118650113</v>
      </c>
      <c r="AY116" s="134">
        <f t="shared" si="59"/>
        <v>4237848.9787160037</v>
      </c>
      <c r="AZ116" s="134">
        <f t="shared" si="59"/>
        <v>3948188.2956331223</v>
      </c>
      <c r="BA116" s="134">
        <f t="shared" si="59"/>
        <v>5578447.504282672</v>
      </c>
      <c r="BB116" s="134">
        <f t="shared" si="59"/>
        <v>3587473.5484225014</v>
      </c>
      <c r="BC116" s="134">
        <f t="shared" si="59"/>
        <v>5871964.7915163115</v>
      </c>
      <c r="BD116" s="168">
        <f>SUM(F116:BC116)</f>
        <v>152096021.8189736</v>
      </c>
      <c r="BE116" s="254"/>
      <c r="BF116" s="23"/>
    </row>
    <row r="117" spans="1:62">
      <c r="A117" s="104"/>
      <c r="E117" s="4" t="s">
        <v>273</v>
      </c>
      <c r="F117" s="6">
        <v>3.46</v>
      </c>
      <c r="G117" s="6">
        <v>3.46</v>
      </c>
      <c r="H117" s="6">
        <v>3.46</v>
      </c>
      <c r="I117" s="6">
        <v>3.46</v>
      </c>
      <c r="J117" s="6">
        <v>3.46</v>
      </c>
      <c r="K117" s="6">
        <v>3.46</v>
      </c>
      <c r="L117" s="6">
        <v>3.46</v>
      </c>
      <c r="M117" s="6">
        <v>3.46</v>
      </c>
      <c r="N117" s="6">
        <v>3.46</v>
      </c>
      <c r="O117" s="6">
        <v>3.46</v>
      </c>
      <c r="P117" s="6">
        <v>3.46</v>
      </c>
      <c r="Q117" s="6">
        <v>3.46</v>
      </c>
      <c r="R117" s="6">
        <v>3.46</v>
      </c>
      <c r="S117" s="6">
        <v>3.46</v>
      </c>
      <c r="T117" s="6">
        <v>3.46</v>
      </c>
      <c r="U117" s="6">
        <v>3.46</v>
      </c>
      <c r="V117" s="6">
        <v>3.46</v>
      </c>
      <c r="W117" s="6">
        <v>3.46</v>
      </c>
      <c r="X117" s="6">
        <v>3.46</v>
      </c>
      <c r="Y117" s="6">
        <v>3.46</v>
      </c>
      <c r="Z117" s="6">
        <v>3.46</v>
      </c>
      <c r="AA117" s="6">
        <v>3.46</v>
      </c>
      <c r="AB117" s="6">
        <v>3.46</v>
      </c>
      <c r="AC117" s="6">
        <v>3.46</v>
      </c>
      <c r="AD117" s="6">
        <v>3.46</v>
      </c>
      <c r="AE117" s="6">
        <v>3.46</v>
      </c>
      <c r="AF117" s="6">
        <v>3.46</v>
      </c>
      <c r="AG117" s="6">
        <v>3.46</v>
      </c>
      <c r="AH117" s="6">
        <v>3.46</v>
      </c>
      <c r="AI117" s="6">
        <v>3.46</v>
      </c>
      <c r="AJ117" s="6">
        <v>3.46</v>
      </c>
      <c r="AK117" s="6">
        <v>3.46</v>
      </c>
      <c r="AL117" s="6">
        <v>3.46</v>
      </c>
      <c r="AM117" s="6">
        <v>3.46</v>
      </c>
      <c r="AN117" s="6">
        <v>3.46</v>
      </c>
      <c r="AO117" s="6">
        <v>3.46</v>
      </c>
      <c r="AP117" s="6">
        <v>3.46</v>
      </c>
      <c r="AQ117" s="6">
        <v>3.46</v>
      </c>
      <c r="AR117" s="6">
        <v>3.46</v>
      </c>
      <c r="AS117" s="6">
        <v>3.46</v>
      </c>
      <c r="AT117" s="6">
        <v>3.46</v>
      </c>
      <c r="AU117" s="6">
        <v>3.46</v>
      </c>
      <c r="AV117" s="6">
        <v>3.46</v>
      </c>
      <c r="AW117" s="6">
        <v>3.46</v>
      </c>
      <c r="AX117" s="6">
        <v>3.46</v>
      </c>
      <c r="AY117" s="6">
        <v>3.46</v>
      </c>
      <c r="AZ117" s="6">
        <v>3.46</v>
      </c>
      <c r="BA117" s="6">
        <v>3.46</v>
      </c>
      <c r="BB117" s="6">
        <v>3.46</v>
      </c>
      <c r="BC117" s="6">
        <v>3.46</v>
      </c>
      <c r="BD117" s="6">
        <v>3.46</v>
      </c>
      <c r="BE117" s="254"/>
      <c r="BF117" s="23"/>
      <c r="BJ117" s="6" t="s">
        <v>101</v>
      </c>
    </row>
    <row r="118" spans="1:62">
      <c r="A118" s="104"/>
      <c r="E118" s="4" t="s">
        <v>526</v>
      </c>
      <c r="F118" s="169">
        <v>1.833666412891765</v>
      </c>
      <c r="G118" s="169">
        <v>1.833666412891765</v>
      </c>
      <c r="H118" s="169">
        <v>1.833666412891765</v>
      </c>
      <c r="I118" s="169">
        <v>1.833666412891765</v>
      </c>
      <c r="J118" s="169">
        <v>1.833666412891765</v>
      </c>
      <c r="K118" s="169">
        <v>1.833666412891765</v>
      </c>
      <c r="L118" s="169">
        <v>1.833666412891765</v>
      </c>
      <c r="M118" s="169">
        <v>1.833666412891765</v>
      </c>
      <c r="N118" s="169">
        <v>1.833666412891765</v>
      </c>
      <c r="O118" s="169">
        <v>1.833666412891765</v>
      </c>
      <c r="P118" s="169">
        <v>1.833666412891765</v>
      </c>
      <c r="Q118" s="169">
        <v>1.833666412891765</v>
      </c>
      <c r="R118" s="169">
        <v>1.833666412891765</v>
      </c>
      <c r="S118" s="169">
        <v>1.833666412891765</v>
      </c>
      <c r="T118" s="169">
        <v>1.833666412891765</v>
      </c>
      <c r="U118" s="169">
        <v>1.833666412891765</v>
      </c>
      <c r="V118" s="169">
        <v>1.833666412891765</v>
      </c>
      <c r="W118" s="169">
        <v>1.833666412891765</v>
      </c>
      <c r="X118" s="169">
        <v>1.833666412891765</v>
      </c>
      <c r="Y118" s="169">
        <v>1.833666412891765</v>
      </c>
      <c r="Z118" s="169">
        <v>1.833666412891765</v>
      </c>
      <c r="AA118" s="169">
        <v>1.833666412891765</v>
      </c>
      <c r="AB118" s="169">
        <v>1.833666412891765</v>
      </c>
      <c r="AC118" s="169">
        <v>1.833666412891765</v>
      </c>
      <c r="AD118" s="169">
        <v>1.833666412891765</v>
      </c>
      <c r="AE118" s="169">
        <v>1.833666412891765</v>
      </c>
      <c r="AF118" s="169">
        <v>1.833666412891765</v>
      </c>
      <c r="AG118" s="169">
        <v>1.833666412891765</v>
      </c>
      <c r="AH118" s="169">
        <v>1.833666412891765</v>
      </c>
      <c r="AI118" s="169">
        <v>1.833666412891765</v>
      </c>
      <c r="AJ118" s="169">
        <v>1.833666412891765</v>
      </c>
      <c r="AK118" s="169">
        <v>1.833666412891765</v>
      </c>
      <c r="AL118" s="169">
        <v>1.833666412891765</v>
      </c>
      <c r="AM118" s="169">
        <v>1.833666412891765</v>
      </c>
      <c r="AN118" s="169">
        <v>1.833666412891765</v>
      </c>
      <c r="AO118" s="169">
        <v>1.833666412891765</v>
      </c>
      <c r="AP118" s="169">
        <v>1.833666412891765</v>
      </c>
      <c r="AQ118" s="169">
        <v>1.833666412891765</v>
      </c>
      <c r="AR118" s="169">
        <v>1.833666412891765</v>
      </c>
      <c r="AS118" s="169">
        <v>1.833666412891765</v>
      </c>
      <c r="AT118" s="169">
        <v>1.833666412891765</v>
      </c>
      <c r="AU118" s="169">
        <v>1.833666412891765</v>
      </c>
      <c r="AV118" s="169">
        <v>1.833666412891765</v>
      </c>
      <c r="AW118" s="169">
        <v>1.833666412891765</v>
      </c>
      <c r="AX118" s="169">
        <v>1.833666412891765</v>
      </c>
      <c r="AY118" s="169">
        <v>1.833666412891765</v>
      </c>
      <c r="AZ118" s="169">
        <v>1.833666412891765</v>
      </c>
      <c r="BA118" s="169">
        <v>1.833666412891765</v>
      </c>
      <c r="BB118" s="169">
        <v>1.833666412891765</v>
      </c>
      <c r="BC118" s="169">
        <v>1.833666412891765</v>
      </c>
      <c r="BD118" s="169">
        <v>1.833666412891765</v>
      </c>
      <c r="BE118" s="254"/>
      <c r="BF118" s="23"/>
    </row>
    <row r="119" spans="1:62">
      <c r="A119" s="104"/>
      <c r="E119" s="4" t="s">
        <v>343</v>
      </c>
      <c r="F119" s="106">
        <f t="shared" ref="F119:AK119" si="60">F111*F118</f>
        <v>5432.2744007695046</v>
      </c>
      <c r="G119" s="106">
        <f t="shared" si="60"/>
        <v>21493.286409960372</v>
      </c>
      <c r="H119" s="106">
        <f t="shared" si="60"/>
        <v>21381.430633061991</v>
      </c>
      <c r="I119" s="106">
        <f t="shared" si="60"/>
        <v>5597.9278698061516</v>
      </c>
      <c r="J119" s="106">
        <f t="shared" si="60"/>
        <v>15408.464642039258</v>
      </c>
      <c r="K119" s="106">
        <f t="shared" si="60"/>
        <v>20635.045044213533</v>
      </c>
      <c r="L119" s="106">
        <f t="shared" si="60"/>
        <v>45876.734853423652</v>
      </c>
      <c r="M119" s="106">
        <f t="shared" si="60"/>
        <v>34388.757436126158</v>
      </c>
      <c r="N119" s="106">
        <f t="shared" si="60"/>
        <v>10338.788033083971</v>
      </c>
      <c r="O119" s="106">
        <f t="shared" si="60"/>
        <v>50940.340559866607</v>
      </c>
      <c r="P119" s="106">
        <f t="shared" si="60"/>
        <v>40407.980262418278</v>
      </c>
      <c r="Q119" s="106">
        <f t="shared" si="60"/>
        <v>35201.863823389147</v>
      </c>
      <c r="R119" s="106">
        <f t="shared" si="60"/>
        <v>24325.642645733587</v>
      </c>
      <c r="S119" s="106">
        <f t="shared" si="60"/>
        <v>16189.927240785184</v>
      </c>
      <c r="T119" s="106">
        <f t="shared" si="60"/>
        <v>22914.430102021441</v>
      </c>
      <c r="U119" s="106">
        <f t="shared" si="60"/>
        <v>26134.76364871813</v>
      </c>
      <c r="V119" s="106">
        <f t="shared" si="60"/>
        <v>26260.428202792158</v>
      </c>
      <c r="W119" s="106">
        <f t="shared" si="60"/>
        <v>20736.597115824643</v>
      </c>
      <c r="X119" s="106">
        <f t="shared" si="60"/>
        <v>28594.413369286845</v>
      </c>
      <c r="Y119" s="106">
        <f t="shared" si="60"/>
        <v>17817.305852406495</v>
      </c>
      <c r="Z119" s="106">
        <f t="shared" si="60"/>
        <v>36684.841147397165</v>
      </c>
      <c r="AA119" s="106">
        <f t="shared" si="60"/>
        <v>31954.747194087999</v>
      </c>
      <c r="AB119" s="106">
        <f t="shared" si="60"/>
        <v>27652.76960991224</v>
      </c>
      <c r="AC119" s="106">
        <f t="shared" si="60"/>
        <v>21692.576058314353</v>
      </c>
      <c r="AD119" s="106">
        <f t="shared" si="60"/>
        <v>24806.645667462864</v>
      </c>
      <c r="AE119" s="106">
        <f t="shared" si="60"/>
        <v>34413.197928842557</v>
      </c>
      <c r="AF119" s="106">
        <f t="shared" si="60"/>
        <v>23595.000137265419</v>
      </c>
      <c r="AG119" s="106">
        <f t="shared" si="60"/>
        <v>37495.892129039516</v>
      </c>
      <c r="AH119" s="106">
        <f t="shared" si="60"/>
        <v>19546.549187508008</v>
      </c>
      <c r="AI119" s="106">
        <f t="shared" si="60"/>
        <v>40759.559151897643</v>
      </c>
      <c r="AJ119" s="106">
        <f t="shared" si="60"/>
        <v>34453.295862245308</v>
      </c>
      <c r="AK119" s="106">
        <f t="shared" si="60"/>
        <v>32637.023221584033</v>
      </c>
      <c r="AL119" s="106">
        <f t="shared" ref="AL119:BC119" si="61">AL111*AL118</f>
        <v>9087.8244531067885</v>
      </c>
      <c r="AM119" s="106">
        <f t="shared" si="61"/>
        <v>18747.347929313932</v>
      </c>
      <c r="AN119" s="106">
        <f t="shared" si="61"/>
        <v>6757.2340732206294</v>
      </c>
      <c r="AO119" s="106">
        <f t="shared" si="61"/>
        <v>18316.088422180012</v>
      </c>
      <c r="AP119" s="106">
        <f t="shared" si="61"/>
        <v>17723.244825872222</v>
      </c>
      <c r="AQ119" s="106">
        <f t="shared" si="61"/>
        <v>17626.588936481086</v>
      </c>
      <c r="AR119" s="106">
        <f t="shared" si="61"/>
        <v>18339.416236546611</v>
      </c>
      <c r="AS119" s="106">
        <f t="shared" si="61"/>
        <v>23803.420911607223</v>
      </c>
      <c r="AT119" s="106">
        <f t="shared" si="61"/>
        <v>16392.745463044062</v>
      </c>
      <c r="AU119" s="106">
        <f t="shared" si="61"/>
        <v>37124.740281295752</v>
      </c>
      <c r="AV119" s="106">
        <f t="shared" si="61"/>
        <v>47592.577879453536</v>
      </c>
      <c r="AW119" s="106">
        <f t="shared" si="61"/>
        <v>43705.905168676793</v>
      </c>
      <c r="AX119" s="106">
        <f t="shared" si="61"/>
        <v>5554.9440718363958</v>
      </c>
      <c r="AY119" s="106">
        <f t="shared" si="61"/>
        <v>25860.431844412906</v>
      </c>
      <c r="AZ119" s="106">
        <f t="shared" si="61"/>
        <v>19913.041466316266</v>
      </c>
      <c r="BA119" s="106">
        <f t="shared" si="61"/>
        <v>30817.999843425216</v>
      </c>
      <c r="BB119" s="106">
        <f t="shared" si="61"/>
        <v>16623.95413591051</v>
      </c>
      <c r="BC119" s="106">
        <f t="shared" si="61"/>
        <v>31712.845362186697</v>
      </c>
      <c r="BD119" s="106">
        <f>SUM(F119:BC119)</f>
        <v>1261468.8507461702</v>
      </c>
      <c r="BE119" s="254"/>
      <c r="BF119" s="23"/>
    </row>
    <row r="120" spans="1:62">
      <c r="A120" s="104"/>
      <c r="E120" s="4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4"/>
      <c r="BF120" s="23"/>
    </row>
    <row r="121" spans="1:62">
      <c r="A121" s="104"/>
      <c r="E121" s="4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4"/>
      <c r="BF121" s="17"/>
    </row>
    <row r="122" spans="1:62" ht="17">
      <c r="A122" s="104"/>
      <c r="C122" s="56" t="s">
        <v>806</v>
      </c>
      <c r="E122" s="4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4"/>
      <c r="BF122" s="17"/>
    </row>
    <row r="123" spans="1:62">
      <c r="A123" s="104"/>
      <c r="B123" s="291" t="s">
        <v>809</v>
      </c>
      <c r="E123" s="4" t="s">
        <v>807</v>
      </c>
      <c r="F123" s="251">
        <f>0.2443*F14</f>
        <v>16238.361374595686</v>
      </c>
      <c r="G123" s="371">
        <f t="shared" ref="G123:BC123" si="62">0.2443*G14</f>
        <v>64248.549705659811</v>
      </c>
      <c r="H123" s="371">
        <f t="shared" si="62"/>
        <v>63914.186160465055</v>
      </c>
      <c r="I123" s="371">
        <f t="shared" si="62"/>
        <v>16733.539028506439</v>
      </c>
      <c r="J123" s="371">
        <f t="shared" si="62"/>
        <v>46059.568907209577</v>
      </c>
      <c r="K123" s="371">
        <f t="shared" si="62"/>
        <v>61683.061953117431</v>
      </c>
      <c r="L123" s="371">
        <f t="shared" si="62"/>
        <v>137136.48175262928</v>
      </c>
      <c r="M123" s="371">
        <f t="shared" si="62"/>
        <v>102796.18245941866</v>
      </c>
      <c r="N123" s="371">
        <f t="shared" si="62"/>
        <v>30905.098651272339</v>
      </c>
      <c r="O123" s="371">
        <f t="shared" si="62"/>
        <v>152272.8046357366</v>
      </c>
      <c r="P123" s="371">
        <f t="shared" si="62"/>
        <v>120789.07240505562</v>
      </c>
      <c r="Q123" s="371">
        <f t="shared" si="62"/>
        <v>105226.75101657734</v>
      </c>
      <c r="R123" s="371">
        <f t="shared" si="62"/>
        <v>72715.136756483305</v>
      </c>
      <c r="S123" s="371">
        <f t="shared" si="62"/>
        <v>48395.546647466857</v>
      </c>
      <c r="T123" s="371">
        <f t="shared" si="62"/>
        <v>68496.686514368484</v>
      </c>
      <c r="U123" s="371">
        <f t="shared" si="62"/>
        <v>78123.030108238992</v>
      </c>
      <c r="V123" s="371">
        <f t="shared" si="62"/>
        <v>78498.67137568719</v>
      </c>
      <c r="W123" s="371">
        <f t="shared" si="62"/>
        <v>61986.625270339842</v>
      </c>
      <c r="X123" s="371">
        <f t="shared" si="62"/>
        <v>85475.508659738582</v>
      </c>
      <c r="Y123" s="371">
        <f t="shared" si="62"/>
        <v>53260.168726397802</v>
      </c>
      <c r="Z123" s="371">
        <f t="shared" si="62"/>
        <v>109659.72327110151</v>
      </c>
      <c r="AA123" s="371">
        <f t="shared" si="62"/>
        <v>95520.346412903047</v>
      </c>
      <c r="AB123" s="371">
        <f t="shared" si="62"/>
        <v>82660.711298123046</v>
      </c>
      <c r="AC123" s="371">
        <f t="shared" si="62"/>
        <v>64844.273906876464</v>
      </c>
      <c r="AD123" s="371">
        <f t="shared" si="62"/>
        <v>74152.969294546201</v>
      </c>
      <c r="AE123" s="371">
        <f t="shared" si="62"/>
        <v>102869.24091037724</v>
      </c>
      <c r="AF123" s="371">
        <f t="shared" si="62"/>
        <v>70531.072364142121</v>
      </c>
      <c r="AG123" s="371">
        <f t="shared" si="62"/>
        <v>112084.14773155648</v>
      </c>
      <c r="AH123" s="371">
        <f t="shared" si="62"/>
        <v>58429.28871341682</v>
      </c>
      <c r="AI123" s="371">
        <f t="shared" si="62"/>
        <v>121840.02540150889</v>
      </c>
      <c r="AJ123" s="371">
        <f t="shared" si="62"/>
        <v>102989.10317890994</v>
      </c>
      <c r="AK123" s="371">
        <f t="shared" si="62"/>
        <v>97559.83187964141</v>
      </c>
      <c r="AL123" s="371">
        <f t="shared" si="62"/>
        <v>27165.670710141472</v>
      </c>
      <c r="AM123" s="371">
        <f t="shared" si="62"/>
        <v>56040.285897257789</v>
      </c>
      <c r="AN123" s="371">
        <f t="shared" si="62"/>
        <v>20198.981251415527</v>
      </c>
      <c r="AO123" s="371">
        <f t="shared" si="62"/>
        <v>54751.148566109965</v>
      </c>
      <c r="AP123" s="371">
        <f t="shared" si="62"/>
        <v>52978.997926205418</v>
      </c>
      <c r="AQ123" s="371">
        <f t="shared" si="62"/>
        <v>52690.070463208715</v>
      </c>
      <c r="AR123" s="371">
        <f t="shared" si="62"/>
        <v>54820.880956600151</v>
      </c>
      <c r="AS123" s="371">
        <f t="shared" si="62"/>
        <v>71154.091674664407</v>
      </c>
      <c r="AT123" s="371">
        <f t="shared" si="62"/>
        <v>49001.8185960868</v>
      </c>
      <c r="AU123" s="371">
        <f t="shared" si="62"/>
        <v>110974.68650337216</v>
      </c>
      <c r="AV123" s="371">
        <f t="shared" si="62"/>
        <v>142265.54502579643</v>
      </c>
      <c r="AW123" s="371">
        <f t="shared" si="62"/>
        <v>130647.35504381912</v>
      </c>
      <c r="AX123" s="371">
        <f t="shared" si="62"/>
        <v>16605.050223782833</v>
      </c>
      <c r="AY123" s="371">
        <f t="shared" si="62"/>
        <v>77302.987038577019</v>
      </c>
      <c r="AZ123" s="371">
        <f t="shared" si="62"/>
        <v>59524.821380810165</v>
      </c>
      <c r="BA123" s="371">
        <f t="shared" si="62"/>
        <v>92122.337971160552</v>
      </c>
      <c r="BB123" s="371">
        <f t="shared" si="62"/>
        <v>49692.95636011695</v>
      </c>
      <c r="BC123" s="371">
        <f t="shared" si="62"/>
        <v>94797.244250936856</v>
      </c>
      <c r="BD123" s="251">
        <f>SUM(F123:BC123)</f>
        <v>3770830.6963121309</v>
      </c>
      <c r="BE123" s="254"/>
      <c r="BF123" s="17"/>
    </row>
    <row r="124" spans="1:62">
      <c r="A124" s="104"/>
      <c r="B124" s="291"/>
      <c r="E124" s="4" t="s">
        <v>294</v>
      </c>
      <c r="F124" s="304">
        <f>F123*2.644664</f>
        <v>42945.00974638373</v>
      </c>
      <c r="G124" s="304">
        <f t="shared" ref="G124:BC124" si="63">G123*2.644664</f>
        <v>169915.82645876909</v>
      </c>
      <c r="H124" s="304">
        <f t="shared" si="63"/>
        <v>169031.54722788016</v>
      </c>
      <c r="I124" s="304">
        <f t="shared" si="63"/>
        <v>44254.588261285957</v>
      </c>
      <c r="J124" s="304">
        <f t="shared" si="63"/>
        <v>121812.08374441652</v>
      </c>
      <c r="K124" s="304">
        <f t="shared" si="63"/>
        <v>163130.97335717938</v>
      </c>
      <c r="L124" s="304">
        <f t="shared" si="63"/>
        <v>362679.91637783556</v>
      </c>
      <c r="M124" s="304">
        <f t="shared" si="63"/>
        <v>271861.36308785604</v>
      </c>
      <c r="N124" s="304">
        <f t="shared" si="63"/>
        <v>81733.601819468517</v>
      </c>
      <c r="O124" s="304">
        <f t="shared" si="63"/>
        <v>402710.40459916572</v>
      </c>
      <c r="P124" s="304">
        <f t="shared" si="63"/>
        <v>319446.51138304401</v>
      </c>
      <c r="Q124" s="304">
        <f t="shared" si="63"/>
        <v>278289.40025050554</v>
      </c>
      <c r="R124" s="304">
        <f t="shared" si="63"/>
        <v>192307.10443494818</v>
      </c>
      <c r="S124" s="304">
        <f t="shared" si="63"/>
        <v>127989.9599788763</v>
      </c>
      <c r="T124" s="304">
        <f t="shared" si="63"/>
        <v>181150.72094383583</v>
      </c>
      <c r="U124" s="304">
        <f t="shared" si="63"/>
        <v>206609.16529817577</v>
      </c>
      <c r="V124" s="304">
        <f t="shared" si="63"/>
        <v>207602.61023511039</v>
      </c>
      <c r="W124" s="304">
        <f t="shared" si="63"/>
        <v>163933.79633395805</v>
      </c>
      <c r="X124" s="304">
        <f t="shared" si="63"/>
        <v>226054.00063409889</v>
      </c>
      <c r="Y124" s="304">
        <f t="shared" si="63"/>
        <v>140855.25086463013</v>
      </c>
      <c r="Z124" s="304">
        <f t="shared" si="63"/>
        <v>290013.12238504441</v>
      </c>
      <c r="AA124" s="304">
        <f t="shared" si="63"/>
        <v>252619.22142573385</v>
      </c>
      <c r="AB124" s="304">
        <f t="shared" si="63"/>
        <v>218609.80738453931</v>
      </c>
      <c r="AC124" s="304">
        <f t="shared" si="63"/>
        <v>171491.31680765556</v>
      </c>
      <c r="AD124" s="304">
        <f t="shared" si="63"/>
        <v>196109.68838639173</v>
      </c>
      <c r="AE124" s="304">
        <f t="shared" si="63"/>
        <v>272054.57814300194</v>
      </c>
      <c r="AF124" s="304">
        <f t="shared" si="63"/>
        <v>186530.98796284158</v>
      </c>
      <c r="AG124" s="304">
        <f t="shared" si="63"/>
        <v>296424.9104763291</v>
      </c>
      <c r="AH124" s="304">
        <f t="shared" si="63"/>
        <v>154525.83640597979</v>
      </c>
      <c r="AI124" s="304">
        <f t="shared" si="63"/>
        <v>322225.92893845611</v>
      </c>
      <c r="AJ124" s="304">
        <f t="shared" si="63"/>
        <v>272371.57356954867</v>
      </c>
      <c r="AK124" s="304">
        <f t="shared" si="63"/>
        <v>258012.97521813997</v>
      </c>
      <c r="AL124" s="304">
        <f t="shared" si="63"/>
        <v>71844.071362965595</v>
      </c>
      <c r="AM124" s="304">
        <f t="shared" si="63"/>
        <v>148207.72666218539</v>
      </c>
      <c r="AN124" s="304">
        <f t="shared" si="63"/>
        <v>53419.518552293594</v>
      </c>
      <c r="AO124" s="304">
        <f t="shared" si="63"/>
        <v>144798.39157144265</v>
      </c>
      <c r="AP124" s="304">
        <f t="shared" si="63"/>
        <v>140111.64857151013</v>
      </c>
      <c r="AQ124" s="304">
        <f t="shared" si="63"/>
        <v>139347.53251151141</v>
      </c>
      <c r="AR124" s="304">
        <f t="shared" si="63"/>
        <v>144982.810314206</v>
      </c>
      <c r="AS124" s="304">
        <f t="shared" si="63"/>
        <v>188178.66470468469</v>
      </c>
      <c r="AT124" s="304">
        <f t="shared" si="63"/>
        <v>129593.3455756013</v>
      </c>
      <c r="AU124" s="304">
        <f t="shared" si="63"/>
        <v>293490.75830675423</v>
      </c>
      <c r="AV124" s="304">
        <f t="shared" si="63"/>
        <v>376244.56537010288</v>
      </c>
      <c r="AW124" s="304">
        <f t="shared" si="63"/>
        <v>345518.35657960683</v>
      </c>
      <c r="AX124" s="304">
        <f t="shared" si="63"/>
        <v>43914.778545030407</v>
      </c>
      <c r="AY124" s="304">
        <f t="shared" si="63"/>
        <v>204440.42691339127</v>
      </c>
      <c r="AZ124" s="304">
        <f t="shared" si="63"/>
        <v>157423.15221225895</v>
      </c>
      <c r="BA124" s="304">
        <f t="shared" si="63"/>
        <v>243632.63082816137</v>
      </c>
      <c r="BB124" s="304">
        <f t="shared" si="63"/>
        <v>131421.17273917235</v>
      </c>
      <c r="BC124" s="304">
        <f t="shared" si="63"/>
        <v>250706.85916965967</v>
      </c>
      <c r="BD124" s="304">
        <f>SUM(F124:BC124)</f>
        <v>9972580.1926316246</v>
      </c>
      <c r="BE124" s="295"/>
      <c r="BF124" s="17"/>
    </row>
    <row r="125" spans="1:62">
      <c r="A125" s="104"/>
      <c r="B125" s="291"/>
      <c r="E125" s="9" t="s">
        <v>130</v>
      </c>
      <c r="F125" s="302">
        <f>F103*2.644664*(1+F105)</f>
        <v>34.699537367189357</v>
      </c>
      <c r="G125" s="312">
        <f t="shared" ref="G125:BD125" si="64">G103*2.644664*(1+G105)</f>
        <v>33.555496862695428</v>
      </c>
      <c r="H125" s="312">
        <f t="shared" si="64"/>
        <v>42.523839838160008</v>
      </c>
      <c r="I125" s="312">
        <f t="shared" si="64"/>
        <v>224.67350454245349</v>
      </c>
      <c r="J125" s="312">
        <f t="shared" si="64"/>
        <v>30.928506776867216</v>
      </c>
      <c r="K125" s="312">
        <f t="shared" si="64"/>
        <v>8.3644098497445061</v>
      </c>
      <c r="L125" s="312">
        <f t="shared" si="64"/>
        <v>14.929458096446915</v>
      </c>
      <c r="M125" s="312">
        <f t="shared" si="64"/>
        <v>24.633344642137857</v>
      </c>
      <c r="N125" s="312">
        <f t="shared" si="64"/>
        <v>102.18795110839851</v>
      </c>
      <c r="O125" s="312">
        <f t="shared" si="64"/>
        <v>10.862318720914168</v>
      </c>
      <c r="P125" s="312">
        <f t="shared" si="64"/>
        <v>43.743395027943436</v>
      </c>
      <c r="Q125" s="312">
        <f t="shared" si="64"/>
        <v>16.442345573363987</v>
      </c>
      <c r="R125" s="312">
        <f t="shared" si="64"/>
        <v>15.00164998196612</v>
      </c>
      <c r="S125" s="312">
        <f t="shared" si="64"/>
        <v>25.739412194115015</v>
      </c>
      <c r="T125" s="312">
        <f t="shared" si="64"/>
        <v>15.141616745424342</v>
      </c>
      <c r="U125" s="312">
        <f t="shared" si="64"/>
        <v>20.223142686393079</v>
      </c>
      <c r="V125" s="312">
        <f t="shared" si="64"/>
        <v>14.209759267824476</v>
      </c>
      <c r="W125" s="312">
        <f t="shared" si="64"/>
        <v>22.437967931800369</v>
      </c>
      <c r="X125" s="312">
        <f t="shared" si="64"/>
        <v>13.967879824567859</v>
      </c>
      <c r="Y125" s="312">
        <f t="shared" si="64"/>
        <v>17.938551053063204</v>
      </c>
      <c r="Z125" s="312">
        <f t="shared" si="64"/>
        <v>31.255222782060031</v>
      </c>
      <c r="AA125" s="312">
        <f t="shared" si="64"/>
        <v>32.211191384021539</v>
      </c>
      <c r="AB125" s="312">
        <f t="shared" si="64"/>
        <v>20.48438615930775</v>
      </c>
      <c r="AC125" s="312">
        <f t="shared" si="64"/>
        <v>24.810370596453883</v>
      </c>
      <c r="AD125" s="312">
        <f t="shared" si="64"/>
        <v>16.826851501333948</v>
      </c>
      <c r="AE125" s="312">
        <f t="shared" si="64"/>
        <v>27.822455765737701</v>
      </c>
      <c r="AF125" s="312">
        <f t="shared" si="64"/>
        <v>15.688508144257394</v>
      </c>
      <c r="AG125" s="312">
        <f t="shared" si="64"/>
        <v>23.840222512806555</v>
      </c>
      <c r="AH125" s="312">
        <f t="shared" si="64"/>
        <v>20.903631671272205</v>
      </c>
      <c r="AI125" s="312">
        <f t="shared" si="64"/>
        <v>23.331550370593639</v>
      </c>
      <c r="AJ125" s="312">
        <f t="shared" si="64"/>
        <v>19.060121877608651</v>
      </c>
      <c r="AK125" s="312">
        <f t="shared" si="64"/>
        <v>33.053777696822074</v>
      </c>
      <c r="AL125" s="312">
        <f t="shared" si="64"/>
        <v>86.613572010626385</v>
      </c>
      <c r="AM125" s="312">
        <f t="shared" si="64"/>
        <v>8.1797795392029293</v>
      </c>
      <c r="AN125" s="312">
        <f t="shared" si="64"/>
        <v>23.302929872123674</v>
      </c>
      <c r="AO125" s="312">
        <f t="shared" si="64"/>
        <v>2.0493564576609113</v>
      </c>
      <c r="AP125" s="312">
        <f t="shared" si="64"/>
        <v>10.300526577964852</v>
      </c>
      <c r="AQ125" s="312">
        <f t="shared" si="64"/>
        <v>10.682230566237253</v>
      </c>
      <c r="AR125" s="312">
        <f t="shared" si="64"/>
        <v>10.09648737729635</v>
      </c>
      <c r="AS125" s="312">
        <f t="shared" si="64"/>
        <v>10.847951050583472</v>
      </c>
      <c r="AT125" s="312">
        <f t="shared" si="64"/>
        <v>16.940429584595872</v>
      </c>
      <c r="AU125" s="312">
        <f t="shared" si="64"/>
        <v>2.7538860514935135</v>
      </c>
      <c r="AV125" s="312">
        <f t="shared" si="64"/>
        <v>9.057621851310822</v>
      </c>
      <c r="AW125" s="312">
        <f t="shared" si="64"/>
        <v>22.48719658051283</v>
      </c>
      <c r="AX125" s="312">
        <f t="shared" si="64"/>
        <v>120.94047410858761</v>
      </c>
      <c r="AY125" s="312">
        <f t="shared" si="64"/>
        <v>29.855382674383709</v>
      </c>
      <c r="AZ125" s="312">
        <f t="shared" si="64"/>
        <v>93.126977281129726</v>
      </c>
      <c r="BA125" s="312">
        <f t="shared" si="64"/>
        <v>54.34921998424678</v>
      </c>
      <c r="BB125" s="312">
        <f t="shared" si="64"/>
        <v>37.734061693987073</v>
      </c>
      <c r="BC125" s="312">
        <f t="shared" si="64"/>
        <v>29.105838538743349</v>
      </c>
      <c r="BD125" s="312">
        <f t="shared" si="64"/>
        <v>25.196178445189421</v>
      </c>
      <c r="BE125" s="254"/>
      <c r="BF125" s="17"/>
    </row>
    <row r="126" spans="1:62">
      <c r="A126" s="104"/>
      <c r="B126" s="291"/>
      <c r="E126" s="9" t="s">
        <v>95</v>
      </c>
      <c r="F126" s="304">
        <f>F125*F123</f>
        <v>563463.62729970738</v>
      </c>
      <c r="G126" s="304">
        <f t="shared" ref="G126:BC126" si="65">G125*G123</f>
        <v>2155892.0080809989</v>
      </c>
      <c r="H126" s="304">
        <f t="shared" si="65"/>
        <v>2717876.6156739588</v>
      </c>
      <c r="I126" s="304">
        <f t="shared" si="65"/>
        <v>3759582.8569324641</v>
      </c>
      <c r="J126" s="304">
        <f t="shared" si="65"/>
        <v>1424553.6890862139</v>
      </c>
      <c r="K126" s="304">
        <f t="shared" si="65"/>
        <v>515942.41096305603</v>
      </c>
      <c r="L126" s="304">
        <f t="shared" si="65"/>
        <v>2047373.3578200357</v>
      </c>
      <c r="M126" s="304">
        <f t="shared" si="65"/>
        <v>2532213.7904189462</v>
      </c>
      <c r="N126" s="304">
        <f t="shared" si="65"/>
        <v>3158128.7099764505</v>
      </c>
      <c r="O126" s="304">
        <f t="shared" si="65"/>
        <v>1654035.7364808673</v>
      </c>
      <c r="P126" s="304">
        <f t="shared" si="65"/>
        <v>5283724.1092732092</v>
      </c>
      <c r="Q126" s="304">
        <f t="shared" si="65"/>
        <v>1730174.603776895</v>
      </c>
      <c r="R126" s="304">
        <f t="shared" si="65"/>
        <v>1090847.0300115617</v>
      </c>
      <c r="S126" s="304">
        <f t="shared" si="65"/>
        <v>1245672.9235186705</v>
      </c>
      <c r="T126" s="304">
        <f t="shared" si="65"/>
        <v>1037150.5755320436</v>
      </c>
      <c r="U126" s="304">
        <f t="shared" si="65"/>
        <v>1579893.1849722997</v>
      </c>
      <c r="V126" s="304">
        <f t="shared" si="65"/>
        <v>1115447.2230925788</v>
      </c>
      <c r="W126" s="304">
        <f t="shared" si="65"/>
        <v>1390853.9100164117</v>
      </c>
      <c r="X126" s="304">
        <f t="shared" si="65"/>
        <v>1193911.6329030378</v>
      </c>
      <c r="Y126" s="304">
        <f t="shared" si="65"/>
        <v>955410.25579324726</v>
      </c>
      <c r="Z126" s="304">
        <f t="shared" si="65"/>
        <v>3427439.0810573306</v>
      </c>
      <c r="AA126" s="304">
        <f t="shared" si="65"/>
        <v>3076824.1593740555</v>
      </c>
      <c r="AB126" s="304">
        <f t="shared" si="65"/>
        <v>1693253.9304338056</v>
      </c>
      <c r="AC126" s="304">
        <f t="shared" si="65"/>
        <v>1608810.4666875696</v>
      </c>
      <c r="AD126" s="304">
        <f t="shared" si="65"/>
        <v>1247761.0027023049</v>
      </c>
      <c r="AE126" s="304">
        <f t="shared" si="65"/>
        <v>2862074.9048839859</v>
      </c>
      <c r="AF126" s="304">
        <f t="shared" si="65"/>
        <v>1106527.3032080512</v>
      </c>
      <c r="AG126" s="304">
        <f t="shared" si="65"/>
        <v>2672111.0220785886</v>
      </c>
      <c r="AH126" s="304">
        <f t="shared" si="65"/>
        <v>1221384.3300796873</v>
      </c>
      <c r="AI126" s="304">
        <f t="shared" si="65"/>
        <v>2842716.689809713</v>
      </c>
      <c r="AJ126" s="304">
        <f t="shared" si="65"/>
        <v>1962984.858655636</v>
      </c>
      <c r="AK126" s="304">
        <f t="shared" si="65"/>
        <v>3224720.9950890024</v>
      </c>
      <c r="AL126" s="304">
        <f t="shared" si="65"/>
        <v>2352915.7762698024</v>
      </c>
      <c r="AM126" s="304">
        <f t="shared" si="65"/>
        <v>458397.18395347171</v>
      </c>
      <c r="AN126" s="304">
        <f t="shared" si="65"/>
        <v>470695.44359007693</v>
      </c>
      <c r="AO126" s="304">
        <f t="shared" si="65"/>
        <v>112204.6198783094</v>
      </c>
      <c r="AP126" s="304">
        <f t="shared" si="65"/>
        <v>545711.57621282374</v>
      </c>
      <c r="AQ126" s="304">
        <f t="shared" si="65"/>
        <v>562847.48123928276</v>
      </c>
      <c r="AR126" s="304">
        <f t="shared" si="65"/>
        <v>553498.33259057929</v>
      </c>
      <c r="AS126" s="304">
        <f t="shared" si="65"/>
        <v>771876.10353548836</v>
      </c>
      <c r="AT126" s="304">
        <f t="shared" si="65"/>
        <v>830111.85744414898</v>
      </c>
      <c r="AU126" s="304">
        <f t="shared" si="65"/>
        <v>305611.64123050205</v>
      </c>
      <c r="AV126" s="304">
        <f t="shared" si="65"/>
        <v>1288587.5093142972</v>
      </c>
      <c r="AW126" s="304">
        <f t="shared" si="65"/>
        <v>2937892.7555944147</v>
      </c>
      <c r="AX126" s="304">
        <f t="shared" si="65"/>
        <v>2008222.6466612045</v>
      </c>
      <c r="AY126" s="304">
        <f t="shared" si="65"/>
        <v>2307910.2599096405</v>
      </c>
      <c r="AZ126" s="304">
        <f t="shared" si="65"/>
        <v>5543366.6883940129</v>
      </c>
      <c r="BA126" s="304">
        <f t="shared" si="65"/>
        <v>5006777.2118577352</v>
      </c>
      <c r="BB126" s="304">
        <f t="shared" si="65"/>
        <v>1875117.0810492602</v>
      </c>
      <c r="BC126" s="304">
        <f t="shared" si="65"/>
        <v>2759153.2850855845</v>
      </c>
      <c r="BD126" s="304">
        <f>SUM(F126:BC126)</f>
        <v>94789654.449493051</v>
      </c>
      <c r="BE126" s="295"/>
      <c r="BF126" s="17"/>
    </row>
    <row r="127" spans="1:62">
      <c r="A127" s="104"/>
      <c r="E127" s="4" t="s">
        <v>808</v>
      </c>
      <c r="F127" s="304">
        <f>0.688*(F17-F125)</f>
        <v>281.22197864942717</v>
      </c>
      <c r="G127" s="304">
        <f t="shared" ref="G127:BD127" si="66">0.688*(G17-G125)</f>
        <v>282.00907851651897</v>
      </c>
      <c r="H127" s="304">
        <f t="shared" si="66"/>
        <v>275.83885854939933</v>
      </c>
      <c r="I127" s="304">
        <f t="shared" si="66"/>
        <v>413.0621496257229</v>
      </c>
      <c r="J127" s="304">
        <f t="shared" si="66"/>
        <v>283.8164476955688</v>
      </c>
      <c r="K127" s="304">
        <f t="shared" si="66"/>
        <v>299.34054638142919</v>
      </c>
      <c r="L127" s="304">
        <f t="shared" si="66"/>
        <v>266.22921889510718</v>
      </c>
      <c r="M127" s="304">
        <f t="shared" si="66"/>
        <v>259.55294495167186</v>
      </c>
      <c r="N127" s="304">
        <f t="shared" si="66"/>
        <v>206.19537570288449</v>
      </c>
      <c r="O127" s="304">
        <f t="shared" si="66"/>
        <v>269.02741078547371</v>
      </c>
      <c r="P127" s="304">
        <f t="shared" si="66"/>
        <v>246.40523028623758</v>
      </c>
      <c r="Q127" s="304">
        <f t="shared" si="66"/>
        <v>265.18835231098825</v>
      </c>
      <c r="R127" s="304">
        <f t="shared" si="66"/>
        <v>322.02357597635353</v>
      </c>
      <c r="S127" s="304">
        <f t="shared" si="66"/>
        <v>314.63599557439511</v>
      </c>
      <c r="T127" s="304">
        <f t="shared" si="66"/>
        <v>321.92727884309426</v>
      </c>
      <c r="U127" s="304">
        <f t="shared" si="66"/>
        <v>318.43118899570777</v>
      </c>
      <c r="V127" s="304">
        <f t="shared" si="66"/>
        <v>322.56839678768296</v>
      </c>
      <c r="W127" s="304">
        <f t="shared" si="66"/>
        <v>316.90738922686756</v>
      </c>
      <c r="X127" s="304">
        <f t="shared" si="66"/>
        <v>322.73480984464351</v>
      </c>
      <c r="Y127" s="304">
        <f t="shared" si="66"/>
        <v>320.00298803943878</v>
      </c>
      <c r="Z127" s="304">
        <f t="shared" si="66"/>
        <v>289.92901846341204</v>
      </c>
      <c r="AA127" s="304">
        <f t="shared" si="66"/>
        <v>289.27131206526252</v>
      </c>
      <c r="AB127" s="304">
        <f t="shared" si="66"/>
        <v>318.25145348634248</v>
      </c>
      <c r="AC127" s="304">
        <f t="shared" si="66"/>
        <v>294.36307676710908</v>
      </c>
      <c r="AD127" s="304">
        <f t="shared" si="66"/>
        <v>320.76783733102849</v>
      </c>
      <c r="AE127" s="304">
        <f t="shared" si="66"/>
        <v>292.29076217064181</v>
      </c>
      <c r="AF127" s="304">
        <f t="shared" si="66"/>
        <v>300.63891813422026</v>
      </c>
      <c r="AG127" s="304">
        <f t="shared" si="66"/>
        <v>295.03053864865842</v>
      </c>
      <c r="AH127" s="304">
        <f t="shared" si="66"/>
        <v>267.86720253510504</v>
      </c>
      <c r="AI127" s="304">
        <f t="shared" si="66"/>
        <v>266.19679446997191</v>
      </c>
      <c r="AJ127" s="304">
        <f t="shared" si="66"/>
        <v>269.13553727314559</v>
      </c>
      <c r="AK127" s="304">
        <f t="shared" si="66"/>
        <v>259.50790206952672</v>
      </c>
      <c r="AL127" s="304">
        <f t="shared" si="66"/>
        <v>272.75457362063526</v>
      </c>
      <c r="AM127" s="304">
        <f t="shared" si="66"/>
        <v>326.71702284097461</v>
      </c>
      <c r="AN127" s="304">
        <f t="shared" si="66"/>
        <v>316.31229541192511</v>
      </c>
      <c r="AO127" s="304">
        <f t="shared" si="66"/>
        <v>330.93475392107553</v>
      </c>
      <c r="AP127" s="304">
        <f t="shared" si="66"/>
        <v>325.25794887830642</v>
      </c>
      <c r="AQ127" s="304">
        <f t="shared" si="66"/>
        <v>324.99533653437499</v>
      </c>
      <c r="AR127" s="304">
        <f t="shared" si="66"/>
        <v>325.39832784836636</v>
      </c>
      <c r="AS127" s="304">
        <f t="shared" si="66"/>
        <v>324.88132084114483</v>
      </c>
      <c r="AT127" s="304">
        <f t="shared" si="66"/>
        <v>320.68969560974426</v>
      </c>
      <c r="AU127" s="304">
        <f t="shared" si="66"/>
        <v>330.45003756051869</v>
      </c>
      <c r="AV127" s="304">
        <f t="shared" si="66"/>
        <v>305.20096790376749</v>
      </c>
      <c r="AW127" s="304">
        <f t="shared" si="66"/>
        <v>295.96142049007653</v>
      </c>
      <c r="AX127" s="304">
        <f t="shared" si="66"/>
        <v>228.22556555076105</v>
      </c>
      <c r="AY127" s="304">
        <f t="shared" si="66"/>
        <v>290.89210845749335</v>
      </c>
      <c r="AZ127" s="304">
        <f t="shared" si="66"/>
        <v>247.36125136805211</v>
      </c>
      <c r="BA127" s="304">
        <f t="shared" si="66"/>
        <v>274.04034838830756</v>
      </c>
      <c r="BB127" s="304">
        <f t="shared" si="66"/>
        <v>285.47157729200626</v>
      </c>
      <c r="BC127" s="304">
        <f t="shared" si="66"/>
        <v>291.40779482281391</v>
      </c>
      <c r="BD127" s="304">
        <f t="shared" si="66"/>
        <v>292.80205254817605</v>
      </c>
      <c r="BE127" s="254"/>
      <c r="BF127" s="17"/>
    </row>
    <row r="128" spans="1:62">
      <c r="A128" s="104"/>
      <c r="E128" s="4" t="s">
        <v>878</v>
      </c>
      <c r="F128" s="304">
        <f>F125+F127</f>
        <v>315.92151601661652</v>
      </c>
      <c r="G128" s="304">
        <f t="shared" ref="G128:BD128" si="67">G125+G127</f>
        <v>315.56457537921438</v>
      </c>
      <c r="H128" s="304">
        <f t="shared" si="67"/>
        <v>318.36269838755936</v>
      </c>
      <c r="I128" s="304">
        <f t="shared" si="67"/>
        <v>637.73565416817632</v>
      </c>
      <c r="J128" s="304">
        <f t="shared" si="67"/>
        <v>314.74495447243601</v>
      </c>
      <c r="K128" s="304">
        <f t="shared" si="67"/>
        <v>307.7049562311737</v>
      </c>
      <c r="L128" s="304">
        <f t="shared" si="67"/>
        <v>281.1586769915541</v>
      </c>
      <c r="M128" s="304">
        <f t="shared" si="67"/>
        <v>284.1862895938097</v>
      </c>
      <c r="N128" s="304">
        <f t="shared" si="67"/>
        <v>308.38332681128298</v>
      </c>
      <c r="O128" s="304">
        <f t="shared" si="67"/>
        <v>279.88972950638788</v>
      </c>
      <c r="P128" s="304">
        <f t="shared" si="67"/>
        <v>290.148625314181</v>
      </c>
      <c r="Q128" s="304">
        <f t="shared" si="67"/>
        <v>281.63069788435223</v>
      </c>
      <c r="R128" s="304">
        <f t="shared" si="67"/>
        <v>337.02522595831965</v>
      </c>
      <c r="S128" s="304">
        <f t="shared" si="67"/>
        <v>340.37540776851012</v>
      </c>
      <c r="T128" s="304">
        <f t="shared" si="67"/>
        <v>337.06889558851861</v>
      </c>
      <c r="U128" s="304">
        <f t="shared" si="67"/>
        <v>338.65433168210086</v>
      </c>
      <c r="V128" s="304">
        <f t="shared" si="67"/>
        <v>336.77815605550745</v>
      </c>
      <c r="W128" s="304">
        <f t="shared" si="67"/>
        <v>339.34535715866792</v>
      </c>
      <c r="X128" s="304">
        <f t="shared" si="67"/>
        <v>336.7026896692114</v>
      </c>
      <c r="Y128" s="304">
        <f t="shared" si="67"/>
        <v>337.94153909250196</v>
      </c>
      <c r="Z128" s="304">
        <f t="shared" si="67"/>
        <v>321.18424124547209</v>
      </c>
      <c r="AA128" s="304">
        <f t="shared" si="67"/>
        <v>321.48250344928408</v>
      </c>
      <c r="AB128" s="304">
        <f t="shared" si="67"/>
        <v>338.73583964565023</v>
      </c>
      <c r="AC128" s="304">
        <f t="shared" si="67"/>
        <v>319.17344736356296</v>
      </c>
      <c r="AD128" s="304">
        <f t="shared" si="67"/>
        <v>337.59468883236241</v>
      </c>
      <c r="AE128" s="304">
        <f t="shared" si="67"/>
        <v>320.1132179363795</v>
      </c>
      <c r="AF128" s="304">
        <f t="shared" si="67"/>
        <v>316.32742627847767</v>
      </c>
      <c r="AG128" s="304">
        <f t="shared" si="67"/>
        <v>318.870761161465</v>
      </c>
      <c r="AH128" s="304">
        <f t="shared" si="67"/>
        <v>288.77083420637723</v>
      </c>
      <c r="AI128" s="304">
        <f t="shared" si="67"/>
        <v>289.52834484056552</v>
      </c>
      <c r="AJ128" s="304">
        <f t="shared" si="67"/>
        <v>288.19565915075424</v>
      </c>
      <c r="AK128" s="304">
        <f t="shared" si="67"/>
        <v>292.56167976634879</v>
      </c>
      <c r="AL128" s="304">
        <f t="shared" si="67"/>
        <v>359.36814563126165</v>
      </c>
      <c r="AM128" s="304">
        <f t="shared" si="67"/>
        <v>334.89680238017752</v>
      </c>
      <c r="AN128" s="304">
        <f t="shared" si="67"/>
        <v>339.61522528404879</v>
      </c>
      <c r="AO128" s="304">
        <f t="shared" si="67"/>
        <v>332.98411037873643</v>
      </c>
      <c r="AP128" s="304">
        <f t="shared" si="67"/>
        <v>335.55847545627125</v>
      </c>
      <c r="AQ128" s="304">
        <f t="shared" si="67"/>
        <v>335.67756710061224</v>
      </c>
      <c r="AR128" s="304">
        <f t="shared" si="67"/>
        <v>335.49481522566271</v>
      </c>
      <c r="AS128" s="304">
        <f t="shared" si="67"/>
        <v>335.72927189172827</v>
      </c>
      <c r="AT128" s="304">
        <f t="shared" si="67"/>
        <v>337.63012519434011</v>
      </c>
      <c r="AU128" s="304">
        <f t="shared" si="67"/>
        <v>333.2039236120122</v>
      </c>
      <c r="AV128" s="304">
        <f t="shared" si="67"/>
        <v>314.25858975507833</v>
      </c>
      <c r="AW128" s="304">
        <f t="shared" si="67"/>
        <v>318.44861707058936</v>
      </c>
      <c r="AX128" s="304">
        <f t="shared" si="67"/>
        <v>349.16603965934866</v>
      </c>
      <c r="AY128" s="304">
        <f t="shared" si="67"/>
        <v>320.74749113187704</v>
      </c>
      <c r="AZ128" s="304">
        <f t="shared" si="67"/>
        <v>340.48822864918185</v>
      </c>
      <c r="BA128" s="304">
        <f t="shared" si="67"/>
        <v>328.38956837255432</v>
      </c>
      <c r="BB128" s="304">
        <f t="shared" si="67"/>
        <v>323.20563898599335</v>
      </c>
      <c r="BC128" s="304">
        <f t="shared" si="67"/>
        <v>320.51363336155725</v>
      </c>
      <c r="BD128" s="311">
        <f t="shared" si="67"/>
        <v>317.9982309933655</v>
      </c>
      <c r="BE128" s="254"/>
      <c r="BF128" s="17"/>
    </row>
    <row r="129" spans="1:58">
      <c r="A129" s="104"/>
      <c r="E129" s="4" t="s">
        <v>797</v>
      </c>
      <c r="F129" s="304">
        <f>F128*F123</f>
        <v>5130047.7430879381</v>
      </c>
      <c r="G129" s="304">
        <f t="shared" ref="G129:Z129" si="68">G128*G123</f>
        <v>20274566.306596886</v>
      </c>
      <c r="H129" s="304">
        <f t="shared" si="68"/>
        <v>20347892.771290459</v>
      </c>
      <c r="I129" s="304">
        <f t="shared" si="68"/>
        <v>10671574.458893264</v>
      </c>
      <c r="J129" s="304">
        <f t="shared" si="68"/>
        <v>14497016.918719707</v>
      </c>
      <c r="K129" s="304">
        <f t="shared" si="68"/>
        <v>18980183.878488775</v>
      </c>
      <c r="L129" s="304">
        <f t="shared" si="68"/>
        <v>38557111.776845649</v>
      </c>
      <c r="M129" s="304">
        <f t="shared" si="68"/>
        <v>29213265.677550454</v>
      </c>
      <c r="N129" s="304">
        <f t="shared" si="68"/>
        <v>9530617.1375102587</v>
      </c>
      <c r="O129" s="304">
        <f t="shared" si="68"/>
        <v>42619594.100675359</v>
      </c>
      <c r="P129" s="304">
        <f t="shared" si="68"/>
        <v>35046783.311301962</v>
      </c>
      <c r="Q129" s="304">
        <f t="shared" si="68"/>
        <v>29635083.324901648</v>
      </c>
      <c r="R129" s="304">
        <f t="shared" si="68"/>
        <v>24506835.395943902</v>
      </c>
      <c r="S129" s="304">
        <f t="shared" si="68"/>
        <v>16472653.924311485</v>
      </c>
      <c r="T129" s="304">
        <f t="shared" si="68"/>
        <v>23088102.474871162</v>
      </c>
      <c r="U129" s="304">
        <f t="shared" si="68"/>
        <v>26456702.550286319</v>
      </c>
      <c r="V129" s="304">
        <f t="shared" si="68"/>
        <v>26436637.798711177</v>
      </c>
      <c r="W129" s="304">
        <f t="shared" si="68"/>
        <v>21034873.491423983</v>
      </c>
      <c r="X129" s="304">
        <f t="shared" si="68"/>
        <v>28779833.66657795</v>
      </c>
      <c r="Y129" s="304">
        <f t="shared" si="68"/>
        <v>17998823.391725212</v>
      </c>
      <c r="Z129" s="304">
        <f t="shared" si="68"/>
        <v>35220975.01401718</v>
      </c>
      <c r="AA129" s="304">
        <f t="shared" ref="AA129" si="69">AA128*AA123</f>
        <v>30708120.095162913</v>
      </c>
      <c r="AB129" s="304">
        <f t="shared" ref="AB129" si="70">AB128*AB123</f>
        <v>28000145.447276395</v>
      </c>
      <c r="AC129" s="304">
        <f t="shared" ref="AC129" si="71">AC128*AC123</f>
        <v>20696570.444644894</v>
      </c>
      <c r="AD129" s="304">
        <f t="shared" ref="AD129" si="72">AD128*AD123</f>
        <v>25033648.594988048</v>
      </c>
      <c r="AE129" s="304">
        <f t="shared" ref="AE129" si="73">AE128*AE123</f>
        <v>32929803.734493513</v>
      </c>
      <c r="AF129" s="304">
        <f t="shared" ref="AF129" si="74">AF128*AF123</f>
        <v>22310912.593610141</v>
      </c>
      <c r="AG129" s="304">
        <f t="shared" ref="AG129" si="75">AG128*AG123</f>
        <v>35740357.501295507</v>
      </c>
      <c r="AH129" s="304">
        <f t="shared" ref="AH129" si="76">AH128*AH123</f>
        <v>16872674.443858638</v>
      </c>
      <c r="AI129" s="304">
        <f t="shared" ref="AI129" si="77">AI128*AI123</f>
        <v>35276140.889831327</v>
      </c>
      <c r="AJ129" s="304">
        <f t="shared" ref="AJ129" si="78">AJ128*AJ123</f>
        <v>29681012.475990988</v>
      </c>
      <c r="AK129" s="304">
        <f t="shared" ref="AK129" si="79">AK128*AK123</f>
        <v>28542268.292430475</v>
      </c>
      <c r="AL129" s="304">
        <f t="shared" ref="AL129" si="80">AL128*AL123</f>
        <v>9762476.7079330198</v>
      </c>
      <c r="AM129" s="304">
        <f t="shared" ref="AM129" si="81">AM128*AM123</f>
        <v>18767712.551462591</v>
      </c>
      <c r="AN129" s="304">
        <f t="shared" ref="AN129" si="82">AN128*AN123</f>
        <v>6859881.5682077622</v>
      </c>
      <c r="AO129" s="304">
        <f t="shared" ref="AO129" si="83">AO128*AO123</f>
        <v>18231262.497500159</v>
      </c>
      <c r="AP129" s="304">
        <f t="shared" ref="AP129" si="84">AP128*AP123</f>
        <v>17777551.775318448</v>
      </c>
      <c r="AQ129" s="304">
        <f t="shared" ref="AQ129" si="85">AQ128*AQ123</f>
        <v>17686874.663449731</v>
      </c>
      <c r="AR129" s="304">
        <f t="shared" ref="AR129" si="86">AR128*AR123</f>
        <v>18392121.327042621</v>
      </c>
      <c r="AS129" s="304">
        <f t="shared" ref="AS129" si="87">AS128*AS123</f>
        <v>23888511.390052367</v>
      </c>
      <c r="AT129" s="304">
        <f t="shared" ref="AT129" si="88">AT128*AT123</f>
        <v>16544490.14734713</v>
      </c>
      <c r="AU129" s="304">
        <f t="shared" ref="AU129" si="89">AU128*AU123</f>
        <v>36977200.964536615</v>
      </c>
      <c r="AV129" s="304">
        <f t="shared" ref="AV129" si="90">AV128*AV123</f>
        <v>44708169.550544381</v>
      </c>
      <c r="AW129" s="304">
        <f t="shared" ref="AW129" si="91">AW128*AW123</f>
        <v>41604469.537634484</v>
      </c>
      <c r="AX129" s="304">
        <f t="shared" ref="AX129" si="92">AX128*AX123</f>
        <v>5797919.6249828329</v>
      </c>
      <c r="AY129" s="304">
        <f t="shared" ref="AY129" si="93">AY128*AY123</f>
        <v>24794739.149623588</v>
      </c>
      <c r="AZ129" s="304">
        <f t="shared" ref="AZ129" si="94">AZ128*AZ123</f>
        <v>20267500.992610998</v>
      </c>
      <c r="BA129" s="304">
        <f t="shared" ref="BA129" si="95">BA128*BA123</f>
        <v>30252014.803819984</v>
      </c>
      <c r="BB129" s="304">
        <f t="shared" ref="BB129" si="96">BB128*BB123</f>
        <v>16061043.713474682</v>
      </c>
      <c r="BC129" s="304">
        <f t="shared" ref="BC129" si="97">BC128*BC123</f>
        <v>30383809.187530767</v>
      </c>
      <c r="BD129" s="304">
        <f>SUM(F129:BC129)</f>
        <v>1199048579.7803857</v>
      </c>
      <c r="BE129" s="254"/>
      <c r="BF129" s="17"/>
    </row>
    <row r="130" spans="1:58">
      <c r="A130" s="104"/>
      <c r="E130" s="4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4"/>
      <c r="BF130" s="17"/>
    </row>
    <row r="131" spans="1:58">
      <c r="A131" s="104"/>
      <c r="B131" s="291" t="s">
        <v>798</v>
      </c>
      <c r="E131" s="4" t="s">
        <v>807</v>
      </c>
      <c r="F131" s="251">
        <f>(0.461184*F14)-175</f>
        <v>30479.410365049273</v>
      </c>
      <c r="G131" s="371">
        <f t="shared" ref="G131:BC131" si="98">0.461184*G14</f>
        <v>121286.9551676423</v>
      </c>
      <c r="H131" s="371">
        <f t="shared" si="98"/>
        <v>120655.75124939793</v>
      </c>
      <c r="I131" s="371">
        <f t="shared" si="98"/>
        <v>31589.195510940292</v>
      </c>
      <c r="J131" s="371">
        <f t="shared" si="98"/>
        <v>86950.209688508156</v>
      </c>
      <c r="K131" s="371">
        <f t="shared" si="98"/>
        <v>116443.88556605202</v>
      </c>
      <c r="L131" s="371">
        <f t="shared" si="98"/>
        <v>258883.14040362087</v>
      </c>
      <c r="M131" s="371">
        <f t="shared" si="98"/>
        <v>194056.30213411598</v>
      </c>
      <c r="N131" s="371">
        <f t="shared" si="98"/>
        <v>58341.944397823914</v>
      </c>
      <c r="O131" s="371">
        <f t="shared" si="98"/>
        <v>287457.14749540546</v>
      </c>
      <c r="P131" s="371">
        <f t="shared" si="98"/>
        <v>228022.87174806866</v>
      </c>
      <c r="Q131" s="371">
        <f t="shared" si="98"/>
        <v>198644.67433822845</v>
      </c>
      <c r="R131" s="371">
        <f t="shared" si="98"/>
        <v>137269.9862050839</v>
      </c>
      <c r="S131" s="371">
        <f t="shared" si="98"/>
        <v>91360.015493513536</v>
      </c>
      <c r="T131" s="371">
        <f t="shared" si="98"/>
        <v>129306.49149996936</v>
      </c>
      <c r="U131" s="371">
        <f t="shared" si="98"/>
        <v>147478.88463953373</v>
      </c>
      <c r="V131" s="371">
        <f t="shared" si="98"/>
        <v>148188.01170579172</v>
      </c>
      <c r="W131" s="371">
        <f t="shared" si="98"/>
        <v>117016.94551238808</v>
      </c>
      <c r="X131" s="371">
        <f t="shared" si="98"/>
        <v>161358.72691663069</v>
      </c>
      <c r="Y131" s="371">
        <f t="shared" si="98"/>
        <v>100543.33873890727</v>
      </c>
      <c r="Z131" s="371">
        <f t="shared" si="98"/>
        <v>207013.13883364585</v>
      </c>
      <c r="AA131" s="371">
        <f t="shared" si="98"/>
        <v>180321.14383990291</v>
      </c>
      <c r="AB131" s="371">
        <f t="shared" si="98"/>
        <v>156045.0162886352</v>
      </c>
      <c r="AC131" s="371">
        <f t="shared" si="98"/>
        <v>122411.54980543969</v>
      </c>
      <c r="AD131" s="371">
        <f t="shared" si="98"/>
        <v>139984.29386465819</v>
      </c>
      <c r="AE131" s="371">
        <f t="shared" si="98"/>
        <v>194194.22022108643</v>
      </c>
      <c r="AF131" s="371">
        <f t="shared" si="98"/>
        <v>133146.95897333001</v>
      </c>
      <c r="AG131" s="371">
        <f t="shared" si="98"/>
        <v>211589.91235133095</v>
      </c>
      <c r="AH131" s="371">
        <f t="shared" si="98"/>
        <v>110301.48623007949</v>
      </c>
      <c r="AI131" s="371">
        <f t="shared" si="98"/>
        <v>230006.83698227373</v>
      </c>
      <c r="AJ131" s="371">
        <f t="shared" si="98"/>
        <v>194420.49349350142</v>
      </c>
      <c r="AK131" s="371">
        <f t="shared" si="98"/>
        <v>184171.23825452535</v>
      </c>
      <c r="AL131" s="371">
        <f>0.461184*AL14-487</f>
        <v>50795.737129700719</v>
      </c>
      <c r="AM131" s="371">
        <f t="shared" si="98"/>
        <v>105791.58088923838</v>
      </c>
      <c r="AN131" s="371">
        <f t="shared" si="98"/>
        <v>38131.178753388536</v>
      </c>
      <c r="AO131" s="371">
        <f t="shared" si="98"/>
        <v>103357.97666931174</v>
      </c>
      <c r="AP131" s="371">
        <f t="shared" si="98"/>
        <v>100012.55087842455</v>
      </c>
      <c r="AQ131" s="371">
        <f t="shared" si="98"/>
        <v>99467.120165797984</v>
      </c>
      <c r="AR131" s="371">
        <f t="shared" si="98"/>
        <v>103489.61589475516</v>
      </c>
      <c r="AS131" s="371">
        <f t="shared" si="98"/>
        <v>134323.08069950237</v>
      </c>
      <c r="AT131" s="371">
        <f t="shared" si="98"/>
        <v>92504.521929667186</v>
      </c>
      <c r="AU131" s="371">
        <f t="shared" si="98"/>
        <v>209495.49660405723</v>
      </c>
      <c r="AV131" s="371">
        <f t="shared" si="98"/>
        <v>268565.66973875114</v>
      </c>
      <c r="AW131" s="371">
        <f t="shared" si="98"/>
        <v>246633.11415689182</v>
      </c>
      <c r="AX131" s="371">
        <f t="shared" si="98"/>
        <v>31346.637259128373</v>
      </c>
      <c r="AY131" s="371">
        <f t="shared" si="98"/>
        <v>145930.82592877245</v>
      </c>
      <c r="AZ131" s="371">
        <f t="shared" si="98"/>
        <v>112369.60795615044</v>
      </c>
      <c r="BA131" s="371">
        <f t="shared" si="98"/>
        <v>173906.46056034265</v>
      </c>
      <c r="BB131" s="371">
        <f t="shared" si="98"/>
        <v>93809.236127647062</v>
      </c>
      <c r="BC131" s="371">
        <f t="shared" si="98"/>
        <v>178956.0879763572</v>
      </c>
      <c r="BD131" s="251">
        <f>SUM(F131:BC131)</f>
        <v>7117826.6772329621</v>
      </c>
      <c r="BE131" s="254"/>
      <c r="BF131" s="17"/>
    </row>
    <row r="132" spans="1:58">
      <c r="A132" s="104"/>
      <c r="B132" s="291"/>
      <c r="E132" s="4" t="s">
        <v>186</v>
      </c>
      <c r="F132" s="304">
        <f>F131*3.23947</f>
        <v>98737.135495266164</v>
      </c>
      <c r="G132" s="304">
        <f t="shared" ref="G132:BC132" si="99">G131*3.23947</f>
        <v>392905.45265692216</v>
      </c>
      <c r="H132" s="304">
        <f t="shared" si="99"/>
        <v>390860.68649988709</v>
      </c>
      <c r="I132" s="304">
        <f t="shared" si="99"/>
        <v>102332.25118182575</v>
      </c>
      <c r="J132" s="304">
        <f t="shared" si="99"/>
        <v>281672.59577963152</v>
      </c>
      <c r="K132" s="304">
        <f t="shared" si="99"/>
        <v>377216.47397465853</v>
      </c>
      <c r="L132" s="304">
        <f t="shared" si="99"/>
        <v>838644.16684331768</v>
      </c>
      <c r="M132" s="304">
        <f t="shared" si="99"/>
        <v>628639.56907440466</v>
      </c>
      <c r="N132" s="304">
        <f t="shared" si="99"/>
        <v>188996.97861841862</v>
      </c>
      <c r="O132" s="304">
        <f t="shared" si="99"/>
        <v>931208.80559694103</v>
      </c>
      <c r="P132" s="304">
        <f t="shared" si="99"/>
        <v>738673.25234171597</v>
      </c>
      <c r="Q132" s="304">
        <f t="shared" si="99"/>
        <v>643503.46317846084</v>
      </c>
      <c r="R132" s="304">
        <f t="shared" si="99"/>
        <v>444682.00221178314</v>
      </c>
      <c r="S132" s="304">
        <f t="shared" si="99"/>
        <v>295958.02939077228</v>
      </c>
      <c r="T132" s="304">
        <f t="shared" si="99"/>
        <v>418884.50001940574</v>
      </c>
      <c r="U132" s="304">
        <f t="shared" si="99"/>
        <v>477753.42242323031</v>
      </c>
      <c r="V132" s="304">
        <f t="shared" si="99"/>
        <v>480050.61828056112</v>
      </c>
      <c r="W132" s="304">
        <f t="shared" si="99"/>
        <v>379072.88447901577</v>
      </c>
      <c r="X132" s="304">
        <f t="shared" si="99"/>
        <v>522716.75508461759</v>
      </c>
      <c r="Y132" s="304">
        <f t="shared" si="99"/>
        <v>325707.12954452791</v>
      </c>
      <c r="Z132" s="304">
        <f t="shared" si="99"/>
        <v>670612.8528574307</v>
      </c>
      <c r="AA132" s="304">
        <f t="shared" si="99"/>
        <v>584144.9358350503</v>
      </c>
      <c r="AB132" s="304">
        <f t="shared" si="99"/>
        <v>505503.14891654509</v>
      </c>
      <c r="AC132" s="304">
        <f t="shared" si="99"/>
        <v>396548.54324822768</v>
      </c>
      <c r="AD132" s="304">
        <f t="shared" si="99"/>
        <v>453474.92044574424</v>
      </c>
      <c r="AE132" s="304">
        <f t="shared" si="99"/>
        <v>629086.35057960288</v>
      </c>
      <c r="AF132" s="304">
        <f t="shared" si="99"/>
        <v>431325.57918533334</v>
      </c>
      <c r="AG132" s="304">
        <f t="shared" si="99"/>
        <v>685439.17336476606</v>
      </c>
      <c r="AH132" s="304">
        <f t="shared" si="99"/>
        <v>357318.35559775558</v>
      </c>
      <c r="AI132" s="304">
        <f t="shared" si="99"/>
        <v>745100.24819896626</v>
      </c>
      <c r="AJ132" s="304">
        <f t="shared" si="99"/>
        <v>629819.35605739302</v>
      </c>
      <c r="AK132" s="304">
        <f t="shared" si="99"/>
        <v>596617.20118838723</v>
      </c>
      <c r="AL132" s="304">
        <f t="shared" si="99"/>
        <v>164551.26655955159</v>
      </c>
      <c r="AM132" s="304">
        <f t="shared" si="99"/>
        <v>342708.65254326107</v>
      </c>
      <c r="AN132" s="304">
        <f t="shared" si="99"/>
        <v>123524.80963623956</v>
      </c>
      <c r="AO132" s="304">
        <f t="shared" si="99"/>
        <v>334825.06468093529</v>
      </c>
      <c r="AP132" s="304">
        <f t="shared" si="99"/>
        <v>323987.65819412994</v>
      </c>
      <c r="AQ132" s="304">
        <f t="shared" si="99"/>
        <v>322220.7517634976</v>
      </c>
      <c r="AR132" s="304">
        <f t="shared" si="99"/>
        <v>335251.50600258249</v>
      </c>
      <c r="AS132" s="304">
        <f t="shared" si="99"/>
        <v>435135.59023361694</v>
      </c>
      <c r="AT132" s="304">
        <f t="shared" si="99"/>
        <v>299665.62365549896</v>
      </c>
      <c r="AU132" s="304">
        <f t="shared" si="99"/>
        <v>678654.37638394523</v>
      </c>
      <c r="AV132" s="304">
        <f t="shared" si="99"/>
        <v>870010.4301485921</v>
      </c>
      <c r="AW132" s="304">
        <f t="shared" si="99"/>
        <v>798960.57431782631</v>
      </c>
      <c r="AX132" s="304">
        <f t="shared" si="99"/>
        <v>101546.49100182859</v>
      </c>
      <c r="AY132" s="304">
        <f t="shared" si="99"/>
        <v>472738.53267148044</v>
      </c>
      <c r="AZ132" s="304">
        <f t="shared" si="99"/>
        <v>364017.97388571064</v>
      </c>
      <c r="BA132" s="304">
        <f t="shared" si="99"/>
        <v>563364.76179141318</v>
      </c>
      <c r="BB132" s="304">
        <f t="shared" si="99"/>
        <v>303892.2061584288</v>
      </c>
      <c r="BC132" s="304">
        <f t="shared" si="99"/>
        <v>579722.87831676984</v>
      </c>
      <c r="BD132" s="304">
        <f>SUM(F132:BC132)</f>
        <v>23057985.986095872</v>
      </c>
      <c r="BE132" s="295"/>
      <c r="BF132" s="17"/>
    </row>
    <row r="133" spans="1:58">
      <c r="A133" s="104"/>
      <c r="B133" s="291"/>
      <c r="E133" s="9" t="s">
        <v>130</v>
      </c>
      <c r="F133" s="302">
        <f>F103*3.23947*(1+F105)</f>
        <v>42.503739724550606</v>
      </c>
      <c r="G133" s="312">
        <f t="shared" ref="G133:BD133" si="100">G103*3.23947*(1+G105)</f>
        <v>41.102395397599075</v>
      </c>
      <c r="H133" s="312">
        <f t="shared" si="100"/>
        <v>52.087790146696967</v>
      </c>
      <c r="I133" s="312">
        <f t="shared" si="100"/>
        <v>275.20436537879357</v>
      </c>
      <c r="J133" s="312">
        <f t="shared" si="100"/>
        <v>37.884574315851857</v>
      </c>
      <c r="K133" s="312">
        <f t="shared" si="100"/>
        <v>10.245632252698957</v>
      </c>
      <c r="L133" s="312">
        <f t="shared" si="100"/>
        <v>18.287212144793017</v>
      </c>
      <c r="M133" s="312">
        <f t="shared" si="100"/>
        <v>30.17358007212497</v>
      </c>
      <c r="N133" s="312">
        <f t="shared" si="100"/>
        <v>125.17083530351064</v>
      </c>
      <c r="O133" s="312">
        <f t="shared" si="100"/>
        <v>13.305340726398445</v>
      </c>
      <c r="P133" s="312">
        <f t="shared" si="100"/>
        <v>53.581633013181225</v>
      </c>
      <c r="Q133" s="312">
        <f t="shared" si="100"/>
        <v>20.140360066362089</v>
      </c>
      <c r="R133" s="312">
        <f t="shared" si="100"/>
        <v>18.375640560418937</v>
      </c>
      <c r="S133" s="312">
        <f t="shared" si="100"/>
        <v>31.528411027060436</v>
      </c>
      <c r="T133" s="312">
        <f t="shared" si="100"/>
        <v>18.547086963901574</v>
      </c>
      <c r="U133" s="312">
        <f t="shared" si="100"/>
        <v>24.771488566521029</v>
      </c>
      <c r="V133" s="312">
        <f t="shared" si="100"/>
        <v>17.405647316762867</v>
      </c>
      <c r="W133" s="312">
        <f t="shared" si="100"/>
        <v>27.484445652086364</v>
      </c>
      <c r="X133" s="312">
        <f t="shared" si="100"/>
        <v>17.10936725999705</v>
      </c>
      <c r="Y133" s="312">
        <f t="shared" si="100"/>
        <v>21.973074076656488</v>
      </c>
      <c r="Z133" s="312">
        <f t="shared" si="100"/>
        <v>38.284771353109505</v>
      </c>
      <c r="AA133" s="312">
        <f t="shared" si="100"/>
        <v>39.455744908538954</v>
      </c>
      <c r="AB133" s="312">
        <f t="shared" si="100"/>
        <v>25.091487777461591</v>
      </c>
      <c r="AC133" s="312">
        <f t="shared" si="100"/>
        <v>30.390420573688925</v>
      </c>
      <c r="AD133" s="312">
        <f t="shared" si="100"/>
        <v>20.611344440362284</v>
      </c>
      <c r="AE133" s="312">
        <f t="shared" si="100"/>
        <v>34.079947690683696</v>
      </c>
      <c r="AF133" s="312">
        <f t="shared" si="100"/>
        <v>19.21697859466363</v>
      </c>
      <c r="AG133" s="312">
        <f t="shared" si="100"/>
        <v>29.202078458194102</v>
      </c>
      <c r="AH133" s="312">
        <f t="shared" si="100"/>
        <v>25.605024944619114</v>
      </c>
      <c r="AI133" s="312">
        <f t="shared" si="100"/>
        <v>28.579001899306292</v>
      </c>
      <c r="AJ133" s="312">
        <f t="shared" si="100"/>
        <v>23.346895113654096</v>
      </c>
      <c r="AK133" s="312">
        <f t="shared" si="100"/>
        <v>40.487835594814392</v>
      </c>
      <c r="AL133" s="312">
        <f t="shared" si="100"/>
        <v>106.09365428699593</v>
      </c>
      <c r="AM133" s="312">
        <f t="shared" si="100"/>
        <v>10.019477114620878</v>
      </c>
      <c r="AN133" s="312">
        <f t="shared" si="100"/>
        <v>28.54394442275029</v>
      </c>
      <c r="AO133" s="312">
        <f t="shared" si="100"/>
        <v>2.5102730493925853</v>
      </c>
      <c r="AP133" s="312">
        <f t="shared" si="100"/>
        <v>12.617197055474644</v>
      </c>
      <c r="AQ133" s="312">
        <f t="shared" si="100"/>
        <v>13.084749311220099</v>
      </c>
      <c r="AR133" s="312">
        <f t="shared" si="100"/>
        <v>12.367267813276168</v>
      </c>
      <c r="AS133" s="312">
        <f t="shared" si="100"/>
        <v>13.287741652562911</v>
      </c>
      <c r="AT133" s="312">
        <f t="shared" si="100"/>
        <v>20.750467139270164</v>
      </c>
      <c r="AU133" s="312">
        <f t="shared" si="100"/>
        <v>3.3732569608962391</v>
      </c>
      <c r="AV133" s="312">
        <f t="shared" si="100"/>
        <v>11.094753155283948</v>
      </c>
      <c r="AW133" s="312">
        <f t="shared" si="100"/>
        <v>27.544746216031182</v>
      </c>
      <c r="AX133" s="312">
        <f t="shared" si="100"/>
        <v>148.14095010199642</v>
      </c>
      <c r="AY133" s="312">
        <f t="shared" si="100"/>
        <v>36.570096054616307</v>
      </c>
      <c r="AZ133" s="312">
        <f t="shared" si="100"/>
        <v>114.07197628617521</v>
      </c>
      <c r="BA133" s="312">
        <f t="shared" si="100"/>
        <v>66.572792484174897</v>
      </c>
      <c r="BB133" s="312">
        <f t="shared" si="100"/>
        <v>46.220752744326049</v>
      </c>
      <c r="BC133" s="312">
        <f t="shared" si="100"/>
        <v>35.651973472283402</v>
      </c>
      <c r="BD133" s="312">
        <f t="shared" si="100"/>
        <v>30.86299968080549</v>
      </c>
      <c r="BE133" s="254"/>
      <c r="BF133" s="17"/>
    </row>
    <row r="134" spans="1:58">
      <c r="A134" s="104"/>
      <c r="B134" s="291"/>
      <c r="E134" s="9" t="s">
        <v>95</v>
      </c>
      <c r="F134" s="310">
        <f>F131*F133</f>
        <v>1295488.9251138242</v>
      </c>
      <c r="G134" s="310">
        <f t="shared" ref="G134:BC134" si="101">G131*G133</f>
        <v>4985184.3878713064</v>
      </c>
      <c r="H134" s="310">
        <f t="shared" si="101"/>
        <v>6284691.4510707101</v>
      </c>
      <c r="I134" s="310">
        <f t="shared" si="101"/>
        <v>8693484.5034149569</v>
      </c>
      <c r="J134" s="310">
        <f t="shared" si="101"/>
        <v>3294071.6807231894</v>
      </c>
      <c r="K134" s="310">
        <f t="shared" si="101"/>
        <v>1193041.2295851291</v>
      </c>
      <c r="L134" s="310">
        <f t="shared" si="101"/>
        <v>4734250.9092712514</v>
      </c>
      <c r="M134" s="310">
        <f t="shared" si="101"/>
        <v>5855373.3709442243</v>
      </c>
      <c r="N134" s="310">
        <f t="shared" si="101"/>
        <v>7302709.9135065926</v>
      </c>
      <c r="O134" s="310">
        <f t="shared" si="101"/>
        <v>3824715.2916649431</v>
      </c>
      <c r="P134" s="310">
        <f t="shared" si="101"/>
        <v>12217837.832616704</v>
      </c>
      <c r="Q134" s="310">
        <f t="shared" si="101"/>
        <v>4000775.266437158</v>
      </c>
      <c r="R134" s="310">
        <f t="shared" si="101"/>
        <v>2522423.9262382877</v>
      </c>
      <c r="S134" s="310">
        <f t="shared" si="101"/>
        <v>2880436.1199181043</v>
      </c>
      <c r="T134" s="310">
        <f t="shared" si="101"/>
        <v>2398258.7428469313</v>
      </c>
      <c r="U134" s="310">
        <f t="shared" si="101"/>
        <v>3653271.5046514836</v>
      </c>
      <c r="V134" s="310">
        <f t="shared" si="101"/>
        <v>2579308.2683233381</v>
      </c>
      <c r="W134" s="310">
        <f t="shared" si="101"/>
        <v>3216145.8793083816</v>
      </c>
      <c r="X134" s="310">
        <f t="shared" si="101"/>
        <v>2760745.7194222058</v>
      </c>
      <c r="Y134" s="310">
        <f t="shared" si="101"/>
        <v>2209246.2300243755</v>
      </c>
      <c r="Z134" s="310">
        <f t="shared" si="101"/>
        <v>7925450.6873356458</v>
      </c>
      <c r="AA134" s="310">
        <f t="shared" si="101"/>
        <v>7114705.0529631693</v>
      </c>
      <c r="AB134" s="310">
        <f t="shared" si="101"/>
        <v>3915401.6189400852</v>
      </c>
      <c r="AC134" s="310">
        <f t="shared" si="101"/>
        <v>3720138.481664381</v>
      </c>
      <c r="AD134" s="310">
        <f t="shared" si="101"/>
        <v>2885264.4970853627</v>
      </c>
      <c r="AE134" s="310">
        <f t="shared" si="101"/>
        <v>6618128.8669677358</v>
      </c>
      <c r="AF134" s="310">
        <f t="shared" si="101"/>
        <v>2558682.2605350395</v>
      </c>
      <c r="AG134" s="310">
        <f t="shared" si="101"/>
        <v>6178865.2214459796</v>
      </c>
      <c r="AH134" s="310">
        <f t="shared" si="101"/>
        <v>2824272.3063497469</v>
      </c>
      <c r="AI134" s="310">
        <f t="shared" si="101"/>
        <v>6573365.8309698338</v>
      </c>
      <c r="AJ134" s="310">
        <f t="shared" si="101"/>
        <v>4539114.869537646</v>
      </c>
      <c r="AK134" s="310">
        <f t="shared" si="101"/>
        <v>7456694.8157426137</v>
      </c>
      <c r="AL134" s="310">
        <f t="shared" si="101"/>
        <v>5389105.3742915913</v>
      </c>
      <c r="AM134" s="310">
        <f t="shared" si="101"/>
        <v>1059976.3236392874</v>
      </c>
      <c r="AN134" s="310">
        <f t="shared" si="101"/>
        <v>1088414.247110679</v>
      </c>
      <c r="AO134" s="310">
        <f t="shared" si="101"/>
        <v>259456.74327272087</v>
      </c>
      <c r="AP134" s="310">
        <f t="shared" si="101"/>
        <v>1261878.0624537664</v>
      </c>
      <c r="AQ134" s="310">
        <f t="shared" si="101"/>
        <v>1301502.332078472</v>
      </c>
      <c r="AR134" s="310">
        <f t="shared" si="101"/>
        <v>1279883.7956635193</v>
      </c>
      <c r="AS134" s="310">
        <f t="shared" si="101"/>
        <v>1784850.3943113468</v>
      </c>
      <c r="AT134" s="310">
        <f t="shared" si="101"/>
        <v>1919512.0425354552</v>
      </c>
      <c r="AU134" s="310">
        <f t="shared" si="101"/>
        <v>706682.1421960505</v>
      </c>
      <c r="AV134" s="310">
        <f t="shared" si="101"/>
        <v>2979669.8117349558</v>
      </c>
      <c r="AW134" s="310">
        <f t="shared" si="101"/>
        <v>6793446.5379210329</v>
      </c>
      <c r="AX134" s="310">
        <f t="shared" si="101"/>
        <v>4643720.6260699183</v>
      </c>
      <c r="AY134" s="310">
        <f t="shared" si="101"/>
        <v>5336704.3215447003</v>
      </c>
      <c r="AZ134" s="310">
        <f t="shared" si="101"/>
        <v>12818223.254060799</v>
      </c>
      <c r="BA134" s="310">
        <f t="shared" si="101"/>
        <v>11577438.710541038</v>
      </c>
      <c r="BB134" s="310">
        <f t="shared" si="101"/>
        <v>4335933.5081900731</v>
      </c>
      <c r="BC134" s="310">
        <f t="shared" si="101"/>
        <v>6380137.7012367016</v>
      </c>
      <c r="BD134" s="304">
        <f>SUM(F134:BC134)</f>
        <v>219128081.59134248</v>
      </c>
      <c r="BE134" s="295"/>
      <c r="BF134" s="17"/>
    </row>
    <row r="135" spans="1:58">
      <c r="A135" s="104"/>
      <c r="B135" s="291"/>
      <c r="E135" s="4" t="s">
        <v>808</v>
      </c>
      <c r="F135" s="304">
        <f>0.8938766*(F17-F133)</f>
        <v>358.39863712007622</v>
      </c>
      <c r="G135" s="304">
        <f t="shared" ref="G135:BD135" si="102">0.8938766*(G17-G133)</f>
        <v>359.65126602248091</v>
      </c>
      <c r="H135" s="304">
        <f t="shared" si="102"/>
        <v>349.83167871449945</v>
      </c>
      <c r="I135" s="386">
        <v>600</v>
      </c>
      <c r="J135" s="304">
        <f t="shared" si="102"/>
        <v>362.52760099044144</v>
      </c>
      <c r="K135" s="304">
        <f t="shared" si="102"/>
        <v>387.23340454944957</v>
      </c>
      <c r="L135" s="304">
        <f t="shared" si="102"/>
        <v>342.89403136514875</v>
      </c>
      <c r="M135" s="304">
        <f t="shared" si="102"/>
        <v>332.26908521591622</v>
      </c>
      <c r="N135" s="304">
        <f t="shared" si="102"/>
        <v>247.35326170035304</v>
      </c>
      <c r="O135" s="304">
        <f t="shared" si="102"/>
        <v>347.34720965026048</v>
      </c>
      <c r="P135" s="304">
        <f t="shared" si="102"/>
        <v>311.34517444034492</v>
      </c>
      <c r="Q135" s="304">
        <f t="shared" si="102"/>
        <v>341.23754580171959</v>
      </c>
      <c r="R135" s="304">
        <f t="shared" si="102"/>
        <v>415.36973623490604</v>
      </c>
      <c r="S135" s="304">
        <f t="shared" si="102"/>
        <v>403.61278248960417</v>
      </c>
      <c r="T135" s="304">
        <f t="shared" si="102"/>
        <v>415.21648430667881</v>
      </c>
      <c r="U135" s="304">
        <f t="shared" si="102"/>
        <v>409.65263736509473</v>
      </c>
      <c r="V135" s="304">
        <f t="shared" si="102"/>
        <v>416.23679049756834</v>
      </c>
      <c r="W135" s="304">
        <f t="shared" si="102"/>
        <v>407.22758850950373</v>
      </c>
      <c r="X135" s="304">
        <f t="shared" si="102"/>
        <v>416.50162830735798</v>
      </c>
      <c r="Y135" s="304">
        <f t="shared" si="102"/>
        <v>412.15407459468565</v>
      </c>
      <c r="Z135" s="304">
        <f t="shared" si="102"/>
        <v>370.40360983978127</v>
      </c>
      <c r="AA135" s="304">
        <f t="shared" si="102"/>
        <v>369.35690397936406</v>
      </c>
      <c r="AB135" s="304">
        <f t="shared" si="102"/>
        <v>409.36659755841657</v>
      </c>
      <c r="AC135" s="304">
        <f t="shared" si="102"/>
        <v>377.46018527369711</v>
      </c>
      <c r="AD135" s="304">
        <f t="shared" si="102"/>
        <v>413.37129285209551</v>
      </c>
      <c r="AE135" s="304">
        <f t="shared" si="102"/>
        <v>374.16220331875002</v>
      </c>
      <c r="AF135" s="304">
        <f t="shared" si="102"/>
        <v>387.44786360020549</v>
      </c>
      <c r="AG135" s="304">
        <f t="shared" si="102"/>
        <v>378.52241648353242</v>
      </c>
      <c r="AH135" s="304">
        <f t="shared" si="102"/>
        <v>343.82111632949835</v>
      </c>
      <c r="AI135" s="304">
        <f t="shared" si="102"/>
        <v>341.16274792076428</v>
      </c>
      <c r="AJ135" s="304">
        <f t="shared" si="102"/>
        <v>345.83960574515993</v>
      </c>
      <c r="AK135" s="304">
        <f t="shared" si="102"/>
        <v>330.51772014705801</v>
      </c>
      <c r="AL135" s="304">
        <f t="shared" si="102"/>
        <v>336.96065636624013</v>
      </c>
      <c r="AM135" s="304">
        <f t="shared" si="102"/>
        <v>422.83911520488033</v>
      </c>
      <c r="AN135" s="304">
        <f t="shared" si="102"/>
        <v>406.28052735067843</v>
      </c>
      <c r="AO135" s="304">
        <f t="shared" si="102"/>
        <v>429.55141700341278</v>
      </c>
      <c r="AP135" s="304">
        <f t="shared" si="102"/>
        <v>420.51707413639775</v>
      </c>
      <c r="AQ135" s="304">
        <f t="shared" si="102"/>
        <v>420.0991401157097</v>
      </c>
      <c r="AR135" s="304">
        <f t="shared" si="102"/>
        <v>420.74048003765472</v>
      </c>
      <c r="AS135" s="304">
        <f t="shared" si="102"/>
        <v>419.91769001180415</v>
      </c>
      <c r="AT135" s="304">
        <f t="shared" si="102"/>
        <v>413.24693432701292</v>
      </c>
      <c r="AU135" s="304">
        <f t="shared" si="102"/>
        <v>428.7800158787432</v>
      </c>
      <c r="AV135" s="304">
        <f t="shared" si="102"/>
        <v>394.70813086039169</v>
      </c>
      <c r="AW135" s="304">
        <f t="shared" si="102"/>
        <v>380.0038669932274</v>
      </c>
      <c r="AX135" s="304">
        <f t="shared" si="102"/>
        <v>272.20574229073401</v>
      </c>
      <c r="AY135" s="304">
        <f t="shared" si="102"/>
        <v>371.93631796570236</v>
      </c>
      <c r="AZ135" s="304">
        <f t="shared" si="102"/>
        <v>302.65920077070928</v>
      </c>
      <c r="BA135" s="304">
        <f t="shared" si="102"/>
        <v>345.11760969041637</v>
      </c>
      <c r="BB135" s="304">
        <f t="shared" si="102"/>
        <v>363.30982177613737</v>
      </c>
      <c r="BC135" s="304">
        <f t="shared" si="102"/>
        <v>372.75700625798129</v>
      </c>
      <c r="BD135" s="304">
        <f t="shared" si="102"/>
        <v>375.35447854991509</v>
      </c>
      <c r="BE135" s="254"/>
      <c r="BF135" s="17"/>
    </row>
    <row r="136" spans="1:58">
      <c r="A136" s="104"/>
      <c r="E136" s="4" t="s">
        <v>878</v>
      </c>
      <c r="F136" s="304">
        <f>F133+F135</f>
        <v>400.90237684462682</v>
      </c>
      <c r="G136" s="304">
        <f t="shared" ref="G136:BD136" si="103">G133+G135</f>
        <v>400.75366142007999</v>
      </c>
      <c r="H136" s="304">
        <f t="shared" si="103"/>
        <v>401.91946886119644</v>
      </c>
      <c r="I136" s="304">
        <f t="shared" si="103"/>
        <v>875.20436537879357</v>
      </c>
      <c r="J136" s="304">
        <f t="shared" si="103"/>
        <v>400.41217530629331</v>
      </c>
      <c r="K136" s="304">
        <f t="shared" si="103"/>
        <v>397.47903680214853</v>
      </c>
      <c r="L136" s="304">
        <f t="shared" si="103"/>
        <v>361.18124350994174</v>
      </c>
      <c r="M136" s="304">
        <f t="shared" si="103"/>
        <v>362.44266528804121</v>
      </c>
      <c r="N136" s="304">
        <f t="shared" si="103"/>
        <v>372.52409700386369</v>
      </c>
      <c r="O136" s="304">
        <f t="shared" si="103"/>
        <v>360.65255037665895</v>
      </c>
      <c r="P136" s="304">
        <f t="shared" si="103"/>
        <v>364.92680745352612</v>
      </c>
      <c r="Q136" s="304">
        <f t="shared" si="103"/>
        <v>361.37790586808165</v>
      </c>
      <c r="R136" s="304">
        <f t="shared" si="103"/>
        <v>433.745376795325</v>
      </c>
      <c r="S136" s="304">
        <f t="shared" si="103"/>
        <v>435.1411935166646</v>
      </c>
      <c r="T136" s="304">
        <f t="shared" si="103"/>
        <v>433.76357127058037</v>
      </c>
      <c r="U136" s="304">
        <f t="shared" si="103"/>
        <v>434.42412593161578</v>
      </c>
      <c r="V136" s="304">
        <f t="shared" si="103"/>
        <v>433.64243781433117</v>
      </c>
      <c r="W136" s="304">
        <f t="shared" si="103"/>
        <v>434.71203416159011</v>
      </c>
      <c r="X136" s="304">
        <f t="shared" si="103"/>
        <v>433.61099556735502</v>
      </c>
      <c r="Y136" s="304">
        <f t="shared" si="103"/>
        <v>434.12714867134213</v>
      </c>
      <c r="Z136" s="304">
        <f t="shared" si="103"/>
        <v>408.6883811928908</v>
      </c>
      <c r="AA136" s="304">
        <f t="shared" si="103"/>
        <v>408.81264888790304</v>
      </c>
      <c r="AB136" s="304">
        <f t="shared" si="103"/>
        <v>434.45808533587814</v>
      </c>
      <c r="AC136" s="304">
        <f t="shared" si="103"/>
        <v>407.85060584738602</v>
      </c>
      <c r="AD136" s="304">
        <f t="shared" si="103"/>
        <v>433.98263729245781</v>
      </c>
      <c r="AE136" s="304">
        <f t="shared" si="103"/>
        <v>408.24215100943371</v>
      </c>
      <c r="AF136" s="304">
        <f t="shared" si="103"/>
        <v>406.66484219486915</v>
      </c>
      <c r="AG136" s="304">
        <f t="shared" si="103"/>
        <v>407.7244949417265</v>
      </c>
      <c r="AH136" s="304">
        <f t="shared" si="103"/>
        <v>369.42614127411747</v>
      </c>
      <c r="AI136" s="304">
        <f t="shared" si="103"/>
        <v>369.74174982007059</v>
      </c>
      <c r="AJ136" s="304">
        <f t="shared" si="103"/>
        <v>369.18650085881404</v>
      </c>
      <c r="AK136" s="304">
        <f t="shared" si="103"/>
        <v>371.0055557418724</v>
      </c>
      <c r="AL136" s="304">
        <f t="shared" si="103"/>
        <v>443.05431065323603</v>
      </c>
      <c r="AM136" s="304">
        <f t="shared" si="103"/>
        <v>432.85859231950121</v>
      </c>
      <c r="AN136" s="304">
        <f t="shared" si="103"/>
        <v>434.82447177342874</v>
      </c>
      <c r="AO136" s="304">
        <f t="shared" si="103"/>
        <v>432.06169005280537</v>
      </c>
      <c r="AP136" s="304">
        <f t="shared" si="103"/>
        <v>433.13427119187241</v>
      </c>
      <c r="AQ136" s="304">
        <f t="shared" si="103"/>
        <v>433.1838894269298</v>
      </c>
      <c r="AR136" s="304">
        <f t="shared" si="103"/>
        <v>433.10774785093088</v>
      </c>
      <c r="AS136" s="304">
        <f t="shared" si="103"/>
        <v>433.20543166436704</v>
      </c>
      <c r="AT136" s="304">
        <f t="shared" si="103"/>
        <v>433.99740146628307</v>
      </c>
      <c r="AU136" s="304">
        <f t="shared" si="103"/>
        <v>432.15327283963944</v>
      </c>
      <c r="AV136" s="304">
        <f t="shared" si="103"/>
        <v>405.80288401567566</v>
      </c>
      <c r="AW136" s="304">
        <f t="shared" si="103"/>
        <v>407.54861320925858</v>
      </c>
      <c r="AX136" s="304">
        <f t="shared" si="103"/>
        <v>420.34669239273046</v>
      </c>
      <c r="AY136" s="304">
        <f t="shared" si="103"/>
        <v>408.50641402031869</v>
      </c>
      <c r="AZ136" s="304">
        <f t="shared" si="103"/>
        <v>416.73117705688446</v>
      </c>
      <c r="BA136" s="304">
        <f t="shared" si="103"/>
        <v>411.69040217459127</v>
      </c>
      <c r="BB136" s="304">
        <f t="shared" si="103"/>
        <v>409.5305745204634</v>
      </c>
      <c r="BC136" s="304">
        <f t="shared" si="103"/>
        <v>408.40897973026472</v>
      </c>
      <c r="BD136" s="311">
        <f t="shared" si="103"/>
        <v>406.21747823072059</v>
      </c>
      <c r="BE136" s="254"/>
      <c r="BF136" s="17"/>
    </row>
    <row r="137" spans="1:58">
      <c r="A137" s="104"/>
      <c r="E137" s="4" t="s">
        <v>797</v>
      </c>
      <c r="F137" s="304">
        <f>F136*F131</f>
        <v>12219268.060171008</v>
      </c>
      <c r="G137" s="304">
        <f t="shared" ref="G137:BC137" si="104">G136*G131</f>
        <v>48606191.365925744</v>
      </c>
      <c r="H137" s="304">
        <f t="shared" si="104"/>
        <v>48493895.457206652</v>
      </c>
      <c r="I137" s="304">
        <f t="shared" si="104"/>
        <v>27647001.809979133</v>
      </c>
      <c r="J137" s="304">
        <f t="shared" si="104"/>
        <v>34815922.604713887</v>
      </c>
      <c r="K137" s="304">
        <f t="shared" si="104"/>
        <v>46284003.476293966</v>
      </c>
      <c r="L137" s="304">
        <f t="shared" si="104"/>
        <v>93503734.574738622</v>
      </c>
      <c r="M137" s="304">
        <f t="shared" si="104"/>
        <v>70334283.361430392</v>
      </c>
      <c r="N137" s="304">
        <f t="shared" si="104"/>
        <v>21733780.154248979</v>
      </c>
      <c r="O137" s="304">
        <f t="shared" si="104"/>
        <v>103672153.36821739</v>
      </c>
      <c r="P137" s="304">
        <f t="shared" si="104"/>
        <v>83211658.613407537</v>
      </c>
      <c r="Q137" s="304">
        <f t="shared" si="104"/>
        <v>71785796.42419605</v>
      </c>
      <c r="R137" s="304">
        <f t="shared" si="104"/>
        <v>59540221.889213182</v>
      </c>
      <c r="S137" s="304">
        <f t="shared" si="104"/>
        <v>39754506.181548446</v>
      </c>
      <c r="T137" s="304">
        <f t="shared" si="104"/>
        <v>56088445.541495651</v>
      </c>
      <c r="U137" s="304">
        <f t="shared" si="104"/>
        <v>64068385.55289904</v>
      </c>
      <c r="V137" s="304">
        <f t="shared" si="104"/>
        <v>64260610.650958166</v>
      </c>
      <c r="W137" s="304">
        <f t="shared" si="104"/>
        <v>50868674.415066175</v>
      </c>
      <c r="X137" s="304">
        <f t="shared" si="104"/>
        <v>69966918.221801206</v>
      </c>
      <c r="Y137" s="304">
        <f t="shared" si="104"/>
        <v>43648592.964618713</v>
      </c>
      <c r="Z137" s="304">
        <f t="shared" si="104"/>
        <v>84603864.595581874</v>
      </c>
      <c r="AA137" s="304">
        <f t="shared" si="104"/>
        <v>73717564.463687286</v>
      </c>
      <c r="AB137" s="304">
        <f t="shared" si="104"/>
        <v>67795019.002966374</v>
      </c>
      <c r="AC137" s="304">
        <f t="shared" si="104"/>
        <v>49925624.750866048</v>
      </c>
      <c r="AD137" s="304">
        <f t="shared" si="104"/>
        <v>60750753.030906782</v>
      </c>
      <c r="AE137" s="304">
        <f t="shared" si="104"/>
        <v>79278266.176655993</v>
      </c>
      <c r="AF137" s="304">
        <f t="shared" si="104"/>
        <v>54146187.059615962</v>
      </c>
      <c r="AG137" s="304">
        <f t="shared" si="104"/>
        <v>86270390.148210585</v>
      </c>
      <c r="AH137" s="304">
        <f t="shared" si="104"/>
        <v>40748252.434778467</v>
      </c>
      <c r="AI137" s="304">
        <f t="shared" si="104"/>
        <v>85043130.376405612</v>
      </c>
      <c r="AJ137" s="304">
        <f t="shared" si="104"/>
        <v>71777421.688109607</v>
      </c>
      <c r="AK137" s="304">
        <f t="shared" si="104"/>
        <v>68328552.600288972</v>
      </c>
      <c r="AL137" s="304">
        <f t="shared" si="104"/>
        <v>22505270.29812254</v>
      </c>
      <c r="AM137" s="304">
        <f t="shared" si="104"/>
        <v>45792794.782970369</v>
      </c>
      <c r="AN137" s="304">
        <f t="shared" si="104"/>
        <v>16580369.659540359</v>
      </c>
      <c r="AO137" s="304">
        <f t="shared" si="104"/>
        <v>44657022.080181256</v>
      </c>
      <c r="AP137" s="304">
        <f t="shared" si="104"/>
        <v>43318863.334766477</v>
      </c>
      <c r="AQ137" s="304">
        <f t="shared" si="104"/>
        <v>43087553.983516172</v>
      </c>
      <c r="AR137" s="304">
        <f t="shared" si="104"/>
        <v>44822154.466135308</v>
      </c>
      <c r="AS137" s="304">
        <f t="shared" si="104"/>
        <v>58189488.156915538</v>
      </c>
      <c r="AT137" s="304">
        <f t="shared" si="104"/>
        <v>40146722.141356356</v>
      </c>
      <c r="AU137" s="304">
        <f t="shared" si="104"/>
        <v>90534164.50260891</v>
      </c>
      <c r="AV137" s="304">
        <f t="shared" si="104"/>
        <v>108984723.32758668</v>
      </c>
      <c r="AW137" s="304">
        <f t="shared" si="104"/>
        <v>100514983.64612202</v>
      </c>
      <c r="AX137" s="304">
        <f t="shared" si="104"/>
        <v>13176455.289509337</v>
      </c>
      <c r="AY137" s="304">
        <f t="shared" si="104"/>
        <v>59613678.395186178</v>
      </c>
      <c r="AZ137" s="304">
        <f t="shared" si="104"/>
        <v>46827918.988987222</v>
      </c>
      <c r="BA137" s="304">
        <f t="shared" si="104"/>
        <v>71595620.688847154</v>
      </c>
      <c r="BB137" s="304">
        <f t="shared" si="104"/>
        <v>38417750.366681114</v>
      </c>
      <c r="BC137" s="304">
        <f t="shared" si="104"/>
        <v>73087273.306943536</v>
      </c>
      <c r="BD137" s="304">
        <f>SUM(F137:BC137)</f>
        <v>2894741878.4321795</v>
      </c>
      <c r="BE137" s="254"/>
      <c r="BF137" s="17"/>
    </row>
    <row r="138" spans="1:58">
      <c r="A138" s="104"/>
      <c r="E138" s="4"/>
      <c r="F138" s="225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4"/>
      <c r="BF138" s="17"/>
    </row>
    <row r="139" spans="1:58">
      <c r="A139" s="104"/>
      <c r="B139" s="291" t="s">
        <v>799</v>
      </c>
      <c r="E139" s="4" t="s">
        <v>807</v>
      </c>
      <c r="F139" s="225">
        <f>MAX(0,(0.24995*F14)-F165)</f>
        <v>0</v>
      </c>
      <c r="G139" s="225">
        <f>MAX(0,(0.24995*G14)-G165)</f>
        <v>27514.445349691654</v>
      </c>
      <c r="H139" s="225">
        <f>MAX(0,(0.24995*H14)-H165)</f>
        <v>25963.348877643235</v>
      </c>
      <c r="I139" s="225">
        <f>0.17352*I14</f>
        <v>11885.401932977638</v>
      </c>
      <c r="J139" s="225">
        <f>MAX(0,(0.24995*J14)-J165)</f>
        <v>28034.802490204806</v>
      </c>
      <c r="K139" s="225">
        <f>0.17352*K14</f>
        <v>43811.890749508544</v>
      </c>
      <c r="L139" s="225">
        <f t="shared" ref="L139:W139" si="105">0.17352*L14</f>
        <v>97404.512131462281</v>
      </c>
      <c r="M139" s="225">
        <f t="shared" si="105"/>
        <v>73013.481704291145</v>
      </c>
      <c r="N139" s="225">
        <f t="shared" si="105"/>
        <v>21951.095857424381</v>
      </c>
      <c r="O139" s="225">
        <f t="shared" si="105"/>
        <v>108155.45255993867</v>
      </c>
      <c r="P139" s="225">
        <f t="shared" si="105"/>
        <v>85793.368169157809</v>
      </c>
      <c r="Q139" s="225">
        <f t="shared" si="105"/>
        <v>74739.85197051373</v>
      </c>
      <c r="R139" s="225">
        <f t="shared" si="105"/>
        <v>51647.689439152622</v>
      </c>
      <c r="S139" s="225">
        <f t="shared" si="105"/>
        <v>34374.1107419912</v>
      </c>
      <c r="T139" s="225">
        <f t="shared" si="105"/>
        <v>48651.432844753253</v>
      </c>
      <c r="U139" s="225">
        <f t="shared" si="105"/>
        <v>55488.776849699672</v>
      </c>
      <c r="V139" s="225">
        <f t="shared" si="105"/>
        <v>55755.585170320272</v>
      </c>
      <c r="W139" s="225">
        <f t="shared" si="105"/>
        <v>44027.503957877074</v>
      </c>
      <c r="X139" s="225">
        <f>MAX(0,(0.24995*X14)-X165)</f>
        <v>56731.326604591319</v>
      </c>
      <c r="Y139" s="225">
        <f>MAX(0,(0.24995*Y14)-Y165)</f>
        <v>31194.932759570744</v>
      </c>
      <c r="Z139" s="225">
        <f t="shared" ref="Z139:AJ139" si="106">0.17352*Z14</f>
        <v>77888.478027022255</v>
      </c>
      <c r="AA139" s="225">
        <f t="shared" si="106"/>
        <v>67845.642691637084</v>
      </c>
      <c r="AB139" s="225">
        <f t="shared" si="106"/>
        <v>58711.774967049983</v>
      </c>
      <c r="AC139" s="225">
        <f t="shared" si="106"/>
        <v>46057.218208437189</v>
      </c>
      <c r="AD139" s="225">
        <f t="shared" si="106"/>
        <v>52668.944871017833</v>
      </c>
      <c r="AE139" s="225">
        <f t="shared" si="106"/>
        <v>73065.373240968722</v>
      </c>
      <c r="AF139" s="225">
        <f t="shared" si="106"/>
        <v>50096.404734449206</v>
      </c>
      <c r="AG139" s="225">
        <f t="shared" si="106"/>
        <v>79610.484299548436</v>
      </c>
      <c r="AH139" s="225">
        <f t="shared" si="106"/>
        <v>41500.819392354017</v>
      </c>
      <c r="AI139" s="225">
        <f t="shared" si="106"/>
        <v>86539.833023617772</v>
      </c>
      <c r="AJ139" s="225">
        <f t="shared" si="106"/>
        <v>73150.50832420979</v>
      </c>
      <c r="AK139" s="225">
        <f>MAX(0,(0.24995*AK14)-AK165)</f>
        <v>54242.127623071516</v>
      </c>
      <c r="AL139" s="225">
        <f>MAX(0,(0.24995*AL14)-AL165)</f>
        <v>0</v>
      </c>
      <c r="AM139" s="225">
        <f>MAX(0,(0.24995*AM14)-AM165)</f>
        <v>34838.34654121811</v>
      </c>
      <c r="AN139" s="225">
        <f>MAX(0,(0.24995*AN14)-AN165)</f>
        <v>9061.1292009468343</v>
      </c>
      <c r="AO139" s="225">
        <f t="shared" ref="AO139:BC139" si="107">0.17352*AO14</f>
        <v>38888.331146915276</v>
      </c>
      <c r="AP139" s="225">
        <f t="shared" si="107"/>
        <v>37629.61817501091</v>
      </c>
      <c r="AQ139" s="225">
        <f t="shared" si="107"/>
        <v>37424.400437069082</v>
      </c>
      <c r="AR139" s="225">
        <f t="shared" si="107"/>
        <v>38937.86026847834</v>
      </c>
      <c r="AS139" s="225">
        <f t="shared" si="107"/>
        <v>50538.919309814853</v>
      </c>
      <c r="AT139" s="225">
        <f t="shared" si="107"/>
        <v>34804.730097392479</v>
      </c>
      <c r="AU139" s="225">
        <f t="shared" si="107"/>
        <v>78822.462554503218</v>
      </c>
      <c r="AV139" s="225">
        <f t="shared" si="107"/>
        <v>101047.55371623496</v>
      </c>
      <c r="AW139" s="225">
        <f t="shared" si="107"/>
        <v>92795.452505949637</v>
      </c>
      <c r="AX139" s="225">
        <f t="shared" si="107"/>
        <v>11794.139643187873</v>
      </c>
      <c r="AY139" s="225">
        <f t="shared" si="107"/>
        <v>54906.321370994214</v>
      </c>
      <c r="AZ139" s="225">
        <f t="shared" si="107"/>
        <v>42278.948039288502</v>
      </c>
      <c r="BA139" s="225">
        <f t="shared" si="107"/>
        <v>65432.124784100619</v>
      </c>
      <c r="BB139" s="225">
        <f t="shared" si="107"/>
        <v>35295.627456436734</v>
      </c>
      <c r="BC139" s="225">
        <f t="shared" si="107"/>
        <v>67332.041843727246</v>
      </c>
      <c r="BD139" s="251">
        <f>SUM(F139:BC139)</f>
        <v>2569344.6266554226</v>
      </c>
      <c r="BE139" s="254"/>
      <c r="BF139" s="17"/>
    </row>
    <row r="140" spans="1:58">
      <c r="A140" s="104"/>
      <c r="B140" s="291"/>
      <c r="E140" s="4" t="s">
        <v>187</v>
      </c>
      <c r="F140" s="225">
        <f>F139*4.3</f>
        <v>0</v>
      </c>
      <c r="G140" s="304">
        <f t="shared" ref="G140:BC140" si="108">G139*4.3</f>
        <v>118312.1150036741</v>
      </c>
      <c r="H140" s="304">
        <f t="shared" si="108"/>
        <v>111642.4001738659</v>
      </c>
      <c r="I140" s="304">
        <f t="shared" si="108"/>
        <v>51107.228311803839</v>
      </c>
      <c r="J140" s="304">
        <f t="shared" si="108"/>
        <v>120549.65070788066</v>
      </c>
      <c r="K140" s="304">
        <f t="shared" si="108"/>
        <v>188391.13022288674</v>
      </c>
      <c r="L140" s="304">
        <f t="shared" si="108"/>
        <v>418839.40216528781</v>
      </c>
      <c r="M140" s="304">
        <f t="shared" si="108"/>
        <v>313957.97132845194</v>
      </c>
      <c r="N140" s="304">
        <f t="shared" si="108"/>
        <v>94389.712186924837</v>
      </c>
      <c r="O140" s="304">
        <f t="shared" si="108"/>
        <v>465068.44600773626</v>
      </c>
      <c r="P140" s="304">
        <f t="shared" si="108"/>
        <v>368911.48312737857</v>
      </c>
      <c r="Q140" s="304">
        <f t="shared" si="108"/>
        <v>321381.36347320903</v>
      </c>
      <c r="R140" s="304">
        <f t="shared" si="108"/>
        <v>222085.06458835627</v>
      </c>
      <c r="S140" s="304">
        <f t="shared" si="108"/>
        <v>147808.67619056217</v>
      </c>
      <c r="T140" s="304">
        <f t="shared" si="108"/>
        <v>209201.16123243899</v>
      </c>
      <c r="U140" s="304">
        <f t="shared" si="108"/>
        <v>238601.74045370857</v>
      </c>
      <c r="V140" s="304">
        <f t="shared" si="108"/>
        <v>239749.01623237715</v>
      </c>
      <c r="W140" s="304">
        <f t="shared" si="108"/>
        <v>189318.26701887141</v>
      </c>
      <c r="X140" s="304">
        <f t="shared" si="108"/>
        <v>243944.70439974265</v>
      </c>
      <c r="Y140" s="304">
        <f t="shared" si="108"/>
        <v>134138.2108661542</v>
      </c>
      <c r="Z140" s="304">
        <f t="shared" si="108"/>
        <v>334920.45551619568</v>
      </c>
      <c r="AA140" s="304">
        <f t="shared" si="108"/>
        <v>291736.26357403945</v>
      </c>
      <c r="AB140" s="304">
        <f t="shared" si="108"/>
        <v>252460.63235831491</v>
      </c>
      <c r="AC140" s="304">
        <f t="shared" si="108"/>
        <v>198046.0382962799</v>
      </c>
      <c r="AD140" s="304">
        <f t="shared" si="108"/>
        <v>226476.46294537667</v>
      </c>
      <c r="AE140" s="304">
        <f t="shared" si="108"/>
        <v>314181.1049361655</v>
      </c>
      <c r="AF140" s="304">
        <f t="shared" si="108"/>
        <v>215414.54035813158</v>
      </c>
      <c r="AG140" s="304">
        <f t="shared" si="108"/>
        <v>342325.08248805825</v>
      </c>
      <c r="AH140" s="304">
        <f t="shared" si="108"/>
        <v>178453.52338712226</v>
      </c>
      <c r="AI140" s="304">
        <f t="shared" si="108"/>
        <v>372121.28200155642</v>
      </c>
      <c r="AJ140" s="304">
        <f t="shared" si="108"/>
        <v>314547.18579410209</v>
      </c>
      <c r="AK140" s="304">
        <f t="shared" si="108"/>
        <v>233241.14877920752</v>
      </c>
      <c r="AL140" s="304">
        <f t="shared" si="108"/>
        <v>0</v>
      </c>
      <c r="AM140" s="304">
        <f t="shared" si="108"/>
        <v>149804.89012723786</v>
      </c>
      <c r="AN140" s="304">
        <f t="shared" si="108"/>
        <v>38962.855564071389</v>
      </c>
      <c r="AO140" s="304">
        <f t="shared" si="108"/>
        <v>167219.82393173568</v>
      </c>
      <c r="AP140" s="304">
        <f t="shared" si="108"/>
        <v>161807.35815254692</v>
      </c>
      <c r="AQ140" s="304">
        <f t="shared" si="108"/>
        <v>160924.92187939704</v>
      </c>
      <c r="AR140" s="304">
        <f t="shared" si="108"/>
        <v>167432.79915445685</v>
      </c>
      <c r="AS140" s="304">
        <f t="shared" si="108"/>
        <v>217317.35303220386</v>
      </c>
      <c r="AT140" s="304">
        <f t="shared" si="108"/>
        <v>149660.33941878765</v>
      </c>
      <c r="AU140" s="304">
        <f t="shared" si="108"/>
        <v>338936.58898436383</v>
      </c>
      <c r="AV140" s="304">
        <f t="shared" si="108"/>
        <v>434504.48097981035</v>
      </c>
      <c r="AW140" s="304">
        <f t="shared" si="108"/>
        <v>399020.44577558344</v>
      </c>
      <c r="AX140" s="304">
        <f t="shared" si="108"/>
        <v>50714.800465707849</v>
      </c>
      <c r="AY140" s="304">
        <f t="shared" si="108"/>
        <v>236097.18189527511</v>
      </c>
      <c r="AZ140" s="304">
        <f t="shared" si="108"/>
        <v>181799.47656894056</v>
      </c>
      <c r="BA140" s="304">
        <f t="shared" si="108"/>
        <v>281358.13657163264</v>
      </c>
      <c r="BB140" s="304">
        <f t="shared" si="108"/>
        <v>151771.19806267796</v>
      </c>
      <c r="BC140" s="304">
        <f t="shared" si="108"/>
        <v>289527.77992802713</v>
      </c>
      <c r="BD140" s="304">
        <f>SUM(F140:BC140)</f>
        <v>11048181.894618319</v>
      </c>
      <c r="BE140" s="295"/>
      <c r="BF140" s="17"/>
    </row>
    <row r="141" spans="1:58">
      <c r="A141" s="104"/>
      <c r="B141" s="291"/>
      <c r="E141" s="9" t="s">
        <v>130</v>
      </c>
      <c r="F141" s="381">
        <f>F103*4.3*(1+F105)</f>
        <v>56.418513156648345</v>
      </c>
      <c r="G141" s="381">
        <f t="shared" ref="G141:BD141" si="109">G103*4.3*(1+G105)</f>
        <v>54.558400049908172</v>
      </c>
      <c r="H141" s="381">
        <f t="shared" si="109"/>
        <v>69.140167259087747</v>
      </c>
      <c r="I141" s="381">
        <f t="shared" si="109"/>
        <v>365.30011734290252</v>
      </c>
      <c r="J141" s="381">
        <f t="shared" si="109"/>
        <v>50.287136339636724</v>
      </c>
      <c r="K141" s="381">
        <f t="shared" si="109"/>
        <v>13.599823022471428</v>
      </c>
      <c r="L141" s="381">
        <f t="shared" si="109"/>
        <v>24.274036253649513</v>
      </c>
      <c r="M141" s="381">
        <f t="shared" si="109"/>
        <v>40.05173510177201</v>
      </c>
      <c r="N141" s="381">
        <f t="shared" si="109"/>
        <v>166.14896628309435</v>
      </c>
      <c r="O141" s="381">
        <f t="shared" si="109"/>
        <v>17.661211594338983</v>
      </c>
      <c r="P141" s="381">
        <f t="shared" si="109"/>
        <v>71.123060857695634</v>
      </c>
      <c r="Q141" s="381">
        <f t="shared" si="109"/>
        <v>26.733863343496616</v>
      </c>
      <c r="R141" s="381">
        <f t="shared" si="109"/>
        <v>24.391414154105895</v>
      </c>
      <c r="S141" s="381">
        <f t="shared" si="109"/>
        <v>41.85010739916094</v>
      </c>
      <c r="T141" s="381">
        <f t="shared" si="109"/>
        <v>24.618988274247567</v>
      </c>
      <c r="U141" s="381">
        <f t="shared" si="109"/>
        <v>32.881119700457305</v>
      </c>
      <c r="V141" s="381">
        <f t="shared" si="109"/>
        <v>23.103866824536208</v>
      </c>
      <c r="W141" s="381">
        <f t="shared" si="109"/>
        <v>36.482238237727579</v>
      </c>
      <c r="X141" s="381">
        <f t="shared" si="109"/>
        <v>22.710591305981321</v>
      </c>
      <c r="Y141" s="381">
        <f t="shared" si="109"/>
        <v>29.166566916694059</v>
      </c>
      <c r="Z141" s="381">
        <f t="shared" si="109"/>
        <v>50.818348933118955</v>
      </c>
      <c r="AA141" s="381">
        <f t="shared" si="109"/>
        <v>52.372673031921117</v>
      </c>
      <c r="AB141" s="381">
        <f t="shared" si="109"/>
        <v>33.305879493585323</v>
      </c>
      <c r="AC141" s="381">
        <f t="shared" si="109"/>
        <v>40.339564332085928</v>
      </c>
      <c r="AD141" s="381">
        <f t="shared" si="109"/>
        <v>27.359037464016588</v>
      </c>
      <c r="AE141" s="381">
        <f t="shared" si="109"/>
        <v>45.236960079871054</v>
      </c>
      <c r="AF141" s="381">
        <f t="shared" si="109"/>
        <v>25.508187437159044</v>
      </c>
      <c r="AG141" s="381">
        <f t="shared" si="109"/>
        <v>38.762185595246947</v>
      </c>
      <c r="AH141" s="381">
        <f t="shared" si="109"/>
        <v>33.987537239691122</v>
      </c>
      <c r="AI141" s="381">
        <f t="shared" si="109"/>
        <v>37.935127711328413</v>
      </c>
      <c r="AJ141" s="381">
        <f t="shared" si="109"/>
        <v>30.990146224139323</v>
      </c>
      <c r="AK141" s="381">
        <f t="shared" si="109"/>
        <v>53.74264711749202</v>
      </c>
      <c r="AL141" s="381">
        <f t="shared" si="109"/>
        <v>140.82634302342126</v>
      </c>
      <c r="AM141" s="381">
        <f t="shared" si="109"/>
        <v>13.299629752048878</v>
      </c>
      <c r="AN141" s="381">
        <f t="shared" si="109"/>
        <v>37.888593201303372</v>
      </c>
      <c r="AO141" s="381">
        <f t="shared" si="109"/>
        <v>3.3320802823882043</v>
      </c>
      <c r="AP141" s="381">
        <f t="shared" si="109"/>
        <v>16.747785081677243</v>
      </c>
      <c r="AQ141" s="381">
        <f t="shared" si="109"/>
        <v>17.368403485214071</v>
      </c>
      <c r="AR141" s="381">
        <f t="shared" si="109"/>
        <v>16.416034597353121</v>
      </c>
      <c r="AS141" s="381">
        <f t="shared" si="109"/>
        <v>17.637850977481044</v>
      </c>
      <c r="AT141" s="381">
        <f t="shared" si="109"/>
        <v>27.543705821897316</v>
      </c>
      <c r="AU141" s="381">
        <f t="shared" si="109"/>
        <v>4.4775858186227468</v>
      </c>
      <c r="AV141" s="381">
        <f t="shared" si="109"/>
        <v>14.726927110830161</v>
      </c>
      <c r="AW141" s="381">
        <f t="shared" si="109"/>
        <v>36.562279857178517</v>
      </c>
      <c r="AX141" s="381">
        <f t="shared" si="109"/>
        <v>196.63898274674085</v>
      </c>
      <c r="AY141" s="381">
        <f t="shared" si="109"/>
        <v>48.542327305037588</v>
      </c>
      <c r="AZ141" s="381">
        <f t="shared" si="109"/>
        <v>151.41658914283923</v>
      </c>
      <c r="BA141" s="381">
        <f t="shared" si="109"/>
        <v>88.367235282917292</v>
      </c>
      <c r="BB141" s="381">
        <f t="shared" si="109"/>
        <v>61.352393076831092</v>
      </c>
      <c r="BC141" s="381">
        <f t="shared" si="109"/>
        <v>47.323631930784543</v>
      </c>
      <c r="BD141" s="381">
        <f t="shared" si="109"/>
        <v>40.96685526566494</v>
      </c>
      <c r="BE141" s="254"/>
      <c r="BF141" s="17"/>
    </row>
    <row r="142" spans="1:58">
      <c r="A142" s="104"/>
      <c r="B142" s="291"/>
      <c r="E142" s="9" t="s">
        <v>95</v>
      </c>
      <c r="F142" s="225">
        <f>F139*F141</f>
        <v>0</v>
      </c>
      <c r="G142" s="310">
        <f t="shared" ref="G142:BC142" si="110">G139*G141</f>
        <v>1501144.1165398129</v>
      </c>
      <c r="H142" s="310">
        <f t="shared" si="110"/>
        <v>1795110.2840063013</v>
      </c>
      <c r="I142" s="310">
        <f t="shared" si="110"/>
        <v>4341738.7207842916</v>
      </c>
      <c r="J142" s="310">
        <f t="shared" si="110"/>
        <v>1409789.9350797161</v>
      </c>
      <c r="K142" s="310">
        <f t="shared" si="110"/>
        <v>595833.96047316934</v>
      </c>
      <c r="L142" s="310">
        <f t="shared" si="110"/>
        <v>2364400.6587481592</v>
      </c>
      <c r="M142" s="310">
        <f t="shared" si="110"/>
        <v>2924316.6280783461</v>
      </c>
      <c r="N142" s="310">
        <f t="shared" si="110"/>
        <v>3647151.8854921758</v>
      </c>
      <c r="O142" s="310">
        <f t="shared" si="110"/>
        <v>1910156.3327425686</v>
      </c>
      <c r="P142" s="310">
        <f t="shared" si="110"/>
        <v>6101886.945481698</v>
      </c>
      <c r="Q142" s="310">
        <f t="shared" si="110"/>
        <v>1998084.9888928803</v>
      </c>
      <c r="R142" s="310">
        <f t="shared" si="110"/>
        <v>1259760.1832130128</v>
      </c>
      <c r="S142" s="310">
        <f t="shared" si="110"/>
        <v>1438560.2263029835</v>
      </c>
      <c r="T142" s="310">
        <f t="shared" si="110"/>
        <v>1197749.0547303234</v>
      </c>
      <c r="U142" s="310">
        <f t="shared" si="110"/>
        <v>1824533.113626939</v>
      </c>
      <c r="V142" s="310">
        <f t="shared" si="110"/>
        <v>1288169.6144991654</v>
      </c>
      <c r="W142" s="310">
        <f t="shared" si="110"/>
        <v>1606221.8884037654</v>
      </c>
      <c r="X142" s="310">
        <f t="shared" si="110"/>
        <v>1288401.9727630184</v>
      </c>
      <c r="Y142" s="310">
        <f t="shared" si="110"/>
        <v>909849.09379379172</v>
      </c>
      <c r="Z142" s="310">
        <f t="shared" si="110"/>
        <v>3958163.8542467854</v>
      </c>
      <c r="AA142" s="310">
        <f t="shared" si="110"/>
        <v>3553257.6613296573</v>
      </c>
      <c r="AB142" s="310">
        <f t="shared" si="110"/>
        <v>1955447.301907066</v>
      </c>
      <c r="AC142" s="310">
        <f t="shared" si="110"/>
        <v>1857928.1168761714</v>
      </c>
      <c r="AD142" s="310">
        <f t="shared" si="110"/>
        <v>1440971.6359164012</v>
      </c>
      <c r="AE142" s="310">
        <f t="shared" si="110"/>
        <v>3305255.3725225809</v>
      </c>
      <c r="AF142" s="310">
        <f t="shared" si="110"/>
        <v>1277868.4818941122</v>
      </c>
      <c r="AG142" s="310">
        <f t="shared" si="110"/>
        <v>3085876.3677465897</v>
      </c>
      <c r="AH142" s="310">
        <f t="shared" si="110"/>
        <v>1410510.6445753276</v>
      </c>
      <c r="AI142" s="310">
        <f t="shared" si="110"/>
        <v>3282899.6178679764</v>
      </c>
      <c r="AJ142" s="310">
        <f t="shared" si="110"/>
        <v>2266944.9493373823</v>
      </c>
      <c r="AK142" s="310">
        <f t="shared" si="110"/>
        <v>2915115.5237486986</v>
      </c>
      <c r="AL142" s="310">
        <f t="shared" si="110"/>
        <v>0</v>
      </c>
      <c r="AM142" s="310">
        <f t="shared" si="110"/>
        <v>463337.11017177347</v>
      </c>
      <c r="AN142" s="310">
        <f t="shared" si="110"/>
        <v>343313.43823912571</v>
      </c>
      <c r="AO142" s="310">
        <f t="shared" si="110"/>
        <v>129579.04142961945</v>
      </c>
      <c r="AP142" s="310">
        <f t="shared" si="110"/>
        <v>630212.75790065853</v>
      </c>
      <c r="AQ142" s="310">
        <f t="shared" si="110"/>
        <v>650002.08698323765</v>
      </c>
      <c r="AR142" s="310">
        <f t="shared" si="110"/>
        <v>639205.26131424191</v>
      </c>
      <c r="AS142" s="310">
        <f t="shared" si="110"/>
        <v>891397.92734945356</v>
      </c>
      <c r="AT142" s="310">
        <f t="shared" si="110"/>
        <v>958651.24701311393</v>
      </c>
      <c r="AU142" s="310">
        <f t="shared" si="110"/>
        <v>352934.34052296611</v>
      </c>
      <c r="AV142" s="310">
        <f t="shared" si="110"/>
        <v>1488119.9583066877</v>
      </c>
      <c r="AW142" s="310">
        <f t="shared" si="110"/>
        <v>3392813.3039960479</v>
      </c>
      <c r="AX142" s="310">
        <f t="shared" si="110"/>
        <v>2319187.6218094723</v>
      </c>
      <c r="AY142" s="310">
        <f t="shared" si="110"/>
        <v>2665280.6231063814</v>
      </c>
      <c r="AZ142" s="310">
        <f t="shared" si="110"/>
        <v>6401734.1046563955</v>
      </c>
      <c r="BA142" s="310">
        <f t="shared" si="110"/>
        <v>5782055.9658578234</v>
      </c>
      <c r="BB142" s="310">
        <f t="shared" si="110"/>
        <v>2165471.2096006987</v>
      </c>
      <c r="BC142" s="310">
        <f t="shared" si="110"/>
        <v>3186396.7653607316</v>
      </c>
      <c r="BD142" s="304">
        <f>SUM(F142:BC142)</f>
        <v>102172791.89523928</v>
      </c>
      <c r="BE142" s="295"/>
      <c r="BF142" s="17"/>
    </row>
    <row r="143" spans="1:58">
      <c r="A143" s="104"/>
      <c r="B143" s="291"/>
      <c r="E143" s="4" t="s">
        <v>808</v>
      </c>
      <c r="F143" s="225">
        <f>1.2698*(F17-F141)</f>
        <v>491.45564641615346</v>
      </c>
      <c r="G143" s="304">
        <f t="shared" ref="G143:BD143" si="111">1.2698*(G17-G141)</f>
        <v>493.81761803909211</v>
      </c>
      <c r="H143" s="304">
        <f t="shared" si="111"/>
        <v>475.30169003687593</v>
      </c>
      <c r="I143" s="386">
        <v>600</v>
      </c>
      <c r="J143" s="304">
        <f t="shared" si="111"/>
        <v>499.24126869839478</v>
      </c>
      <c r="K143" s="304">
        <f t="shared" si="111"/>
        <v>545.82681914853129</v>
      </c>
      <c r="L143" s="304">
        <f t="shared" si="111"/>
        <v>479.49742639000618</v>
      </c>
      <c r="M143" s="304">
        <f t="shared" si="111"/>
        <v>459.46290439266022</v>
      </c>
      <c r="N143" s="304">
        <f t="shared" si="111"/>
        <v>299.3446402386171</v>
      </c>
      <c r="O143" s="304">
        <f t="shared" si="111"/>
        <v>487.89439114239872</v>
      </c>
      <c r="P143" s="304">
        <f t="shared" si="111"/>
        <v>420.00853494778841</v>
      </c>
      <c r="Q143" s="304">
        <f t="shared" si="111"/>
        <v>476.37393795131828</v>
      </c>
      <c r="R143" s="304">
        <f t="shared" si="111"/>
        <v>582.41632044080666</v>
      </c>
      <c r="S143" s="304">
        <f t="shared" si="111"/>
        <v>560.2472717582358</v>
      </c>
      <c r="T143" s="304">
        <f t="shared" si="111"/>
        <v>582.12734682305074</v>
      </c>
      <c r="U143" s="304">
        <f t="shared" si="111"/>
        <v>571.63609233804971</v>
      </c>
      <c r="V143" s="304">
        <f t="shared" si="111"/>
        <v>584.05124803989429</v>
      </c>
      <c r="W143" s="304">
        <f t="shared" si="111"/>
        <v>567.06339201942387</v>
      </c>
      <c r="X143" s="304">
        <f t="shared" si="111"/>
        <v>584.5506292933552</v>
      </c>
      <c r="Y143" s="304">
        <f t="shared" si="111"/>
        <v>576.35283146287225</v>
      </c>
      <c r="Z143" s="304">
        <f t="shared" si="111"/>
        <v>510.26320119949099</v>
      </c>
      <c r="AA143" s="304">
        <f t="shared" si="111"/>
        <v>508.28952045883199</v>
      </c>
      <c r="AB143" s="304">
        <f t="shared" si="111"/>
        <v>571.09673235273567</v>
      </c>
      <c r="AC143" s="304">
        <f t="shared" si="111"/>
        <v>523.56916188588264</v>
      </c>
      <c r="AD143" s="304">
        <f t="shared" si="111"/>
        <v>578.64803236188209</v>
      </c>
      <c r="AE143" s="304">
        <f t="shared" si="111"/>
        <v>517.35044876534516</v>
      </c>
      <c r="AF143" s="304">
        <f t="shared" si="111"/>
        <v>542.40204426706089</v>
      </c>
      <c r="AG143" s="304">
        <f t="shared" si="111"/>
        <v>525.57211740592084</v>
      </c>
      <c r="AH143" s="304">
        <f t="shared" si="111"/>
        <v>477.77235580671646</v>
      </c>
      <c r="AI143" s="304">
        <f t="shared" si="111"/>
        <v>472.75970542583144</v>
      </c>
      <c r="AJ143" s="304">
        <f t="shared" si="111"/>
        <v>481.57844291826416</v>
      </c>
      <c r="AK143" s="304">
        <f t="shared" si="111"/>
        <v>452.68731728388491</v>
      </c>
      <c r="AL143" s="304">
        <f t="shared" si="111"/>
        <v>434.56724776255004</v>
      </c>
      <c r="AM143" s="304">
        <f t="shared" si="111"/>
        <v>596.50066827453873</v>
      </c>
      <c r="AN143" s="304">
        <f t="shared" si="111"/>
        <v>565.27760248667528</v>
      </c>
      <c r="AO143" s="304">
        <f t="shared" si="111"/>
        <v>609.15746259111381</v>
      </c>
      <c r="AP143" s="304">
        <f t="shared" si="111"/>
        <v>592.12220063697657</v>
      </c>
      <c r="AQ143" s="304">
        <f t="shared" si="111"/>
        <v>591.33413938816557</v>
      </c>
      <c r="AR143" s="304">
        <f t="shared" si="111"/>
        <v>592.5434574019713</v>
      </c>
      <c r="AS143" s="304">
        <f t="shared" si="111"/>
        <v>590.99199496248491</v>
      </c>
      <c r="AT143" s="304">
        <f t="shared" si="111"/>
        <v>578.41354048104506</v>
      </c>
      <c r="AU143" s="304">
        <f t="shared" si="111"/>
        <v>607.70289966120322</v>
      </c>
      <c r="AV143" s="304">
        <f t="shared" si="111"/>
        <v>556.09208862943331</v>
      </c>
      <c r="AW143" s="304">
        <f t="shared" si="111"/>
        <v>528.36555771212022</v>
      </c>
      <c r="AX143" s="304">
        <f t="shared" si="111"/>
        <v>325.1001603829539</v>
      </c>
      <c r="AY143" s="304">
        <f t="shared" si="111"/>
        <v>513.15329346282874</v>
      </c>
      <c r="AZ143" s="304">
        <f t="shared" si="111"/>
        <v>382.52355578118812</v>
      </c>
      <c r="BA143" s="304">
        <f t="shared" si="111"/>
        <v>462.58362531251703</v>
      </c>
      <c r="BB143" s="304">
        <f t="shared" si="111"/>
        <v>496.8870719458053</v>
      </c>
      <c r="BC143" s="304">
        <f t="shared" si="111"/>
        <v>514.70079284905523</v>
      </c>
      <c r="BD143" s="304">
        <f t="shared" si="111"/>
        <v>520.38143865137476</v>
      </c>
      <c r="BE143" s="254"/>
      <c r="BF143" s="17"/>
    </row>
    <row r="144" spans="1:58">
      <c r="A144" s="104"/>
      <c r="E144" s="4" t="s">
        <v>878</v>
      </c>
      <c r="F144" s="225">
        <f>F141+F143</f>
        <v>547.87415957280177</v>
      </c>
      <c r="G144" s="304">
        <f t="shared" ref="G144:BD144" si="112">G141+G143</f>
        <v>548.37601808900024</v>
      </c>
      <c r="H144" s="304">
        <f t="shared" si="112"/>
        <v>544.4418572959637</v>
      </c>
      <c r="I144" s="304">
        <f t="shared" si="112"/>
        <v>965.30011734290247</v>
      </c>
      <c r="J144" s="304">
        <f t="shared" si="112"/>
        <v>549.52840503803145</v>
      </c>
      <c r="K144" s="304">
        <f t="shared" si="112"/>
        <v>559.42664217100275</v>
      </c>
      <c r="L144" s="304">
        <f t="shared" si="112"/>
        <v>503.7714626436557</v>
      </c>
      <c r="M144" s="304">
        <f t="shared" si="112"/>
        <v>499.51463949443223</v>
      </c>
      <c r="N144" s="304">
        <f t="shared" si="112"/>
        <v>465.49360652171146</v>
      </c>
      <c r="O144" s="304">
        <f t="shared" si="112"/>
        <v>505.55560273673768</v>
      </c>
      <c r="P144" s="304">
        <f t="shared" si="112"/>
        <v>491.13159580548404</v>
      </c>
      <c r="Q144" s="304">
        <f t="shared" si="112"/>
        <v>503.10780129481492</v>
      </c>
      <c r="R144" s="304">
        <f t="shared" si="112"/>
        <v>606.80773459491252</v>
      </c>
      <c r="S144" s="304">
        <f t="shared" si="112"/>
        <v>602.09737915739674</v>
      </c>
      <c r="T144" s="304">
        <f t="shared" si="112"/>
        <v>606.74633509729836</v>
      </c>
      <c r="U144" s="304">
        <f t="shared" si="112"/>
        <v>604.51721203850707</v>
      </c>
      <c r="V144" s="304">
        <f t="shared" si="112"/>
        <v>607.15511486443052</v>
      </c>
      <c r="W144" s="304">
        <f t="shared" si="112"/>
        <v>603.5456302571514</v>
      </c>
      <c r="X144" s="304">
        <f t="shared" si="112"/>
        <v>607.26122059933653</v>
      </c>
      <c r="Y144" s="304">
        <f t="shared" si="112"/>
        <v>605.51939837956627</v>
      </c>
      <c r="Z144" s="304">
        <f t="shared" si="112"/>
        <v>561.08155013260989</v>
      </c>
      <c r="AA144" s="304">
        <f t="shared" si="112"/>
        <v>560.66219349075311</v>
      </c>
      <c r="AB144" s="304">
        <f t="shared" si="112"/>
        <v>604.40261184632095</v>
      </c>
      <c r="AC144" s="304">
        <f t="shared" si="112"/>
        <v>563.90872621796859</v>
      </c>
      <c r="AD144" s="304">
        <f t="shared" si="112"/>
        <v>606.00706982589872</v>
      </c>
      <c r="AE144" s="304">
        <f t="shared" si="112"/>
        <v>562.58740884521626</v>
      </c>
      <c r="AF144" s="304">
        <f t="shared" si="112"/>
        <v>567.91023170421988</v>
      </c>
      <c r="AG144" s="304">
        <f t="shared" si="112"/>
        <v>564.33430300116777</v>
      </c>
      <c r="AH144" s="304">
        <f t="shared" si="112"/>
        <v>511.75989304640757</v>
      </c>
      <c r="AI144" s="304">
        <f t="shared" si="112"/>
        <v>510.69483313715983</v>
      </c>
      <c r="AJ144" s="304">
        <f t="shared" si="112"/>
        <v>512.56858914240343</v>
      </c>
      <c r="AK144" s="304">
        <f t="shared" si="112"/>
        <v>506.42996440137694</v>
      </c>
      <c r="AL144" s="304">
        <f t="shared" si="112"/>
        <v>575.39359078597136</v>
      </c>
      <c r="AM144" s="304">
        <f t="shared" si="112"/>
        <v>609.8002980265876</v>
      </c>
      <c r="AN144" s="304">
        <f t="shared" si="112"/>
        <v>603.16619568797864</v>
      </c>
      <c r="AO144" s="304">
        <f t="shared" si="112"/>
        <v>612.48954287350205</v>
      </c>
      <c r="AP144" s="304">
        <f t="shared" si="112"/>
        <v>608.86998571865377</v>
      </c>
      <c r="AQ144" s="304">
        <f t="shared" si="112"/>
        <v>608.70254287337968</v>
      </c>
      <c r="AR144" s="304">
        <f t="shared" si="112"/>
        <v>608.95949199932443</v>
      </c>
      <c r="AS144" s="304">
        <f t="shared" si="112"/>
        <v>608.629845939966</v>
      </c>
      <c r="AT144" s="304">
        <f t="shared" si="112"/>
        <v>605.95724630294239</v>
      </c>
      <c r="AU144" s="304">
        <f t="shared" si="112"/>
        <v>612.18048547982596</v>
      </c>
      <c r="AV144" s="304">
        <f t="shared" si="112"/>
        <v>570.81901574026347</v>
      </c>
      <c r="AW144" s="304">
        <f t="shared" si="112"/>
        <v>564.92783756929873</v>
      </c>
      <c r="AX144" s="304">
        <f t="shared" si="112"/>
        <v>521.73914312969475</v>
      </c>
      <c r="AY144" s="304">
        <f t="shared" si="112"/>
        <v>561.69562076786633</v>
      </c>
      <c r="AZ144" s="304">
        <f t="shared" si="112"/>
        <v>533.94014492402732</v>
      </c>
      <c r="BA144" s="304">
        <f t="shared" si="112"/>
        <v>550.95086059543428</v>
      </c>
      <c r="BB144" s="304">
        <f t="shared" si="112"/>
        <v>558.23946502263641</v>
      </c>
      <c r="BC144" s="304">
        <f t="shared" si="112"/>
        <v>562.02442477983982</v>
      </c>
      <c r="BD144" s="311">
        <f t="shared" si="112"/>
        <v>561.34829391703965</v>
      </c>
      <c r="BE144" s="254"/>
      <c r="BF144" s="17"/>
    </row>
    <row r="145" spans="1:58">
      <c r="A145" s="104"/>
      <c r="E145" s="4" t="s">
        <v>797</v>
      </c>
      <c r="F145" s="225">
        <f>F144*F139</f>
        <v>0</v>
      </c>
      <c r="G145" s="304">
        <f t="shared" ref="G145:BC145" si="113">G144*G139</f>
        <v>15088261.980791319</v>
      </c>
      <c r="H145" s="304">
        <f t="shared" si="113"/>
        <v>14135533.884567158</v>
      </c>
      <c r="I145" s="304">
        <f t="shared" si="113"/>
        <v>11472979.880570874</v>
      </c>
      <c r="J145" s="304">
        <f t="shared" si="113"/>
        <v>15405920.297998479</v>
      </c>
      <c r="K145" s="304">
        <f t="shared" si="113"/>
        <v>24509538.929160383</v>
      </c>
      <c r="L145" s="304">
        <f t="shared" si="113"/>
        <v>49069613.544558458</v>
      </c>
      <c r="M145" s="304">
        <f t="shared" si="113"/>
        <v>36471302.991752312</v>
      </c>
      <c r="N145" s="304">
        <f t="shared" si="113"/>
        <v>10218094.777776275</v>
      </c>
      <c r="O145" s="304">
        <f t="shared" si="113"/>
        <v>54678595.00820443</v>
      </c>
      <c r="P145" s="304">
        <f t="shared" si="113"/>
        <v>42135833.818445891</v>
      </c>
      <c r="Q145" s="304">
        <f t="shared" si="113"/>
        <v>37602202.593985103</v>
      </c>
      <c r="R145" s="304">
        <f t="shared" si="113"/>
        <v>31340217.425633792</v>
      </c>
      <c r="S145" s="304">
        <f t="shared" si="113"/>
        <v>20696561.988619018</v>
      </c>
      <c r="T145" s="304">
        <f t="shared" si="113"/>
        <v>29519078.575786363</v>
      </c>
      <c r="U145" s="304">
        <f t="shared" si="113"/>
        <v>33543920.6806073</v>
      </c>
      <c r="V145" s="304">
        <f t="shared" si="113"/>
        <v>33852288.718419343</v>
      </c>
      <c r="W145" s="304">
        <f t="shared" si="113"/>
        <v>26572607.624906145</v>
      </c>
      <c r="X145" s="304">
        <f t="shared" si="113"/>
        <v>34450734.64012374</v>
      </c>
      <c r="Y145" s="304">
        <f t="shared" si="113"/>
        <v>18889136.917066298</v>
      </c>
      <c r="Z145" s="304">
        <f t="shared" si="113"/>
        <v>43701787.988871373</v>
      </c>
      <c r="AA145" s="304">
        <f t="shared" si="113"/>
        <v>38038486.850283131</v>
      </c>
      <c r="AB145" s="304">
        <f t="shared" si="113"/>
        <v>35485550.136218451</v>
      </c>
      <c r="AC145" s="304">
        <f t="shared" si="113"/>
        <v>25972067.253062844</v>
      </c>
      <c r="AD145" s="304">
        <f t="shared" si="113"/>
        <v>31917752.952107314</v>
      </c>
      <c r="AE145" s="304">
        <f t="shared" si="113"/>
        <v>41105659.007945195</v>
      </c>
      <c r="AF145" s="304">
        <f t="shared" si="113"/>
        <v>28450260.820289426</v>
      </c>
      <c r="AG145" s="304">
        <f t="shared" si="113"/>
        <v>44926927.168771073</v>
      </c>
      <c r="AH145" s="304">
        <f t="shared" si="113"/>
        <v>21238454.893569369</v>
      </c>
      <c r="AI145" s="304">
        <f t="shared" si="113"/>
        <v>44195445.585714154</v>
      </c>
      <c r="AJ145" s="304">
        <f t="shared" si="113"/>
        <v>37494652.846789852</v>
      </c>
      <c r="AK145" s="304">
        <f t="shared" si="113"/>
        <v>27469838.761207052</v>
      </c>
      <c r="AL145" s="304">
        <f t="shared" si="113"/>
        <v>0</v>
      </c>
      <c r="AM145" s="304">
        <f t="shared" si="113"/>
        <v>21244434.103588343</v>
      </c>
      <c r="AN145" s="304">
        <f t="shared" si="113"/>
        <v>5465366.8287723558</v>
      </c>
      <c r="AO145" s="304">
        <f t="shared" si="113"/>
        <v>23818696.16728751</v>
      </c>
      <c r="AP145" s="304">
        <f t="shared" si="113"/>
        <v>22911545.080817286</v>
      </c>
      <c r="AQ145" s="304">
        <f t="shared" si="113"/>
        <v>22780327.71155557</v>
      </c>
      <c r="AR145" s="304">
        <f t="shared" si="113"/>
        <v>23711579.60863325</v>
      </c>
      <c r="AS145" s="304">
        <f t="shared" si="113"/>
        <v>30759494.673504986</v>
      </c>
      <c r="AT145" s="304">
        <f t="shared" si="113"/>
        <v>21090178.408133086</v>
      </c>
      <c r="AU145" s="304">
        <f t="shared" si="113"/>
        <v>48253573.393331185</v>
      </c>
      <c r="AV145" s="304">
        <f t="shared" si="113"/>
        <v>57679865.155262642</v>
      </c>
      <c r="AW145" s="304">
        <f t="shared" si="113"/>
        <v>52422734.320450693</v>
      </c>
      <c r="AX145" s="304">
        <f t="shared" si="113"/>
        <v>6153464.3113888046</v>
      </c>
      <c r="AY145" s="304">
        <f t="shared" si="113"/>
        <v>30840640.266560562</v>
      </c>
      <c r="AZ145" s="304">
        <f t="shared" si="113"/>
        <v>22574427.643333122</v>
      </c>
      <c r="BA145" s="304">
        <f t="shared" si="113"/>
        <v>36049885.460388079</v>
      </c>
      <c r="BB145" s="304">
        <f t="shared" si="113"/>
        <v>19703412.188919518</v>
      </c>
      <c r="BC145" s="304">
        <f t="shared" si="113"/>
        <v>37842252.086472914</v>
      </c>
      <c r="BD145" s="304">
        <f>SUM(F145:BC145)</f>
        <v>1442951185.9522021</v>
      </c>
      <c r="BE145" s="254"/>
      <c r="BF145" s="17"/>
    </row>
    <row r="146" spans="1:58">
      <c r="A146" s="104"/>
      <c r="E146" s="4"/>
      <c r="F146" s="225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4"/>
      <c r="BF146" s="17"/>
    </row>
    <row r="147" spans="1:58">
      <c r="A147" s="104"/>
      <c r="B147" s="291" t="s">
        <v>800</v>
      </c>
      <c r="E147" s="4" t="s">
        <v>807</v>
      </c>
      <c r="F147" s="225">
        <f>MAX(0,((0.07643*F14)-F165))</f>
        <v>0</v>
      </c>
      <c r="G147" s="225">
        <f t="shared" ref="G147:P147" si="114">MAX(0,((0.07643*G14)-G165))</f>
        <v>0</v>
      </c>
      <c r="H147" s="225">
        <f t="shared" si="114"/>
        <v>0</v>
      </c>
      <c r="I147" s="225">
        <f t="shared" si="114"/>
        <v>4838.1387144852515</v>
      </c>
      <c r="J147" s="225">
        <f t="shared" si="114"/>
        <v>0</v>
      </c>
      <c r="K147" s="225">
        <f t="shared" si="114"/>
        <v>14184.734036335511</v>
      </c>
      <c r="L147" s="225">
        <f t="shared" si="114"/>
        <v>40297.566518024789</v>
      </c>
      <c r="M147" s="225">
        <f t="shared" si="114"/>
        <v>30473.099162396102</v>
      </c>
      <c r="N147" s="225">
        <f t="shared" si="114"/>
        <v>8928.7543590533969</v>
      </c>
      <c r="O147" s="225">
        <f t="shared" si="114"/>
        <v>47281.011290664545</v>
      </c>
      <c r="P147" s="225">
        <f t="shared" si="114"/>
        <v>34740.22965173312</v>
      </c>
      <c r="Q147" s="225">
        <f t="shared" ref="Q147:BC147" si="115">MAX(0,((0.07643*Q14)-Q165))</f>
        <v>29535.509947593149</v>
      </c>
      <c r="R147" s="225">
        <f t="shared" si="115"/>
        <v>16806.152281203518</v>
      </c>
      <c r="S147" s="225">
        <f t="shared" si="115"/>
        <v>8159.6943522959155</v>
      </c>
      <c r="T147" s="225">
        <f t="shared" si="115"/>
        <v>7442.3972586704185</v>
      </c>
      <c r="U147" s="225">
        <f t="shared" si="115"/>
        <v>20864.028207829331</v>
      </c>
      <c r="V147" s="225">
        <f t="shared" si="115"/>
        <v>8978.5487238795395</v>
      </c>
      <c r="W147" s="225">
        <f t="shared" si="115"/>
        <v>8362.70474585376</v>
      </c>
      <c r="X147" s="225">
        <f t="shared" si="115"/>
        <v>0</v>
      </c>
      <c r="Y147" s="225">
        <f t="shared" si="115"/>
        <v>0</v>
      </c>
      <c r="Z147" s="225">
        <f t="shared" si="115"/>
        <v>30342.378835899668</v>
      </c>
      <c r="AA147" s="225">
        <f t="shared" si="115"/>
        <v>6910.8316673687295</v>
      </c>
      <c r="AB147" s="225">
        <f t="shared" si="115"/>
        <v>14301.655605876153</v>
      </c>
      <c r="AC147" s="225">
        <f t="shared" si="115"/>
        <v>16279.728836277398</v>
      </c>
      <c r="AD147" s="225">
        <f t="shared" si="115"/>
        <v>8839.9825754488993</v>
      </c>
      <c r="AE147" s="225">
        <f t="shared" si="115"/>
        <v>29491.955721572376</v>
      </c>
      <c r="AF147" s="225">
        <f t="shared" si="115"/>
        <v>17025.861075691289</v>
      </c>
      <c r="AG147" s="225">
        <f t="shared" si="115"/>
        <v>27610.867421706353</v>
      </c>
      <c r="AH147" s="225">
        <f t="shared" si="115"/>
        <v>11548.781155818451</v>
      </c>
      <c r="AI147" s="225">
        <f t="shared" si="115"/>
        <v>2132.0235015854414</v>
      </c>
      <c r="AJ147" s="225">
        <f t="shared" si="115"/>
        <v>21463.45499780633</v>
      </c>
      <c r="AK147" s="225">
        <f t="shared" si="115"/>
        <v>0</v>
      </c>
      <c r="AL147" s="225">
        <f t="shared" si="115"/>
        <v>0</v>
      </c>
      <c r="AM147" s="225">
        <f t="shared" si="115"/>
        <v>0</v>
      </c>
      <c r="AN147" s="225">
        <f t="shared" si="115"/>
        <v>0</v>
      </c>
      <c r="AO147" s="225">
        <f t="shared" si="115"/>
        <v>12294.063794137473</v>
      </c>
      <c r="AP147" s="225">
        <f t="shared" si="115"/>
        <v>11883.641062218092</v>
      </c>
      <c r="AQ147" s="225">
        <f t="shared" si="115"/>
        <v>8622.2492243268207</v>
      </c>
      <c r="AR147" s="225">
        <f t="shared" si="115"/>
        <v>11533.879785153295</v>
      </c>
      <c r="AS147" s="225">
        <f t="shared" si="115"/>
        <v>18846.774566903809</v>
      </c>
      <c r="AT147" s="225">
        <f t="shared" si="115"/>
        <v>8990.3683802657142</v>
      </c>
      <c r="AU147" s="225">
        <f t="shared" si="115"/>
        <v>25497.769093134397</v>
      </c>
      <c r="AV147" s="225">
        <f t="shared" si="115"/>
        <v>37726.209604263699</v>
      </c>
      <c r="AW147" s="225">
        <f t="shared" si="115"/>
        <v>37086.423438391714</v>
      </c>
      <c r="AX147" s="225">
        <f t="shared" si="115"/>
        <v>5131.9406000971012</v>
      </c>
      <c r="AY147" s="225">
        <f t="shared" si="115"/>
        <v>22213.475232740246</v>
      </c>
      <c r="AZ147" s="225">
        <f t="shared" si="115"/>
        <v>14867.521891671393</v>
      </c>
      <c r="BA147" s="225">
        <f t="shared" si="115"/>
        <v>24326.754364043394</v>
      </c>
      <c r="BB147" s="225">
        <f t="shared" si="115"/>
        <v>5241.5929373873878</v>
      </c>
      <c r="BC147" s="225">
        <f t="shared" si="115"/>
        <v>26675.606950876401</v>
      </c>
      <c r="BD147" s="251">
        <f>SUM(F147:BC147)</f>
        <v>737778.3615706804</v>
      </c>
      <c r="BE147" s="254"/>
      <c r="BF147" s="17"/>
    </row>
    <row r="148" spans="1:58">
      <c r="A148" s="104"/>
      <c r="B148" s="17"/>
      <c r="E148" s="4" t="s">
        <v>188</v>
      </c>
      <c r="F148" s="304">
        <f>F147*5.9451726</f>
        <v>0</v>
      </c>
      <c r="G148" s="304">
        <f t="shared" ref="G148:BC148" si="116">G147*5.9451726</f>
        <v>0</v>
      </c>
      <c r="H148" s="304">
        <f t="shared" si="116"/>
        <v>0</v>
      </c>
      <c r="I148" s="304">
        <f t="shared" si="116"/>
        <v>28763.56972035694</v>
      </c>
      <c r="J148" s="304">
        <f t="shared" si="116"/>
        <v>0</v>
      </c>
      <c r="K148" s="304">
        <f t="shared" si="116"/>
        <v>84330.692131109288</v>
      </c>
      <c r="L148" s="304">
        <f t="shared" si="116"/>
        <v>239575.9883096384</v>
      </c>
      <c r="M148" s="304">
        <f t="shared" si="116"/>
        <v>181167.83417736026</v>
      </c>
      <c r="N148" s="304">
        <f t="shared" si="116"/>
        <v>53082.985767574821</v>
      </c>
      <c r="O148" s="304">
        <f t="shared" si="116"/>
        <v>281093.77282554947</v>
      </c>
      <c r="P148" s="304">
        <f t="shared" si="116"/>
        <v>206536.66144319129</v>
      </c>
      <c r="Q148" s="304">
        <f t="shared" si="116"/>
        <v>175593.70446745824</v>
      </c>
      <c r="R148" s="304">
        <f t="shared" si="116"/>
        <v>99915.47605363866</v>
      </c>
      <c r="S148" s="304">
        <f t="shared" si="116"/>
        <v>48510.791287644424</v>
      </c>
      <c r="T148" s="304">
        <f t="shared" si="116"/>
        <v>44246.336260562486</v>
      </c>
      <c r="U148" s="304">
        <f t="shared" si="116"/>
        <v>124040.24882681404</v>
      </c>
      <c r="V148" s="304">
        <f t="shared" si="116"/>
        <v>53379.021860973604</v>
      </c>
      <c r="W148" s="304">
        <f t="shared" si="116"/>
        <v>49717.723116939742</v>
      </c>
      <c r="X148" s="304">
        <f t="shared" si="116"/>
        <v>0</v>
      </c>
      <c r="Y148" s="304">
        <f t="shared" si="116"/>
        <v>0</v>
      </c>
      <c r="Z148" s="304">
        <f t="shared" si="116"/>
        <v>180390.67927401062</v>
      </c>
      <c r="AA148" s="304">
        <f t="shared" si="116"/>
        <v>41086.087072052884</v>
      </c>
      <c r="AB148" s="304">
        <f t="shared" si="116"/>
        <v>85025.811042691304</v>
      </c>
      <c r="AC148" s="304">
        <f t="shared" si="116"/>
        <v>96785.79781286628</v>
      </c>
      <c r="AD148" s="304">
        <f t="shared" si="116"/>
        <v>52555.222192036228</v>
      </c>
      <c r="AE148" s="304">
        <f t="shared" si="116"/>
        <v>175334.76707630532</v>
      </c>
      <c r="AF148" s="304">
        <f t="shared" si="116"/>
        <v>101221.68275860639</v>
      </c>
      <c r="AG148" s="304">
        <f t="shared" si="116"/>
        <v>164151.37245776126</v>
      </c>
      <c r="AH148" s="304">
        <f t="shared" si="116"/>
        <v>68659.497290968196</v>
      </c>
      <c r="AI148" s="304">
        <f t="shared" si="116"/>
        <v>12675.247704181824</v>
      </c>
      <c r="AJ148" s="304">
        <f t="shared" si="116"/>
        <v>127603.94455429126</v>
      </c>
      <c r="AK148" s="304">
        <f t="shared" si="116"/>
        <v>0</v>
      </c>
      <c r="AL148" s="304">
        <f t="shared" si="116"/>
        <v>0</v>
      </c>
      <c r="AM148" s="304">
        <f t="shared" si="116"/>
        <v>0</v>
      </c>
      <c r="AN148" s="304">
        <f t="shared" si="116"/>
        <v>0</v>
      </c>
      <c r="AO148" s="304">
        <f t="shared" si="116"/>
        <v>73090.33121155815</v>
      </c>
      <c r="AP148" s="304">
        <f t="shared" si="116"/>
        <v>70650.297231333898</v>
      </c>
      <c r="AQ148" s="304">
        <f t="shared" si="116"/>
        <v>51260.759838839069</v>
      </c>
      <c r="AR148" s="304">
        <f t="shared" si="116"/>
        <v>68570.906070387253</v>
      </c>
      <c r="AS148" s="304">
        <f t="shared" si="116"/>
        <v>112047.32775353339</v>
      </c>
      <c r="AT148" s="304">
        <f t="shared" si="116"/>
        <v>53449.291758262108</v>
      </c>
      <c r="AU148" s="304">
        <f t="shared" si="116"/>
        <v>151588.63817362947</v>
      </c>
      <c r="AV148" s="304">
        <f t="shared" si="116"/>
        <v>224288.82764112539</v>
      </c>
      <c r="AW148" s="304">
        <f t="shared" si="116"/>
        <v>220485.1884579242</v>
      </c>
      <c r="AX148" s="304">
        <f t="shared" si="116"/>
        <v>30510.272640524843</v>
      </c>
      <c r="AY148" s="304">
        <f t="shared" si="116"/>
        <v>132062.94430446593</v>
      </c>
      <c r="AZ148" s="304">
        <f t="shared" si="116"/>
        <v>88389.983780264942</v>
      </c>
      <c r="BA148" s="304">
        <f t="shared" si="116"/>
        <v>144626.75349204123</v>
      </c>
      <c r="BB148" s="304">
        <f t="shared" si="116"/>
        <v>31162.174711709016</v>
      </c>
      <c r="BC148" s="304">
        <f t="shared" si="116"/>
        <v>158591.08753271995</v>
      </c>
      <c r="BD148" s="304">
        <f>SUM(F148:BC148)</f>
        <v>4386219.7000829019</v>
      </c>
      <c r="BE148" s="295"/>
      <c r="BF148" s="17"/>
    </row>
    <row r="149" spans="1:58">
      <c r="A149" s="104"/>
      <c r="B149" s="291"/>
      <c r="E149" s="9" t="s">
        <v>130</v>
      </c>
      <c r="F149" s="312">
        <f>F103*5.9451726*(1+F105)</f>
        <v>78.004139198057047</v>
      </c>
      <c r="G149" s="312">
        <f t="shared" ref="G149:BD149" si="117">G103*5.9451726*(1+G105)</f>
        <v>75.43235001780296</v>
      </c>
      <c r="H149" s="312">
        <f t="shared" si="117"/>
        <v>95.593076267010602</v>
      </c>
      <c r="I149" s="312">
        <f t="shared" si="117"/>
        <v>505.06331358228113</v>
      </c>
      <c r="J149" s="312">
        <f t="shared" si="117"/>
        <v>69.526908162528514</v>
      </c>
      <c r="K149" s="312">
        <f t="shared" si="117"/>
        <v>18.8030919065224</v>
      </c>
      <c r="L149" s="312">
        <f t="shared" si="117"/>
        <v>33.56124075037296</v>
      </c>
      <c r="M149" s="312">
        <f t="shared" si="117"/>
        <v>55.375460025468186</v>
      </c>
      <c r="N149" s="312">
        <f t="shared" si="117"/>
        <v>229.71727485222712</v>
      </c>
      <c r="O149" s="312">
        <f t="shared" si="117"/>
        <v>24.418360756620107</v>
      </c>
      <c r="P149" s="312">
        <f t="shared" si="117"/>
        <v>98.33462154402433</v>
      </c>
      <c r="Q149" s="312">
        <f t="shared" si="117"/>
        <v>36.962193451604762</v>
      </c>
      <c r="R149" s="312">
        <f t="shared" si="117"/>
        <v>33.723527233544779</v>
      </c>
      <c r="S149" s="312">
        <f t="shared" si="117"/>
        <v>57.861886468964855</v>
      </c>
      <c r="T149" s="312">
        <f t="shared" si="117"/>
        <v>34.03817082041347</v>
      </c>
      <c r="U149" s="312">
        <f t="shared" si="117"/>
        <v>45.461379511739302</v>
      </c>
      <c r="V149" s="312">
        <f t="shared" si="117"/>
        <v>31.943366511460859</v>
      </c>
      <c r="W149" s="312">
        <f t="shared" si="117"/>
        <v>50.440279804095425</v>
      </c>
      <c r="X149" s="312">
        <f t="shared" si="117"/>
        <v>31.399624456306604</v>
      </c>
      <c r="Y149" s="312">
        <f t="shared" si="117"/>
        <v>40.325645225394425</v>
      </c>
      <c r="Z149" s="312">
        <f t="shared" si="117"/>
        <v>70.261361780097232</v>
      </c>
      <c r="AA149" s="312">
        <f t="shared" si="117"/>
        <v>72.410367604217754</v>
      </c>
      <c r="AB149" s="312">
        <f t="shared" si="117"/>
        <v>46.048651670736128</v>
      </c>
      <c r="AC149" s="312">
        <f t="shared" si="117"/>
        <v>55.773412223966169</v>
      </c>
      <c r="AD149" s="312">
        <f t="shared" si="117"/>
        <v>37.826558114754633</v>
      </c>
      <c r="AE149" s="312">
        <f t="shared" si="117"/>
        <v>62.544543156777507</v>
      </c>
      <c r="AF149" s="312">
        <f t="shared" si="117"/>
        <v>35.267576052805161</v>
      </c>
      <c r="AG149" s="312">
        <f t="shared" si="117"/>
        <v>53.592531096971364</v>
      </c>
      <c r="AH149" s="312">
        <f t="shared" si="117"/>
        <v>46.991110497416578</v>
      </c>
      <c r="AI149" s="312">
        <f t="shared" si="117"/>
        <v>52.449042289974514</v>
      </c>
      <c r="AJ149" s="312">
        <f t="shared" si="117"/>
        <v>42.84692283761548</v>
      </c>
      <c r="AK149" s="312">
        <f t="shared" si="117"/>
        <v>74.304491417298266</v>
      </c>
      <c r="AL149" s="312">
        <f t="shared" si="117"/>
        <v>194.70625951187102</v>
      </c>
      <c r="AM149" s="312">
        <f t="shared" si="117"/>
        <v>18.38804520744786</v>
      </c>
      <c r="AN149" s="312">
        <f t="shared" si="117"/>
        <v>52.384703756496542</v>
      </c>
      <c r="AO149" s="312">
        <f t="shared" si="117"/>
        <v>4.6069284641522366</v>
      </c>
      <c r="AP149" s="312">
        <f t="shared" si="117"/>
        <v>23.155458832157279</v>
      </c>
      <c r="AQ149" s="312">
        <f t="shared" si="117"/>
        <v>24.013524768846327</v>
      </c>
      <c r="AR149" s="312">
        <f t="shared" si="117"/>
        <v>22.696781183450192</v>
      </c>
      <c r="AS149" s="312">
        <f t="shared" si="117"/>
        <v>24.386062407954309</v>
      </c>
      <c r="AT149" s="312">
        <f t="shared" si="117"/>
        <v>38.081880268559168</v>
      </c>
      <c r="AU149" s="312">
        <f t="shared" si="117"/>
        <v>6.1907024472150054</v>
      </c>
      <c r="AV149" s="312">
        <f t="shared" si="117"/>
        <v>20.361424079419685</v>
      </c>
      <c r="AW149" s="312">
        <f t="shared" si="117"/>
        <v>50.550945209402236</v>
      </c>
      <c r="AX149" s="312">
        <f t="shared" si="117"/>
        <v>271.87271914367363</v>
      </c>
      <c r="AY149" s="312">
        <f t="shared" si="117"/>
        <v>67.114538193986363</v>
      </c>
      <c r="AZ149" s="312">
        <f t="shared" si="117"/>
        <v>209.34831557150358</v>
      </c>
      <c r="BA149" s="312">
        <f t="shared" si="117"/>
        <v>122.17638742831468</v>
      </c>
      <c r="BB149" s="312">
        <f t="shared" si="117"/>
        <v>84.825713084838583</v>
      </c>
      <c r="BC149" s="312">
        <f t="shared" si="117"/>
        <v>65.429572066833813</v>
      </c>
      <c r="BD149" s="312">
        <f t="shared" si="117"/>
        <v>56.640703589208591</v>
      </c>
      <c r="BE149" s="254"/>
      <c r="BF149" s="17"/>
    </row>
    <row r="150" spans="1:58">
      <c r="A150" s="104"/>
      <c r="B150" s="291"/>
      <c r="E150" s="9" t="s">
        <v>95</v>
      </c>
      <c r="F150" s="304">
        <f>F149*F147</f>
        <v>0</v>
      </c>
      <c r="G150" s="304">
        <f t="shared" ref="G150:BC150" si="118">G149*G147</f>
        <v>0</v>
      </c>
      <c r="H150" s="304">
        <f t="shared" si="118"/>
        <v>0</v>
      </c>
      <c r="I150" s="382">
        <f t="shared" si="118"/>
        <v>2443566.3707086393</v>
      </c>
      <c r="J150" s="304">
        <f t="shared" si="118"/>
        <v>0</v>
      </c>
      <c r="K150" s="304">
        <f t="shared" si="118"/>
        <v>266716.85775479308</v>
      </c>
      <c r="L150" s="304">
        <f t="shared" si="118"/>
        <v>1352436.3315655985</v>
      </c>
      <c r="M150" s="304">
        <f t="shared" si="118"/>
        <v>1687461.8845193933</v>
      </c>
      <c r="N150" s="304">
        <f t="shared" si="118"/>
        <v>2051089.1191866901</v>
      </c>
      <c r="O150" s="304">
        <f t="shared" si="118"/>
        <v>1154524.7906332754</v>
      </c>
      <c r="P150" s="304">
        <f t="shared" si="118"/>
        <v>3416167.3351556687</v>
      </c>
      <c r="Q150" s="304">
        <f t="shared" si="118"/>
        <v>1091697.2323747347</v>
      </c>
      <c r="R150" s="304">
        <f t="shared" si="118"/>
        <v>566762.73414626752</v>
      </c>
      <c r="S150" s="304">
        <f t="shared" si="118"/>
        <v>472135.308234</v>
      </c>
      <c r="T150" s="304">
        <f t="shared" si="118"/>
        <v>253325.58920400063</v>
      </c>
      <c r="U150" s="304">
        <f t="shared" si="118"/>
        <v>948507.50449976325</v>
      </c>
      <c r="V150" s="304">
        <f t="shared" si="118"/>
        <v>286805.0726278933</v>
      </c>
      <c r="W150" s="304">
        <f t="shared" si="118"/>
        <v>421817.16729990038</v>
      </c>
      <c r="X150" s="304">
        <f t="shared" si="118"/>
        <v>0</v>
      </c>
      <c r="Y150" s="304">
        <f t="shared" si="118"/>
        <v>0</v>
      </c>
      <c r="Z150" s="304">
        <f t="shared" si="118"/>
        <v>2131896.856657912</v>
      </c>
      <c r="AA150" s="304">
        <f t="shared" si="118"/>
        <v>500415.86148503883</v>
      </c>
      <c r="AB150" s="304">
        <f t="shared" si="118"/>
        <v>658571.95730982162</v>
      </c>
      <c r="AC150" s="304">
        <f t="shared" si="118"/>
        <v>907976.0272800884</v>
      </c>
      <c r="AD150" s="304">
        <f t="shared" si="118"/>
        <v>334386.11462363612</v>
      </c>
      <c r="AE150" s="304">
        <f t="shared" si="118"/>
        <v>1844560.8974056549</v>
      </c>
      <c r="AF150" s="304">
        <f t="shared" si="118"/>
        <v>600460.85035143769</v>
      </c>
      <c r="AG150" s="304">
        <f t="shared" si="118"/>
        <v>1479736.2709121513</v>
      </c>
      <c r="AH150" s="304">
        <f t="shared" si="118"/>
        <v>542690.05140354717</v>
      </c>
      <c r="AI150" s="304">
        <f t="shared" si="118"/>
        <v>111822.59079787436</v>
      </c>
      <c r="AJ150" s="304">
        <f t="shared" si="118"/>
        <v>919643.00011964014</v>
      </c>
      <c r="AK150" s="304">
        <f t="shared" si="118"/>
        <v>0</v>
      </c>
      <c r="AL150" s="304">
        <f t="shared" si="118"/>
        <v>0</v>
      </c>
      <c r="AM150" s="304">
        <f t="shared" si="118"/>
        <v>0</v>
      </c>
      <c r="AN150" s="304">
        <f t="shared" si="118"/>
        <v>0</v>
      </c>
      <c r="AO150" s="304">
        <f t="shared" si="118"/>
        <v>56637.872433315366</v>
      </c>
      <c r="AP150" s="304">
        <f t="shared" si="118"/>
        <v>275171.16139232484</v>
      </c>
      <c r="AQ150" s="304">
        <f t="shared" si="118"/>
        <v>207050.59531153814</v>
      </c>
      <c r="AR150" s="304">
        <f t="shared" si="118"/>
        <v>261781.94567984383</v>
      </c>
      <c r="AS150" s="304">
        <f t="shared" si="118"/>
        <v>459598.62077716232</v>
      </c>
      <c r="AT150" s="304">
        <f t="shared" si="118"/>
        <v>342370.13222751912</v>
      </c>
      <c r="AU150" s="304">
        <f t="shared" si="118"/>
        <v>157849.10152339024</v>
      </c>
      <c r="AV150" s="304">
        <f t="shared" si="118"/>
        <v>768159.35266148904</v>
      </c>
      <c r="AW150" s="304">
        <f t="shared" si="118"/>
        <v>1874753.7592468304</v>
      </c>
      <c r="AX150" s="304">
        <f t="shared" si="118"/>
        <v>1395234.6454322152</v>
      </c>
      <c r="AY150" s="304">
        <f t="shared" si="118"/>
        <v>1490847.1319289154</v>
      </c>
      <c r="AZ150" s="304">
        <f t="shared" si="118"/>
        <v>3112490.6647438607</v>
      </c>
      <c r="BA150" s="304">
        <f t="shared" si="118"/>
        <v>2972154.9660548107</v>
      </c>
      <c r="BB150" s="304">
        <f t="shared" si="118"/>
        <v>444621.85861433885</v>
      </c>
      <c r="BC150" s="304">
        <f t="shared" si="118"/>
        <v>1745373.5474189005</v>
      </c>
      <c r="BD150" s="304">
        <f>SUM(F150:BC150)</f>
        <v>42009269.131703883</v>
      </c>
      <c r="BE150" s="295"/>
      <c r="BF150" s="17"/>
    </row>
    <row r="151" spans="1:58">
      <c r="A151" s="104"/>
      <c r="E151" s="4" t="s">
        <v>808</v>
      </c>
      <c r="F151" s="251">
        <f>2.3278*(F17-F149)</f>
        <v>850.69049248039767</v>
      </c>
      <c r="G151" s="304">
        <f t="shared" ref="G151:BD151" si="119">2.3278*(G17-G149)</f>
        <v>856.67710333419313</v>
      </c>
      <c r="H151" s="304">
        <f t="shared" si="119"/>
        <v>809.74696477128759</v>
      </c>
      <c r="I151" s="386">
        <v>600</v>
      </c>
      <c r="J151" s="304">
        <f t="shared" si="119"/>
        <v>870.423790884901</v>
      </c>
      <c r="K151" s="304">
        <f t="shared" si="119"/>
        <v>988.498690365632</v>
      </c>
      <c r="L151" s="304">
        <f t="shared" si="119"/>
        <v>857.39692433823529</v>
      </c>
      <c r="M151" s="304">
        <f t="shared" si="119"/>
        <v>806.61778470966874</v>
      </c>
      <c r="N151" s="304">
        <f t="shared" si="119"/>
        <v>400.78490815593926</v>
      </c>
      <c r="O151" s="304">
        <f t="shared" si="119"/>
        <v>878.67972038769324</v>
      </c>
      <c r="P151" s="304">
        <f t="shared" si="119"/>
        <v>706.61744852677373</v>
      </c>
      <c r="Q151" s="304">
        <f t="shared" si="119"/>
        <v>849.48018664030792</v>
      </c>
      <c r="R151" s="304">
        <f t="shared" si="119"/>
        <v>1045.9635166886528</v>
      </c>
      <c r="S151" s="304">
        <f t="shared" si="119"/>
        <v>989.77424406044179</v>
      </c>
      <c r="T151" s="304">
        <f t="shared" si="119"/>
        <v>1045.2310893471397</v>
      </c>
      <c r="U151" s="304">
        <f t="shared" si="119"/>
        <v>1018.6401441554715</v>
      </c>
      <c r="V151" s="304">
        <f t="shared" si="119"/>
        <v>1050.1073748175197</v>
      </c>
      <c r="W151" s="304">
        <f t="shared" si="119"/>
        <v>1007.0502600549249</v>
      </c>
      <c r="X151" s="304">
        <f t="shared" si="119"/>
        <v>1051.3730975735077</v>
      </c>
      <c r="Y151" s="304">
        <f t="shared" si="119"/>
        <v>1030.5951064272251</v>
      </c>
      <c r="Z151" s="304">
        <f t="shared" si="119"/>
        <v>890.15611600538443</v>
      </c>
      <c r="AA151" s="304">
        <f t="shared" si="119"/>
        <v>885.15366024799664</v>
      </c>
      <c r="AB151" s="304">
        <f t="shared" si="119"/>
        <v>1017.2730920237586</v>
      </c>
      <c r="AC151" s="304">
        <f t="shared" si="119"/>
        <v>923.88116498214629</v>
      </c>
      <c r="AD151" s="304">
        <f t="shared" si="119"/>
        <v>1036.4124814033726</v>
      </c>
      <c r="AE151" s="304">
        <f t="shared" si="119"/>
        <v>908.11932639674797</v>
      </c>
      <c r="AF151" s="304">
        <f t="shared" si="119"/>
        <v>971.6146504213749</v>
      </c>
      <c r="AG151" s="304">
        <f t="shared" si="119"/>
        <v>928.95782006956483</v>
      </c>
      <c r="AH151" s="304">
        <f t="shared" si="119"/>
        <v>845.58355815654988</v>
      </c>
      <c r="AI151" s="304">
        <f t="shared" si="119"/>
        <v>832.87858452983357</v>
      </c>
      <c r="AJ151" s="304">
        <f t="shared" si="119"/>
        <v>855.23039819103496</v>
      </c>
      <c r="AK151" s="304">
        <f t="shared" si="119"/>
        <v>782.00347005124934</v>
      </c>
      <c r="AL151" s="304">
        <f t="shared" si="119"/>
        <v>671.22791249116506</v>
      </c>
      <c r="AM151" s="304">
        <f t="shared" si="119"/>
        <v>1081.6614517490011</v>
      </c>
      <c r="AN151" s="304">
        <f t="shared" si="119"/>
        <v>1002.5240299785256</v>
      </c>
      <c r="AO151" s="304">
        <f t="shared" si="119"/>
        <v>1113.7411353040447</v>
      </c>
      <c r="AP151" s="304">
        <f t="shared" si="119"/>
        <v>1070.5638663134025</v>
      </c>
      <c r="AQ151" s="304">
        <f t="shared" si="119"/>
        <v>1068.5664604259778</v>
      </c>
      <c r="AR151" s="304">
        <f t="shared" si="119"/>
        <v>1071.631576144063</v>
      </c>
      <c r="AS151" s="304">
        <f t="shared" si="119"/>
        <v>1067.6992673096622</v>
      </c>
      <c r="AT151" s="304">
        <f t="shared" si="119"/>
        <v>1035.8181424937461</v>
      </c>
      <c r="AU151" s="304">
        <f t="shared" si="119"/>
        <v>1110.0544262262713</v>
      </c>
      <c r="AV151" s="304">
        <f t="shared" si="119"/>
        <v>1006.3131909850216</v>
      </c>
      <c r="AW151" s="304">
        <f t="shared" si="119"/>
        <v>936.0380236986482</v>
      </c>
      <c r="AX151" s="304">
        <f t="shared" si="119"/>
        <v>420.84519833445125</v>
      </c>
      <c r="AY151" s="304">
        <f t="shared" si="119"/>
        <v>897.48129194913315</v>
      </c>
      <c r="AZ151" s="304">
        <f t="shared" si="119"/>
        <v>566.38950496974871</v>
      </c>
      <c r="BA151" s="304">
        <f t="shared" si="119"/>
        <v>769.30831930146383</v>
      </c>
      <c r="BB151" s="304">
        <f t="shared" si="119"/>
        <v>856.25321903820748</v>
      </c>
      <c r="BC151" s="304">
        <f t="shared" si="119"/>
        <v>901.40355609991889</v>
      </c>
      <c r="BD151" s="304">
        <f t="shared" si="119"/>
        <v>917.47875111632811</v>
      </c>
      <c r="BE151" s="254"/>
      <c r="BF151" s="17"/>
    </row>
    <row r="152" spans="1:58">
      <c r="A152" s="104"/>
      <c r="E152" s="4" t="s">
        <v>878</v>
      </c>
      <c r="F152" s="304">
        <f>F149+F151</f>
        <v>928.6946316784547</v>
      </c>
      <c r="G152" s="304">
        <f t="shared" ref="G152:BD152" si="120">G149+G151</f>
        <v>932.10945335199608</v>
      </c>
      <c r="H152" s="304">
        <f t="shared" si="120"/>
        <v>905.34004103829818</v>
      </c>
      <c r="I152" s="304">
        <f t="shared" si="120"/>
        <v>1105.0633135822811</v>
      </c>
      <c r="J152" s="304">
        <f t="shared" si="120"/>
        <v>939.95069904742945</v>
      </c>
      <c r="K152" s="304">
        <f t="shared" si="120"/>
        <v>1007.3017822721544</v>
      </c>
      <c r="L152" s="304">
        <f t="shared" si="120"/>
        <v>890.95816508860821</v>
      </c>
      <c r="M152" s="304">
        <f t="shared" si="120"/>
        <v>861.99324473513695</v>
      </c>
      <c r="N152" s="304">
        <f t="shared" si="120"/>
        <v>630.50218300816641</v>
      </c>
      <c r="O152" s="304">
        <f t="shared" si="120"/>
        <v>903.09808114431337</v>
      </c>
      <c r="P152" s="304">
        <f t="shared" si="120"/>
        <v>804.95207007079807</v>
      </c>
      <c r="Q152" s="304">
        <f t="shared" si="120"/>
        <v>886.4423800919127</v>
      </c>
      <c r="R152" s="304">
        <f t="shared" si="120"/>
        <v>1079.6870439221975</v>
      </c>
      <c r="S152" s="304">
        <f t="shared" si="120"/>
        <v>1047.6361305294067</v>
      </c>
      <c r="T152" s="304">
        <f t="shared" si="120"/>
        <v>1079.2692601675531</v>
      </c>
      <c r="U152" s="304">
        <f t="shared" si="120"/>
        <v>1064.1015236672108</v>
      </c>
      <c r="V152" s="304">
        <f t="shared" si="120"/>
        <v>1082.0507413289806</v>
      </c>
      <c r="W152" s="304">
        <f t="shared" si="120"/>
        <v>1057.4905398590204</v>
      </c>
      <c r="X152" s="304">
        <f t="shared" si="120"/>
        <v>1082.7727220298143</v>
      </c>
      <c r="Y152" s="304">
        <f t="shared" si="120"/>
        <v>1070.9207516526196</v>
      </c>
      <c r="Z152" s="304">
        <f t="shared" si="120"/>
        <v>960.41747778548165</v>
      </c>
      <c r="AA152" s="304">
        <f t="shared" si="120"/>
        <v>957.56402785221439</v>
      </c>
      <c r="AB152" s="304">
        <f t="shared" si="120"/>
        <v>1063.3217436944947</v>
      </c>
      <c r="AC152" s="304">
        <f t="shared" si="120"/>
        <v>979.65457720611244</v>
      </c>
      <c r="AD152" s="304">
        <f t="shared" si="120"/>
        <v>1074.2390395181271</v>
      </c>
      <c r="AE152" s="304">
        <f t="shared" si="120"/>
        <v>970.6638695535255</v>
      </c>
      <c r="AF152" s="304">
        <f t="shared" si="120"/>
        <v>1006.88222647418</v>
      </c>
      <c r="AG152" s="304">
        <f t="shared" si="120"/>
        <v>982.55035116653619</v>
      </c>
      <c r="AH152" s="304">
        <f t="shared" si="120"/>
        <v>892.57466865396646</v>
      </c>
      <c r="AI152" s="304">
        <f t="shared" si="120"/>
        <v>885.32762681980807</v>
      </c>
      <c r="AJ152" s="304">
        <f t="shared" si="120"/>
        <v>898.07732102865043</v>
      </c>
      <c r="AK152" s="304">
        <f t="shared" si="120"/>
        <v>856.30796146854755</v>
      </c>
      <c r="AL152" s="304">
        <f t="shared" si="120"/>
        <v>865.93417200303611</v>
      </c>
      <c r="AM152" s="304">
        <f t="shared" si="120"/>
        <v>1100.049496956449</v>
      </c>
      <c r="AN152" s="304">
        <f t="shared" si="120"/>
        <v>1054.9087337350222</v>
      </c>
      <c r="AO152" s="304">
        <f t="shared" si="120"/>
        <v>1118.3480637681969</v>
      </c>
      <c r="AP152" s="304">
        <f t="shared" si="120"/>
        <v>1093.7193251455599</v>
      </c>
      <c r="AQ152" s="304">
        <f t="shared" si="120"/>
        <v>1092.5799851948241</v>
      </c>
      <c r="AR152" s="304">
        <f t="shared" si="120"/>
        <v>1094.3283573275132</v>
      </c>
      <c r="AS152" s="304">
        <f t="shared" si="120"/>
        <v>1092.0853297176166</v>
      </c>
      <c r="AT152" s="304">
        <f t="shared" si="120"/>
        <v>1073.9000227623053</v>
      </c>
      <c r="AU152" s="304">
        <f t="shared" si="120"/>
        <v>1116.2451286734863</v>
      </c>
      <c r="AV152" s="304">
        <f t="shared" si="120"/>
        <v>1026.6746150644412</v>
      </c>
      <c r="AW152" s="304">
        <f t="shared" si="120"/>
        <v>986.58896890805045</v>
      </c>
      <c r="AX152" s="304">
        <f t="shared" si="120"/>
        <v>692.71791747812495</v>
      </c>
      <c r="AY152" s="304">
        <f t="shared" si="120"/>
        <v>964.59583014311954</v>
      </c>
      <c r="AZ152" s="304">
        <f t="shared" si="120"/>
        <v>775.73782054125229</v>
      </c>
      <c r="BA152" s="304">
        <f t="shared" si="120"/>
        <v>891.48470672977851</v>
      </c>
      <c r="BB152" s="304">
        <f t="shared" si="120"/>
        <v>941.07893212304612</v>
      </c>
      <c r="BC152" s="304">
        <f t="shared" si="120"/>
        <v>966.83312816675266</v>
      </c>
      <c r="BD152" s="304">
        <f t="shared" si="120"/>
        <v>974.11945470553667</v>
      </c>
      <c r="BE152" s="254"/>
      <c r="BF152" s="17"/>
    </row>
    <row r="153" spans="1:58">
      <c r="A153" s="104"/>
      <c r="E153" s="4" t="s">
        <v>797</v>
      </c>
      <c r="F153" s="304">
        <f>F152*F147</f>
        <v>0</v>
      </c>
      <c r="G153" s="304">
        <f t="shared" ref="G153:BC153" si="121">G152*G147</f>
        <v>0</v>
      </c>
      <c r="H153" s="304">
        <f t="shared" si="121"/>
        <v>0</v>
      </c>
      <c r="I153" s="304">
        <f t="shared" si="121"/>
        <v>5346449.5993997902</v>
      </c>
      <c r="J153" s="304">
        <f t="shared" si="121"/>
        <v>0</v>
      </c>
      <c r="K153" s="304">
        <f t="shared" si="121"/>
        <v>14288307.875857249</v>
      </c>
      <c r="L153" s="304">
        <f t="shared" si="121"/>
        <v>35903445.9224355</v>
      </c>
      <c r="M153" s="304">
        <f t="shared" si="121"/>
        <v>26267605.6241294</v>
      </c>
      <c r="N153" s="304">
        <f t="shared" si="121"/>
        <v>5629599.1149268486</v>
      </c>
      <c r="O153" s="304">
        <f t="shared" si="121"/>
        <v>42699390.571161762</v>
      </c>
      <c r="P153" s="304">
        <f t="shared" si="121"/>
        <v>27964219.772897497</v>
      </c>
      <c r="Q153" s="304">
        <f t="shared" si="121"/>
        <v>26181527.735172834</v>
      </c>
      <c r="R153" s="304">
        <f t="shared" si="121"/>
        <v>18145384.876198921</v>
      </c>
      <c r="S153" s="304">
        <f t="shared" si="121"/>
        <v>8548390.6175419465</v>
      </c>
      <c r="T153" s="304">
        <f t="shared" si="121"/>
        <v>8032350.5832382478</v>
      </c>
      <c r="U153" s="304">
        <f t="shared" si="121"/>
        <v>22201444.205786858</v>
      </c>
      <c r="V153" s="304">
        <f t="shared" si="121"/>
        <v>9715245.3027322292</v>
      </c>
      <c r="W153" s="304">
        <f t="shared" si="121"/>
        <v>8843481.1563744843</v>
      </c>
      <c r="X153" s="304">
        <f t="shared" si="121"/>
        <v>0</v>
      </c>
      <c r="Y153" s="304">
        <f t="shared" si="121"/>
        <v>0</v>
      </c>
      <c r="Z153" s="304">
        <f t="shared" si="121"/>
        <v>29141350.95158634</v>
      </c>
      <c r="AA153" s="304">
        <f t="shared" si="121"/>
        <v>6617563.807214235</v>
      </c>
      <c r="AB153" s="304">
        <f t="shared" si="121"/>
        <v>15207261.376558375</v>
      </c>
      <c r="AC153" s="304">
        <f t="shared" si="121"/>
        <v>15948510.870133491</v>
      </c>
      <c r="AD153" s="304">
        <f t="shared" si="121"/>
        <v>9496254.3912072051</v>
      </c>
      <c r="AE153" s="304">
        <f t="shared" si="121"/>
        <v>28626775.861402679</v>
      </c>
      <c r="AF153" s="304">
        <f t="shared" si="121"/>
        <v>17143036.907532122</v>
      </c>
      <c r="AG153" s="304">
        <f t="shared" si="121"/>
        <v>27129067.48121025</v>
      </c>
      <c r="AH153" s="304">
        <f t="shared" si="121"/>
        <v>10308149.513511825</v>
      </c>
      <c r="AI153" s="304">
        <f t="shared" si="121"/>
        <v>1887539.3069826961</v>
      </c>
      <c r="AJ153" s="304">
        <f t="shared" si="121"/>
        <v>19275842.164448906</v>
      </c>
      <c r="AK153" s="304">
        <f t="shared" si="121"/>
        <v>0</v>
      </c>
      <c r="AL153" s="304">
        <f t="shared" si="121"/>
        <v>0</v>
      </c>
      <c r="AM153" s="304">
        <f t="shared" si="121"/>
        <v>0</v>
      </c>
      <c r="AN153" s="304">
        <f t="shared" si="121"/>
        <v>0</v>
      </c>
      <c r="AO153" s="304">
        <f t="shared" si="121"/>
        <v>13749042.440016335</v>
      </c>
      <c r="AP153" s="304">
        <f t="shared" si="121"/>
        <v>12997367.882841235</v>
      </c>
      <c r="AQ153" s="304">
        <f t="shared" si="121"/>
        <v>9420496.9298610818</v>
      </c>
      <c r="AR153" s="304">
        <f t="shared" si="121"/>
        <v>12621851.718899816</v>
      </c>
      <c r="AS153" s="304">
        <f t="shared" si="121"/>
        <v>20582286.017010737</v>
      </c>
      <c r="AT153" s="304">
        <f t="shared" si="121"/>
        <v>9654756.8082088605</v>
      </c>
      <c r="AU153" s="304">
        <f t="shared" si="121"/>
        <v>28461760.542252649</v>
      </c>
      <c r="AV153" s="304">
        <f t="shared" si="121"/>
        <v>38732541.723297857</v>
      </c>
      <c r="AW153" s="304">
        <f t="shared" si="121"/>
        <v>36589056.260570236</v>
      </c>
      <c r="AX153" s="304">
        <f t="shared" si="121"/>
        <v>3554987.2051207027</v>
      </c>
      <c r="AY153" s="304">
        <f t="shared" si="121"/>
        <v>21427025.582488704</v>
      </c>
      <c r="AZ153" s="304">
        <f t="shared" si="121"/>
        <v>11533299.029094523</v>
      </c>
      <c r="BA153" s="304">
        <f t="shared" si="121"/>
        <v>21686929.479916584</v>
      </c>
      <c r="BB153" s="304">
        <f t="shared" si="121"/>
        <v>4932752.6841402231</v>
      </c>
      <c r="BC153" s="304">
        <f t="shared" si="121"/>
        <v>25790860.514062602</v>
      </c>
      <c r="BD153" s="304">
        <f>SUM(F153:BC153)</f>
        <v>712283210.40742397</v>
      </c>
    </row>
    <row r="154" spans="1:58">
      <c r="A154" s="104"/>
      <c r="BE154" s="2" t="s">
        <v>385</v>
      </c>
    </row>
    <row r="155" spans="1:58" ht="17">
      <c r="A155" s="104"/>
      <c r="C155" s="56" t="s">
        <v>770</v>
      </c>
      <c r="BE155" s="10" t="s">
        <v>651</v>
      </c>
    </row>
    <row r="156" spans="1:58">
      <c r="A156" s="104"/>
      <c r="F156" s="1" t="s">
        <v>403</v>
      </c>
      <c r="G156" s="1" t="s">
        <v>143</v>
      </c>
      <c r="H156" s="1" t="s">
        <v>253</v>
      </c>
      <c r="I156" s="1" t="s">
        <v>261</v>
      </c>
      <c r="J156" s="1" t="s">
        <v>254</v>
      </c>
      <c r="K156" s="1" t="s">
        <v>255</v>
      </c>
      <c r="L156" s="1" t="s">
        <v>447</v>
      </c>
      <c r="M156" s="1" t="s">
        <v>256</v>
      </c>
      <c r="N156" s="1" t="s">
        <v>257</v>
      </c>
      <c r="O156" s="1" t="s">
        <v>258</v>
      </c>
      <c r="P156" s="1" t="s">
        <v>448</v>
      </c>
      <c r="Q156" s="1" t="s">
        <v>449</v>
      </c>
      <c r="R156" s="1" t="s">
        <v>276</v>
      </c>
      <c r="S156" s="1" t="s">
        <v>274</v>
      </c>
      <c r="T156" s="1" t="s">
        <v>450</v>
      </c>
      <c r="U156" s="1" t="s">
        <v>451</v>
      </c>
      <c r="V156" s="1" t="s">
        <v>277</v>
      </c>
      <c r="W156" s="1" t="s">
        <v>464</v>
      </c>
      <c r="X156" s="1" t="s">
        <v>278</v>
      </c>
      <c r="Y156" s="1" t="s">
        <v>505</v>
      </c>
      <c r="Z156" s="1" t="s">
        <v>279</v>
      </c>
      <c r="AA156" s="1" t="s">
        <v>360</v>
      </c>
      <c r="AB156" s="1" t="s">
        <v>361</v>
      </c>
      <c r="AC156" s="1" t="s">
        <v>362</v>
      </c>
      <c r="AD156" s="1" t="s">
        <v>280</v>
      </c>
      <c r="AE156" s="1" t="s">
        <v>281</v>
      </c>
      <c r="AF156" s="1" t="s">
        <v>363</v>
      </c>
      <c r="AG156" s="1" t="s">
        <v>282</v>
      </c>
      <c r="AH156" s="1" t="s">
        <v>364</v>
      </c>
      <c r="AI156" s="1" t="s">
        <v>473</v>
      </c>
      <c r="AJ156" s="1" t="s">
        <v>230</v>
      </c>
      <c r="AK156" s="1" t="s">
        <v>231</v>
      </c>
      <c r="AL156" s="1" t="s">
        <v>232</v>
      </c>
      <c r="AM156" s="1" t="s">
        <v>233</v>
      </c>
      <c r="AN156" s="1" t="s">
        <v>203</v>
      </c>
      <c r="AO156" s="1" t="s">
        <v>463</v>
      </c>
      <c r="AP156" s="1" t="s">
        <v>365</v>
      </c>
      <c r="AQ156" s="1" t="s">
        <v>252</v>
      </c>
      <c r="AR156" s="1" t="s">
        <v>380</v>
      </c>
      <c r="AS156" s="1" t="s">
        <v>381</v>
      </c>
      <c r="AT156" s="1" t="s">
        <v>204</v>
      </c>
      <c r="AU156" s="1" t="s">
        <v>382</v>
      </c>
      <c r="AV156" s="1" t="s">
        <v>205</v>
      </c>
      <c r="AW156" s="1" t="s">
        <v>383</v>
      </c>
      <c r="AX156" s="1" t="s">
        <v>206</v>
      </c>
      <c r="AY156" s="1" t="s">
        <v>384</v>
      </c>
      <c r="AZ156" s="1" t="s">
        <v>144</v>
      </c>
      <c r="BA156" s="1" t="s">
        <v>208</v>
      </c>
      <c r="BB156" s="1" t="s">
        <v>145</v>
      </c>
      <c r="BC156" s="1" t="s">
        <v>389</v>
      </c>
      <c r="BD156" s="2" t="s">
        <v>385</v>
      </c>
      <c r="BE156" s="9" t="s">
        <v>652</v>
      </c>
      <c r="BF156" s="6" t="s">
        <v>372</v>
      </c>
    </row>
    <row r="157" spans="1:58">
      <c r="A157" s="104"/>
      <c r="B157" s="45" t="s">
        <v>432</v>
      </c>
      <c r="C157" s="45" t="s">
        <v>433</v>
      </c>
      <c r="E157" s="9" t="s">
        <v>266</v>
      </c>
    </row>
    <row r="158" spans="1:58">
      <c r="A158" s="104"/>
      <c r="B158" s="9" t="s">
        <v>586</v>
      </c>
      <c r="F158" s="68">
        <f>F67</f>
        <v>0</v>
      </c>
      <c r="G158" s="68">
        <f t="shared" ref="G158:BD158" si="122">G67</f>
        <v>0</v>
      </c>
      <c r="H158" s="68">
        <f t="shared" si="122"/>
        <v>0.4375</v>
      </c>
      <c r="I158" s="68">
        <f t="shared" si="122"/>
        <v>0</v>
      </c>
      <c r="J158" s="68">
        <f t="shared" si="122"/>
        <v>0</v>
      </c>
      <c r="K158" s="68">
        <f t="shared" si="122"/>
        <v>0</v>
      </c>
      <c r="L158" s="68">
        <f t="shared" si="122"/>
        <v>0</v>
      </c>
      <c r="M158" s="68">
        <f t="shared" si="122"/>
        <v>0</v>
      </c>
      <c r="N158" s="68">
        <f t="shared" si="122"/>
        <v>0</v>
      </c>
      <c r="O158" s="68">
        <f t="shared" si="122"/>
        <v>0</v>
      </c>
      <c r="P158" s="68">
        <f t="shared" si="122"/>
        <v>1.5510204081632653</v>
      </c>
      <c r="Q158" s="68">
        <f t="shared" si="122"/>
        <v>0</v>
      </c>
      <c r="R158" s="68">
        <f t="shared" si="122"/>
        <v>0</v>
      </c>
      <c r="S158" s="68">
        <f t="shared" si="122"/>
        <v>0</v>
      </c>
      <c r="T158" s="68">
        <f t="shared" si="122"/>
        <v>0</v>
      </c>
      <c r="U158" s="68">
        <f t="shared" si="122"/>
        <v>0</v>
      </c>
      <c r="V158" s="68">
        <f t="shared" si="122"/>
        <v>0</v>
      </c>
      <c r="W158" s="68">
        <f t="shared" si="122"/>
        <v>0</v>
      </c>
      <c r="X158" s="68">
        <f t="shared" si="122"/>
        <v>0</v>
      </c>
      <c r="Y158" s="68">
        <f t="shared" si="122"/>
        <v>0</v>
      </c>
      <c r="Z158" s="68">
        <f t="shared" si="122"/>
        <v>0</v>
      </c>
      <c r="AA158" s="68">
        <f t="shared" si="122"/>
        <v>0</v>
      </c>
      <c r="AB158" s="68">
        <f t="shared" si="122"/>
        <v>0</v>
      </c>
      <c r="AC158" s="68">
        <f t="shared" si="122"/>
        <v>0</v>
      </c>
      <c r="AD158" s="68">
        <f t="shared" si="122"/>
        <v>0</v>
      </c>
      <c r="AE158" s="68">
        <f t="shared" si="122"/>
        <v>0</v>
      </c>
      <c r="AF158" s="68">
        <f t="shared" si="122"/>
        <v>0</v>
      </c>
      <c r="AG158" s="68">
        <f t="shared" si="122"/>
        <v>0</v>
      </c>
      <c r="AH158" s="68">
        <f t="shared" si="122"/>
        <v>0</v>
      </c>
      <c r="AI158" s="68">
        <f t="shared" si="122"/>
        <v>0</v>
      </c>
      <c r="AJ158" s="68">
        <f t="shared" si="122"/>
        <v>0</v>
      </c>
      <c r="AK158" s="68">
        <f t="shared" si="122"/>
        <v>0</v>
      </c>
      <c r="AL158" s="68">
        <f t="shared" si="122"/>
        <v>0</v>
      </c>
      <c r="AM158" s="68">
        <f t="shared" si="122"/>
        <v>0</v>
      </c>
      <c r="AN158" s="68">
        <f t="shared" si="122"/>
        <v>0</v>
      </c>
      <c r="AO158" s="68">
        <f t="shared" si="122"/>
        <v>0</v>
      </c>
      <c r="AP158" s="68">
        <f t="shared" si="122"/>
        <v>0</v>
      </c>
      <c r="AQ158" s="68">
        <f t="shared" si="122"/>
        <v>0</v>
      </c>
      <c r="AR158" s="68">
        <f t="shared" si="122"/>
        <v>0</v>
      </c>
      <c r="AS158" s="68">
        <f t="shared" si="122"/>
        <v>0</v>
      </c>
      <c r="AT158" s="68">
        <f t="shared" si="122"/>
        <v>0</v>
      </c>
      <c r="AU158" s="68">
        <f t="shared" si="122"/>
        <v>0</v>
      </c>
      <c r="AV158" s="68">
        <f t="shared" si="122"/>
        <v>0</v>
      </c>
      <c r="AW158" s="68">
        <f t="shared" si="122"/>
        <v>0</v>
      </c>
      <c r="AX158" s="68">
        <f t="shared" si="122"/>
        <v>0</v>
      </c>
      <c r="AY158" s="68">
        <f t="shared" si="122"/>
        <v>0</v>
      </c>
      <c r="AZ158" s="68">
        <f t="shared" si="122"/>
        <v>0.8</v>
      </c>
      <c r="BA158" s="68">
        <f t="shared" si="122"/>
        <v>0.95121951219512202</v>
      </c>
      <c r="BB158" s="68">
        <f t="shared" si="122"/>
        <v>3.9622641509433962</v>
      </c>
      <c r="BC158" s="68">
        <f t="shared" si="122"/>
        <v>0</v>
      </c>
      <c r="BD158" s="68">
        <f t="shared" si="122"/>
        <v>7.7020040713017828</v>
      </c>
      <c r="BE158" s="109">
        <f>100*BD158/BD$14</f>
        <v>4.9898808675213872E-5</v>
      </c>
      <c r="BF158" s="109">
        <f>BE158</f>
        <v>4.9898808675213872E-5</v>
      </c>
    </row>
    <row r="159" spans="1:58">
      <c r="A159" s="104"/>
      <c r="B159" s="9" t="s">
        <v>587</v>
      </c>
      <c r="F159" s="68">
        <f t="shared" ref="F159:U159" si="123">F68</f>
        <v>0</v>
      </c>
      <c r="G159" s="68">
        <f t="shared" si="123"/>
        <v>0</v>
      </c>
      <c r="H159" s="68">
        <f t="shared" si="123"/>
        <v>1.4375</v>
      </c>
      <c r="I159" s="68">
        <f t="shared" si="123"/>
        <v>0</v>
      </c>
      <c r="J159" s="68">
        <f t="shared" si="123"/>
        <v>0</v>
      </c>
      <c r="K159" s="68">
        <f t="shared" si="123"/>
        <v>0</v>
      </c>
      <c r="L159" s="68">
        <f t="shared" si="123"/>
        <v>0</v>
      </c>
      <c r="M159" s="68">
        <f t="shared" si="123"/>
        <v>0</v>
      </c>
      <c r="N159" s="68">
        <f t="shared" si="123"/>
        <v>0</v>
      </c>
      <c r="O159" s="68">
        <f t="shared" si="123"/>
        <v>0</v>
      </c>
      <c r="P159" s="68">
        <f t="shared" si="123"/>
        <v>4.408163265306122</v>
      </c>
      <c r="Q159" s="68">
        <f t="shared" si="123"/>
        <v>0</v>
      </c>
      <c r="R159" s="68">
        <f t="shared" si="123"/>
        <v>0</v>
      </c>
      <c r="S159" s="68">
        <f t="shared" si="123"/>
        <v>0</v>
      </c>
      <c r="T159" s="68">
        <f t="shared" si="123"/>
        <v>0</v>
      </c>
      <c r="U159" s="68">
        <f t="shared" si="123"/>
        <v>1.5365853658536586</v>
      </c>
      <c r="V159" s="68">
        <f t="shared" ref="V159:BD159" si="124">V68</f>
        <v>1.75</v>
      </c>
      <c r="W159" s="68">
        <f t="shared" si="124"/>
        <v>0</v>
      </c>
      <c r="X159" s="68">
        <f t="shared" si="124"/>
        <v>1.5</v>
      </c>
      <c r="Y159" s="68">
        <f t="shared" si="124"/>
        <v>0</v>
      </c>
      <c r="Z159" s="68">
        <f t="shared" si="124"/>
        <v>0.9423076923076924</v>
      </c>
      <c r="AA159" s="68">
        <f t="shared" si="124"/>
        <v>0</v>
      </c>
      <c r="AB159" s="68">
        <f t="shared" si="124"/>
        <v>1.2222222222222221</v>
      </c>
      <c r="AC159" s="68">
        <f t="shared" si="124"/>
        <v>0</v>
      </c>
      <c r="AD159" s="68">
        <f t="shared" si="124"/>
        <v>0</v>
      </c>
      <c r="AE159" s="68">
        <f t="shared" si="124"/>
        <v>0.88571428571428568</v>
      </c>
      <c r="AF159" s="68">
        <f t="shared" si="124"/>
        <v>0</v>
      </c>
      <c r="AG159" s="68">
        <f t="shared" si="124"/>
        <v>2.5909090909090908</v>
      </c>
      <c r="AH159" s="68">
        <f t="shared" si="124"/>
        <v>0</v>
      </c>
      <c r="AI159" s="68">
        <f t="shared" si="124"/>
        <v>1.452054794520548</v>
      </c>
      <c r="AJ159" s="68">
        <f t="shared" si="124"/>
        <v>0</v>
      </c>
      <c r="AK159" s="68">
        <f t="shared" si="124"/>
        <v>0</v>
      </c>
      <c r="AL159" s="68">
        <f t="shared" si="124"/>
        <v>0</v>
      </c>
      <c r="AM159" s="68">
        <f t="shared" si="124"/>
        <v>0</v>
      </c>
      <c r="AN159" s="68">
        <f t="shared" si="124"/>
        <v>0</v>
      </c>
      <c r="AO159" s="68">
        <f t="shared" si="124"/>
        <v>0</v>
      </c>
      <c r="AP159" s="68">
        <f t="shared" si="124"/>
        <v>0</v>
      </c>
      <c r="AQ159" s="68">
        <f t="shared" si="124"/>
        <v>0</v>
      </c>
      <c r="AR159" s="68">
        <f t="shared" si="124"/>
        <v>0</v>
      </c>
      <c r="AS159" s="68">
        <f t="shared" si="124"/>
        <v>0</v>
      </c>
      <c r="AT159" s="68">
        <f t="shared" si="124"/>
        <v>0</v>
      </c>
      <c r="AU159" s="68">
        <f t="shared" si="124"/>
        <v>0</v>
      </c>
      <c r="AV159" s="68">
        <f t="shared" si="124"/>
        <v>0</v>
      </c>
      <c r="AW159" s="68">
        <f t="shared" si="124"/>
        <v>0</v>
      </c>
      <c r="AX159" s="68">
        <f t="shared" si="124"/>
        <v>0</v>
      </c>
      <c r="AY159" s="68">
        <f t="shared" si="124"/>
        <v>1.72</v>
      </c>
      <c r="AZ159" s="68">
        <f t="shared" si="124"/>
        <v>4.05</v>
      </c>
      <c r="BA159" s="68">
        <f t="shared" si="124"/>
        <v>10.327868852459016</v>
      </c>
      <c r="BB159" s="68">
        <f t="shared" si="124"/>
        <v>30</v>
      </c>
      <c r="BC159" s="68">
        <f t="shared" si="124"/>
        <v>17.832167832167833</v>
      </c>
      <c r="BD159" s="68">
        <f t="shared" si="124"/>
        <v>81.655493401460461</v>
      </c>
      <c r="BE159" s="110">
        <f t="shared" ref="BE159:BE164" si="125">100*BD159/BD$14</f>
        <v>5.2901969471836382E-4</v>
      </c>
      <c r="BF159" s="110">
        <f>BE159+BF158</f>
        <v>5.7891850339357768E-4</v>
      </c>
    </row>
    <row r="160" spans="1:58">
      <c r="A160" s="104"/>
      <c r="B160" s="9" t="s">
        <v>568</v>
      </c>
      <c r="F160" s="68">
        <f t="shared" ref="F160:U160" si="126">F69</f>
        <v>0</v>
      </c>
      <c r="G160" s="68">
        <f t="shared" si="126"/>
        <v>0</v>
      </c>
      <c r="H160" s="68">
        <f t="shared" si="126"/>
        <v>4.0677966101694913</v>
      </c>
      <c r="I160" s="68">
        <f t="shared" si="126"/>
        <v>0</v>
      </c>
      <c r="J160" s="68">
        <f t="shared" si="126"/>
        <v>1.3913043478260869</v>
      </c>
      <c r="K160" s="68">
        <f t="shared" si="126"/>
        <v>3.0952380952380949</v>
      </c>
      <c r="L160" s="68">
        <f t="shared" si="126"/>
        <v>2.5</v>
      </c>
      <c r="M160" s="68">
        <f t="shared" si="126"/>
        <v>1.0263157894736841</v>
      </c>
      <c r="N160" s="68">
        <f t="shared" si="126"/>
        <v>0.44444444444444442</v>
      </c>
      <c r="O160" s="68">
        <f t="shared" si="126"/>
        <v>0</v>
      </c>
      <c r="P160" s="68">
        <f t="shared" si="126"/>
        <v>18.653543307086615</v>
      </c>
      <c r="Q160" s="68">
        <f t="shared" si="126"/>
        <v>0</v>
      </c>
      <c r="R160" s="68">
        <f t="shared" si="126"/>
        <v>1.8888888888888888</v>
      </c>
      <c r="S160" s="68">
        <f t="shared" si="126"/>
        <v>1</v>
      </c>
      <c r="T160" s="68">
        <f t="shared" si="126"/>
        <v>0.64285714285714279</v>
      </c>
      <c r="U160" s="68">
        <f t="shared" si="126"/>
        <v>4.8205128205128203</v>
      </c>
      <c r="V160" s="68">
        <f t="shared" ref="V160:BD160" si="127">V69</f>
        <v>3.375</v>
      </c>
      <c r="W160" s="68">
        <f t="shared" si="127"/>
        <v>0</v>
      </c>
      <c r="X160" s="68">
        <f t="shared" si="127"/>
        <v>0</v>
      </c>
      <c r="Y160" s="68">
        <f t="shared" si="127"/>
        <v>0</v>
      </c>
      <c r="Z160" s="68">
        <f t="shared" si="127"/>
        <v>2.2424242424242427</v>
      </c>
      <c r="AA160" s="68">
        <f t="shared" si="127"/>
        <v>2.5614035087719298</v>
      </c>
      <c r="AB160" s="68">
        <f t="shared" si="127"/>
        <v>2.7272727272727271</v>
      </c>
      <c r="AC160" s="68">
        <f t="shared" si="127"/>
        <v>0.96825396825396814</v>
      </c>
      <c r="AD160" s="68">
        <f t="shared" si="127"/>
        <v>8.9333333333333336</v>
      </c>
      <c r="AE160" s="68">
        <f t="shared" si="127"/>
        <v>8.9764705882352942</v>
      </c>
      <c r="AF160" s="68">
        <f t="shared" si="127"/>
        <v>0.86538461538461542</v>
      </c>
      <c r="AG160" s="68">
        <f t="shared" si="127"/>
        <v>0</v>
      </c>
      <c r="AH160" s="68">
        <f t="shared" si="127"/>
        <v>0</v>
      </c>
      <c r="AI160" s="68">
        <f t="shared" si="127"/>
        <v>5.4388489208633093</v>
      </c>
      <c r="AJ160" s="68">
        <f t="shared" si="127"/>
        <v>2.7755102040816326</v>
      </c>
      <c r="AK160" s="68">
        <f t="shared" si="127"/>
        <v>0</v>
      </c>
      <c r="AL160" s="68">
        <f t="shared" si="127"/>
        <v>0</v>
      </c>
      <c r="AM160" s="68">
        <f t="shared" si="127"/>
        <v>0</v>
      </c>
      <c r="AN160" s="68">
        <f t="shared" si="127"/>
        <v>0</v>
      </c>
      <c r="AO160" s="68">
        <f t="shared" si="127"/>
        <v>1.380281690140845</v>
      </c>
      <c r="AP160" s="68">
        <f t="shared" si="127"/>
        <v>0</v>
      </c>
      <c r="AQ160" s="68">
        <f t="shared" si="127"/>
        <v>0</v>
      </c>
      <c r="AR160" s="68">
        <f t="shared" si="127"/>
        <v>0</v>
      </c>
      <c r="AS160" s="68">
        <f t="shared" si="127"/>
        <v>0</v>
      </c>
      <c r="AT160" s="68">
        <f t="shared" si="127"/>
        <v>0</v>
      </c>
      <c r="AU160" s="68">
        <f t="shared" si="127"/>
        <v>0</v>
      </c>
      <c r="AV160" s="68">
        <f t="shared" si="127"/>
        <v>2.1084337349397591</v>
      </c>
      <c r="AW160" s="68">
        <f t="shared" si="127"/>
        <v>4.3962264150943398</v>
      </c>
      <c r="AX160" s="68">
        <f t="shared" si="127"/>
        <v>0</v>
      </c>
      <c r="AY160" s="68">
        <f t="shared" si="127"/>
        <v>4.6958333333333337</v>
      </c>
      <c r="AZ160" s="68">
        <f t="shared" si="127"/>
        <v>17.109375</v>
      </c>
      <c r="BA160" s="68">
        <f t="shared" si="127"/>
        <v>43.666666666666664</v>
      </c>
      <c r="BB160" s="68">
        <f t="shared" si="127"/>
        <v>70.515789473684222</v>
      </c>
      <c r="BC160" s="68">
        <f t="shared" si="127"/>
        <v>51.702857142857141</v>
      </c>
      <c r="BD160" s="68">
        <f t="shared" si="127"/>
        <v>273.97026701183461</v>
      </c>
      <c r="BE160" s="110">
        <f t="shared" si="125"/>
        <v>1.7749652960142067E-3</v>
      </c>
      <c r="BF160" s="110">
        <f t="shared" ref="BF160:BF164" si="128">BE160+BF159</f>
        <v>2.3538837994077845E-3</v>
      </c>
    </row>
    <row r="161" spans="1:58">
      <c r="A161" s="104"/>
      <c r="B161" s="9" t="s">
        <v>569</v>
      </c>
      <c r="F161" s="68">
        <f t="shared" ref="F161:U161" si="129">F70</f>
        <v>0</v>
      </c>
      <c r="G161" s="68">
        <f t="shared" si="129"/>
        <v>1.3333333333333333</v>
      </c>
      <c r="H161" s="68">
        <f t="shared" si="129"/>
        <v>9.8181818181818183</v>
      </c>
      <c r="I161" s="68">
        <f t="shared" si="129"/>
        <v>0</v>
      </c>
      <c r="J161" s="68">
        <f t="shared" si="129"/>
        <v>2.1142857142857143</v>
      </c>
      <c r="K161" s="68">
        <f t="shared" si="129"/>
        <v>11.503267973856209</v>
      </c>
      <c r="L161" s="68">
        <f t="shared" si="129"/>
        <v>2.7857142857142856</v>
      </c>
      <c r="M161" s="68">
        <f t="shared" si="129"/>
        <v>0.82558139534883723</v>
      </c>
      <c r="N161" s="68">
        <f t="shared" si="129"/>
        <v>1.875</v>
      </c>
      <c r="O161" s="68">
        <f t="shared" si="129"/>
        <v>0</v>
      </c>
      <c r="P161" s="68">
        <f t="shared" si="129"/>
        <v>36.51136363636364</v>
      </c>
      <c r="Q161" s="68">
        <f t="shared" si="129"/>
        <v>3.2352941176470589</v>
      </c>
      <c r="R161" s="68">
        <f t="shared" si="129"/>
        <v>11.360655737704917</v>
      </c>
      <c r="S161" s="68">
        <f t="shared" si="129"/>
        <v>5.4653465346534649</v>
      </c>
      <c r="T161" s="68">
        <f t="shared" si="129"/>
        <v>5.48780487804878</v>
      </c>
      <c r="U161" s="68">
        <f t="shared" si="129"/>
        <v>21.71268656716418</v>
      </c>
      <c r="V161" s="68">
        <f t="shared" ref="V161:BD161" si="130">V70</f>
        <v>1.7058823529411764</v>
      </c>
      <c r="W161" s="68">
        <f t="shared" si="130"/>
        <v>4.4822695035460995</v>
      </c>
      <c r="X161" s="68">
        <f t="shared" si="130"/>
        <v>4.5161290322580641</v>
      </c>
      <c r="Y161" s="68">
        <f t="shared" si="130"/>
        <v>0.91666666666666663</v>
      </c>
      <c r="Z161" s="68">
        <f t="shared" si="130"/>
        <v>8.8706896551724146</v>
      </c>
      <c r="AA161" s="68">
        <f t="shared" si="130"/>
        <v>7.7712177121771218</v>
      </c>
      <c r="AB161" s="68">
        <f t="shared" si="130"/>
        <v>7.2025723472668801</v>
      </c>
      <c r="AC161" s="68">
        <f t="shared" si="130"/>
        <v>5.9090909090909092</v>
      </c>
      <c r="AD161" s="68">
        <f t="shared" si="130"/>
        <v>13.333333333333332</v>
      </c>
      <c r="AE161" s="68">
        <f t="shared" si="130"/>
        <v>23.047619047619047</v>
      </c>
      <c r="AF161" s="68">
        <f t="shared" si="130"/>
        <v>5.8947368421052628</v>
      </c>
      <c r="AG161" s="68">
        <f t="shared" si="130"/>
        <v>6.1805555555555554</v>
      </c>
      <c r="AH161" s="68">
        <f t="shared" si="130"/>
        <v>4.0461095100864553</v>
      </c>
      <c r="AI161" s="68">
        <f t="shared" si="130"/>
        <v>21.684887459807076</v>
      </c>
      <c r="AJ161" s="68">
        <f t="shared" si="130"/>
        <v>25.253012048192772</v>
      </c>
      <c r="AK161" s="68">
        <f t="shared" si="130"/>
        <v>7.2931034482758621</v>
      </c>
      <c r="AL161" s="68">
        <f t="shared" si="130"/>
        <v>0</v>
      </c>
      <c r="AM161" s="68">
        <f t="shared" si="130"/>
        <v>0</v>
      </c>
      <c r="AN161" s="68">
        <f t="shared" si="130"/>
        <v>0</v>
      </c>
      <c r="AO161" s="68">
        <f t="shared" si="130"/>
        <v>3.6912751677852351</v>
      </c>
      <c r="AP161" s="68">
        <f t="shared" si="130"/>
        <v>3.1388888888888888</v>
      </c>
      <c r="AQ161" s="68">
        <f t="shared" si="130"/>
        <v>0.67592592592592593</v>
      </c>
      <c r="AR161" s="68">
        <f t="shared" si="130"/>
        <v>0</v>
      </c>
      <c r="AS161" s="68">
        <f t="shared" si="130"/>
        <v>3.57</v>
      </c>
      <c r="AT161" s="68">
        <f t="shared" si="130"/>
        <v>0</v>
      </c>
      <c r="AU161" s="68">
        <f t="shared" si="130"/>
        <v>4.503968253968254</v>
      </c>
      <c r="AV161" s="68">
        <f t="shared" si="130"/>
        <v>4.2469879518072293</v>
      </c>
      <c r="AW161" s="68">
        <f t="shared" si="130"/>
        <v>7.9264705882352944</v>
      </c>
      <c r="AX161" s="68">
        <f t="shared" si="130"/>
        <v>6.16</v>
      </c>
      <c r="AY161" s="68">
        <f t="shared" si="130"/>
        <v>7.1166666666666671</v>
      </c>
      <c r="AZ161" s="68">
        <f t="shared" si="130"/>
        <v>32.609756097560975</v>
      </c>
      <c r="BA161" s="68">
        <f t="shared" si="130"/>
        <v>109.47517730496453</v>
      </c>
      <c r="BB161" s="68">
        <f t="shared" si="130"/>
        <v>136.43046357615896</v>
      </c>
      <c r="BC161" s="68">
        <f t="shared" si="130"/>
        <v>162.33600000000001</v>
      </c>
      <c r="BD161" s="68">
        <f t="shared" si="130"/>
        <v>744.01797183835902</v>
      </c>
      <c r="BE161" s="110">
        <f t="shared" si="125"/>
        <v>4.8202532852476172E-3</v>
      </c>
      <c r="BF161" s="110">
        <f t="shared" si="128"/>
        <v>7.1741370846554013E-3</v>
      </c>
    </row>
    <row r="162" spans="1:58">
      <c r="A162" s="104"/>
      <c r="B162" s="9" t="s">
        <v>570</v>
      </c>
      <c r="F162" s="68">
        <f t="shared" ref="F162:U162" si="131">F71</f>
        <v>0</v>
      </c>
      <c r="G162" s="68">
        <f t="shared" si="131"/>
        <v>8.4</v>
      </c>
      <c r="H162" s="68">
        <f t="shared" si="131"/>
        <v>46.095444685466376</v>
      </c>
      <c r="I162" s="68">
        <f t="shared" si="131"/>
        <v>10</v>
      </c>
      <c r="J162" s="68">
        <f t="shared" si="131"/>
        <v>6.2929936305732488</v>
      </c>
      <c r="K162" s="68">
        <f t="shared" si="131"/>
        <v>36.840970350404312</v>
      </c>
      <c r="L162" s="68">
        <f t="shared" si="131"/>
        <v>7.4249999999999998</v>
      </c>
      <c r="M162" s="68">
        <f t="shared" si="131"/>
        <v>12.785714285714285</v>
      </c>
      <c r="N162" s="68">
        <f t="shared" si="131"/>
        <v>12</v>
      </c>
      <c r="O162" s="68">
        <f t="shared" si="131"/>
        <v>0</v>
      </c>
      <c r="P162" s="68">
        <f t="shared" si="131"/>
        <v>127.37722419928825</v>
      </c>
      <c r="Q162" s="68">
        <f t="shared" si="131"/>
        <v>3.0408163265306118</v>
      </c>
      <c r="R162" s="68">
        <f t="shared" si="131"/>
        <v>33.478260869565219</v>
      </c>
      <c r="S162" s="68">
        <f t="shared" si="131"/>
        <v>42.172588832487307</v>
      </c>
      <c r="T162" s="68">
        <f t="shared" si="131"/>
        <v>12.716666666666667</v>
      </c>
      <c r="U162" s="68">
        <f t="shared" si="131"/>
        <v>90.917647058823533</v>
      </c>
      <c r="V162" s="68">
        <f t="shared" ref="V162:BD162" si="132">V71</f>
        <v>20.297872340425531</v>
      </c>
      <c r="W162" s="68">
        <f t="shared" si="132"/>
        <v>20.314606741573034</v>
      </c>
      <c r="X162" s="68">
        <f t="shared" si="132"/>
        <v>28.133333333333333</v>
      </c>
      <c r="Y162" s="68">
        <f t="shared" si="132"/>
        <v>21.796296296296294</v>
      </c>
      <c r="Z162" s="68">
        <f t="shared" si="132"/>
        <v>67.535836177474408</v>
      </c>
      <c r="AA162" s="68">
        <f t="shared" si="132"/>
        <v>58.801089918256132</v>
      </c>
      <c r="AB162" s="68">
        <f t="shared" si="132"/>
        <v>44.256756756756758</v>
      </c>
      <c r="AC162" s="68">
        <f t="shared" si="132"/>
        <v>29.383561643835616</v>
      </c>
      <c r="AD162" s="68">
        <f t="shared" si="132"/>
        <v>41.333333333333329</v>
      </c>
      <c r="AE162" s="68">
        <f t="shared" si="132"/>
        <v>89.931034482758619</v>
      </c>
      <c r="AF162" s="68">
        <f t="shared" si="132"/>
        <v>29.133689839572195</v>
      </c>
      <c r="AG162" s="68">
        <f t="shared" si="132"/>
        <v>61.024958402662236</v>
      </c>
      <c r="AH162" s="68">
        <f t="shared" si="132"/>
        <v>30.073170731707314</v>
      </c>
      <c r="AI162" s="68">
        <f t="shared" si="132"/>
        <v>113.75810473815463</v>
      </c>
      <c r="AJ162" s="68">
        <f t="shared" si="132"/>
        <v>103.77083333333334</v>
      </c>
      <c r="AK162" s="68">
        <f t="shared" si="132"/>
        <v>39.989690721649488</v>
      </c>
      <c r="AL162" s="68">
        <f t="shared" si="132"/>
        <v>0</v>
      </c>
      <c r="AM162" s="68">
        <f t="shared" si="132"/>
        <v>0</v>
      </c>
      <c r="AN162" s="68">
        <f t="shared" si="132"/>
        <v>0</v>
      </c>
      <c r="AO162" s="68">
        <f t="shared" si="132"/>
        <v>14.795221843003413</v>
      </c>
      <c r="AP162" s="68">
        <f t="shared" si="132"/>
        <v>17.588357588357589</v>
      </c>
      <c r="AQ162" s="68">
        <f t="shared" si="132"/>
        <v>9.0476190476190474</v>
      </c>
      <c r="AR162" s="68">
        <f t="shared" si="132"/>
        <v>11.958456973293769</v>
      </c>
      <c r="AS162" s="68">
        <f t="shared" si="132"/>
        <v>8.6424870466321249</v>
      </c>
      <c r="AT162" s="68">
        <f t="shared" si="132"/>
        <v>13.611111111111111</v>
      </c>
      <c r="AU162" s="68">
        <f t="shared" si="132"/>
        <v>16.933333333333334</v>
      </c>
      <c r="AV162" s="68">
        <f t="shared" si="132"/>
        <v>17.062906724511933</v>
      </c>
      <c r="AW162" s="68">
        <f t="shared" si="132"/>
        <v>28.082706766917291</v>
      </c>
      <c r="AX162" s="68">
        <f t="shared" si="132"/>
        <v>7.764705882352942</v>
      </c>
      <c r="AY162" s="68">
        <f t="shared" si="132"/>
        <v>23.051051051051051</v>
      </c>
      <c r="AZ162" s="68">
        <f t="shared" si="132"/>
        <v>234.265306122449</v>
      </c>
      <c r="BA162" s="68">
        <f t="shared" si="132"/>
        <v>317.44504896626768</v>
      </c>
      <c r="BB162" s="68">
        <f t="shared" si="132"/>
        <v>274.43262411347519</v>
      </c>
      <c r="BC162" s="68">
        <f t="shared" si="132"/>
        <v>377.85154975530179</v>
      </c>
      <c r="BD162" s="68">
        <f t="shared" si="132"/>
        <v>2621.6099820223194</v>
      </c>
      <c r="BE162" s="111">
        <f t="shared" si="125"/>
        <v>1.6984568393230204E-2</v>
      </c>
      <c r="BF162" s="112">
        <f t="shared" si="128"/>
        <v>2.4158705477885605E-2</v>
      </c>
    </row>
    <row r="163" spans="1:58">
      <c r="A163" s="104"/>
      <c r="B163" s="9" t="s">
        <v>571</v>
      </c>
      <c r="F163" s="68">
        <f t="shared" ref="F163:U163" si="133">F72</f>
        <v>0</v>
      </c>
      <c r="G163" s="68">
        <f t="shared" si="133"/>
        <v>19.798245614035089</v>
      </c>
      <c r="H163" s="68">
        <f t="shared" si="133"/>
        <v>152.42326332794832</v>
      </c>
      <c r="I163" s="68">
        <f t="shared" si="133"/>
        <v>11.781818181818181</v>
      </c>
      <c r="J163" s="68">
        <f t="shared" si="133"/>
        <v>46.051660516605168</v>
      </c>
      <c r="K163" s="68">
        <f t="shared" si="133"/>
        <v>77.290023201856144</v>
      </c>
      <c r="L163" s="68">
        <f t="shared" si="133"/>
        <v>3.75</v>
      </c>
      <c r="M163" s="68">
        <f t="shared" si="133"/>
        <v>25.241379310344826</v>
      </c>
      <c r="N163" s="68">
        <f t="shared" si="133"/>
        <v>41.193181818181813</v>
      </c>
      <c r="O163" s="68">
        <f t="shared" si="133"/>
        <v>0</v>
      </c>
      <c r="P163" s="68">
        <f t="shared" si="133"/>
        <v>169.93103448275863</v>
      </c>
      <c r="Q163" s="68">
        <f t="shared" si="133"/>
        <v>24.270440251572328</v>
      </c>
      <c r="R163" s="68">
        <f t="shared" si="133"/>
        <v>71.031007751937992</v>
      </c>
      <c r="S163" s="68">
        <f t="shared" si="133"/>
        <v>66.177121771217713</v>
      </c>
      <c r="T163" s="68">
        <f t="shared" si="133"/>
        <v>26.986754966887418</v>
      </c>
      <c r="U163" s="68">
        <f t="shared" si="133"/>
        <v>114.08406304728545</v>
      </c>
      <c r="V163" s="68">
        <f t="shared" ref="V163:BD163" si="134">V72</f>
        <v>33.669201520912544</v>
      </c>
      <c r="W163" s="68">
        <f t="shared" si="134"/>
        <v>77.083333333333329</v>
      </c>
      <c r="X163" s="68">
        <f t="shared" si="134"/>
        <v>87.326530612244895</v>
      </c>
      <c r="Y163" s="68">
        <f t="shared" si="134"/>
        <v>38.142307692307689</v>
      </c>
      <c r="Z163" s="68">
        <f t="shared" si="134"/>
        <v>119.22988505747126</v>
      </c>
      <c r="AA163" s="68">
        <f t="shared" si="134"/>
        <v>144.09206081081081</v>
      </c>
      <c r="AB163" s="68">
        <f t="shared" si="134"/>
        <v>83.22018348623854</v>
      </c>
      <c r="AC163" s="68">
        <f t="shared" si="134"/>
        <v>65.266457680250781</v>
      </c>
      <c r="AD163" s="68">
        <f t="shared" si="134"/>
        <v>101.38461538461539</v>
      </c>
      <c r="AE163" s="68">
        <f t="shared" si="134"/>
        <v>93.531428571428577</v>
      </c>
      <c r="AF163" s="68">
        <f t="shared" si="134"/>
        <v>48.375</v>
      </c>
      <c r="AG163" s="68">
        <f t="shared" si="134"/>
        <v>116.22036262203626</v>
      </c>
      <c r="AH163" s="68">
        <f t="shared" si="134"/>
        <v>54.166666666666671</v>
      </c>
      <c r="AI163" s="68">
        <f t="shared" si="134"/>
        <v>281.91800188501418</v>
      </c>
      <c r="AJ163" s="68">
        <f t="shared" si="134"/>
        <v>199.87619047619049</v>
      </c>
      <c r="AK163" s="68">
        <f t="shared" si="134"/>
        <v>85.917293233082702</v>
      </c>
      <c r="AL163" s="68">
        <f t="shared" si="134"/>
        <v>0</v>
      </c>
      <c r="AM163" s="68">
        <f t="shared" si="134"/>
        <v>0</v>
      </c>
      <c r="AN163" s="68">
        <f t="shared" si="134"/>
        <v>0</v>
      </c>
      <c r="AO163" s="68">
        <f t="shared" si="134"/>
        <v>24.605504587155966</v>
      </c>
      <c r="AP163" s="68">
        <f t="shared" si="134"/>
        <v>27.25339366515837</v>
      </c>
      <c r="AQ163" s="68">
        <f t="shared" si="134"/>
        <v>11.883495145631066</v>
      </c>
      <c r="AR163" s="68">
        <f t="shared" si="134"/>
        <v>36.989795918367349</v>
      </c>
      <c r="AS163" s="68">
        <f t="shared" si="134"/>
        <v>6.6006711409395979</v>
      </c>
      <c r="AT163" s="68">
        <f t="shared" si="134"/>
        <v>30.415094339622645</v>
      </c>
      <c r="AU163" s="68">
        <f t="shared" si="134"/>
        <v>35.53405994550409</v>
      </c>
      <c r="AV163" s="68">
        <f t="shared" si="134"/>
        <v>25.978647686832741</v>
      </c>
      <c r="AW163" s="68">
        <f t="shared" si="134"/>
        <v>20.821052631578947</v>
      </c>
      <c r="AX163" s="68">
        <f t="shared" si="134"/>
        <v>6.375</v>
      </c>
      <c r="AY163" s="68">
        <f t="shared" si="134"/>
        <v>16.45067264573991</v>
      </c>
      <c r="AZ163" s="68">
        <f t="shared" si="134"/>
        <v>759.20873269435572</v>
      </c>
      <c r="BA163" s="68">
        <f t="shared" si="134"/>
        <v>373.30396475770925</v>
      </c>
      <c r="BB163" s="68">
        <f t="shared" si="134"/>
        <v>436.87410926365794</v>
      </c>
      <c r="BC163" s="68">
        <f t="shared" si="134"/>
        <v>344.59937304075237</v>
      </c>
      <c r="BD163" s="68">
        <f t="shared" si="134"/>
        <v>4636.3230807380587</v>
      </c>
      <c r="BE163" s="111">
        <f t="shared" si="125"/>
        <v>3.0037246958131585E-2</v>
      </c>
      <c r="BF163" s="112">
        <f t="shared" si="128"/>
        <v>5.4195952436017186E-2</v>
      </c>
    </row>
    <row r="164" spans="1:58">
      <c r="A164" s="104"/>
      <c r="B164" s="9" t="s">
        <v>567</v>
      </c>
      <c r="F164" s="68">
        <f t="shared" ref="F164:U164" si="135">F73</f>
        <v>16789</v>
      </c>
      <c r="G164" s="68">
        <f t="shared" si="135"/>
        <v>38190.468421052632</v>
      </c>
      <c r="H164" s="68">
        <f t="shared" si="135"/>
        <v>39214.720313558231</v>
      </c>
      <c r="I164" s="68">
        <f t="shared" si="135"/>
        <v>375.21818181818185</v>
      </c>
      <c r="J164" s="68">
        <f t="shared" si="135"/>
        <v>19034.14975579071</v>
      </c>
      <c r="K164" s="68">
        <f t="shared" si="135"/>
        <v>4984.270500378645</v>
      </c>
      <c r="L164" s="68">
        <f t="shared" si="135"/>
        <v>2589.5392857142856</v>
      </c>
      <c r="M164" s="68">
        <f t="shared" si="135"/>
        <v>1647.1210092191184</v>
      </c>
      <c r="N164" s="68">
        <f t="shared" si="135"/>
        <v>684.48737373737379</v>
      </c>
      <c r="O164" s="68">
        <f t="shared" si="135"/>
        <v>358</v>
      </c>
      <c r="P164" s="68">
        <f t="shared" si="135"/>
        <v>2690.5676507010335</v>
      </c>
      <c r="Q164" s="68">
        <f t="shared" si="135"/>
        <v>3354.4534493042502</v>
      </c>
      <c r="R164" s="68">
        <f t="shared" si="135"/>
        <v>5825.2411867519031</v>
      </c>
      <c r="S164" s="68">
        <f t="shared" si="135"/>
        <v>6866.1849428616415</v>
      </c>
      <c r="T164" s="68">
        <f t="shared" si="135"/>
        <v>13941.165916345541</v>
      </c>
      <c r="U164" s="68">
        <f t="shared" si="135"/>
        <v>3343.9285051403604</v>
      </c>
      <c r="V164" s="68">
        <f t="shared" ref="V164:BD164" si="136">V73</f>
        <v>15519.202043785721</v>
      </c>
      <c r="W164" s="68">
        <f t="shared" si="136"/>
        <v>10928.119790421548</v>
      </c>
      <c r="X164" s="68">
        <f t="shared" si="136"/>
        <v>30599.524007022163</v>
      </c>
      <c r="Y164" s="68">
        <f t="shared" si="136"/>
        <v>23236.144729344731</v>
      </c>
      <c r="Z164" s="68">
        <f t="shared" si="136"/>
        <v>3766.1788571751499</v>
      </c>
      <c r="AA164" s="68">
        <f t="shared" si="136"/>
        <v>22759.774228049984</v>
      </c>
      <c r="AB164" s="68">
        <f t="shared" si="136"/>
        <v>11420.370992460243</v>
      </c>
      <c r="AC164" s="68">
        <f t="shared" si="136"/>
        <v>3905.4726357985687</v>
      </c>
      <c r="AD164" s="68">
        <f t="shared" si="136"/>
        <v>14194.015384615384</v>
      </c>
      <c r="AE164" s="68">
        <f t="shared" si="136"/>
        <v>2474.6277330242442</v>
      </c>
      <c r="AF164" s="68">
        <f t="shared" si="136"/>
        <v>4955.7311887029382</v>
      </c>
      <c r="AG164" s="68">
        <f t="shared" si="136"/>
        <v>7268.9832143288368</v>
      </c>
      <c r="AH164" s="68">
        <f t="shared" si="136"/>
        <v>6642.7140530915394</v>
      </c>
      <c r="AI164" s="68">
        <f t="shared" si="136"/>
        <v>35561.748102201644</v>
      </c>
      <c r="AJ164" s="68">
        <f t="shared" si="136"/>
        <v>10425.324453938201</v>
      </c>
      <c r="AK164" s="68">
        <f t="shared" si="136"/>
        <v>45440.799912596995</v>
      </c>
      <c r="AL164" s="68">
        <f t="shared" si="136"/>
        <v>28281</v>
      </c>
      <c r="AM164" s="68">
        <f t="shared" si="136"/>
        <v>22498</v>
      </c>
      <c r="AN164" s="68">
        <f t="shared" si="136"/>
        <v>11605</v>
      </c>
      <c r="AO164" s="68">
        <f t="shared" si="136"/>
        <v>4790.5277167119148</v>
      </c>
      <c r="AP164" s="68">
        <f t="shared" si="136"/>
        <v>4643.0193598575952</v>
      </c>
      <c r="AQ164" s="68">
        <f t="shared" si="136"/>
        <v>7840.3929598808236</v>
      </c>
      <c r="AR164" s="68">
        <f t="shared" si="136"/>
        <v>5568.0517471083385</v>
      </c>
      <c r="AS164" s="68">
        <f t="shared" si="136"/>
        <v>3395.1868418124282</v>
      </c>
      <c r="AT164" s="68">
        <f t="shared" si="136"/>
        <v>6295.9737945492661</v>
      </c>
      <c r="AU164" s="68">
        <f t="shared" si="136"/>
        <v>9164.0286384671945</v>
      </c>
      <c r="AV164" s="68">
        <f t="shared" si="136"/>
        <v>6732.6030239019083</v>
      </c>
      <c r="AW164" s="68">
        <f t="shared" si="136"/>
        <v>3725.773543598174</v>
      </c>
      <c r="AX164" s="68">
        <f t="shared" si="136"/>
        <v>42.700294117647061</v>
      </c>
      <c r="AY164" s="68">
        <f t="shared" si="136"/>
        <v>1917.9657763032089</v>
      </c>
      <c r="AZ164" s="68">
        <f t="shared" si="136"/>
        <v>2706.9568300856345</v>
      </c>
      <c r="BA164" s="68">
        <f t="shared" si="136"/>
        <v>3638.8300539397378</v>
      </c>
      <c r="BB164" s="68">
        <f t="shared" si="136"/>
        <v>9352.7847494220805</v>
      </c>
      <c r="BC164" s="68">
        <f t="shared" si="136"/>
        <v>2027.6780522289209</v>
      </c>
      <c r="BD164" s="68">
        <f t="shared" si="136"/>
        <v>543213.72120091657</v>
      </c>
      <c r="BE164" s="111">
        <f t="shared" si="125"/>
        <v>3.5193070911184456</v>
      </c>
      <c r="BF164" s="112">
        <f t="shared" si="128"/>
        <v>3.5735030435544628</v>
      </c>
    </row>
    <row r="165" spans="1:58">
      <c r="A165" s="104"/>
      <c r="B165" s="10" t="s">
        <v>105</v>
      </c>
      <c r="F165" s="252">
        <f>SUM(F158:F164)</f>
        <v>16789</v>
      </c>
      <c r="G165" s="252">
        <f t="shared" ref="G165:BC165" si="137">SUM(G158:G164)</f>
        <v>38220</v>
      </c>
      <c r="H165" s="252">
        <f t="shared" si="137"/>
        <v>39429</v>
      </c>
      <c r="I165" s="252">
        <f t="shared" si="137"/>
        <v>397</v>
      </c>
      <c r="J165" s="252">
        <f t="shared" si="137"/>
        <v>19090</v>
      </c>
      <c r="K165" s="252">
        <f t="shared" si="137"/>
        <v>5113</v>
      </c>
      <c r="L165" s="252">
        <f t="shared" si="137"/>
        <v>2606</v>
      </c>
      <c r="M165" s="252">
        <f t="shared" si="137"/>
        <v>1687</v>
      </c>
      <c r="N165" s="252">
        <f t="shared" si="137"/>
        <v>740</v>
      </c>
      <c r="O165" s="252">
        <f t="shared" si="137"/>
        <v>358</v>
      </c>
      <c r="P165" s="252">
        <f t="shared" si="137"/>
        <v>3049</v>
      </c>
      <c r="Q165" s="252">
        <f t="shared" si="137"/>
        <v>3385</v>
      </c>
      <c r="R165" s="252">
        <f t="shared" si="137"/>
        <v>5943</v>
      </c>
      <c r="S165" s="252">
        <f t="shared" si="137"/>
        <v>6981</v>
      </c>
      <c r="T165" s="252">
        <f t="shared" si="137"/>
        <v>13987</v>
      </c>
      <c r="U165" s="252">
        <f t="shared" si="137"/>
        <v>3577</v>
      </c>
      <c r="V165" s="252">
        <f t="shared" si="137"/>
        <v>15580</v>
      </c>
      <c r="W165" s="252">
        <f t="shared" si="137"/>
        <v>11030</v>
      </c>
      <c r="X165" s="252">
        <f t="shared" si="137"/>
        <v>30721</v>
      </c>
      <c r="Y165" s="252">
        <f t="shared" si="137"/>
        <v>23297</v>
      </c>
      <c r="Z165" s="252">
        <f t="shared" si="137"/>
        <v>3965</v>
      </c>
      <c r="AA165" s="252">
        <f t="shared" si="137"/>
        <v>22973</v>
      </c>
      <c r="AB165" s="252">
        <f t="shared" si="137"/>
        <v>11559</v>
      </c>
      <c r="AC165" s="252">
        <f t="shared" si="137"/>
        <v>4007</v>
      </c>
      <c r="AD165" s="252">
        <f t="shared" si="137"/>
        <v>14359</v>
      </c>
      <c r="AE165" s="252">
        <f t="shared" si="137"/>
        <v>2691</v>
      </c>
      <c r="AF165" s="252">
        <f t="shared" si="137"/>
        <v>5040</v>
      </c>
      <c r="AG165" s="252">
        <f t="shared" si="137"/>
        <v>7455</v>
      </c>
      <c r="AH165" s="252">
        <f t="shared" si="137"/>
        <v>6731</v>
      </c>
      <c r="AI165" s="252">
        <f t="shared" si="137"/>
        <v>35986</v>
      </c>
      <c r="AJ165" s="252">
        <f t="shared" si="137"/>
        <v>10757</v>
      </c>
      <c r="AK165" s="252">
        <f t="shared" si="137"/>
        <v>45574</v>
      </c>
      <c r="AL165" s="252">
        <f t="shared" si="137"/>
        <v>28281</v>
      </c>
      <c r="AM165" s="252">
        <f t="shared" si="137"/>
        <v>22498</v>
      </c>
      <c r="AN165" s="252">
        <f t="shared" si="137"/>
        <v>11605</v>
      </c>
      <c r="AO165" s="252">
        <f t="shared" si="137"/>
        <v>4835</v>
      </c>
      <c r="AP165" s="252">
        <f t="shared" si="137"/>
        <v>4691</v>
      </c>
      <c r="AQ165" s="252">
        <f t="shared" si="137"/>
        <v>7862</v>
      </c>
      <c r="AR165" s="252">
        <f t="shared" si="137"/>
        <v>5617</v>
      </c>
      <c r="AS165" s="252">
        <f t="shared" si="137"/>
        <v>3414</v>
      </c>
      <c r="AT165" s="252">
        <f t="shared" si="137"/>
        <v>6340</v>
      </c>
      <c r="AU165" s="252">
        <f t="shared" si="137"/>
        <v>9221</v>
      </c>
      <c r="AV165" s="252">
        <f t="shared" si="137"/>
        <v>6782</v>
      </c>
      <c r="AW165" s="252">
        <f t="shared" si="137"/>
        <v>3787</v>
      </c>
      <c r="AX165" s="252">
        <f t="shared" si="137"/>
        <v>63</v>
      </c>
      <c r="AY165" s="252">
        <f t="shared" si="137"/>
        <v>1971</v>
      </c>
      <c r="AZ165" s="252">
        <f t="shared" si="137"/>
        <v>3755</v>
      </c>
      <c r="BA165" s="252">
        <f t="shared" si="137"/>
        <v>4494</v>
      </c>
      <c r="BB165" s="252">
        <f t="shared" si="137"/>
        <v>10305</v>
      </c>
      <c r="BC165" s="252">
        <f t="shared" si="137"/>
        <v>2982</v>
      </c>
      <c r="BD165" s="125">
        <f>SUM(BD158:BD164)</f>
        <v>551578.99999999988</v>
      </c>
      <c r="BE165" s="264">
        <f t="shared" ref="BE165" si="138">100*BD165/BD$14</f>
        <v>3.5735030435544628</v>
      </c>
      <c r="BF165" s="264">
        <f t="shared" ref="BF165" si="139">BE165+BF164</f>
        <v>7.1470060871089256</v>
      </c>
    </row>
    <row r="166" spans="1:58">
      <c r="A166" s="104"/>
      <c r="B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252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218"/>
    </row>
    <row r="167" spans="1:58">
      <c r="A167" s="104"/>
      <c r="C167" s="45" t="s">
        <v>251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8">
      <c r="A168" s="104"/>
      <c r="B168" s="9" t="s">
        <v>586</v>
      </c>
      <c r="F168" s="68">
        <f t="shared" ref="F168:U168" si="140">F76</f>
        <v>0</v>
      </c>
      <c r="G168" s="68">
        <f t="shared" si="140"/>
        <v>0</v>
      </c>
      <c r="H168" s="68">
        <f t="shared" si="140"/>
        <v>52877.272499999999</v>
      </c>
      <c r="I168" s="68">
        <f t="shared" si="140"/>
        <v>0</v>
      </c>
      <c r="J168" s="68">
        <f t="shared" si="140"/>
        <v>0</v>
      </c>
      <c r="K168" s="68">
        <f t="shared" si="140"/>
        <v>0</v>
      </c>
      <c r="L168" s="68">
        <f t="shared" si="140"/>
        <v>0</v>
      </c>
      <c r="M168" s="68">
        <f t="shared" si="140"/>
        <v>0</v>
      </c>
      <c r="N168" s="68">
        <f t="shared" si="140"/>
        <v>0</v>
      </c>
      <c r="O168" s="68">
        <f t="shared" si="140"/>
        <v>0</v>
      </c>
      <c r="P168" s="68">
        <f t="shared" si="140"/>
        <v>184860.48979591834</v>
      </c>
      <c r="Q168" s="68">
        <f t="shared" si="140"/>
        <v>0</v>
      </c>
      <c r="R168" s="68">
        <f t="shared" si="140"/>
        <v>0</v>
      </c>
      <c r="S168" s="68">
        <f t="shared" si="140"/>
        <v>0</v>
      </c>
      <c r="T168" s="68">
        <f t="shared" si="140"/>
        <v>0</v>
      </c>
      <c r="U168" s="68">
        <f t="shared" si="140"/>
        <v>0</v>
      </c>
      <c r="V168" s="68">
        <f t="shared" ref="V168:BD168" si="141">V76</f>
        <v>0</v>
      </c>
      <c r="W168" s="68">
        <f t="shared" si="141"/>
        <v>0</v>
      </c>
      <c r="X168" s="68">
        <f t="shared" si="141"/>
        <v>0</v>
      </c>
      <c r="Y168" s="68">
        <f t="shared" si="141"/>
        <v>0</v>
      </c>
      <c r="Z168" s="68">
        <f t="shared" si="141"/>
        <v>0</v>
      </c>
      <c r="AA168" s="68">
        <f t="shared" si="141"/>
        <v>0</v>
      </c>
      <c r="AB168" s="68">
        <f t="shared" si="141"/>
        <v>0</v>
      </c>
      <c r="AC168" s="68">
        <f t="shared" si="141"/>
        <v>0</v>
      </c>
      <c r="AD168" s="68">
        <f t="shared" si="141"/>
        <v>0</v>
      </c>
      <c r="AE168" s="68">
        <f t="shared" si="141"/>
        <v>0</v>
      </c>
      <c r="AF168" s="68">
        <f t="shared" si="141"/>
        <v>0</v>
      </c>
      <c r="AG168" s="68">
        <f t="shared" si="141"/>
        <v>0</v>
      </c>
      <c r="AH168" s="68">
        <f t="shared" si="141"/>
        <v>0</v>
      </c>
      <c r="AI168" s="68">
        <f t="shared" si="141"/>
        <v>0</v>
      </c>
      <c r="AJ168" s="68">
        <f t="shared" si="141"/>
        <v>0</v>
      </c>
      <c r="AK168" s="68">
        <f t="shared" si="141"/>
        <v>0</v>
      </c>
      <c r="AL168" s="68">
        <f t="shared" si="141"/>
        <v>0</v>
      </c>
      <c r="AM168" s="68">
        <f t="shared" si="141"/>
        <v>0</v>
      </c>
      <c r="AN168" s="68">
        <f t="shared" si="141"/>
        <v>0</v>
      </c>
      <c r="AO168" s="68">
        <f t="shared" si="141"/>
        <v>0</v>
      </c>
      <c r="AP168" s="68">
        <f t="shared" si="141"/>
        <v>0</v>
      </c>
      <c r="AQ168" s="68">
        <f t="shared" si="141"/>
        <v>0</v>
      </c>
      <c r="AR168" s="68">
        <f t="shared" si="141"/>
        <v>0</v>
      </c>
      <c r="AS168" s="68">
        <f t="shared" si="141"/>
        <v>0</v>
      </c>
      <c r="AT168" s="68">
        <f t="shared" si="141"/>
        <v>0</v>
      </c>
      <c r="AU168" s="68">
        <f t="shared" si="141"/>
        <v>0</v>
      </c>
      <c r="AV168" s="68">
        <f t="shared" si="141"/>
        <v>0</v>
      </c>
      <c r="AW168" s="68">
        <f t="shared" si="141"/>
        <v>0</v>
      </c>
      <c r="AX168" s="68">
        <f t="shared" si="141"/>
        <v>0</v>
      </c>
      <c r="AY168" s="68">
        <f t="shared" si="141"/>
        <v>0</v>
      </c>
      <c r="AZ168" s="68">
        <f t="shared" si="141"/>
        <v>59153.472000000002</v>
      </c>
      <c r="BA168" s="68">
        <f t="shared" si="141"/>
        <v>95402.789268292676</v>
      </c>
      <c r="BB168" s="68">
        <f t="shared" si="141"/>
        <v>496540.7660377358</v>
      </c>
      <c r="BC168" s="68"/>
      <c r="BD168" s="68">
        <f t="shared" si="141"/>
        <v>888834.78960194672</v>
      </c>
    </row>
    <row r="169" spans="1:58">
      <c r="A169" s="104"/>
      <c r="B169" s="9" t="s">
        <v>587</v>
      </c>
      <c r="F169" s="68">
        <f t="shared" ref="F169:U169" si="142">F77</f>
        <v>0</v>
      </c>
      <c r="G169" s="68">
        <f t="shared" si="142"/>
        <v>0</v>
      </c>
      <c r="H169" s="68">
        <f t="shared" si="142"/>
        <v>43669.08</v>
      </c>
      <c r="I169" s="68">
        <f t="shared" si="142"/>
        <v>0</v>
      </c>
      <c r="J169" s="68">
        <f t="shared" si="142"/>
        <v>0</v>
      </c>
      <c r="K169" s="68">
        <f t="shared" si="142"/>
        <v>0</v>
      </c>
      <c r="L169" s="68">
        <f t="shared" si="142"/>
        <v>0</v>
      </c>
      <c r="M169" s="68">
        <f t="shared" si="142"/>
        <v>0</v>
      </c>
      <c r="N169" s="68">
        <f t="shared" si="142"/>
        <v>0</v>
      </c>
      <c r="O169" s="68">
        <f t="shared" si="142"/>
        <v>0</v>
      </c>
      <c r="P169" s="68">
        <f t="shared" si="142"/>
        <v>140161.22448979589</v>
      </c>
      <c r="Q169" s="68">
        <f t="shared" si="142"/>
        <v>0</v>
      </c>
      <c r="R169" s="68">
        <f t="shared" si="142"/>
        <v>0</v>
      </c>
      <c r="S169" s="68">
        <f t="shared" si="142"/>
        <v>0</v>
      </c>
      <c r="T169" s="68">
        <f t="shared" si="142"/>
        <v>0</v>
      </c>
      <c r="U169" s="68">
        <f t="shared" si="142"/>
        <v>45608.452682926829</v>
      </c>
      <c r="V169" s="68">
        <f t="shared" ref="V169:BD169" si="143">V77</f>
        <v>53879.174999999996</v>
      </c>
      <c r="W169" s="68">
        <f t="shared" si="143"/>
        <v>0</v>
      </c>
      <c r="X169" s="68">
        <f t="shared" si="143"/>
        <v>44937</v>
      </c>
      <c r="Y169" s="68">
        <f t="shared" si="143"/>
        <v>0</v>
      </c>
      <c r="Z169" s="68">
        <f t="shared" si="143"/>
        <v>28968.190384615387</v>
      </c>
      <c r="AA169" s="68">
        <f t="shared" si="143"/>
        <v>0</v>
      </c>
      <c r="AB169" s="68">
        <f t="shared" si="143"/>
        <v>36948.377777777772</v>
      </c>
      <c r="AC169" s="68">
        <f t="shared" si="143"/>
        <v>0</v>
      </c>
      <c r="AD169" s="68">
        <f t="shared" si="143"/>
        <v>0</v>
      </c>
      <c r="AE169" s="68">
        <f t="shared" si="143"/>
        <v>27785.077714285711</v>
      </c>
      <c r="AF169" s="68">
        <f t="shared" si="143"/>
        <v>0</v>
      </c>
      <c r="AG169" s="68">
        <f t="shared" si="143"/>
        <v>78473.792727272725</v>
      </c>
      <c r="AH169" s="68">
        <f t="shared" si="143"/>
        <v>0</v>
      </c>
      <c r="AI169" s="68">
        <f t="shared" si="143"/>
        <v>42906.999452054792</v>
      </c>
      <c r="AJ169" s="68">
        <f t="shared" si="143"/>
        <v>0</v>
      </c>
      <c r="AK169" s="68">
        <f t="shared" si="143"/>
        <v>0</v>
      </c>
      <c r="AL169" s="68">
        <f t="shared" si="143"/>
        <v>0</v>
      </c>
      <c r="AM169" s="68">
        <f t="shared" si="143"/>
        <v>0</v>
      </c>
      <c r="AN169" s="68">
        <f t="shared" si="143"/>
        <v>0</v>
      </c>
      <c r="AO169" s="68">
        <f t="shared" si="143"/>
        <v>0</v>
      </c>
      <c r="AP169" s="68">
        <f t="shared" si="143"/>
        <v>0</v>
      </c>
      <c r="AQ169" s="68">
        <f t="shared" si="143"/>
        <v>0</v>
      </c>
      <c r="AR169" s="68">
        <f t="shared" si="143"/>
        <v>0</v>
      </c>
      <c r="AS169" s="68">
        <f t="shared" si="143"/>
        <v>0</v>
      </c>
      <c r="AT169" s="68">
        <f t="shared" si="143"/>
        <v>0</v>
      </c>
      <c r="AU169" s="68">
        <f t="shared" si="143"/>
        <v>0</v>
      </c>
      <c r="AV169" s="68">
        <f t="shared" si="143"/>
        <v>0</v>
      </c>
      <c r="AW169" s="68">
        <f t="shared" si="143"/>
        <v>0</v>
      </c>
      <c r="AX169" s="68">
        <f t="shared" si="143"/>
        <v>0</v>
      </c>
      <c r="AY169" s="68">
        <f t="shared" si="143"/>
        <v>51570</v>
      </c>
      <c r="AZ169" s="68">
        <f t="shared" si="143"/>
        <v>112687.848</v>
      </c>
      <c r="BA169" s="68">
        <f t="shared" si="143"/>
        <v>281576.98032786883</v>
      </c>
      <c r="BB169" s="68">
        <f t="shared" si="143"/>
        <v>854284.54999999993</v>
      </c>
      <c r="BC169" s="68">
        <f t="shared" si="143"/>
        <v>516844.82769230771</v>
      </c>
      <c r="BD169" s="68">
        <f t="shared" si="143"/>
        <v>2360301.5762489056</v>
      </c>
    </row>
    <row r="170" spans="1:58">
      <c r="A170" s="104"/>
      <c r="B170" s="9" t="s">
        <v>568</v>
      </c>
      <c r="F170" s="68">
        <f t="shared" ref="F170:U170" si="144">F78</f>
        <v>0</v>
      </c>
      <c r="G170" s="68">
        <f t="shared" si="144"/>
        <v>0</v>
      </c>
      <c r="H170" s="68">
        <f t="shared" si="144"/>
        <v>56691.372927201774</v>
      </c>
      <c r="I170" s="68">
        <f t="shared" si="144"/>
        <v>0</v>
      </c>
      <c r="J170" s="68">
        <f t="shared" si="144"/>
        <v>19485.885506565643</v>
      </c>
      <c r="K170" s="68">
        <f t="shared" si="144"/>
        <v>48813.243666294635</v>
      </c>
      <c r="L170" s="68">
        <f t="shared" si="144"/>
        <v>34723.260258992799</v>
      </c>
      <c r="M170" s="68">
        <f t="shared" si="144"/>
        <v>14205.096022065327</v>
      </c>
      <c r="N170" s="68">
        <f t="shared" si="144"/>
        <v>5349.3478817880305</v>
      </c>
      <c r="O170" s="68">
        <f t="shared" si="144"/>
        <v>0</v>
      </c>
      <c r="P170" s="68">
        <f t="shared" si="144"/>
        <v>263792.78173617856</v>
      </c>
      <c r="Q170" s="68">
        <f t="shared" si="144"/>
        <v>0</v>
      </c>
      <c r="R170" s="68">
        <f t="shared" si="144"/>
        <v>25953.27775029073</v>
      </c>
      <c r="S170" s="68">
        <f t="shared" si="144"/>
        <v>13626.075860186844</v>
      </c>
      <c r="T170" s="68">
        <f t="shared" si="144"/>
        <v>9463.7973659064064</v>
      </c>
      <c r="U170" s="68">
        <f t="shared" si="144"/>
        <v>65208.931102415016</v>
      </c>
      <c r="V170" s="68">
        <f t="shared" ref="V170:BD170" si="145">V78</f>
        <v>46920.185504587149</v>
      </c>
      <c r="W170" s="68">
        <f t="shared" si="145"/>
        <v>0</v>
      </c>
      <c r="X170" s="68">
        <f t="shared" si="145"/>
        <v>0</v>
      </c>
      <c r="Y170" s="68">
        <f t="shared" si="145"/>
        <v>0</v>
      </c>
      <c r="Z170" s="68">
        <f t="shared" si="145"/>
        <v>30221.615060194996</v>
      </c>
      <c r="AA170" s="68">
        <f t="shared" si="145"/>
        <v>34091.764667700641</v>
      </c>
      <c r="AB170" s="68">
        <f t="shared" si="145"/>
        <v>34882.437685194098</v>
      </c>
      <c r="AC170" s="68">
        <f t="shared" si="145"/>
        <v>13302.807707549036</v>
      </c>
      <c r="AD170" s="68">
        <f t="shared" si="145"/>
        <v>122061.06214593124</v>
      </c>
      <c r="AE170" s="68">
        <f t="shared" si="145"/>
        <v>123782.00086603344</v>
      </c>
      <c r="AF170" s="68">
        <f t="shared" si="145"/>
        <v>12347.029919935076</v>
      </c>
      <c r="AG170" s="68">
        <f t="shared" si="145"/>
        <v>0</v>
      </c>
      <c r="AH170" s="68">
        <f t="shared" si="145"/>
        <v>0</v>
      </c>
      <c r="AI170" s="68">
        <f t="shared" si="145"/>
        <v>71535.627714155402</v>
      </c>
      <c r="AJ170" s="68">
        <f t="shared" si="145"/>
        <v>38685.109870271386</v>
      </c>
      <c r="AK170" s="68">
        <f t="shared" si="145"/>
        <v>0</v>
      </c>
      <c r="AL170" s="68">
        <f t="shared" si="145"/>
        <v>0</v>
      </c>
      <c r="AM170" s="68">
        <f t="shared" si="145"/>
        <v>0</v>
      </c>
      <c r="AN170" s="68">
        <f t="shared" si="145"/>
        <v>0</v>
      </c>
      <c r="AO170" s="68">
        <f t="shared" si="145"/>
        <v>18985.126128483214</v>
      </c>
      <c r="AP170" s="68">
        <f t="shared" si="145"/>
        <v>0</v>
      </c>
      <c r="AQ170" s="68">
        <f t="shared" si="145"/>
        <v>0</v>
      </c>
      <c r="AR170" s="68">
        <f t="shared" si="145"/>
        <v>0</v>
      </c>
      <c r="AS170" s="68">
        <f t="shared" si="145"/>
        <v>0</v>
      </c>
      <c r="AT170" s="68">
        <f t="shared" si="145"/>
        <v>0</v>
      </c>
      <c r="AU170" s="68">
        <f t="shared" si="145"/>
        <v>0</v>
      </c>
      <c r="AV170" s="68">
        <f t="shared" si="145"/>
        <v>28619.418948556686</v>
      </c>
      <c r="AW170" s="68">
        <f t="shared" si="145"/>
        <v>61541.037349714781</v>
      </c>
      <c r="AX170" s="68">
        <f t="shared" si="145"/>
        <v>0</v>
      </c>
      <c r="AY170" s="68">
        <f t="shared" si="145"/>
        <v>65068.788380447615</v>
      </c>
      <c r="AZ170" s="68">
        <f t="shared" si="145"/>
        <v>238874.17511424603</v>
      </c>
      <c r="BA170" s="68">
        <f t="shared" si="145"/>
        <v>583008.78270761424</v>
      </c>
      <c r="BB170" s="68">
        <f t="shared" si="145"/>
        <v>963184.95034080301</v>
      </c>
      <c r="BC170" s="68">
        <f t="shared" si="145"/>
        <v>725440.51784810866</v>
      </c>
      <c r="BD170" s="68">
        <f t="shared" si="145"/>
        <v>3769865.5080374125</v>
      </c>
    </row>
    <row r="171" spans="1:58">
      <c r="A171" s="104"/>
      <c r="B171" s="9" t="s">
        <v>569</v>
      </c>
      <c r="F171" s="68">
        <f t="shared" ref="F171:U171" si="146">F79</f>
        <v>0</v>
      </c>
      <c r="G171" s="68">
        <f t="shared" si="146"/>
        <v>9376.6666666666661</v>
      </c>
      <c r="H171" s="68">
        <f t="shared" si="146"/>
        <v>65865.155844155845</v>
      </c>
      <c r="I171" s="68">
        <f t="shared" si="146"/>
        <v>0</v>
      </c>
      <c r="J171" s="68">
        <f t="shared" si="146"/>
        <v>14328.82857142857</v>
      </c>
      <c r="K171" s="68">
        <f t="shared" si="146"/>
        <v>80459.294117647049</v>
      </c>
      <c r="L171" s="68">
        <f t="shared" si="146"/>
        <v>19866.857142857141</v>
      </c>
      <c r="M171" s="68">
        <f t="shared" si="146"/>
        <v>5492.6976744186049</v>
      </c>
      <c r="N171" s="68">
        <f t="shared" si="146"/>
        <v>12113.125</v>
      </c>
      <c r="O171" s="68">
        <f t="shared" si="146"/>
        <v>0</v>
      </c>
      <c r="P171" s="68">
        <f t="shared" si="146"/>
        <v>254802.06818181821</v>
      </c>
      <c r="Q171" s="68">
        <f t="shared" si="146"/>
        <v>22844.647058823528</v>
      </c>
      <c r="R171" s="68">
        <f t="shared" si="146"/>
        <v>77475.393442622939</v>
      </c>
      <c r="S171" s="68">
        <f t="shared" si="146"/>
        <v>38025.148514851484</v>
      </c>
      <c r="T171" s="68">
        <f t="shared" si="146"/>
        <v>38085.731707317071</v>
      </c>
      <c r="U171" s="68">
        <f t="shared" si="146"/>
        <v>153691.6641791045</v>
      </c>
      <c r="V171" s="68">
        <f t="shared" ref="V171:BD171" si="147">V79</f>
        <v>12420.294117647058</v>
      </c>
      <c r="W171" s="68">
        <f t="shared" si="147"/>
        <v>31032.425531914898</v>
      </c>
      <c r="X171" s="68">
        <f t="shared" si="147"/>
        <v>31252.258064516125</v>
      </c>
      <c r="Y171" s="68">
        <f t="shared" si="147"/>
        <v>6030.5416666666661</v>
      </c>
      <c r="Z171" s="68">
        <f t="shared" si="147"/>
        <v>60142.672413793101</v>
      </c>
      <c r="AA171" s="68">
        <f t="shared" si="147"/>
        <v>52089.011070110704</v>
      </c>
      <c r="AB171" s="68">
        <f t="shared" si="147"/>
        <v>48717.299035369768</v>
      </c>
      <c r="AC171" s="68">
        <f t="shared" si="147"/>
        <v>41575.909090909096</v>
      </c>
      <c r="AD171" s="68">
        <f t="shared" si="147"/>
        <v>93379</v>
      </c>
      <c r="AE171" s="68">
        <f t="shared" si="147"/>
        <v>162304.58095238096</v>
      </c>
      <c r="AF171" s="68">
        <f t="shared" si="147"/>
        <v>41674.526315789473</v>
      </c>
      <c r="AG171" s="68">
        <f t="shared" si="147"/>
        <v>42852.893518518518</v>
      </c>
      <c r="AH171" s="68">
        <f t="shared" si="147"/>
        <v>27114.034582132565</v>
      </c>
      <c r="AI171" s="68">
        <f t="shared" si="147"/>
        <v>149689.77491961414</v>
      </c>
      <c r="AJ171" s="68">
        <f t="shared" si="147"/>
        <v>180770.21686746989</v>
      </c>
      <c r="AK171" s="68">
        <f t="shared" si="147"/>
        <v>49533</v>
      </c>
      <c r="AL171" s="68">
        <f t="shared" si="147"/>
        <v>0</v>
      </c>
      <c r="AM171" s="68">
        <f t="shared" si="147"/>
        <v>0</v>
      </c>
      <c r="AN171" s="68">
        <f t="shared" si="147"/>
        <v>0</v>
      </c>
      <c r="AO171" s="68">
        <f t="shared" si="147"/>
        <v>25192.24832214765</v>
      </c>
      <c r="AP171" s="68">
        <f t="shared" si="147"/>
        <v>22045.888888888887</v>
      </c>
      <c r="AQ171" s="68">
        <f t="shared" si="147"/>
        <v>4558.0925925925931</v>
      </c>
      <c r="AR171" s="68">
        <f t="shared" si="147"/>
        <v>0</v>
      </c>
      <c r="AS171" s="68">
        <f t="shared" si="147"/>
        <v>25412.37</v>
      </c>
      <c r="AT171" s="68">
        <f t="shared" si="147"/>
        <v>0</v>
      </c>
      <c r="AU171" s="68">
        <f t="shared" si="147"/>
        <v>28581.269841269841</v>
      </c>
      <c r="AV171" s="68">
        <f t="shared" si="147"/>
        <v>29275.030120481933</v>
      </c>
      <c r="AW171" s="68">
        <f t="shared" si="147"/>
        <v>56483.174369747903</v>
      </c>
      <c r="AX171" s="68">
        <f t="shared" si="147"/>
        <v>47013.56</v>
      </c>
      <c r="AY171" s="68">
        <f t="shared" si="147"/>
        <v>50364.3</v>
      </c>
      <c r="AZ171" s="68">
        <f t="shared" si="147"/>
        <v>225067.41463414632</v>
      </c>
      <c r="BA171" s="68">
        <f t="shared" si="147"/>
        <v>773097.06382978719</v>
      </c>
      <c r="BB171" s="68">
        <f t="shared" si="147"/>
        <v>971587.25165562925</v>
      </c>
      <c r="BC171" s="68">
        <f t="shared" si="147"/>
        <v>1170266.8384000002</v>
      </c>
      <c r="BD171" s="68">
        <f t="shared" si="147"/>
        <v>5251950.2189032361</v>
      </c>
    </row>
    <row r="172" spans="1:58">
      <c r="A172" s="104"/>
      <c r="B172" s="9" t="s">
        <v>570</v>
      </c>
      <c r="F172" s="68">
        <f t="shared" ref="F172:U172" si="148">F80</f>
        <v>0</v>
      </c>
      <c r="G172" s="68">
        <f t="shared" si="148"/>
        <v>25558.920893424038</v>
      </c>
      <c r="H172" s="68">
        <f t="shared" si="148"/>
        <v>141347.81749764152</v>
      </c>
      <c r="I172" s="68">
        <f t="shared" si="148"/>
        <v>24897.78</v>
      </c>
      <c r="J172" s="68">
        <f t="shared" si="148"/>
        <v>19164.219741333662</v>
      </c>
      <c r="K172" s="68">
        <f t="shared" si="148"/>
        <v>119569.90236280745</v>
      </c>
      <c r="L172" s="68">
        <f t="shared" si="148"/>
        <v>23443.945148201437</v>
      </c>
      <c r="M172" s="68">
        <f t="shared" si="148"/>
        <v>42364.725951170447</v>
      </c>
      <c r="N172" s="68">
        <f t="shared" si="148"/>
        <v>36290.822209695783</v>
      </c>
      <c r="O172" s="68">
        <f t="shared" si="148"/>
        <v>0</v>
      </c>
      <c r="P172" s="68">
        <f t="shared" si="148"/>
        <v>397011.46014083055</v>
      </c>
      <c r="Q172" s="68">
        <f t="shared" si="148"/>
        <v>9550.5259211376851</v>
      </c>
      <c r="R172" s="68">
        <f t="shared" si="148"/>
        <v>102042.97461079166</v>
      </c>
      <c r="S172" s="68">
        <f t="shared" si="148"/>
        <v>128242.68558072942</v>
      </c>
      <c r="T172" s="68">
        <f t="shared" si="148"/>
        <v>39595.699876313847</v>
      </c>
      <c r="U172" s="68">
        <f t="shared" si="148"/>
        <v>278050.60540834477</v>
      </c>
      <c r="V172" s="68">
        <f t="shared" ref="V172:BD172" si="149">V80</f>
        <v>64555.623386230633</v>
      </c>
      <c r="W172" s="68">
        <f t="shared" si="149"/>
        <v>61881.276596722964</v>
      </c>
      <c r="X172" s="68">
        <f t="shared" si="149"/>
        <v>88302.256498679926</v>
      </c>
      <c r="Y172" s="68">
        <f t="shared" si="149"/>
        <v>63695.66829300065</v>
      </c>
      <c r="Z172" s="68">
        <f t="shared" si="149"/>
        <v>207378.38753641499</v>
      </c>
      <c r="AA172" s="68">
        <f t="shared" si="149"/>
        <v>184597.97149026845</v>
      </c>
      <c r="AB172" s="68">
        <f t="shared" si="149"/>
        <v>137205.16213710338</v>
      </c>
      <c r="AC172" s="68">
        <f t="shared" si="149"/>
        <v>94997.930433378293</v>
      </c>
      <c r="AD172" s="68">
        <f t="shared" si="149"/>
        <v>124826.67891048276</v>
      </c>
      <c r="AE172" s="68">
        <f t="shared" si="149"/>
        <v>278752.9078467061</v>
      </c>
      <c r="AF172" s="68">
        <f t="shared" si="149"/>
        <v>93295.316312535957</v>
      </c>
      <c r="AG172" s="68">
        <f t="shared" si="149"/>
        <v>189405.8962003729</v>
      </c>
      <c r="AH172" s="68">
        <f t="shared" si="149"/>
        <v>92930.26012654409</v>
      </c>
      <c r="AI172" s="68">
        <f t="shared" si="149"/>
        <v>354923.53687761305</v>
      </c>
      <c r="AJ172" s="68">
        <f t="shared" si="149"/>
        <v>326536.4314813551</v>
      </c>
      <c r="AK172" s="68">
        <f t="shared" si="149"/>
        <v>125714.2132099164</v>
      </c>
      <c r="AL172" s="68">
        <f t="shared" si="149"/>
        <v>0</v>
      </c>
      <c r="AM172" s="68">
        <f t="shared" si="149"/>
        <v>0</v>
      </c>
      <c r="AN172" s="68">
        <f t="shared" si="149"/>
        <v>0</v>
      </c>
      <c r="AO172" s="68">
        <f t="shared" si="149"/>
        <v>45537.143997156869</v>
      </c>
      <c r="AP172" s="68">
        <f t="shared" si="149"/>
        <v>55496.871584725923</v>
      </c>
      <c r="AQ172" s="68">
        <f t="shared" si="149"/>
        <v>26775.932671443919</v>
      </c>
      <c r="AR172" s="68">
        <f t="shared" si="149"/>
        <v>36943.882538165853</v>
      </c>
      <c r="AS172" s="68">
        <f t="shared" si="149"/>
        <v>27745.036496910401</v>
      </c>
      <c r="AT172" s="68">
        <f t="shared" si="149"/>
        <v>44406.325163429021</v>
      </c>
      <c r="AU172" s="68">
        <f t="shared" si="149"/>
        <v>54260.063770049012</v>
      </c>
      <c r="AV172" s="68">
        <f t="shared" si="149"/>
        <v>57844.231072015733</v>
      </c>
      <c r="AW172" s="68">
        <f t="shared" si="149"/>
        <v>93161.291295681047</v>
      </c>
      <c r="AX172" s="68">
        <f t="shared" si="149"/>
        <v>25148.849140367252</v>
      </c>
      <c r="AY172" s="68">
        <f t="shared" si="149"/>
        <v>73523.512972462253</v>
      </c>
      <c r="AZ172" s="68">
        <f t="shared" si="149"/>
        <v>600359.38917127752</v>
      </c>
      <c r="BA172" s="68">
        <f t="shared" si="149"/>
        <v>1016623.3576015499</v>
      </c>
      <c r="BB172" s="68">
        <f t="shared" si="149"/>
        <v>863205.67506447749</v>
      </c>
      <c r="BC172" s="68">
        <f t="shared" si="149"/>
        <v>1239795.4905505653</v>
      </c>
      <c r="BD172" s="68">
        <f t="shared" si="149"/>
        <v>8136958.6557700243</v>
      </c>
    </row>
    <row r="173" spans="1:58">
      <c r="A173" s="104"/>
      <c r="B173" s="9" t="s">
        <v>571</v>
      </c>
      <c r="F173" s="68">
        <f t="shared" ref="F173:U173" si="150">F81</f>
        <v>0</v>
      </c>
      <c r="G173" s="68">
        <f t="shared" si="150"/>
        <v>28394.876859410433</v>
      </c>
      <c r="H173" s="68">
        <f t="shared" si="150"/>
        <v>208950.08832856826</v>
      </c>
      <c r="I173" s="68">
        <f t="shared" si="150"/>
        <v>15612.263999999999</v>
      </c>
      <c r="J173" s="68">
        <f t="shared" si="150"/>
        <v>62656.550742704429</v>
      </c>
      <c r="K173" s="68">
        <f t="shared" si="150"/>
        <v>102267.35029654873</v>
      </c>
      <c r="L173" s="68">
        <f t="shared" si="150"/>
        <v>5088.7708834532368</v>
      </c>
      <c r="M173" s="68">
        <f t="shared" si="150"/>
        <v>35999.327759632106</v>
      </c>
      <c r="N173" s="68">
        <f t="shared" si="150"/>
        <v>55334.480264050828</v>
      </c>
      <c r="O173" s="68">
        <f t="shared" si="150"/>
        <v>0</v>
      </c>
      <c r="P173" s="68">
        <f t="shared" si="150"/>
        <v>243104.61791332808</v>
      </c>
      <c r="Q173" s="68">
        <f t="shared" si="150"/>
        <v>34956.541757781</v>
      </c>
      <c r="R173" s="68">
        <f t="shared" si="150"/>
        <v>99943.091109390094</v>
      </c>
      <c r="S173" s="68">
        <f t="shared" si="150"/>
        <v>92470.638638368255</v>
      </c>
      <c r="T173" s="68">
        <f t="shared" si="150"/>
        <v>37988.56048338773</v>
      </c>
      <c r="U173" s="68">
        <f t="shared" si="150"/>
        <v>162134.57677104117</v>
      </c>
      <c r="V173" s="68">
        <f t="shared" ref="V173:BD173" si="151">V81</f>
        <v>46067.740316725649</v>
      </c>
      <c r="W173" s="68">
        <f t="shared" si="151"/>
        <v>106856.27121729468</v>
      </c>
      <c r="X173" s="68">
        <f t="shared" si="151"/>
        <v>119815.78927142666</v>
      </c>
      <c r="Y173" s="68">
        <f t="shared" si="151"/>
        <v>53398.09515643608</v>
      </c>
      <c r="Z173" s="68">
        <f t="shared" si="151"/>
        <v>172498.59973989523</v>
      </c>
      <c r="AA173" s="68">
        <f t="shared" si="151"/>
        <v>208118.03169920636</v>
      </c>
      <c r="AB173" s="68">
        <f t="shared" si="151"/>
        <v>120276.21590275416</v>
      </c>
      <c r="AC173" s="68">
        <f t="shared" si="151"/>
        <v>90976.840768872891</v>
      </c>
      <c r="AD173" s="68">
        <f t="shared" si="151"/>
        <v>145721.61241271714</v>
      </c>
      <c r="AE173" s="68">
        <f t="shared" si="151"/>
        <v>136562.13492805258</v>
      </c>
      <c r="AF173" s="68">
        <f t="shared" si="151"/>
        <v>68731.58229038128</v>
      </c>
      <c r="AG173" s="68">
        <f t="shared" si="151"/>
        <v>165663.69979395386</v>
      </c>
      <c r="AH173" s="68">
        <f t="shared" si="151"/>
        <v>78154.631404434927</v>
      </c>
      <c r="AI173" s="68">
        <f t="shared" si="151"/>
        <v>402226.39224017475</v>
      </c>
      <c r="AJ173" s="68">
        <f t="shared" si="151"/>
        <v>283044.21850374987</v>
      </c>
      <c r="AK173" s="68">
        <f t="shared" si="151"/>
        <v>120970.2653341698</v>
      </c>
      <c r="AL173" s="68">
        <f t="shared" si="151"/>
        <v>0</v>
      </c>
      <c r="AM173" s="68">
        <f t="shared" si="151"/>
        <v>0</v>
      </c>
      <c r="AN173" s="68">
        <f t="shared" si="151"/>
        <v>0</v>
      </c>
      <c r="AO173" s="68">
        <f t="shared" si="151"/>
        <v>34009.031902339164</v>
      </c>
      <c r="AP173" s="68">
        <f t="shared" si="151"/>
        <v>38440.838327194389</v>
      </c>
      <c r="AQ173" s="68">
        <f t="shared" si="151"/>
        <v>16684.372844930571</v>
      </c>
      <c r="AR173" s="68">
        <f t="shared" si="151"/>
        <v>51780.105571549168</v>
      </c>
      <c r="AS173" s="68">
        <f t="shared" si="151"/>
        <v>9409.4493845545876</v>
      </c>
      <c r="AT173" s="68">
        <f t="shared" si="151"/>
        <v>43172.768069854756</v>
      </c>
      <c r="AU173" s="68">
        <f t="shared" si="151"/>
        <v>50956.992863414132</v>
      </c>
      <c r="AV173" s="68">
        <f t="shared" si="151"/>
        <v>37606.297958132971</v>
      </c>
      <c r="AW173" s="68">
        <f t="shared" si="151"/>
        <v>28946.383984496126</v>
      </c>
      <c r="AX173" s="68">
        <f t="shared" si="151"/>
        <v>9139.5881904761882</v>
      </c>
      <c r="AY173" s="68">
        <f t="shared" si="151"/>
        <v>23727.399047343391</v>
      </c>
      <c r="AZ173" s="68">
        <f t="shared" si="151"/>
        <v>834715.80868125614</v>
      </c>
      <c r="BA173" s="68">
        <f t="shared" si="151"/>
        <v>551607.80945037398</v>
      </c>
      <c r="BB173" s="68">
        <f t="shared" si="151"/>
        <v>634844.32734812819</v>
      </c>
      <c r="BC173" s="68">
        <f t="shared" si="151"/>
        <v>502516.07214315288</v>
      </c>
      <c r="BD173" s="68">
        <f t="shared" si="151"/>
        <v>6371541.1025551092</v>
      </c>
    </row>
    <row r="174" spans="1:58">
      <c r="A174" s="104"/>
      <c r="B174" s="9" t="s">
        <v>567</v>
      </c>
      <c r="F174" s="68">
        <f t="shared" ref="F174:AK174" si="152">F82</f>
        <v>113860.59620914055</v>
      </c>
      <c r="G174" s="68">
        <f t="shared" si="152"/>
        <v>496647.63286696898</v>
      </c>
      <c r="H174" s="68">
        <f t="shared" si="152"/>
        <v>1220688.2762526036</v>
      </c>
      <c r="I174" s="68">
        <f t="shared" si="152"/>
        <v>53571.996000000014</v>
      </c>
      <c r="J174" s="68">
        <f t="shared" si="152"/>
        <v>1264244.688138766</v>
      </c>
      <c r="K174" s="68">
        <f t="shared" si="152"/>
        <v>504117.79198834271</v>
      </c>
      <c r="L174" s="68">
        <f t="shared" si="152"/>
        <v>90785.4092139774</v>
      </c>
      <c r="M174" s="68">
        <f t="shared" si="152"/>
        <v>191423.1527178601</v>
      </c>
      <c r="N174" s="68">
        <f t="shared" si="152"/>
        <v>319203.50211389759</v>
      </c>
      <c r="O174" s="68">
        <f t="shared" si="152"/>
        <v>17445.678992087476</v>
      </c>
      <c r="P174" s="68">
        <f t="shared" si="152"/>
        <v>925454.35184311261</v>
      </c>
      <c r="Q174" s="68">
        <f t="shared" si="152"/>
        <v>386332.63313556102</v>
      </c>
      <c r="R174" s="68">
        <f t="shared" si="152"/>
        <v>492056.85821535374</v>
      </c>
      <c r="S174" s="68">
        <f t="shared" si="152"/>
        <v>746853.42250530503</v>
      </c>
      <c r="T174" s="68">
        <f t="shared" si="152"/>
        <v>494556.93727531319</v>
      </c>
      <c r="U174" s="68">
        <f t="shared" si="152"/>
        <v>407966.50101169082</v>
      </c>
      <c r="V174" s="68">
        <f t="shared" si="152"/>
        <v>432915.73271911941</v>
      </c>
      <c r="W174" s="68">
        <f t="shared" si="152"/>
        <v>1104415.1920168295</v>
      </c>
      <c r="X174" s="68">
        <f t="shared" si="152"/>
        <v>1416819.8138536578</v>
      </c>
      <c r="Y174" s="68">
        <f t="shared" si="152"/>
        <v>1128999.7573399316</v>
      </c>
      <c r="Z174" s="68">
        <f t="shared" si="152"/>
        <v>617059.1396926305</v>
      </c>
      <c r="AA174" s="68">
        <f t="shared" si="152"/>
        <v>1951356.6085995659</v>
      </c>
      <c r="AB174" s="68">
        <f t="shared" si="152"/>
        <v>1061822.4154456174</v>
      </c>
      <c r="AC174" s="68">
        <f t="shared" si="152"/>
        <v>425556.18467612832</v>
      </c>
      <c r="AD174" s="68">
        <f t="shared" si="152"/>
        <v>925435.35175965936</v>
      </c>
      <c r="AE174" s="68">
        <f t="shared" si="152"/>
        <v>635903.15222293511</v>
      </c>
      <c r="AF174" s="68">
        <f t="shared" si="152"/>
        <v>420868.09498860396</v>
      </c>
      <c r="AG174" s="68">
        <f t="shared" si="152"/>
        <v>1053584.9425380935</v>
      </c>
      <c r="AH174" s="68">
        <f t="shared" si="152"/>
        <v>723299.3287549864</v>
      </c>
      <c r="AI174" s="68">
        <f t="shared" si="152"/>
        <v>2266069.6650880445</v>
      </c>
      <c r="AJ174" s="68">
        <f t="shared" si="152"/>
        <v>1342331.8287331546</v>
      </c>
      <c r="AK174" s="68">
        <f t="shared" si="152"/>
        <v>2107233.1341187204</v>
      </c>
      <c r="AL174" s="68">
        <f t="shared" ref="AL174:BD174" si="153">AL82</f>
        <v>4188765.8815813186</v>
      </c>
      <c r="AM174" s="68">
        <f t="shared" si="153"/>
        <v>2784113.8683360792</v>
      </c>
      <c r="AN174" s="68">
        <f t="shared" si="153"/>
        <v>803874.23537352076</v>
      </c>
      <c r="AO174" s="68">
        <f t="shared" si="153"/>
        <v>553230.32374735374</v>
      </c>
      <c r="AP174" s="68">
        <f t="shared" si="153"/>
        <v>483348.41985639249</v>
      </c>
      <c r="AQ174" s="68">
        <f t="shared" si="153"/>
        <v>397817.0385475076</v>
      </c>
      <c r="AR174" s="68">
        <f t="shared" si="153"/>
        <v>840700.08159486402</v>
      </c>
      <c r="AS174" s="68">
        <f t="shared" si="153"/>
        <v>226664.4074338988</v>
      </c>
      <c r="AT174" s="68">
        <f t="shared" si="153"/>
        <v>743998.62861526851</v>
      </c>
      <c r="AU174" s="68">
        <f t="shared" si="153"/>
        <v>565499.20922168903</v>
      </c>
      <c r="AV174" s="68">
        <f t="shared" si="153"/>
        <v>732510.80232351553</v>
      </c>
      <c r="AW174" s="68">
        <f t="shared" si="153"/>
        <v>460079.17418899067</v>
      </c>
      <c r="AX174" s="68">
        <f t="shared" si="153"/>
        <v>20405.913926667028</v>
      </c>
      <c r="AY174" s="68">
        <f t="shared" si="153"/>
        <v>587862.0889206396</v>
      </c>
      <c r="AZ174" s="68">
        <f t="shared" si="153"/>
        <v>665620.1577771157</v>
      </c>
      <c r="BA174" s="68">
        <f t="shared" si="153"/>
        <v>1282787.6236187676</v>
      </c>
      <c r="BB174" s="68">
        <f t="shared" si="153"/>
        <v>1555293.3766039358</v>
      </c>
      <c r="BC174" s="68">
        <f t="shared" si="153"/>
        <v>402745.27627239795</v>
      </c>
      <c r="BD174" s="68">
        <f t="shared" si="153"/>
        <v>42634196.278967582</v>
      </c>
    </row>
    <row r="175" spans="1:58">
      <c r="A175" s="104"/>
      <c r="BD175" s="68"/>
    </row>
    <row r="176" spans="1:58">
      <c r="A176" s="104"/>
      <c r="C176" s="45" t="s">
        <v>435</v>
      </c>
    </row>
    <row r="177" spans="1:57">
      <c r="A177" s="104"/>
      <c r="B177" s="9" t="s">
        <v>586</v>
      </c>
      <c r="F177" s="108"/>
      <c r="G177" s="108"/>
      <c r="H177" s="108">
        <v>120862.33714285714</v>
      </c>
      <c r="I177" s="108"/>
      <c r="J177" s="108"/>
      <c r="K177" s="108"/>
      <c r="L177" s="108"/>
      <c r="M177" s="108"/>
      <c r="N177" s="108"/>
      <c r="O177" s="108"/>
      <c r="P177" s="108">
        <v>119186.36842105263</v>
      </c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>
        <v>73941.84</v>
      </c>
      <c r="BA177" s="108">
        <v>100295.23999999999</v>
      </c>
      <c r="BB177" s="108">
        <v>125317.43142857142</v>
      </c>
      <c r="BC177" s="108"/>
      <c r="BD177" s="108">
        <v>115403.05372127867</v>
      </c>
    </row>
    <row r="178" spans="1:57">
      <c r="A178" s="104"/>
      <c r="B178" s="9" t="s">
        <v>587</v>
      </c>
      <c r="F178" s="108"/>
      <c r="G178" s="108"/>
      <c r="H178" s="108">
        <v>30378.490434782609</v>
      </c>
      <c r="I178" s="108"/>
      <c r="J178" s="108"/>
      <c r="K178" s="108"/>
      <c r="L178" s="108"/>
      <c r="M178" s="108"/>
      <c r="N178" s="108"/>
      <c r="O178" s="108"/>
      <c r="P178" s="108">
        <v>31795.833333333328</v>
      </c>
      <c r="Q178" s="108"/>
      <c r="R178" s="108"/>
      <c r="S178" s="108"/>
      <c r="T178" s="108"/>
      <c r="U178" s="108">
        <v>29681.691428571427</v>
      </c>
      <c r="V178" s="108">
        <v>30788.1</v>
      </c>
      <c r="W178" s="108"/>
      <c r="X178" s="108">
        <v>29958</v>
      </c>
      <c r="Y178" s="108"/>
      <c r="Z178" s="108">
        <v>30741.753061224488</v>
      </c>
      <c r="AA178" s="108"/>
      <c r="AB178" s="108">
        <v>30230.490909090906</v>
      </c>
      <c r="AC178" s="108"/>
      <c r="AD178" s="108"/>
      <c r="AE178" s="108">
        <v>31370.249032258063</v>
      </c>
      <c r="AF178" s="108"/>
      <c r="AG178" s="108">
        <v>30288.130526315788</v>
      </c>
      <c r="AH178" s="108"/>
      <c r="AI178" s="108">
        <v>29549.159999999996</v>
      </c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>
        <v>29982.558139534885</v>
      </c>
      <c r="AZ178" s="108">
        <v>27824.16</v>
      </c>
      <c r="BA178" s="108">
        <v>27263.802857142859</v>
      </c>
      <c r="BB178" s="108">
        <v>28476.151666666665</v>
      </c>
      <c r="BC178" s="108">
        <v>28983.8472</v>
      </c>
      <c r="BD178" s="108">
        <v>28905.606688878204</v>
      </c>
    </row>
    <row r="179" spans="1:57">
      <c r="A179" s="104"/>
      <c r="B179" s="9" t="s">
        <v>568</v>
      </c>
      <c r="F179" s="108"/>
      <c r="G179" s="108"/>
      <c r="H179" s="108">
        <v>13936.629177937104</v>
      </c>
      <c r="I179" s="108"/>
      <c r="J179" s="108">
        <v>14005.480207844055</v>
      </c>
      <c r="K179" s="108">
        <v>15770.432569110577</v>
      </c>
      <c r="L179" s="108">
        <v>13889.30410359712</v>
      </c>
      <c r="M179" s="108">
        <v>13840.86279073032</v>
      </c>
      <c r="N179" s="108">
        <v>12036.032734023069</v>
      </c>
      <c r="O179" s="108"/>
      <c r="P179" s="108">
        <v>14141.698303290281</v>
      </c>
      <c r="Q179" s="108"/>
      <c r="R179" s="108">
        <v>13739.970573683328</v>
      </c>
      <c r="S179" s="108">
        <v>13626.075860186844</v>
      </c>
      <c r="T179" s="108">
        <v>14721.462569187745</v>
      </c>
      <c r="U179" s="108">
        <v>13527.384643586094</v>
      </c>
      <c r="V179" s="108">
        <v>13902.277186544341</v>
      </c>
      <c r="W179" s="108"/>
      <c r="X179" s="108"/>
      <c r="Y179" s="108"/>
      <c r="Z179" s="108">
        <v>13477.206716032902</v>
      </c>
      <c r="AA179" s="108">
        <v>13309.79853465025</v>
      </c>
      <c r="AB179" s="108">
        <v>12790.227151237837</v>
      </c>
      <c r="AC179" s="108">
        <v>13738.965337304744</v>
      </c>
      <c r="AD179" s="108">
        <v>13663.551732753496</v>
      </c>
      <c r="AE179" s="108">
        <v>13789.606911681314</v>
      </c>
      <c r="AF179" s="108">
        <v>14267.679018591642</v>
      </c>
      <c r="AG179" s="108"/>
      <c r="AH179" s="108"/>
      <c r="AI179" s="108">
        <v>13152.714619401588</v>
      </c>
      <c r="AJ179" s="108">
        <v>13938.017526788955</v>
      </c>
      <c r="AK179" s="108"/>
      <c r="AL179" s="108"/>
      <c r="AM179" s="108"/>
      <c r="AN179" s="108"/>
      <c r="AO179" s="108">
        <v>13754.530154309268</v>
      </c>
      <c r="AP179" s="108"/>
      <c r="AQ179" s="108"/>
      <c r="AR179" s="108"/>
      <c r="AS179" s="108"/>
      <c r="AT179" s="108"/>
      <c r="AU179" s="108"/>
      <c r="AV179" s="108">
        <v>13573.781558458313</v>
      </c>
      <c r="AW179" s="108">
        <v>13998.605062381474</v>
      </c>
      <c r="AX179" s="108"/>
      <c r="AY179" s="108">
        <v>13856.707374718213</v>
      </c>
      <c r="AZ179" s="108">
        <v>13961.595623115749</v>
      </c>
      <c r="BA179" s="108">
        <v>13351.346168876662</v>
      </c>
      <c r="BB179" s="108">
        <v>13659.138719566543</v>
      </c>
      <c r="BC179" s="108">
        <v>14030.956081279732</v>
      </c>
      <c r="BD179" s="108">
        <v>13760.126415011913</v>
      </c>
    </row>
    <row r="180" spans="1:57">
      <c r="A180" s="104"/>
      <c r="B180" s="9" t="s">
        <v>569</v>
      </c>
      <c r="F180" s="108"/>
      <c r="G180" s="108">
        <v>7032.5</v>
      </c>
      <c r="H180" s="108">
        <v>6708.4880952380954</v>
      </c>
      <c r="I180" s="108"/>
      <c r="J180" s="108">
        <v>6777.1486486486483</v>
      </c>
      <c r="K180" s="108">
        <v>6994.4727272727259</v>
      </c>
      <c r="L180" s="108">
        <v>7131.6923076923076</v>
      </c>
      <c r="M180" s="108">
        <v>6653.1267605633802</v>
      </c>
      <c r="N180" s="108">
        <v>6460.333333333333</v>
      </c>
      <c r="O180" s="108"/>
      <c r="P180" s="108">
        <v>6978.7058823529414</v>
      </c>
      <c r="Q180" s="108">
        <v>7061.0727272727263</v>
      </c>
      <c r="R180" s="108">
        <v>6819.6233766233763</v>
      </c>
      <c r="S180" s="108">
        <v>6957.5</v>
      </c>
      <c r="T180" s="108">
        <v>6940.0666666666666</v>
      </c>
      <c r="U180" s="108">
        <v>7078.426877470356</v>
      </c>
      <c r="V180" s="108">
        <v>7280.8620689655172</v>
      </c>
      <c r="W180" s="108">
        <v>6923.3734177215192</v>
      </c>
      <c r="X180" s="108">
        <v>6920.1428571428569</v>
      </c>
      <c r="Y180" s="108">
        <v>6578.772727272727</v>
      </c>
      <c r="Z180" s="108">
        <v>6779.9319727891152</v>
      </c>
      <c r="AA180" s="108">
        <v>6702.8119658119658</v>
      </c>
      <c r="AB180" s="108">
        <v>6763.875</v>
      </c>
      <c r="AC180" s="108">
        <v>7035.923076923078</v>
      </c>
      <c r="AD180" s="108">
        <v>7003.4250000000002</v>
      </c>
      <c r="AE180" s="108">
        <v>7042.1409090909092</v>
      </c>
      <c r="AF180" s="108">
        <v>7069.7857142857147</v>
      </c>
      <c r="AG180" s="108">
        <v>6933.5018726591761</v>
      </c>
      <c r="AH180" s="108">
        <v>6701.2606837606836</v>
      </c>
      <c r="AI180" s="108">
        <v>6902.9537366548029</v>
      </c>
      <c r="AJ180" s="108">
        <v>7158.3625954198478</v>
      </c>
      <c r="AK180" s="108">
        <v>6791.7588652482273</v>
      </c>
      <c r="AL180" s="108"/>
      <c r="AM180" s="108"/>
      <c r="AN180" s="108"/>
      <c r="AO180" s="108">
        <v>6824.8090909090906</v>
      </c>
      <c r="AP180" s="108">
        <v>7023.4690265486724</v>
      </c>
      <c r="AQ180" s="108">
        <v>6743.4794520547948</v>
      </c>
      <c r="AR180" s="108"/>
      <c r="AS180" s="108">
        <v>7118.3109243697481</v>
      </c>
      <c r="AT180" s="108"/>
      <c r="AU180" s="108">
        <v>6345.7973568281941</v>
      </c>
      <c r="AV180" s="108">
        <v>6893.1276595744685</v>
      </c>
      <c r="AW180" s="108">
        <v>7125.8921282798838</v>
      </c>
      <c r="AX180" s="108">
        <v>7632.0714285714284</v>
      </c>
      <c r="AY180" s="108">
        <v>7076.9508196721308</v>
      </c>
      <c r="AZ180" s="108">
        <v>6901.8429319371726</v>
      </c>
      <c r="BA180" s="108">
        <v>7061.8480176211451</v>
      </c>
      <c r="BB180" s="108">
        <v>7121.4831804281348</v>
      </c>
      <c r="BC180" s="108">
        <v>7208.9175438596503</v>
      </c>
      <c r="BD180" s="108">
        <v>7058.9023621653105</v>
      </c>
    </row>
    <row r="181" spans="1:57">
      <c r="A181" s="104"/>
      <c r="B181" s="9" t="s">
        <v>570</v>
      </c>
      <c r="F181" s="108"/>
      <c r="G181" s="108">
        <v>3042.7286777885756</v>
      </c>
      <c r="H181" s="108">
        <v>3066.4161819488349</v>
      </c>
      <c r="I181" s="108">
        <v>2489.7779999999998</v>
      </c>
      <c r="J181" s="108">
        <v>3045.3264163860167</v>
      </c>
      <c r="K181" s="108">
        <v>3245.5687574335357</v>
      </c>
      <c r="L181" s="108">
        <v>3157.4336899934597</v>
      </c>
      <c r="M181" s="108">
        <v>3313.4422531641694</v>
      </c>
      <c r="N181" s="108">
        <v>3024.2351841413151</v>
      </c>
      <c r="O181" s="108"/>
      <c r="P181" s="108">
        <v>3116.8167043716198</v>
      </c>
      <c r="Q181" s="108">
        <v>3140.7769807768232</v>
      </c>
      <c r="R181" s="108">
        <v>3048.0369039587117</v>
      </c>
      <c r="S181" s="108">
        <v>3040.9014274679462</v>
      </c>
      <c r="T181" s="108">
        <v>3113.6854424362132</v>
      </c>
      <c r="U181" s="108">
        <v>3058.2688224261524</v>
      </c>
      <c r="V181" s="108">
        <v>3180.4133114809642</v>
      </c>
      <c r="W181" s="108">
        <v>3046.1469121174468</v>
      </c>
      <c r="X181" s="108">
        <v>3138.705799716111</v>
      </c>
      <c r="Y181" s="108">
        <v>2922.316132389155</v>
      </c>
      <c r="Z181" s="108">
        <v>3070.642184564867</v>
      </c>
      <c r="AA181" s="108">
        <v>3139.3630925360758</v>
      </c>
      <c r="AB181" s="108">
        <v>3100.2082437085955</v>
      </c>
      <c r="AC181" s="108">
        <v>3233.0298002967902</v>
      </c>
      <c r="AD181" s="108">
        <v>3020.0002962213575</v>
      </c>
      <c r="AE181" s="108">
        <v>3099.6297268230355</v>
      </c>
      <c r="AF181" s="108">
        <v>3202.3172082313185</v>
      </c>
      <c r="AG181" s="108">
        <v>3103.7447817762049</v>
      </c>
      <c r="AH181" s="108">
        <v>3090.1384145890574</v>
      </c>
      <c r="AI181" s="108">
        <v>3119.9846173120286</v>
      </c>
      <c r="AJ181" s="108">
        <v>3146.7072296938454</v>
      </c>
      <c r="AK181" s="108">
        <v>3143.6655533286644</v>
      </c>
      <c r="AL181" s="108"/>
      <c r="AM181" s="108"/>
      <c r="AN181" s="108"/>
      <c r="AO181" s="108">
        <v>3077.8277257593918</v>
      </c>
      <c r="AP181" s="108">
        <v>3155.318585372715</v>
      </c>
      <c r="AQ181" s="108">
        <v>2959.4451900016966</v>
      </c>
      <c r="AR181" s="108">
        <v>3089.3519641096505</v>
      </c>
      <c r="AS181" s="108">
        <v>3210.306980757618</v>
      </c>
      <c r="AT181" s="108">
        <v>3262.5055222111118</v>
      </c>
      <c r="AU181" s="108">
        <v>3204.3344746091934</v>
      </c>
      <c r="AV181" s="108">
        <v>3390.0572748791315</v>
      </c>
      <c r="AW181" s="108">
        <v>3317.3900247190309</v>
      </c>
      <c r="AX181" s="108">
        <v>3238.8669347442669</v>
      </c>
      <c r="AY181" s="108">
        <v>3189.5948175911844</v>
      </c>
      <c r="AZ181" s="108">
        <v>2562.7328224926036</v>
      </c>
      <c r="BA181" s="108">
        <v>3202.5176039509702</v>
      </c>
      <c r="BB181" s="108">
        <v>3145.4193095772407</v>
      </c>
      <c r="BC181" s="108">
        <v>3281.1708496457454</v>
      </c>
      <c r="BD181" s="108">
        <v>3103.8021336389425</v>
      </c>
    </row>
    <row r="182" spans="1:57">
      <c r="A182" s="104"/>
      <c r="B182" s="9" t="s">
        <v>571</v>
      </c>
      <c r="F182" s="108"/>
      <c r="G182" s="108">
        <v>1434.2117687074831</v>
      </c>
      <c r="H182" s="108">
        <v>1370.8543155843533</v>
      </c>
      <c r="I182" s="108">
        <v>1325.115</v>
      </c>
      <c r="J182" s="108">
        <v>1360.5709335955848</v>
      </c>
      <c r="K182" s="108">
        <v>1323.1636640793859</v>
      </c>
      <c r="L182" s="108">
        <v>1357.0055689208632</v>
      </c>
      <c r="M182" s="108">
        <v>1426.2028757231301</v>
      </c>
      <c r="N182" s="108">
        <v>1343.2922105479927</v>
      </c>
      <c r="O182" s="108"/>
      <c r="P182" s="108">
        <v>1430.6075323633347</v>
      </c>
      <c r="Q182" s="108">
        <v>1440.2928581205438</v>
      </c>
      <c r="R182" s="108">
        <v>1407.0346778469193</v>
      </c>
      <c r="S182" s="108">
        <v>1397.3203452100925</v>
      </c>
      <c r="T182" s="108">
        <v>1407.6742657647969</v>
      </c>
      <c r="U182" s="108">
        <v>1421.1851545280238</v>
      </c>
      <c r="V182" s="108">
        <v>1368.2457033652001</v>
      </c>
      <c r="W182" s="108">
        <v>1386.2435184946337</v>
      </c>
      <c r="X182" s="108">
        <v>1372.0433919840866</v>
      </c>
      <c r="Y182" s="108">
        <v>1399.9702269510317</v>
      </c>
      <c r="Z182" s="108">
        <v>1446.77317819058</v>
      </c>
      <c r="AA182" s="108">
        <v>1444.340725839573</v>
      </c>
      <c r="AB182" s="108">
        <v>1445.2769852717674</v>
      </c>
      <c r="AC182" s="108">
        <v>1393.9295007334513</v>
      </c>
      <c r="AD182" s="108">
        <v>1437.3148417035832</v>
      </c>
      <c r="AE182" s="108">
        <v>1460.0668140523703</v>
      </c>
      <c r="AF182" s="108">
        <v>1420.8079026435407</v>
      </c>
      <c r="AG182" s="108">
        <v>1425.4274901267841</v>
      </c>
      <c r="AH182" s="108">
        <v>1442.8547336203369</v>
      </c>
      <c r="AI182" s="108">
        <v>1426.7495851656565</v>
      </c>
      <c r="AJ182" s="108">
        <v>1416.0977244434048</v>
      </c>
      <c r="AK182" s="108">
        <v>1407.9850607722574</v>
      </c>
      <c r="AL182" s="108"/>
      <c r="AM182" s="108"/>
      <c r="AN182" s="108"/>
      <c r="AO182" s="108">
        <v>1382.171691780376</v>
      </c>
      <c r="AP182" s="108">
        <v>1410.4973053810327</v>
      </c>
      <c r="AQ182" s="108">
        <v>1403.9954273103342</v>
      </c>
      <c r="AR182" s="108">
        <v>1399.848371313605</v>
      </c>
      <c r="AS182" s="108">
        <v>1425.52918993252</v>
      </c>
      <c r="AT182" s="108">
        <v>1419.4520519245048</v>
      </c>
      <c r="AU182" s="108">
        <v>1434.0323886874462</v>
      </c>
      <c r="AV182" s="108">
        <v>1447.5848940048445</v>
      </c>
      <c r="AW182" s="108">
        <v>1390.2459446547684</v>
      </c>
      <c r="AX182" s="108">
        <v>1433.6608926237159</v>
      </c>
      <c r="AY182" s="108">
        <v>1442.3361012832429</v>
      </c>
      <c r="AZ182" s="108">
        <v>1099.4549624303363</v>
      </c>
      <c r="BA182" s="108">
        <v>1477.6371577204968</v>
      </c>
      <c r="BB182" s="108">
        <v>1453.1516377066723</v>
      </c>
      <c r="BC182" s="108">
        <v>1458.261713330875</v>
      </c>
      <c r="BD182" s="108">
        <v>1374.2659844017644</v>
      </c>
    </row>
    <row r="183" spans="1:57">
      <c r="A183" s="104"/>
      <c r="B183" s="9" t="s">
        <v>567</v>
      </c>
      <c r="F183" s="108">
        <v>6.7818569425898234</v>
      </c>
      <c r="G183" s="108">
        <v>13.004491785525998</v>
      </c>
      <c r="H183" s="108">
        <v>31.128317797298141</v>
      </c>
      <c r="I183" s="108">
        <v>142.77558656781511</v>
      </c>
      <c r="J183" s="108">
        <v>66.419814089891148</v>
      </c>
      <c r="K183" s="108">
        <v>101.14174019047439</v>
      </c>
      <c r="L183" s="108">
        <v>35.058517827790205</v>
      </c>
      <c r="M183" s="108">
        <v>116.21681202925805</v>
      </c>
      <c r="N183" s="108">
        <v>466.33950363614827</v>
      </c>
      <c r="O183" s="108">
        <v>48.730946905272283</v>
      </c>
      <c r="P183" s="108">
        <v>343.9624911873089</v>
      </c>
      <c r="Q183" s="108">
        <v>115.17006838049596</v>
      </c>
      <c r="R183" s="108">
        <v>84.469782870865089</v>
      </c>
      <c r="S183" s="108">
        <v>108.77269236415827</v>
      </c>
      <c r="T183" s="108">
        <v>35.474575099594944</v>
      </c>
      <c r="U183" s="108">
        <v>122.00216014922441</v>
      </c>
      <c r="V183" s="108">
        <v>27.895489181576174</v>
      </c>
      <c r="W183" s="108">
        <v>101.06177578551481</v>
      </c>
      <c r="X183" s="108">
        <v>46.302021349368623</v>
      </c>
      <c r="Y183" s="108">
        <v>48.588084232154365</v>
      </c>
      <c r="Z183" s="108">
        <v>163.84222924438066</v>
      </c>
      <c r="AA183" s="108">
        <v>85.7370810908415</v>
      </c>
      <c r="AB183" s="108">
        <v>92.976175305218646</v>
      </c>
      <c r="AC183" s="108">
        <v>108.96406769704917</v>
      </c>
      <c r="AD183" s="108">
        <v>65.198981872509492</v>
      </c>
      <c r="AE183" s="108">
        <v>256.96921752582051</v>
      </c>
      <c r="AF183" s="108">
        <v>84.925529445183173</v>
      </c>
      <c r="AG183" s="108">
        <v>144.94254718613678</v>
      </c>
      <c r="AH183" s="108">
        <v>108.88611537002119</v>
      </c>
      <c r="AI183" s="108">
        <v>63.722111145254729</v>
      </c>
      <c r="AJ183" s="108">
        <v>128.7568396229706</v>
      </c>
      <c r="AK183" s="108">
        <v>46.373152281030997</v>
      </c>
      <c r="AL183" s="108">
        <v>148.1123680768473</v>
      </c>
      <c r="AM183" s="108">
        <v>123.74939409441191</v>
      </c>
      <c r="AN183" s="108">
        <v>69.269645443646766</v>
      </c>
      <c r="AO183" s="108">
        <v>115.48421311025744</v>
      </c>
      <c r="AP183" s="108">
        <v>104.10217627677889</v>
      </c>
      <c r="AQ183" s="108">
        <v>50.73942601896762</v>
      </c>
      <c r="AR183" s="108">
        <v>150.98639879406034</v>
      </c>
      <c r="AS183" s="108">
        <v>66.760510686033456</v>
      </c>
      <c r="AT183" s="108">
        <v>118.17054087159396</v>
      </c>
      <c r="AU183" s="108">
        <v>61.708581621835293</v>
      </c>
      <c r="AV183" s="108">
        <v>108.80053371971809</v>
      </c>
      <c r="AW183" s="108">
        <v>123.48554435884157</v>
      </c>
      <c r="AX183" s="108">
        <v>477.88696420790524</v>
      </c>
      <c r="AY183" s="108">
        <v>306.50290854183896</v>
      </c>
      <c r="AZ183" s="108">
        <v>245.89241704163373</v>
      </c>
      <c r="BA183" s="108">
        <v>352.52748949621918</v>
      </c>
      <c r="BB183" s="108">
        <v>166.29201016307354</v>
      </c>
      <c r="BC183" s="108">
        <v>198.62387711386481</v>
      </c>
      <c r="BD183" s="108">
        <v>78.48512402211324</v>
      </c>
    </row>
    <row r="184" spans="1:57">
      <c r="A184" s="104"/>
    </row>
    <row r="185" spans="1:57">
      <c r="A185" s="104"/>
      <c r="B185" s="6" t="s">
        <v>549</v>
      </c>
      <c r="C185" s="45" t="s">
        <v>141</v>
      </c>
      <c r="E185" s="23"/>
      <c r="F185" s="118">
        <v>12.026639040994525</v>
      </c>
      <c r="G185" s="118">
        <v>12.026639040994525</v>
      </c>
      <c r="H185" s="118">
        <v>12.026639040994525</v>
      </c>
      <c r="I185" s="118">
        <v>12.026639040994525</v>
      </c>
      <c r="J185" s="118">
        <v>12.026639040994525</v>
      </c>
      <c r="K185" s="118">
        <v>12.026639040994525</v>
      </c>
      <c r="L185" s="118">
        <v>12.026639040994525</v>
      </c>
      <c r="M185" s="118">
        <v>12.026639040994525</v>
      </c>
      <c r="N185" s="118">
        <v>12.026639040994525</v>
      </c>
      <c r="O185" s="118">
        <v>12.026639040994525</v>
      </c>
      <c r="P185" s="118">
        <v>12.026639040994525</v>
      </c>
      <c r="Q185" s="118">
        <v>12.026639040994525</v>
      </c>
      <c r="R185" s="118">
        <v>12.026639040994525</v>
      </c>
      <c r="S185" s="118">
        <v>12.026639040994525</v>
      </c>
      <c r="T185" s="118">
        <v>12.026639040994525</v>
      </c>
      <c r="U185" s="118">
        <v>12.026639040994525</v>
      </c>
      <c r="V185" s="118">
        <v>12.026639040994525</v>
      </c>
      <c r="W185" s="118">
        <v>12.026639040994525</v>
      </c>
      <c r="X185" s="118">
        <v>12.026639040994525</v>
      </c>
      <c r="Y185" s="118">
        <v>12.026639040994525</v>
      </c>
      <c r="Z185" s="118">
        <v>12.026639040994525</v>
      </c>
      <c r="AA185" s="118">
        <v>12.026639040994525</v>
      </c>
      <c r="AB185" s="118">
        <v>12.026639040994525</v>
      </c>
      <c r="AC185" s="118">
        <v>12.026639040994525</v>
      </c>
      <c r="AD185" s="118">
        <v>12.026639040994525</v>
      </c>
      <c r="AE185" s="118">
        <v>12.026639040994525</v>
      </c>
      <c r="AF185" s="118">
        <v>12.026639040994525</v>
      </c>
      <c r="AG185" s="118">
        <v>12.026639040994525</v>
      </c>
      <c r="AH185" s="118">
        <v>12.026639040994525</v>
      </c>
      <c r="AI185" s="118">
        <v>12.026639040994525</v>
      </c>
      <c r="AJ185" s="118">
        <v>12.026639040994525</v>
      </c>
      <c r="AK185" s="118">
        <v>12.026639040994525</v>
      </c>
      <c r="AL185" s="118">
        <v>12.026639040994525</v>
      </c>
      <c r="AM185" s="118">
        <v>12.026639040994525</v>
      </c>
      <c r="AN185" s="118">
        <v>12.026639040994525</v>
      </c>
      <c r="AO185" s="118">
        <v>12.026639040994525</v>
      </c>
      <c r="AP185" s="118">
        <v>12.026639040994525</v>
      </c>
      <c r="AQ185" s="118">
        <v>12.026639040994525</v>
      </c>
      <c r="AR185" s="118">
        <v>12.026639040994525</v>
      </c>
      <c r="AS185" s="118">
        <v>12.026639040994525</v>
      </c>
      <c r="AT185" s="118">
        <v>12.026639040994525</v>
      </c>
      <c r="AU185" s="118">
        <v>12.026639040994525</v>
      </c>
      <c r="AV185" s="118">
        <v>12.026639040994525</v>
      </c>
      <c r="AW185" s="118">
        <v>12.026639040994525</v>
      </c>
      <c r="AX185" s="118">
        <v>12.026639040994525</v>
      </c>
      <c r="AY185" s="118">
        <v>12.026639040994525</v>
      </c>
      <c r="AZ185" s="118">
        <v>12.026639040994525</v>
      </c>
      <c r="BA185" s="118">
        <v>12.026639040994525</v>
      </c>
      <c r="BB185" s="118">
        <v>12.026639040994525</v>
      </c>
      <c r="BC185" s="118">
        <v>12.026639040994525</v>
      </c>
      <c r="BD185" s="118">
        <v>12.026639040994525</v>
      </c>
      <c r="BE185" s="6" t="s">
        <v>443</v>
      </c>
    </row>
    <row r="186" spans="1:57">
      <c r="A186" s="104"/>
      <c r="B186" s="6" t="s">
        <v>549</v>
      </c>
      <c r="C186" s="45" t="s">
        <v>445</v>
      </c>
      <c r="F186" s="117">
        <v>5.9451725987864439</v>
      </c>
      <c r="G186" s="117">
        <v>5.9451725987864439</v>
      </c>
      <c r="H186" s="117">
        <v>5.9451725987864439</v>
      </c>
      <c r="I186" s="117">
        <v>5.9451725987864439</v>
      </c>
      <c r="J186" s="117">
        <v>5.9451725987864439</v>
      </c>
      <c r="K186" s="117">
        <v>5.9451725987864439</v>
      </c>
      <c r="L186" s="117">
        <v>5.9451725987864439</v>
      </c>
      <c r="M186" s="117">
        <v>5.9451725987864439</v>
      </c>
      <c r="N186" s="117">
        <v>5.9451725987864439</v>
      </c>
      <c r="O186" s="117">
        <v>5.9451725987864439</v>
      </c>
      <c r="P186" s="117">
        <v>5.9451725987864439</v>
      </c>
      <c r="Q186" s="117">
        <v>5.9451725987864439</v>
      </c>
      <c r="R186" s="117">
        <v>5.9451725987864439</v>
      </c>
      <c r="S186" s="117">
        <v>5.9451725987864439</v>
      </c>
      <c r="T186" s="117">
        <v>5.9451725987864439</v>
      </c>
      <c r="U186" s="117">
        <v>5.9451725987864439</v>
      </c>
      <c r="V186" s="117">
        <v>5.9451725987864439</v>
      </c>
      <c r="W186" s="117">
        <v>5.9451725987864439</v>
      </c>
      <c r="X186" s="117">
        <v>5.9451725987864439</v>
      </c>
      <c r="Y186" s="117">
        <v>5.9451725987864439</v>
      </c>
      <c r="Z186" s="117">
        <v>5.9451725987864439</v>
      </c>
      <c r="AA186" s="117">
        <v>5.9451725987864439</v>
      </c>
      <c r="AB186" s="117">
        <v>5.9451725987864439</v>
      </c>
      <c r="AC186" s="117">
        <v>5.9451725987864439</v>
      </c>
      <c r="AD186" s="117">
        <v>5.9451725987864439</v>
      </c>
      <c r="AE186" s="117">
        <v>5.9451725987864439</v>
      </c>
      <c r="AF186" s="117">
        <v>5.9451725987864439</v>
      </c>
      <c r="AG186" s="117">
        <v>5.9451725987864439</v>
      </c>
      <c r="AH186" s="117">
        <v>5.9451725987864439</v>
      </c>
      <c r="AI186" s="117">
        <v>5.9451725987864439</v>
      </c>
      <c r="AJ186" s="117">
        <v>5.9451725987864439</v>
      </c>
      <c r="AK186" s="117">
        <v>5.9451725987864439</v>
      </c>
      <c r="AL186" s="117">
        <v>5.9451725987864439</v>
      </c>
      <c r="AM186" s="117">
        <v>5.9451725987864439</v>
      </c>
      <c r="AN186" s="117">
        <v>5.9451725987864439</v>
      </c>
      <c r="AO186" s="117">
        <v>5.9451725987864439</v>
      </c>
      <c r="AP186" s="117">
        <v>5.9451725987864439</v>
      </c>
      <c r="AQ186" s="117">
        <v>5.9451725987864439</v>
      </c>
      <c r="AR186" s="117">
        <v>5.9451725987864439</v>
      </c>
      <c r="AS186" s="117">
        <v>5.9451725987864439</v>
      </c>
      <c r="AT186" s="117">
        <v>5.9451725987864439</v>
      </c>
      <c r="AU186" s="117">
        <v>5.9451725987864439</v>
      </c>
      <c r="AV186" s="117">
        <v>5.9451725987864439</v>
      </c>
      <c r="AW186" s="117">
        <v>5.9451725987864439</v>
      </c>
      <c r="AX186" s="117">
        <v>5.9451725987864439</v>
      </c>
      <c r="AY186" s="117">
        <v>5.9451725987864439</v>
      </c>
      <c r="AZ186" s="117">
        <v>5.9451725987864439</v>
      </c>
      <c r="BA186" s="117">
        <v>5.9451725987864439</v>
      </c>
      <c r="BB186" s="117">
        <v>5.9451725987864439</v>
      </c>
      <c r="BC186" s="117">
        <v>5.9451725987864439</v>
      </c>
      <c r="BD186" s="117">
        <v>5.9451725987864439</v>
      </c>
      <c r="BE186" s="6" t="s">
        <v>444</v>
      </c>
    </row>
    <row r="187" spans="1:57">
      <c r="A187" s="104"/>
    </row>
    <row r="188" spans="1:57">
      <c r="A188" s="104"/>
      <c r="C188" s="45" t="s">
        <v>142</v>
      </c>
    </row>
    <row r="189" spans="1:57">
      <c r="A189" s="104"/>
      <c r="B189" s="9" t="s">
        <v>586</v>
      </c>
      <c r="F189" s="119">
        <f>F158*12.0266</f>
        <v>0</v>
      </c>
      <c r="G189" s="119">
        <f t="shared" ref="G189:BC189" si="154">G158*12.0266</f>
        <v>0</v>
      </c>
      <c r="H189" s="119">
        <f t="shared" si="154"/>
        <v>5.2616375</v>
      </c>
      <c r="I189" s="119">
        <f t="shared" si="154"/>
        <v>0</v>
      </c>
      <c r="J189" s="119">
        <f t="shared" si="154"/>
        <v>0</v>
      </c>
      <c r="K189" s="119">
        <f t="shared" si="154"/>
        <v>0</v>
      </c>
      <c r="L189" s="119">
        <f t="shared" si="154"/>
        <v>0</v>
      </c>
      <c r="M189" s="119">
        <f t="shared" si="154"/>
        <v>0</v>
      </c>
      <c r="N189" s="119">
        <f t="shared" si="154"/>
        <v>0</v>
      </c>
      <c r="O189" s="119">
        <f t="shared" si="154"/>
        <v>0</v>
      </c>
      <c r="P189" s="119">
        <f t="shared" si="154"/>
        <v>18.653502040816328</v>
      </c>
      <c r="Q189" s="119">
        <f t="shared" si="154"/>
        <v>0</v>
      </c>
      <c r="R189" s="119">
        <f t="shared" si="154"/>
        <v>0</v>
      </c>
      <c r="S189" s="119">
        <f t="shared" si="154"/>
        <v>0</v>
      </c>
      <c r="T189" s="119">
        <f t="shared" si="154"/>
        <v>0</v>
      </c>
      <c r="U189" s="119">
        <f t="shared" si="154"/>
        <v>0</v>
      </c>
      <c r="V189" s="119">
        <f t="shared" si="154"/>
        <v>0</v>
      </c>
      <c r="W189" s="119">
        <f t="shared" si="154"/>
        <v>0</v>
      </c>
      <c r="X189" s="119">
        <f t="shared" si="154"/>
        <v>0</v>
      </c>
      <c r="Y189" s="119">
        <f t="shared" si="154"/>
        <v>0</v>
      </c>
      <c r="Z189" s="119">
        <f t="shared" si="154"/>
        <v>0</v>
      </c>
      <c r="AA189" s="119">
        <f t="shared" si="154"/>
        <v>0</v>
      </c>
      <c r="AB189" s="119">
        <f t="shared" si="154"/>
        <v>0</v>
      </c>
      <c r="AC189" s="119">
        <f t="shared" si="154"/>
        <v>0</v>
      </c>
      <c r="AD189" s="119">
        <f t="shared" si="154"/>
        <v>0</v>
      </c>
      <c r="AE189" s="119">
        <f t="shared" si="154"/>
        <v>0</v>
      </c>
      <c r="AF189" s="119">
        <f t="shared" si="154"/>
        <v>0</v>
      </c>
      <c r="AG189" s="119">
        <f t="shared" si="154"/>
        <v>0</v>
      </c>
      <c r="AH189" s="119">
        <f t="shared" si="154"/>
        <v>0</v>
      </c>
      <c r="AI189" s="119">
        <f t="shared" si="154"/>
        <v>0</v>
      </c>
      <c r="AJ189" s="119">
        <f t="shared" si="154"/>
        <v>0</v>
      </c>
      <c r="AK189" s="119">
        <f t="shared" si="154"/>
        <v>0</v>
      </c>
      <c r="AL189" s="119">
        <f t="shared" si="154"/>
        <v>0</v>
      </c>
      <c r="AM189" s="119">
        <f t="shared" si="154"/>
        <v>0</v>
      </c>
      <c r="AN189" s="119">
        <f t="shared" si="154"/>
        <v>0</v>
      </c>
      <c r="AO189" s="119">
        <f t="shared" si="154"/>
        <v>0</v>
      </c>
      <c r="AP189" s="119">
        <f t="shared" si="154"/>
        <v>0</v>
      </c>
      <c r="AQ189" s="119">
        <f t="shared" si="154"/>
        <v>0</v>
      </c>
      <c r="AR189" s="119">
        <f t="shared" si="154"/>
        <v>0</v>
      </c>
      <c r="AS189" s="119">
        <f t="shared" si="154"/>
        <v>0</v>
      </c>
      <c r="AT189" s="119">
        <f t="shared" si="154"/>
        <v>0</v>
      </c>
      <c r="AU189" s="119">
        <f t="shared" si="154"/>
        <v>0</v>
      </c>
      <c r="AV189" s="119">
        <f t="shared" si="154"/>
        <v>0</v>
      </c>
      <c r="AW189" s="119">
        <f t="shared" si="154"/>
        <v>0</v>
      </c>
      <c r="AX189" s="119">
        <f t="shared" si="154"/>
        <v>0</v>
      </c>
      <c r="AY189" s="119">
        <f t="shared" si="154"/>
        <v>0</v>
      </c>
      <c r="AZ189" s="119">
        <f t="shared" si="154"/>
        <v>9.6212800000000005</v>
      </c>
      <c r="BA189" s="119">
        <f t="shared" si="154"/>
        <v>11.439936585365855</v>
      </c>
      <c r="BB189" s="119">
        <f t="shared" si="154"/>
        <v>47.652566037735852</v>
      </c>
      <c r="BC189" s="119">
        <f t="shared" si="154"/>
        <v>0</v>
      </c>
      <c r="BD189" s="119">
        <f>SUM(F189:BC189)</f>
        <v>92.628922163918034</v>
      </c>
    </row>
    <row r="190" spans="1:57">
      <c r="A190" s="104"/>
      <c r="B190" s="9" t="s">
        <v>587</v>
      </c>
      <c r="F190" s="119">
        <f t="shared" ref="F190:U190" si="155">F159*12.0266</f>
        <v>0</v>
      </c>
      <c r="G190" s="119">
        <f t="shared" si="155"/>
        <v>0</v>
      </c>
      <c r="H190" s="119">
        <f t="shared" si="155"/>
        <v>17.288237500000001</v>
      </c>
      <c r="I190" s="119">
        <f t="shared" si="155"/>
        <v>0</v>
      </c>
      <c r="J190" s="119">
        <f t="shared" si="155"/>
        <v>0</v>
      </c>
      <c r="K190" s="119">
        <f t="shared" si="155"/>
        <v>0</v>
      </c>
      <c r="L190" s="119">
        <f t="shared" si="155"/>
        <v>0</v>
      </c>
      <c r="M190" s="119">
        <f t="shared" si="155"/>
        <v>0</v>
      </c>
      <c r="N190" s="119">
        <f t="shared" si="155"/>
        <v>0</v>
      </c>
      <c r="O190" s="119">
        <f t="shared" si="155"/>
        <v>0</v>
      </c>
      <c r="P190" s="119">
        <f t="shared" si="155"/>
        <v>53.015216326530606</v>
      </c>
      <c r="Q190" s="119">
        <f t="shared" si="155"/>
        <v>0</v>
      </c>
      <c r="R190" s="119">
        <f t="shared" si="155"/>
        <v>0</v>
      </c>
      <c r="S190" s="119">
        <f t="shared" si="155"/>
        <v>0</v>
      </c>
      <c r="T190" s="119">
        <f t="shared" si="155"/>
        <v>0</v>
      </c>
      <c r="U190" s="119">
        <f t="shared" si="155"/>
        <v>18.479897560975612</v>
      </c>
      <c r="V190" s="119">
        <f t="shared" ref="V190:BC190" si="156">V159*12.0266</f>
        <v>21.04655</v>
      </c>
      <c r="W190" s="119">
        <f t="shared" si="156"/>
        <v>0</v>
      </c>
      <c r="X190" s="119">
        <f t="shared" si="156"/>
        <v>18.039899999999999</v>
      </c>
      <c r="Y190" s="119">
        <f t="shared" si="156"/>
        <v>0</v>
      </c>
      <c r="Z190" s="119">
        <f t="shared" si="156"/>
        <v>11.332757692307693</v>
      </c>
      <c r="AA190" s="119">
        <f t="shared" si="156"/>
        <v>0</v>
      </c>
      <c r="AB190" s="119">
        <f t="shared" si="156"/>
        <v>14.699177777777777</v>
      </c>
      <c r="AC190" s="119">
        <f t="shared" si="156"/>
        <v>0</v>
      </c>
      <c r="AD190" s="119">
        <f t="shared" si="156"/>
        <v>0</v>
      </c>
      <c r="AE190" s="119">
        <f t="shared" si="156"/>
        <v>10.652131428571428</v>
      </c>
      <c r="AF190" s="119">
        <f t="shared" si="156"/>
        <v>0</v>
      </c>
      <c r="AG190" s="119">
        <f t="shared" si="156"/>
        <v>31.159827272727274</v>
      </c>
      <c r="AH190" s="119">
        <f t="shared" si="156"/>
        <v>0</v>
      </c>
      <c r="AI190" s="119">
        <f t="shared" si="156"/>
        <v>17.463282191780824</v>
      </c>
      <c r="AJ190" s="119">
        <f t="shared" si="156"/>
        <v>0</v>
      </c>
      <c r="AK190" s="119">
        <f t="shared" si="156"/>
        <v>0</v>
      </c>
      <c r="AL190" s="119">
        <f t="shared" si="156"/>
        <v>0</v>
      </c>
      <c r="AM190" s="119">
        <f t="shared" si="156"/>
        <v>0</v>
      </c>
      <c r="AN190" s="119">
        <f t="shared" si="156"/>
        <v>0</v>
      </c>
      <c r="AO190" s="119">
        <f t="shared" si="156"/>
        <v>0</v>
      </c>
      <c r="AP190" s="119">
        <f t="shared" si="156"/>
        <v>0</v>
      </c>
      <c r="AQ190" s="119">
        <f t="shared" si="156"/>
        <v>0</v>
      </c>
      <c r="AR190" s="119">
        <f t="shared" si="156"/>
        <v>0</v>
      </c>
      <c r="AS190" s="119">
        <f t="shared" si="156"/>
        <v>0</v>
      </c>
      <c r="AT190" s="119">
        <f t="shared" si="156"/>
        <v>0</v>
      </c>
      <c r="AU190" s="119">
        <f t="shared" si="156"/>
        <v>0</v>
      </c>
      <c r="AV190" s="119">
        <f t="shared" si="156"/>
        <v>0</v>
      </c>
      <c r="AW190" s="119">
        <f t="shared" si="156"/>
        <v>0</v>
      </c>
      <c r="AX190" s="119">
        <f t="shared" si="156"/>
        <v>0</v>
      </c>
      <c r="AY190" s="119">
        <f t="shared" si="156"/>
        <v>20.685752000000001</v>
      </c>
      <c r="AZ190" s="119">
        <f t="shared" si="156"/>
        <v>48.707729999999998</v>
      </c>
      <c r="BA190" s="119">
        <f t="shared" si="156"/>
        <v>124.20914754098361</v>
      </c>
      <c r="BB190" s="119">
        <f t="shared" si="156"/>
        <v>360.798</v>
      </c>
      <c r="BC190" s="119">
        <f t="shared" si="156"/>
        <v>214.46034965034966</v>
      </c>
      <c r="BD190" s="134">
        <f t="shared" ref="BD190:BD204" si="157">SUM(F190:BC190)</f>
        <v>982.03795694200448</v>
      </c>
    </row>
    <row r="191" spans="1:57">
      <c r="A191" s="104"/>
      <c r="B191" s="9" t="s">
        <v>568</v>
      </c>
      <c r="F191" s="119">
        <f t="shared" ref="F191:U191" si="158">F160*12.0266</f>
        <v>0</v>
      </c>
      <c r="G191" s="119">
        <f t="shared" si="158"/>
        <v>0</v>
      </c>
      <c r="H191" s="119">
        <f t="shared" si="158"/>
        <v>48.921762711864403</v>
      </c>
      <c r="I191" s="119">
        <f t="shared" si="158"/>
        <v>0</v>
      </c>
      <c r="J191" s="119">
        <f t="shared" si="158"/>
        <v>16.732660869565215</v>
      </c>
      <c r="K191" s="119">
        <f t="shared" si="158"/>
        <v>37.22519047619047</v>
      </c>
      <c r="L191" s="119">
        <f t="shared" si="158"/>
        <v>30.066500000000001</v>
      </c>
      <c r="M191" s="119">
        <f t="shared" si="158"/>
        <v>12.343089473684209</v>
      </c>
      <c r="N191" s="119">
        <f t="shared" si="158"/>
        <v>5.3451555555555554</v>
      </c>
      <c r="O191" s="119">
        <f t="shared" si="158"/>
        <v>0</v>
      </c>
      <c r="P191" s="119">
        <f t="shared" si="158"/>
        <v>224.33870393700789</v>
      </c>
      <c r="Q191" s="119">
        <f t="shared" si="158"/>
        <v>0</v>
      </c>
      <c r="R191" s="119">
        <f t="shared" si="158"/>
        <v>22.716911111111109</v>
      </c>
      <c r="S191" s="119">
        <f t="shared" si="158"/>
        <v>12.0266</v>
      </c>
      <c r="T191" s="119">
        <f t="shared" si="158"/>
        <v>7.7313857142857136</v>
      </c>
      <c r="U191" s="119">
        <f t="shared" si="158"/>
        <v>57.974379487179483</v>
      </c>
      <c r="V191" s="119">
        <f t="shared" ref="V191:BC191" si="159">V160*12.0266</f>
        <v>40.589775000000003</v>
      </c>
      <c r="W191" s="119">
        <f t="shared" si="159"/>
        <v>0</v>
      </c>
      <c r="X191" s="119">
        <f t="shared" si="159"/>
        <v>0</v>
      </c>
      <c r="Y191" s="119">
        <f t="shared" si="159"/>
        <v>0</v>
      </c>
      <c r="Z191" s="119">
        <f t="shared" si="159"/>
        <v>26.968739393939398</v>
      </c>
      <c r="AA191" s="119">
        <f t="shared" si="159"/>
        <v>30.80497543859649</v>
      </c>
      <c r="AB191" s="119">
        <f t="shared" si="159"/>
        <v>32.799818181818182</v>
      </c>
      <c r="AC191" s="119">
        <f t="shared" si="159"/>
        <v>11.644803174603174</v>
      </c>
      <c r="AD191" s="119">
        <f t="shared" si="159"/>
        <v>107.43762666666667</v>
      </c>
      <c r="AE191" s="119">
        <f t="shared" si="159"/>
        <v>107.95642117647058</v>
      </c>
      <c r="AF191" s="119">
        <f t="shared" si="159"/>
        <v>10.407634615384616</v>
      </c>
      <c r="AG191" s="119">
        <f t="shared" si="159"/>
        <v>0</v>
      </c>
      <c r="AH191" s="119">
        <f t="shared" si="159"/>
        <v>0</v>
      </c>
      <c r="AI191" s="119">
        <f t="shared" si="159"/>
        <v>65.410860431654683</v>
      </c>
      <c r="AJ191" s="119">
        <f t="shared" si="159"/>
        <v>33.379951020408164</v>
      </c>
      <c r="AK191" s="119">
        <f t="shared" si="159"/>
        <v>0</v>
      </c>
      <c r="AL191" s="119">
        <f t="shared" si="159"/>
        <v>0</v>
      </c>
      <c r="AM191" s="119">
        <f t="shared" si="159"/>
        <v>0</v>
      </c>
      <c r="AN191" s="119">
        <f t="shared" si="159"/>
        <v>0</v>
      </c>
      <c r="AO191" s="119">
        <f t="shared" si="159"/>
        <v>16.600095774647887</v>
      </c>
      <c r="AP191" s="119">
        <f t="shared" si="159"/>
        <v>0</v>
      </c>
      <c r="AQ191" s="119">
        <f t="shared" si="159"/>
        <v>0</v>
      </c>
      <c r="AR191" s="119">
        <f t="shared" si="159"/>
        <v>0</v>
      </c>
      <c r="AS191" s="119">
        <f t="shared" si="159"/>
        <v>0</v>
      </c>
      <c r="AT191" s="119">
        <f t="shared" si="159"/>
        <v>0</v>
      </c>
      <c r="AU191" s="119">
        <f t="shared" si="159"/>
        <v>0</v>
      </c>
      <c r="AV191" s="119">
        <f t="shared" si="159"/>
        <v>25.357289156626507</v>
      </c>
      <c r="AW191" s="119">
        <f t="shared" si="159"/>
        <v>52.871656603773587</v>
      </c>
      <c r="AX191" s="119">
        <f t="shared" si="159"/>
        <v>0</v>
      </c>
      <c r="AY191" s="119">
        <f t="shared" si="159"/>
        <v>56.47490916666667</v>
      </c>
      <c r="AZ191" s="119">
        <f t="shared" si="159"/>
        <v>205.76760937500001</v>
      </c>
      <c r="BA191" s="119">
        <f t="shared" si="159"/>
        <v>525.1615333333333</v>
      </c>
      <c r="BB191" s="119">
        <f t="shared" si="159"/>
        <v>848.06519368421073</v>
      </c>
      <c r="BC191" s="119">
        <f t="shared" si="159"/>
        <v>621.80958171428574</v>
      </c>
      <c r="BD191" s="134">
        <f t="shared" si="157"/>
        <v>3294.9308132445303</v>
      </c>
    </row>
    <row r="192" spans="1:57">
      <c r="A192" s="104"/>
      <c r="B192" s="9" t="s">
        <v>569</v>
      </c>
      <c r="F192" s="119">
        <f t="shared" ref="F192:U192" si="160">F161*12.0266</f>
        <v>0</v>
      </c>
      <c r="G192" s="119">
        <f t="shared" si="160"/>
        <v>16.035466666666665</v>
      </c>
      <c r="H192" s="119">
        <f t="shared" si="160"/>
        <v>118.07934545454546</v>
      </c>
      <c r="I192" s="119">
        <f t="shared" si="160"/>
        <v>0</v>
      </c>
      <c r="J192" s="119">
        <f t="shared" si="160"/>
        <v>25.427668571428573</v>
      </c>
      <c r="K192" s="119">
        <f t="shared" si="160"/>
        <v>138.34520261437908</v>
      </c>
      <c r="L192" s="119">
        <f t="shared" si="160"/>
        <v>33.502671428571425</v>
      </c>
      <c r="M192" s="119">
        <f t="shared" si="160"/>
        <v>9.928937209302326</v>
      </c>
      <c r="N192" s="119">
        <f t="shared" si="160"/>
        <v>22.549875</v>
      </c>
      <c r="O192" s="119">
        <f t="shared" si="160"/>
        <v>0</v>
      </c>
      <c r="P192" s="119">
        <f t="shared" si="160"/>
        <v>439.10756590909097</v>
      </c>
      <c r="Q192" s="119">
        <f t="shared" si="160"/>
        <v>38.909588235294116</v>
      </c>
      <c r="R192" s="119">
        <f t="shared" si="160"/>
        <v>136.63006229508196</v>
      </c>
      <c r="S192" s="119">
        <f t="shared" si="160"/>
        <v>65.729536633663358</v>
      </c>
      <c r="T192" s="119">
        <f t="shared" si="160"/>
        <v>65.999634146341464</v>
      </c>
      <c r="U192" s="119">
        <f t="shared" si="160"/>
        <v>261.12979626865672</v>
      </c>
      <c r="V192" s="119">
        <f t="shared" ref="V192:BC192" si="161">V161*12.0266</f>
        <v>20.515964705882354</v>
      </c>
      <c r="W192" s="119">
        <f t="shared" si="161"/>
        <v>53.906462411347519</v>
      </c>
      <c r="X192" s="119">
        <f t="shared" si="161"/>
        <v>54.313677419354832</v>
      </c>
      <c r="Y192" s="119">
        <f t="shared" si="161"/>
        <v>11.024383333333333</v>
      </c>
      <c r="Z192" s="119">
        <f t="shared" si="161"/>
        <v>106.68423620689656</v>
      </c>
      <c r="AA192" s="119">
        <f t="shared" si="161"/>
        <v>93.461326937269376</v>
      </c>
      <c r="AB192" s="119">
        <f t="shared" si="161"/>
        <v>86.62245659163986</v>
      </c>
      <c r="AC192" s="119">
        <f t="shared" si="161"/>
        <v>71.066272727272732</v>
      </c>
      <c r="AD192" s="119">
        <f t="shared" si="161"/>
        <v>160.35466666666665</v>
      </c>
      <c r="AE192" s="119">
        <f t="shared" si="161"/>
        <v>277.18449523809522</v>
      </c>
      <c r="AF192" s="119">
        <f t="shared" si="161"/>
        <v>70.893642105263154</v>
      </c>
      <c r="AG192" s="119">
        <f t="shared" si="161"/>
        <v>74.331069444444438</v>
      </c>
      <c r="AH192" s="119">
        <f t="shared" si="161"/>
        <v>48.660940634005762</v>
      </c>
      <c r="AI192" s="119">
        <f t="shared" si="161"/>
        <v>260.79546752411579</v>
      </c>
      <c r="AJ192" s="119">
        <f t="shared" si="161"/>
        <v>303.70787469879519</v>
      </c>
      <c r="AK192" s="119">
        <f t="shared" si="161"/>
        <v>87.711237931034489</v>
      </c>
      <c r="AL192" s="119">
        <f t="shared" si="161"/>
        <v>0</v>
      </c>
      <c r="AM192" s="119">
        <f t="shared" si="161"/>
        <v>0</v>
      </c>
      <c r="AN192" s="119">
        <f t="shared" si="161"/>
        <v>0</v>
      </c>
      <c r="AO192" s="119">
        <f t="shared" si="161"/>
        <v>44.393489932885906</v>
      </c>
      <c r="AP192" s="119">
        <f t="shared" si="161"/>
        <v>37.750161111111112</v>
      </c>
      <c r="AQ192" s="119">
        <f t="shared" si="161"/>
        <v>8.1290907407407413</v>
      </c>
      <c r="AR192" s="119">
        <f t="shared" si="161"/>
        <v>0</v>
      </c>
      <c r="AS192" s="119">
        <f t="shared" si="161"/>
        <v>42.934961999999999</v>
      </c>
      <c r="AT192" s="119">
        <f t="shared" si="161"/>
        <v>0</v>
      </c>
      <c r="AU192" s="119">
        <f t="shared" si="161"/>
        <v>54.167424603174602</v>
      </c>
      <c r="AV192" s="119">
        <f t="shared" si="161"/>
        <v>51.076825301204828</v>
      </c>
      <c r="AW192" s="119">
        <f t="shared" si="161"/>
        <v>95.328491176470592</v>
      </c>
      <c r="AX192" s="119">
        <f t="shared" si="161"/>
        <v>74.083855999999997</v>
      </c>
      <c r="AY192" s="119">
        <f t="shared" si="161"/>
        <v>85.589303333333334</v>
      </c>
      <c r="AZ192" s="119">
        <f t="shared" si="161"/>
        <v>392.18449268292682</v>
      </c>
      <c r="BA192" s="119">
        <f t="shared" si="161"/>
        <v>1316.6141673758864</v>
      </c>
      <c r="BB192" s="119">
        <f t="shared" si="161"/>
        <v>1640.7946132450334</v>
      </c>
      <c r="BC192" s="119">
        <f t="shared" si="161"/>
        <v>1952.3501376000002</v>
      </c>
      <c r="BD192" s="134">
        <f t="shared" si="157"/>
        <v>8948.006540111206</v>
      </c>
    </row>
    <row r="193" spans="1:56">
      <c r="A193" s="104"/>
      <c r="B193" s="9" t="s">
        <v>570</v>
      </c>
      <c r="F193" s="119">
        <f t="shared" ref="F193:U193" si="162">F162*12.0266</f>
        <v>0</v>
      </c>
      <c r="G193" s="119">
        <f t="shared" si="162"/>
        <v>101.02344000000001</v>
      </c>
      <c r="H193" s="119">
        <f t="shared" si="162"/>
        <v>554.3714750542299</v>
      </c>
      <c r="I193" s="119">
        <f t="shared" si="162"/>
        <v>120.26600000000001</v>
      </c>
      <c r="J193" s="119">
        <f t="shared" si="162"/>
        <v>75.68331719745224</v>
      </c>
      <c r="K193" s="119">
        <f t="shared" si="162"/>
        <v>443.07161401617253</v>
      </c>
      <c r="L193" s="119">
        <f t="shared" si="162"/>
        <v>89.297505000000001</v>
      </c>
      <c r="M193" s="119">
        <f t="shared" si="162"/>
        <v>153.76867142857142</v>
      </c>
      <c r="N193" s="119">
        <f t="shared" si="162"/>
        <v>144.3192</v>
      </c>
      <c r="O193" s="119">
        <f t="shared" si="162"/>
        <v>0</v>
      </c>
      <c r="P193" s="119">
        <f t="shared" si="162"/>
        <v>1531.91492455516</v>
      </c>
      <c r="Q193" s="119">
        <f t="shared" si="162"/>
        <v>36.570681632653056</v>
      </c>
      <c r="R193" s="119">
        <f t="shared" si="162"/>
        <v>402.62965217391309</v>
      </c>
      <c r="S193" s="119">
        <f t="shared" si="162"/>
        <v>507.19285685279186</v>
      </c>
      <c r="T193" s="119">
        <f t="shared" si="162"/>
        <v>152.93826333333334</v>
      </c>
      <c r="U193" s="119">
        <f t="shared" si="162"/>
        <v>1093.4301741176471</v>
      </c>
      <c r="V193" s="119">
        <f t="shared" ref="V193:BC193" si="163">V162*12.0266</f>
        <v>244.11439148936171</v>
      </c>
      <c r="W193" s="119">
        <f t="shared" si="163"/>
        <v>244.31564943820226</v>
      </c>
      <c r="X193" s="119">
        <f t="shared" si="163"/>
        <v>338.34834666666666</v>
      </c>
      <c r="Y193" s="119">
        <f t="shared" si="163"/>
        <v>262.135337037037</v>
      </c>
      <c r="Z193" s="119">
        <f t="shared" si="163"/>
        <v>812.22648737201371</v>
      </c>
      <c r="AA193" s="119">
        <f t="shared" si="163"/>
        <v>707.17718801089916</v>
      </c>
      <c r="AB193" s="119">
        <f t="shared" si="163"/>
        <v>532.25831081081083</v>
      </c>
      <c r="AC193" s="119">
        <f t="shared" si="163"/>
        <v>353.38434246575343</v>
      </c>
      <c r="AD193" s="119">
        <f t="shared" si="163"/>
        <v>497.09946666666661</v>
      </c>
      <c r="AE193" s="119">
        <f t="shared" si="163"/>
        <v>1081.5645793103449</v>
      </c>
      <c r="AF193" s="119">
        <f t="shared" si="163"/>
        <v>350.37923422459897</v>
      </c>
      <c r="AG193" s="119">
        <f t="shared" si="163"/>
        <v>733.92276472545768</v>
      </c>
      <c r="AH193" s="119">
        <f t="shared" si="163"/>
        <v>361.6779951219512</v>
      </c>
      <c r="AI193" s="119">
        <f t="shared" si="163"/>
        <v>1368.1232224438904</v>
      </c>
      <c r="AJ193" s="119">
        <f t="shared" si="163"/>
        <v>1248.0103041666669</v>
      </c>
      <c r="AK193" s="119">
        <f t="shared" si="163"/>
        <v>480.94001443298976</v>
      </c>
      <c r="AL193" s="119">
        <f t="shared" si="163"/>
        <v>0</v>
      </c>
      <c r="AM193" s="119">
        <f t="shared" si="163"/>
        <v>0</v>
      </c>
      <c r="AN193" s="119">
        <f t="shared" si="163"/>
        <v>0</v>
      </c>
      <c r="AO193" s="119">
        <f t="shared" si="163"/>
        <v>177.93621501706485</v>
      </c>
      <c r="AP193" s="119">
        <f t="shared" si="163"/>
        <v>211.52814137214139</v>
      </c>
      <c r="AQ193" s="119">
        <f t="shared" si="163"/>
        <v>108.81209523809524</v>
      </c>
      <c r="AR193" s="119">
        <f t="shared" si="163"/>
        <v>143.81957863501484</v>
      </c>
      <c r="AS193" s="119">
        <f t="shared" si="163"/>
        <v>103.93973471502592</v>
      </c>
      <c r="AT193" s="119">
        <f t="shared" si="163"/>
        <v>163.69538888888889</v>
      </c>
      <c r="AU193" s="119">
        <f t="shared" si="163"/>
        <v>203.65042666666668</v>
      </c>
      <c r="AV193" s="119">
        <f t="shared" si="163"/>
        <v>205.20875401301521</v>
      </c>
      <c r="AW193" s="119">
        <f t="shared" si="163"/>
        <v>337.73948120300747</v>
      </c>
      <c r="AX193" s="119">
        <f t="shared" si="163"/>
        <v>93.383011764705898</v>
      </c>
      <c r="AY193" s="119">
        <f t="shared" si="163"/>
        <v>277.22577057057055</v>
      </c>
      <c r="AZ193" s="119">
        <f t="shared" si="163"/>
        <v>2817.4151306122453</v>
      </c>
      <c r="BA193" s="119">
        <f t="shared" si="163"/>
        <v>3817.7846258977147</v>
      </c>
      <c r="BB193" s="119">
        <f t="shared" si="163"/>
        <v>3300.4913971631208</v>
      </c>
      <c r="BC193" s="119">
        <f t="shared" si="163"/>
        <v>4544.2694482871129</v>
      </c>
      <c r="BD193" s="134">
        <f t="shared" si="157"/>
        <v>31529.054609789626</v>
      </c>
    </row>
    <row r="194" spans="1:56">
      <c r="A194" s="104"/>
      <c r="B194" s="9" t="s">
        <v>571</v>
      </c>
      <c r="F194" s="119">
        <f t="shared" ref="F194:U194" si="164">F163*12.0266</f>
        <v>0</v>
      </c>
      <c r="G194" s="119">
        <f t="shared" si="164"/>
        <v>238.10558070175441</v>
      </c>
      <c r="H194" s="119">
        <f t="shared" si="164"/>
        <v>1833.1336187399033</v>
      </c>
      <c r="I194" s="119">
        <f t="shared" si="164"/>
        <v>141.69521454545455</v>
      </c>
      <c r="J194" s="119">
        <f t="shared" si="164"/>
        <v>553.84490036900377</v>
      </c>
      <c r="K194" s="119">
        <f t="shared" si="164"/>
        <v>929.53619303944311</v>
      </c>
      <c r="L194" s="119">
        <f t="shared" si="164"/>
        <v>45.09975</v>
      </c>
      <c r="M194" s="119">
        <f t="shared" si="164"/>
        <v>303.56797241379309</v>
      </c>
      <c r="N194" s="119">
        <f t="shared" si="164"/>
        <v>495.4139204545454</v>
      </c>
      <c r="O194" s="119">
        <f t="shared" si="164"/>
        <v>0</v>
      </c>
      <c r="P194" s="119">
        <f t="shared" si="164"/>
        <v>2043.6925793103451</v>
      </c>
      <c r="Q194" s="119">
        <f t="shared" si="164"/>
        <v>291.89087672955975</v>
      </c>
      <c r="R194" s="119">
        <f t="shared" si="164"/>
        <v>854.26151782945749</v>
      </c>
      <c r="S194" s="119">
        <f t="shared" si="164"/>
        <v>795.88577269372695</v>
      </c>
      <c r="T194" s="119">
        <f t="shared" si="164"/>
        <v>324.55890728476822</v>
      </c>
      <c r="U194" s="119">
        <f t="shared" si="164"/>
        <v>1372.0433926444832</v>
      </c>
      <c r="V194" s="119">
        <f t="shared" ref="V194:BC194" si="165">V163*12.0266</f>
        <v>404.92601901140682</v>
      </c>
      <c r="W194" s="119">
        <f t="shared" si="165"/>
        <v>927.05041666666659</v>
      </c>
      <c r="X194" s="119">
        <f t="shared" si="165"/>
        <v>1050.2412530612244</v>
      </c>
      <c r="Y194" s="119">
        <f t="shared" si="165"/>
        <v>458.72227769230767</v>
      </c>
      <c r="Z194" s="119">
        <f t="shared" si="165"/>
        <v>1433.9301356321839</v>
      </c>
      <c r="AA194" s="119">
        <f t="shared" si="165"/>
        <v>1732.9375785472973</v>
      </c>
      <c r="AB194" s="119">
        <f t="shared" si="165"/>
        <v>1000.8558587155965</v>
      </c>
      <c r="AC194" s="119">
        <f t="shared" si="165"/>
        <v>784.9335799373041</v>
      </c>
      <c r="AD194" s="119">
        <f t="shared" si="165"/>
        <v>1219.3122153846155</v>
      </c>
      <c r="AE194" s="119">
        <f t="shared" si="165"/>
        <v>1124.8650788571429</v>
      </c>
      <c r="AF194" s="119">
        <f t="shared" si="165"/>
        <v>581.78677500000003</v>
      </c>
      <c r="AG194" s="119">
        <f t="shared" si="165"/>
        <v>1397.7358131101814</v>
      </c>
      <c r="AH194" s="119">
        <f t="shared" si="165"/>
        <v>651.44083333333344</v>
      </c>
      <c r="AI194" s="119">
        <f t="shared" si="165"/>
        <v>3390.5150414703116</v>
      </c>
      <c r="AJ194" s="119">
        <f t="shared" si="165"/>
        <v>2403.8309923809525</v>
      </c>
      <c r="AK194" s="119">
        <f t="shared" si="165"/>
        <v>1033.2929187969924</v>
      </c>
      <c r="AL194" s="119">
        <f t="shared" si="165"/>
        <v>0</v>
      </c>
      <c r="AM194" s="119">
        <f t="shared" si="165"/>
        <v>0</v>
      </c>
      <c r="AN194" s="119">
        <f t="shared" si="165"/>
        <v>0</v>
      </c>
      <c r="AO194" s="119">
        <f t="shared" si="165"/>
        <v>295.92056146788997</v>
      </c>
      <c r="AP194" s="119">
        <f t="shared" si="165"/>
        <v>327.76566425339365</v>
      </c>
      <c r="AQ194" s="119">
        <f t="shared" si="165"/>
        <v>142.91804271844657</v>
      </c>
      <c r="AR194" s="119">
        <f t="shared" si="165"/>
        <v>444.86147959183677</v>
      </c>
      <c r="AS194" s="119">
        <f t="shared" si="165"/>
        <v>79.383631543624176</v>
      </c>
      <c r="AT194" s="119">
        <f t="shared" si="165"/>
        <v>365.79017358490569</v>
      </c>
      <c r="AU194" s="119">
        <f t="shared" si="165"/>
        <v>427.35392534059952</v>
      </c>
      <c r="AV194" s="119">
        <f t="shared" si="165"/>
        <v>312.43480427046262</v>
      </c>
      <c r="AW194" s="119">
        <f t="shared" si="165"/>
        <v>250.40647157894736</v>
      </c>
      <c r="AX194" s="119">
        <f t="shared" si="165"/>
        <v>76.669574999999995</v>
      </c>
      <c r="AY194" s="119">
        <f t="shared" si="165"/>
        <v>197.84565964125562</v>
      </c>
      <c r="AZ194" s="119">
        <f t="shared" si="165"/>
        <v>9130.6997446219393</v>
      </c>
      <c r="BA194" s="119">
        <f t="shared" si="165"/>
        <v>4489.5774625550657</v>
      </c>
      <c r="BB194" s="119">
        <f t="shared" si="165"/>
        <v>5254.1101624703088</v>
      </c>
      <c r="BC194" s="119">
        <f t="shared" si="165"/>
        <v>4144.3588198119123</v>
      </c>
      <c r="BD194" s="134">
        <f t="shared" si="157"/>
        <v>55759.203162804341</v>
      </c>
    </row>
    <row r="195" spans="1:56">
      <c r="A195" s="104"/>
      <c r="B195" s="9" t="s">
        <v>567</v>
      </c>
      <c r="F195" s="119">
        <f t="shared" ref="F195:BC195" si="166">F164*12.0266</f>
        <v>201914.58739999999</v>
      </c>
      <c r="G195" s="119">
        <f t="shared" si="166"/>
        <v>459301.48751263157</v>
      </c>
      <c r="H195" s="119">
        <f t="shared" si="166"/>
        <v>471619.75532303943</v>
      </c>
      <c r="I195" s="119">
        <f t="shared" si="166"/>
        <v>4512.598985454546</v>
      </c>
      <c r="J195" s="119">
        <f t="shared" si="166"/>
        <v>228916.10545299255</v>
      </c>
      <c r="K195" s="119">
        <f t="shared" si="166"/>
        <v>59943.827599853816</v>
      </c>
      <c r="L195" s="119">
        <f t="shared" si="166"/>
        <v>31143.353173571428</v>
      </c>
      <c r="M195" s="119">
        <f t="shared" si="166"/>
        <v>19809.265529474651</v>
      </c>
      <c r="N195" s="119">
        <f t="shared" si="166"/>
        <v>8232.0558489898995</v>
      </c>
      <c r="O195" s="119">
        <f t="shared" si="166"/>
        <v>4305.5227999999997</v>
      </c>
      <c r="P195" s="119">
        <f t="shared" si="166"/>
        <v>32358.380907921051</v>
      </c>
      <c r="Q195" s="119">
        <f t="shared" si="166"/>
        <v>40342.669853402498</v>
      </c>
      <c r="R195" s="119">
        <f t="shared" si="166"/>
        <v>70057.845656590434</v>
      </c>
      <c r="S195" s="119">
        <f t="shared" si="166"/>
        <v>82576.859833819821</v>
      </c>
      <c r="T195" s="119">
        <f t="shared" si="166"/>
        <v>167664.82600952129</v>
      </c>
      <c r="U195" s="119">
        <f t="shared" si="166"/>
        <v>40216.09055992106</v>
      </c>
      <c r="V195" s="119">
        <f t="shared" si="166"/>
        <v>186643.23529979336</v>
      </c>
      <c r="W195" s="119">
        <f t="shared" si="166"/>
        <v>131428.1254714838</v>
      </c>
      <c r="X195" s="119">
        <f t="shared" si="166"/>
        <v>368008.23542285274</v>
      </c>
      <c r="Y195" s="119">
        <f t="shared" si="166"/>
        <v>279451.81820193736</v>
      </c>
      <c r="Z195" s="119">
        <f t="shared" si="166"/>
        <v>45294.326643702661</v>
      </c>
      <c r="AA195" s="119">
        <f t="shared" si="166"/>
        <v>273722.70073106594</v>
      </c>
      <c r="AB195" s="119">
        <f t="shared" si="166"/>
        <v>137348.23377792235</v>
      </c>
      <c r="AC195" s="119">
        <f t="shared" si="166"/>
        <v>46969.557201695068</v>
      </c>
      <c r="AD195" s="119">
        <f t="shared" si="166"/>
        <v>170705.74542461539</v>
      </c>
      <c r="AE195" s="119">
        <f t="shared" si="166"/>
        <v>29761.357893989374</v>
      </c>
      <c r="AF195" s="119">
        <f t="shared" si="166"/>
        <v>59600.596714054758</v>
      </c>
      <c r="AG195" s="119">
        <f t="shared" si="166"/>
        <v>87421.153525447196</v>
      </c>
      <c r="AH195" s="119">
        <f t="shared" si="166"/>
        <v>79889.264830910703</v>
      </c>
      <c r="AI195" s="119">
        <f t="shared" si="166"/>
        <v>427686.91972593829</v>
      </c>
      <c r="AJ195" s="119">
        <f t="shared" si="166"/>
        <v>125381.20707773317</v>
      </c>
      <c r="AK195" s="119">
        <f t="shared" si="166"/>
        <v>546498.32422883902</v>
      </c>
      <c r="AL195" s="119">
        <f t="shared" si="166"/>
        <v>340124.2746</v>
      </c>
      <c r="AM195" s="119">
        <f t="shared" si="166"/>
        <v>270574.44679999998</v>
      </c>
      <c r="AN195" s="119">
        <f t="shared" si="166"/>
        <v>139568.693</v>
      </c>
      <c r="AO195" s="119">
        <f t="shared" si="166"/>
        <v>57613.760637807514</v>
      </c>
      <c r="AP195" s="119">
        <f t="shared" si="166"/>
        <v>55839.736633263354</v>
      </c>
      <c r="AQ195" s="119">
        <f t="shared" si="166"/>
        <v>94293.26997130271</v>
      </c>
      <c r="AR195" s="119">
        <f t="shared" si="166"/>
        <v>66964.73114177314</v>
      </c>
      <c r="AS195" s="119">
        <f t="shared" si="166"/>
        <v>40832.554071741346</v>
      </c>
      <c r="AT195" s="119">
        <f t="shared" si="166"/>
        <v>75719.158437526203</v>
      </c>
      <c r="AU195" s="119">
        <f t="shared" si="166"/>
        <v>110212.10682338956</v>
      </c>
      <c r="AV195" s="119">
        <f t="shared" si="166"/>
        <v>80970.32352725869</v>
      </c>
      <c r="AW195" s="119">
        <f t="shared" si="166"/>
        <v>44808.388099437798</v>
      </c>
      <c r="AX195" s="119">
        <f t="shared" si="166"/>
        <v>513.53935723529412</v>
      </c>
      <c r="AY195" s="119">
        <f t="shared" si="166"/>
        <v>23066.607205288172</v>
      </c>
      <c r="AZ195" s="119">
        <f t="shared" si="166"/>
        <v>32555.48701270789</v>
      </c>
      <c r="BA195" s="119">
        <f t="shared" si="166"/>
        <v>43762.753526711655</v>
      </c>
      <c r="BB195" s="119">
        <f t="shared" si="166"/>
        <v>112482.2010673996</v>
      </c>
      <c r="BC195" s="119">
        <f t="shared" si="166"/>
        <v>24386.07286293634</v>
      </c>
      <c r="BD195" s="134">
        <f t="shared" si="157"/>
        <v>6533014.1393949436</v>
      </c>
    </row>
    <row r="196" spans="1:56">
      <c r="A196" s="104"/>
    </row>
    <row r="197" spans="1:56">
      <c r="A197" s="104"/>
      <c r="C197" s="45" t="s">
        <v>229</v>
      </c>
    </row>
    <row r="198" spans="1:56">
      <c r="A198" s="104"/>
      <c r="B198" s="9" t="s">
        <v>586</v>
      </c>
      <c r="F198" s="120">
        <f>F158*5.9452</f>
        <v>0</v>
      </c>
      <c r="G198" s="134">
        <f t="shared" ref="G198:BC198" si="167">G158*5.9452</f>
        <v>0</v>
      </c>
      <c r="H198" s="134">
        <f t="shared" si="167"/>
        <v>2.6010249999999999</v>
      </c>
      <c r="I198" s="134">
        <f t="shared" si="167"/>
        <v>0</v>
      </c>
      <c r="J198" s="134">
        <f t="shared" si="167"/>
        <v>0</v>
      </c>
      <c r="K198" s="134">
        <f t="shared" si="167"/>
        <v>0</v>
      </c>
      <c r="L198" s="134">
        <f t="shared" si="167"/>
        <v>0</v>
      </c>
      <c r="M198" s="134">
        <f t="shared" si="167"/>
        <v>0</v>
      </c>
      <c r="N198" s="134">
        <f t="shared" si="167"/>
        <v>0</v>
      </c>
      <c r="O198" s="134">
        <f t="shared" si="167"/>
        <v>0</v>
      </c>
      <c r="P198" s="134">
        <f t="shared" si="167"/>
        <v>9.2211265306122439</v>
      </c>
      <c r="Q198" s="134">
        <f t="shared" si="167"/>
        <v>0</v>
      </c>
      <c r="R198" s="134">
        <f t="shared" si="167"/>
        <v>0</v>
      </c>
      <c r="S198" s="134">
        <f t="shared" si="167"/>
        <v>0</v>
      </c>
      <c r="T198" s="134">
        <f t="shared" si="167"/>
        <v>0</v>
      </c>
      <c r="U198" s="134">
        <f t="shared" si="167"/>
        <v>0</v>
      </c>
      <c r="V198" s="134">
        <f t="shared" si="167"/>
        <v>0</v>
      </c>
      <c r="W198" s="134">
        <f t="shared" si="167"/>
        <v>0</v>
      </c>
      <c r="X198" s="134">
        <f t="shared" si="167"/>
        <v>0</v>
      </c>
      <c r="Y198" s="134">
        <f t="shared" si="167"/>
        <v>0</v>
      </c>
      <c r="Z198" s="134">
        <f t="shared" si="167"/>
        <v>0</v>
      </c>
      <c r="AA198" s="134">
        <f t="shared" si="167"/>
        <v>0</v>
      </c>
      <c r="AB198" s="134">
        <f t="shared" si="167"/>
        <v>0</v>
      </c>
      <c r="AC198" s="134">
        <f t="shared" si="167"/>
        <v>0</v>
      </c>
      <c r="AD198" s="134">
        <f t="shared" si="167"/>
        <v>0</v>
      </c>
      <c r="AE198" s="134">
        <f t="shared" si="167"/>
        <v>0</v>
      </c>
      <c r="AF198" s="134">
        <f t="shared" si="167"/>
        <v>0</v>
      </c>
      <c r="AG198" s="134">
        <f t="shared" si="167"/>
        <v>0</v>
      </c>
      <c r="AH198" s="134">
        <f t="shared" si="167"/>
        <v>0</v>
      </c>
      <c r="AI198" s="134">
        <f t="shared" si="167"/>
        <v>0</v>
      </c>
      <c r="AJ198" s="134">
        <f t="shared" si="167"/>
        <v>0</v>
      </c>
      <c r="AK198" s="134">
        <f t="shared" si="167"/>
        <v>0</v>
      </c>
      <c r="AL198" s="134">
        <f t="shared" si="167"/>
        <v>0</v>
      </c>
      <c r="AM198" s="134">
        <f t="shared" si="167"/>
        <v>0</v>
      </c>
      <c r="AN198" s="134">
        <f t="shared" si="167"/>
        <v>0</v>
      </c>
      <c r="AO198" s="134">
        <f t="shared" si="167"/>
        <v>0</v>
      </c>
      <c r="AP198" s="134">
        <f t="shared" si="167"/>
        <v>0</v>
      </c>
      <c r="AQ198" s="134">
        <f t="shared" si="167"/>
        <v>0</v>
      </c>
      <c r="AR198" s="134">
        <f t="shared" si="167"/>
        <v>0</v>
      </c>
      <c r="AS198" s="134">
        <f t="shared" si="167"/>
        <v>0</v>
      </c>
      <c r="AT198" s="134">
        <f t="shared" si="167"/>
        <v>0</v>
      </c>
      <c r="AU198" s="134">
        <f t="shared" si="167"/>
        <v>0</v>
      </c>
      <c r="AV198" s="134">
        <f t="shared" si="167"/>
        <v>0</v>
      </c>
      <c r="AW198" s="134">
        <f t="shared" si="167"/>
        <v>0</v>
      </c>
      <c r="AX198" s="134">
        <f t="shared" si="167"/>
        <v>0</v>
      </c>
      <c r="AY198" s="134">
        <f t="shared" si="167"/>
        <v>0</v>
      </c>
      <c r="AZ198" s="134">
        <f t="shared" si="167"/>
        <v>4.7561600000000004</v>
      </c>
      <c r="BA198" s="134">
        <f t="shared" si="167"/>
        <v>5.6551902439024389</v>
      </c>
      <c r="BB198" s="134">
        <f t="shared" si="167"/>
        <v>23.556452830188679</v>
      </c>
      <c r="BC198" s="134">
        <f t="shared" si="167"/>
        <v>0</v>
      </c>
      <c r="BD198" s="134">
        <f t="shared" si="157"/>
        <v>45.789954604703361</v>
      </c>
    </row>
    <row r="199" spans="1:56">
      <c r="A199" s="104"/>
      <c r="B199" s="9" t="s">
        <v>587</v>
      </c>
      <c r="F199" s="134">
        <f t="shared" ref="F199:U199" si="168">F159*5.9452</f>
        <v>0</v>
      </c>
      <c r="G199" s="134">
        <f t="shared" si="168"/>
        <v>0</v>
      </c>
      <c r="H199" s="134">
        <f t="shared" si="168"/>
        <v>8.5462249999999997</v>
      </c>
      <c r="I199" s="134">
        <f t="shared" si="168"/>
        <v>0</v>
      </c>
      <c r="J199" s="134">
        <f t="shared" si="168"/>
        <v>0</v>
      </c>
      <c r="K199" s="134">
        <f t="shared" si="168"/>
        <v>0</v>
      </c>
      <c r="L199" s="134">
        <f t="shared" si="168"/>
        <v>0</v>
      </c>
      <c r="M199" s="134">
        <f t="shared" si="168"/>
        <v>0</v>
      </c>
      <c r="N199" s="134">
        <f t="shared" si="168"/>
        <v>0</v>
      </c>
      <c r="O199" s="134">
        <f t="shared" si="168"/>
        <v>0</v>
      </c>
      <c r="P199" s="134">
        <f t="shared" si="168"/>
        <v>26.207412244897956</v>
      </c>
      <c r="Q199" s="134">
        <f t="shared" si="168"/>
        <v>0</v>
      </c>
      <c r="R199" s="134">
        <f t="shared" si="168"/>
        <v>0</v>
      </c>
      <c r="S199" s="134">
        <f t="shared" si="168"/>
        <v>0</v>
      </c>
      <c r="T199" s="134">
        <f t="shared" si="168"/>
        <v>0</v>
      </c>
      <c r="U199" s="134">
        <f t="shared" si="168"/>
        <v>9.1353073170731705</v>
      </c>
      <c r="V199" s="134">
        <f t="shared" ref="V199:BC199" si="169">V159*5.9452</f>
        <v>10.4041</v>
      </c>
      <c r="W199" s="134">
        <f t="shared" si="169"/>
        <v>0</v>
      </c>
      <c r="X199" s="134">
        <f t="shared" si="169"/>
        <v>8.9177999999999997</v>
      </c>
      <c r="Y199" s="134">
        <f t="shared" si="169"/>
        <v>0</v>
      </c>
      <c r="Z199" s="134">
        <f t="shared" si="169"/>
        <v>5.6022076923076929</v>
      </c>
      <c r="AA199" s="134">
        <f t="shared" si="169"/>
        <v>0</v>
      </c>
      <c r="AB199" s="134">
        <f t="shared" si="169"/>
        <v>7.2663555555555543</v>
      </c>
      <c r="AC199" s="134">
        <f t="shared" si="169"/>
        <v>0</v>
      </c>
      <c r="AD199" s="134">
        <f t="shared" si="169"/>
        <v>0</v>
      </c>
      <c r="AE199" s="134">
        <f t="shared" si="169"/>
        <v>5.2657485714285714</v>
      </c>
      <c r="AF199" s="134">
        <f t="shared" si="169"/>
        <v>0</v>
      </c>
      <c r="AG199" s="134">
        <f t="shared" si="169"/>
        <v>15.403472727272726</v>
      </c>
      <c r="AH199" s="134">
        <f t="shared" si="169"/>
        <v>0</v>
      </c>
      <c r="AI199" s="134">
        <f t="shared" si="169"/>
        <v>8.6327561643835615</v>
      </c>
      <c r="AJ199" s="134">
        <f t="shared" si="169"/>
        <v>0</v>
      </c>
      <c r="AK199" s="134">
        <f t="shared" si="169"/>
        <v>0</v>
      </c>
      <c r="AL199" s="134">
        <f t="shared" si="169"/>
        <v>0</v>
      </c>
      <c r="AM199" s="134">
        <f t="shared" si="169"/>
        <v>0</v>
      </c>
      <c r="AN199" s="134">
        <f t="shared" si="169"/>
        <v>0</v>
      </c>
      <c r="AO199" s="134">
        <f t="shared" si="169"/>
        <v>0</v>
      </c>
      <c r="AP199" s="134">
        <f t="shared" si="169"/>
        <v>0</v>
      </c>
      <c r="AQ199" s="134">
        <f t="shared" si="169"/>
        <v>0</v>
      </c>
      <c r="AR199" s="134">
        <f t="shared" si="169"/>
        <v>0</v>
      </c>
      <c r="AS199" s="134">
        <f t="shared" si="169"/>
        <v>0</v>
      </c>
      <c r="AT199" s="134">
        <f t="shared" si="169"/>
        <v>0</v>
      </c>
      <c r="AU199" s="134">
        <f t="shared" si="169"/>
        <v>0</v>
      </c>
      <c r="AV199" s="134">
        <f t="shared" si="169"/>
        <v>0</v>
      </c>
      <c r="AW199" s="134">
        <f t="shared" si="169"/>
        <v>0</v>
      </c>
      <c r="AX199" s="134">
        <f t="shared" si="169"/>
        <v>0</v>
      </c>
      <c r="AY199" s="134">
        <f t="shared" si="169"/>
        <v>10.225743999999999</v>
      </c>
      <c r="AZ199" s="134">
        <f t="shared" si="169"/>
        <v>24.078059999999997</v>
      </c>
      <c r="BA199" s="134">
        <f t="shared" si="169"/>
        <v>61.401245901639342</v>
      </c>
      <c r="BB199" s="134">
        <f t="shared" si="169"/>
        <v>178.35599999999999</v>
      </c>
      <c r="BC199" s="134">
        <f t="shared" si="169"/>
        <v>106.01580419580419</v>
      </c>
      <c r="BD199" s="134">
        <f t="shared" si="157"/>
        <v>485.45823937036278</v>
      </c>
    </row>
    <row r="200" spans="1:56">
      <c r="A200" s="104"/>
      <c r="B200" s="9" t="s">
        <v>568</v>
      </c>
      <c r="F200" s="134">
        <f t="shared" ref="F200:U200" si="170">F160*5.9452</f>
        <v>0</v>
      </c>
      <c r="G200" s="134">
        <f t="shared" si="170"/>
        <v>0</v>
      </c>
      <c r="H200" s="134">
        <f t="shared" si="170"/>
        <v>24.183864406779659</v>
      </c>
      <c r="I200" s="134">
        <f t="shared" si="170"/>
        <v>0</v>
      </c>
      <c r="J200" s="134">
        <f t="shared" si="170"/>
        <v>8.2715826086956525</v>
      </c>
      <c r="K200" s="134">
        <f t="shared" si="170"/>
        <v>18.401809523809522</v>
      </c>
      <c r="L200" s="134">
        <f t="shared" si="170"/>
        <v>14.863</v>
      </c>
      <c r="M200" s="134">
        <f t="shared" si="170"/>
        <v>6.1016526315789461</v>
      </c>
      <c r="N200" s="134">
        <f t="shared" si="170"/>
        <v>2.6423111111111108</v>
      </c>
      <c r="O200" s="134">
        <f t="shared" si="170"/>
        <v>0</v>
      </c>
      <c r="P200" s="134">
        <f t="shared" si="170"/>
        <v>110.89904566929134</v>
      </c>
      <c r="Q200" s="134">
        <f t="shared" si="170"/>
        <v>0</v>
      </c>
      <c r="R200" s="134">
        <f t="shared" si="170"/>
        <v>11.229822222222221</v>
      </c>
      <c r="S200" s="134">
        <f t="shared" si="170"/>
        <v>5.9451999999999998</v>
      </c>
      <c r="T200" s="134">
        <f t="shared" si="170"/>
        <v>3.8219142857142852</v>
      </c>
      <c r="U200" s="134">
        <f t="shared" si="170"/>
        <v>28.658912820512818</v>
      </c>
      <c r="V200" s="134">
        <f t="shared" ref="V200:BC200" si="171">V160*5.9452</f>
        <v>20.065049999999999</v>
      </c>
      <c r="W200" s="134">
        <f t="shared" si="171"/>
        <v>0</v>
      </c>
      <c r="X200" s="134">
        <f t="shared" si="171"/>
        <v>0</v>
      </c>
      <c r="Y200" s="134">
        <f t="shared" si="171"/>
        <v>0</v>
      </c>
      <c r="Z200" s="134">
        <f t="shared" si="171"/>
        <v>13.331660606060607</v>
      </c>
      <c r="AA200" s="134">
        <f t="shared" si="171"/>
        <v>15.228056140350876</v>
      </c>
      <c r="AB200" s="134">
        <f t="shared" si="171"/>
        <v>16.214181818181817</v>
      </c>
      <c r="AC200" s="134">
        <f t="shared" si="171"/>
        <v>5.7564634920634914</v>
      </c>
      <c r="AD200" s="134">
        <f t="shared" si="171"/>
        <v>53.110453333333332</v>
      </c>
      <c r="AE200" s="134">
        <f t="shared" si="171"/>
        <v>53.366912941176473</v>
      </c>
      <c r="AF200" s="134">
        <f t="shared" si="171"/>
        <v>5.1448846153846155</v>
      </c>
      <c r="AG200" s="134">
        <f t="shared" si="171"/>
        <v>0</v>
      </c>
      <c r="AH200" s="134">
        <f t="shared" si="171"/>
        <v>0</v>
      </c>
      <c r="AI200" s="134">
        <f t="shared" si="171"/>
        <v>32.335044604316543</v>
      </c>
      <c r="AJ200" s="134">
        <f t="shared" si="171"/>
        <v>16.500963265306122</v>
      </c>
      <c r="AK200" s="134">
        <f t="shared" si="171"/>
        <v>0</v>
      </c>
      <c r="AL200" s="134">
        <f t="shared" si="171"/>
        <v>0</v>
      </c>
      <c r="AM200" s="134">
        <f t="shared" si="171"/>
        <v>0</v>
      </c>
      <c r="AN200" s="134">
        <f t="shared" si="171"/>
        <v>0</v>
      </c>
      <c r="AO200" s="134">
        <f t="shared" si="171"/>
        <v>8.2060507042253512</v>
      </c>
      <c r="AP200" s="134">
        <f t="shared" si="171"/>
        <v>0</v>
      </c>
      <c r="AQ200" s="134">
        <f t="shared" si="171"/>
        <v>0</v>
      </c>
      <c r="AR200" s="134">
        <f t="shared" si="171"/>
        <v>0</v>
      </c>
      <c r="AS200" s="134">
        <f t="shared" si="171"/>
        <v>0</v>
      </c>
      <c r="AT200" s="134">
        <f t="shared" si="171"/>
        <v>0</v>
      </c>
      <c r="AU200" s="134">
        <f t="shared" si="171"/>
        <v>0</v>
      </c>
      <c r="AV200" s="134">
        <f t="shared" si="171"/>
        <v>12.535060240963855</v>
      </c>
      <c r="AW200" s="134">
        <f t="shared" si="171"/>
        <v>26.136445283018869</v>
      </c>
      <c r="AX200" s="134">
        <f t="shared" si="171"/>
        <v>0</v>
      </c>
      <c r="AY200" s="134">
        <f t="shared" si="171"/>
        <v>27.917668333333335</v>
      </c>
      <c r="AZ200" s="134">
        <f t="shared" si="171"/>
        <v>101.71865625</v>
      </c>
      <c r="BA200" s="134">
        <f t="shared" si="171"/>
        <v>259.60706666666664</v>
      </c>
      <c r="BB200" s="134">
        <f t="shared" si="171"/>
        <v>419.2304715789474</v>
      </c>
      <c r="BC200" s="134">
        <f t="shared" si="171"/>
        <v>307.38382628571429</v>
      </c>
      <c r="BD200" s="134">
        <f t="shared" si="157"/>
        <v>1628.8080314387591</v>
      </c>
    </row>
    <row r="201" spans="1:56">
      <c r="A201" s="104"/>
      <c r="B201" s="9" t="s">
        <v>569</v>
      </c>
      <c r="F201" s="134">
        <f t="shared" ref="F201:U201" si="172">F161*5.9452</f>
        <v>0</v>
      </c>
      <c r="G201" s="134">
        <f t="shared" si="172"/>
        <v>7.9269333333333325</v>
      </c>
      <c r="H201" s="134">
        <f t="shared" si="172"/>
        <v>58.371054545454541</v>
      </c>
      <c r="I201" s="134">
        <f t="shared" si="172"/>
        <v>0</v>
      </c>
      <c r="J201" s="134">
        <f t="shared" si="172"/>
        <v>12.569851428571429</v>
      </c>
      <c r="K201" s="134">
        <f t="shared" si="172"/>
        <v>68.389228758169935</v>
      </c>
      <c r="L201" s="134">
        <f t="shared" si="172"/>
        <v>16.561628571428571</v>
      </c>
      <c r="M201" s="134">
        <f t="shared" si="172"/>
        <v>4.9082465116279073</v>
      </c>
      <c r="N201" s="134">
        <f t="shared" si="172"/>
        <v>11.14725</v>
      </c>
      <c r="O201" s="134">
        <f t="shared" si="172"/>
        <v>0</v>
      </c>
      <c r="P201" s="134">
        <f t="shared" si="172"/>
        <v>217.06735909090909</v>
      </c>
      <c r="Q201" s="134">
        <f t="shared" si="172"/>
        <v>19.234470588235293</v>
      </c>
      <c r="R201" s="134">
        <f t="shared" si="172"/>
        <v>67.541370491803278</v>
      </c>
      <c r="S201" s="134">
        <f t="shared" si="172"/>
        <v>32.49257821782178</v>
      </c>
      <c r="T201" s="134">
        <f t="shared" si="172"/>
        <v>32.626097560975609</v>
      </c>
      <c r="U201" s="134">
        <f t="shared" si="172"/>
        <v>129.08626417910449</v>
      </c>
      <c r="V201" s="134">
        <f t="shared" ref="V201:BC201" si="173">V161*5.9452</f>
        <v>10.141811764705881</v>
      </c>
      <c r="W201" s="134">
        <f t="shared" si="173"/>
        <v>26.647988652482269</v>
      </c>
      <c r="X201" s="134">
        <f t="shared" si="173"/>
        <v>26.849290322580643</v>
      </c>
      <c r="Y201" s="134">
        <f t="shared" si="173"/>
        <v>5.4497666666666662</v>
      </c>
      <c r="Z201" s="134">
        <f t="shared" si="173"/>
        <v>52.738024137931035</v>
      </c>
      <c r="AA201" s="134">
        <f t="shared" si="173"/>
        <v>46.20144354243542</v>
      </c>
      <c r="AB201" s="134">
        <f t="shared" si="173"/>
        <v>42.820733118971056</v>
      </c>
      <c r="AC201" s="134">
        <f t="shared" si="173"/>
        <v>35.13072727272727</v>
      </c>
      <c r="AD201" s="134">
        <f t="shared" si="173"/>
        <v>79.269333333333321</v>
      </c>
      <c r="AE201" s="134">
        <f t="shared" si="173"/>
        <v>137.02270476190475</v>
      </c>
      <c r="AF201" s="134">
        <f t="shared" si="173"/>
        <v>35.04538947368421</v>
      </c>
      <c r="AG201" s="134">
        <f t="shared" si="173"/>
        <v>36.744638888888886</v>
      </c>
      <c r="AH201" s="134">
        <f t="shared" si="173"/>
        <v>24.054930259365992</v>
      </c>
      <c r="AI201" s="134">
        <f t="shared" si="173"/>
        <v>128.92099292604502</v>
      </c>
      <c r="AJ201" s="134">
        <f t="shared" si="173"/>
        <v>150.13420722891567</v>
      </c>
      <c r="AK201" s="134">
        <f t="shared" si="173"/>
        <v>43.358958620689656</v>
      </c>
      <c r="AL201" s="134">
        <f t="shared" si="173"/>
        <v>0</v>
      </c>
      <c r="AM201" s="134">
        <f t="shared" si="173"/>
        <v>0</v>
      </c>
      <c r="AN201" s="134">
        <f t="shared" si="173"/>
        <v>0</v>
      </c>
      <c r="AO201" s="134">
        <f t="shared" si="173"/>
        <v>21.945369127516781</v>
      </c>
      <c r="AP201" s="134">
        <f t="shared" si="173"/>
        <v>18.661322222222221</v>
      </c>
      <c r="AQ201" s="134">
        <f t="shared" si="173"/>
        <v>4.0185148148148144</v>
      </c>
      <c r="AR201" s="134">
        <f t="shared" si="173"/>
        <v>0</v>
      </c>
      <c r="AS201" s="134">
        <f t="shared" si="173"/>
        <v>21.224363999999998</v>
      </c>
      <c r="AT201" s="134">
        <f t="shared" si="173"/>
        <v>0</v>
      </c>
      <c r="AU201" s="134">
        <f t="shared" si="173"/>
        <v>26.776992063492063</v>
      </c>
      <c r="AV201" s="134">
        <f t="shared" si="173"/>
        <v>25.249192771084338</v>
      </c>
      <c r="AW201" s="134">
        <f t="shared" si="173"/>
        <v>47.124452941176472</v>
      </c>
      <c r="AX201" s="134">
        <f t="shared" si="173"/>
        <v>36.622431999999996</v>
      </c>
      <c r="AY201" s="134">
        <f t="shared" si="173"/>
        <v>42.310006666666666</v>
      </c>
      <c r="AZ201" s="134">
        <f t="shared" si="173"/>
        <v>193.87152195121951</v>
      </c>
      <c r="BA201" s="134">
        <f t="shared" si="173"/>
        <v>650.85182411347512</v>
      </c>
      <c r="BB201" s="134">
        <f t="shared" si="173"/>
        <v>811.10639205298025</v>
      </c>
      <c r="BC201" s="134">
        <f t="shared" si="173"/>
        <v>965.11998720000008</v>
      </c>
      <c r="BD201" s="134">
        <f t="shared" si="157"/>
        <v>4423.3356461734111</v>
      </c>
    </row>
    <row r="202" spans="1:56">
      <c r="A202" s="104"/>
      <c r="B202" s="9" t="s">
        <v>570</v>
      </c>
      <c r="F202" s="134">
        <f t="shared" ref="F202:U202" si="174">F162*5.9452</f>
        <v>0</v>
      </c>
      <c r="G202" s="134">
        <f t="shared" si="174"/>
        <v>49.939680000000003</v>
      </c>
      <c r="H202" s="134">
        <f t="shared" si="174"/>
        <v>274.04663774403468</v>
      </c>
      <c r="I202" s="134">
        <f t="shared" si="174"/>
        <v>59.451999999999998</v>
      </c>
      <c r="J202" s="134">
        <f t="shared" si="174"/>
        <v>37.413105732484077</v>
      </c>
      <c r="K202" s="134">
        <f t="shared" si="174"/>
        <v>219.02693692722372</v>
      </c>
      <c r="L202" s="134">
        <f t="shared" si="174"/>
        <v>44.14311</v>
      </c>
      <c r="M202" s="134">
        <f t="shared" si="174"/>
        <v>76.013628571428569</v>
      </c>
      <c r="N202" s="134">
        <f t="shared" si="174"/>
        <v>71.342399999999998</v>
      </c>
      <c r="O202" s="134">
        <f t="shared" si="174"/>
        <v>0</v>
      </c>
      <c r="P202" s="134">
        <f t="shared" si="174"/>
        <v>757.28307330960843</v>
      </c>
      <c r="Q202" s="134">
        <f t="shared" si="174"/>
        <v>18.078261224489793</v>
      </c>
      <c r="R202" s="134">
        <f t="shared" si="174"/>
        <v>199.03495652173913</v>
      </c>
      <c r="S202" s="134">
        <f t="shared" si="174"/>
        <v>250.72447512690354</v>
      </c>
      <c r="T202" s="134">
        <f t="shared" si="174"/>
        <v>75.603126666666668</v>
      </c>
      <c r="U202" s="134">
        <f t="shared" si="174"/>
        <v>540.52359529411763</v>
      </c>
      <c r="V202" s="134">
        <f t="shared" ref="V202:BC202" si="175">V162*5.9452</f>
        <v>120.67491063829786</v>
      </c>
      <c r="W202" s="134">
        <f t="shared" si="175"/>
        <v>120.7744</v>
      </c>
      <c r="X202" s="134">
        <f t="shared" si="175"/>
        <v>167.25829333333331</v>
      </c>
      <c r="Y202" s="134">
        <f t="shared" si="175"/>
        <v>129.58334074074071</v>
      </c>
      <c r="Z202" s="134">
        <f t="shared" si="175"/>
        <v>401.51405324232081</v>
      </c>
      <c r="AA202" s="134">
        <f t="shared" si="175"/>
        <v>349.58423978201637</v>
      </c>
      <c r="AB202" s="134">
        <f t="shared" si="175"/>
        <v>263.11527027027029</v>
      </c>
      <c r="AC202" s="134">
        <f t="shared" si="175"/>
        <v>174.6911506849315</v>
      </c>
      <c r="AD202" s="134">
        <f t="shared" si="175"/>
        <v>245.73493333333329</v>
      </c>
      <c r="AE202" s="134">
        <f t="shared" si="175"/>
        <v>534.65798620689657</v>
      </c>
      <c r="AF202" s="134">
        <f t="shared" si="175"/>
        <v>173.20561283422461</v>
      </c>
      <c r="AG202" s="134">
        <f t="shared" si="175"/>
        <v>362.8055826955075</v>
      </c>
      <c r="AH202" s="134">
        <f t="shared" si="175"/>
        <v>178.79101463414631</v>
      </c>
      <c r="AI202" s="134">
        <f t="shared" si="175"/>
        <v>676.3146842892769</v>
      </c>
      <c r="AJ202" s="134">
        <f t="shared" si="175"/>
        <v>616.93835833333333</v>
      </c>
      <c r="AK202" s="134">
        <f t="shared" si="175"/>
        <v>237.74670927835052</v>
      </c>
      <c r="AL202" s="134">
        <f t="shared" si="175"/>
        <v>0</v>
      </c>
      <c r="AM202" s="134">
        <f t="shared" si="175"/>
        <v>0</v>
      </c>
      <c r="AN202" s="134">
        <f t="shared" si="175"/>
        <v>0</v>
      </c>
      <c r="AO202" s="134">
        <f t="shared" si="175"/>
        <v>87.960552901023888</v>
      </c>
      <c r="AP202" s="134">
        <f t="shared" si="175"/>
        <v>104.56630353430353</v>
      </c>
      <c r="AQ202" s="134">
        <f t="shared" si="175"/>
        <v>53.789904761904758</v>
      </c>
      <c r="AR202" s="134">
        <f t="shared" si="175"/>
        <v>71.095418397626119</v>
      </c>
      <c r="AS202" s="134">
        <f t="shared" si="175"/>
        <v>51.381313989637306</v>
      </c>
      <c r="AT202" s="134">
        <f t="shared" si="175"/>
        <v>80.920777777777772</v>
      </c>
      <c r="AU202" s="134">
        <f t="shared" si="175"/>
        <v>100.67205333333334</v>
      </c>
      <c r="AV202" s="134">
        <f t="shared" si="175"/>
        <v>101.44239305856834</v>
      </c>
      <c r="AW202" s="134">
        <f t="shared" si="175"/>
        <v>166.95730827067666</v>
      </c>
      <c r="AX202" s="134">
        <f t="shared" si="175"/>
        <v>46.162729411764708</v>
      </c>
      <c r="AY202" s="134">
        <f t="shared" si="175"/>
        <v>137.0431087087087</v>
      </c>
      <c r="AZ202" s="134">
        <f t="shared" si="175"/>
        <v>1392.7540979591838</v>
      </c>
      <c r="BA202" s="134">
        <f t="shared" si="175"/>
        <v>1887.2743051142545</v>
      </c>
      <c r="BB202" s="134">
        <f t="shared" si="175"/>
        <v>1631.5568368794327</v>
      </c>
      <c r="BC202" s="134">
        <f t="shared" si="175"/>
        <v>2246.4030336052201</v>
      </c>
      <c r="BD202" s="134">
        <f t="shared" si="157"/>
        <v>15585.995665119091</v>
      </c>
    </row>
    <row r="203" spans="1:56">
      <c r="A203" s="104"/>
      <c r="B203" s="9" t="s">
        <v>571</v>
      </c>
      <c r="F203" s="134">
        <f t="shared" ref="F203:U203" si="176">F163*5.9452</f>
        <v>0</v>
      </c>
      <c r="G203" s="134">
        <f t="shared" si="176"/>
        <v>117.7045298245614</v>
      </c>
      <c r="H203" s="134">
        <f t="shared" si="176"/>
        <v>906.18678513731834</v>
      </c>
      <c r="I203" s="134">
        <f t="shared" si="176"/>
        <v>70.045265454545444</v>
      </c>
      <c r="J203" s="134">
        <f t="shared" si="176"/>
        <v>273.78633210332106</v>
      </c>
      <c r="K203" s="134">
        <f t="shared" si="176"/>
        <v>459.50464593967513</v>
      </c>
      <c r="L203" s="134">
        <f t="shared" si="176"/>
        <v>22.294499999999999</v>
      </c>
      <c r="M203" s="134">
        <f t="shared" si="176"/>
        <v>150.06504827586204</v>
      </c>
      <c r="N203" s="134">
        <f t="shared" si="176"/>
        <v>244.90170454545452</v>
      </c>
      <c r="O203" s="134">
        <f t="shared" si="176"/>
        <v>0</v>
      </c>
      <c r="P203" s="134">
        <f t="shared" si="176"/>
        <v>1010.2739862068966</v>
      </c>
      <c r="Q203" s="134">
        <f t="shared" si="176"/>
        <v>144.2926213836478</v>
      </c>
      <c r="R203" s="134">
        <f t="shared" si="176"/>
        <v>422.29354728682176</v>
      </c>
      <c r="S203" s="134">
        <f t="shared" si="176"/>
        <v>393.43622435424356</v>
      </c>
      <c r="T203" s="134">
        <f t="shared" si="176"/>
        <v>160.44165562913906</v>
      </c>
      <c r="U203" s="134">
        <f t="shared" si="176"/>
        <v>678.25257162872151</v>
      </c>
      <c r="V203" s="134">
        <f t="shared" ref="V203:BC203" si="177">V163*5.9452</f>
        <v>200.17013688212924</v>
      </c>
      <c r="W203" s="134">
        <f t="shared" si="177"/>
        <v>458.27583333333331</v>
      </c>
      <c r="X203" s="134">
        <f t="shared" si="177"/>
        <v>519.17368979591834</v>
      </c>
      <c r="Y203" s="134">
        <f t="shared" si="177"/>
        <v>226.76364769230767</v>
      </c>
      <c r="Z203" s="134">
        <f t="shared" si="177"/>
        <v>708.84551264367815</v>
      </c>
      <c r="AA203" s="134">
        <f t="shared" si="177"/>
        <v>856.65611993243238</v>
      </c>
      <c r="AB203" s="134">
        <f t="shared" si="177"/>
        <v>494.76063486238536</v>
      </c>
      <c r="AC203" s="134">
        <f t="shared" si="177"/>
        <v>388.02214420062694</v>
      </c>
      <c r="AD203" s="134">
        <f t="shared" si="177"/>
        <v>602.75181538461538</v>
      </c>
      <c r="AE203" s="134">
        <f t="shared" si="177"/>
        <v>556.06304914285715</v>
      </c>
      <c r="AF203" s="134">
        <f t="shared" si="177"/>
        <v>287.59904999999998</v>
      </c>
      <c r="AG203" s="134">
        <f t="shared" si="177"/>
        <v>690.95329986052991</v>
      </c>
      <c r="AH203" s="134">
        <f t="shared" si="177"/>
        <v>322.03166666666669</v>
      </c>
      <c r="AI203" s="134">
        <f t="shared" si="177"/>
        <v>1676.0589048067861</v>
      </c>
      <c r="AJ203" s="134">
        <f t="shared" si="177"/>
        <v>1188.3039276190477</v>
      </c>
      <c r="AK203" s="134">
        <f t="shared" si="177"/>
        <v>510.79549172932326</v>
      </c>
      <c r="AL203" s="134">
        <f t="shared" si="177"/>
        <v>0</v>
      </c>
      <c r="AM203" s="134">
        <f t="shared" si="177"/>
        <v>0</v>
      </c>
      <c r="AN203" s="134">
        <f t="shared" si="177"/>
        <v>0</v>
      </c>
      <c r="AO203" s="134">
        <f t="shared" si="177"/>
        <v>146.28464587155963</v>
      </c>
      <c r="AP203" s="134">
        <f t="shared" si="177"/>
        <v>162.02687601809953</v>
      </c>
      <c r="AQ203" s="134">
        <f t="shared" si="177"/>
        <v>70.649755339805807</v>
      </c>
      <c r="AR203" s="134">
        <f t="shared" si="177"/>
        <v>219.91173469387755</v>
      </c>
      <c r="AS203" s="134">
        <f t="shared" si="177"/>
        <v>39.242310067114097</v>
      </c>
      <c r="AT203" s="134">
        <f t="shared" si="177"/>
        <v>180.82381886792453</v>
      </c>
      <c r="AU203" s="134">
        <f t="shared" si="177"/>
        <v>211.25709318801091</v>
      </c>
      <c r="AV203" s="134">
        <f t="shared" si="177"/>
        <v>154.44825622775801</v>
      </c>
      <c r="AW203" s="134">
        <f t="shared" si="177"/>
        <v>123.78532210526315</v>
      </c>
      <c r="AX203" s="134">
        <f t="shared" si="177"/>
        <v>37.900649999999999</v>
      </c>
      <c r="AY203" s="134">
        <f t="shared" si="177"/>
        <v>97.802539013452915</v>
      </c>
      <c r="AZ203" s="134">
        <f t="shared" si="177"/>
        <v>4513.6477576144835</v>
      </c>
      <c r="BA203" s="134">
        <f t="shared" si="177"/>
        <v>2219.3667312775328</v>
      </c>
      <c r="BB203" s="134">
        <f t="shared" si="177"/>
        <v>2597.3039543942991</v>
      </c>
      <c r="BC203" s="134">
        <f t="shared" si="177"/>
        <v>2048.7121926018808</v>
      </c>
      <c r="BD203" s="134">
        <f t="shared" si="157"/>
        <v>27563.867979603907</v>
      </c>
    </row>
    <row r="204" spans="1:56">
      <c r="A204" s="104"/>
      <c r="B204" s="9" t="s">
        <v>567</v>
      </c>
      <c r="F204" s="134">
        <f t="shared" ref="F204:BC204" si="178">F164*5.9452</f>
        <v>99813.962799999994</v>
      </c>
      <c r="G204" s="134">
        <f t="shared" si="178"/>
        <v>227049.9728568421</v>
      </c>
      <c r="H204" s="134">
        <f t="shared" si="178"/>
        <v>233139.35520816638</v>
      </c>
      <c r="I204" s="134">
        <f t="shared" si="178"/>
        <v>2230.7471345454546</v>
      </c>
      <c r="J204" s="134">
        <f t="shared" si="178"/>
        <v>113161.82712812693</v>
      </c>
      <c r="K204" s="134">
        <f t="shared" si="178"/>
        <v>29632.48497885112</v>
      </c>
      <c r="L204" s="134">
        <f t="shared" si="178"/>
        <v>15395.32896142857</v>
      </c>
      <c r="M204" s="134">
        <f t="shared" si="178"/>
        <v>9792.4638240095028</v>
      </c>
      <c r="N204" s="134">
        <f t="shared" si="178"/>
        <v>4069.4143343434343</v>
      </c>
      <c r="O204" s="134">
        <f t="shared" si="178"/>
        <v>2128.3815999999997</v>
      </c>
      <c r="P204" s="134">
        <f t="shared" si="178"/>
        <v>15995.962796947784</v>
      </c>
      <c r="Q204" s="134">
        <f t="shared" si="178"/>
        <v>19942.896646803627</v>
      </c>
      <c r="R204" s="134">
        <f t="shared" si="178"/>
        <v>34632.22390347741</v>
      </c>
      <c r="S204" s="134">
        <f t="shared" si="178"/>
        <v>40820.842722301029</v>
      </c>
      <c r="T204" s="134">
        <f t="shared" si="178"/>
        <v>82883.019605857509</v>
      </c>
      <c r="U204" s="134">
        <f t="shared" si="178"/>
        <v>19880.323748760471</v>
      </c>
      <c r="V204" s="134">
        <f t="shared" si="178"/>
        <v>92264.759990714869</v>
      </c>
      <c r="W204" s="134">
        <f t="shared" si="178"/>
        <v>64969.857778014186</v>
      </c>
      <c r="X204" s="134">
        <f t="shared" si="178"/>
        <v>181920.29012654815</v>
      </c>
      <c r="Y204" s="134">
        <f t="shared" si="178"/>
        <v>138143.52764490028</v>
      </c>
      <c r="Z204" s="134">
        <f t="shared" si="178"/>
        <v>22390.6865416777</v>
      </c>
      <c r="AA204" s="134">
        <f t="shared" si="178"/>
        <v>135311.40974060277</v>
      </c>
      <c r="AB204" s="134">
        <f t="shared" si="178"/>
        <v>67896.389624374628</v>
      </c>
      <c r="AC204" s="134">
        <f t="shared" si="178"/>
        <v>23218.815914349649</v>
      </c>
      <c r="AD204" s="134">
        <f t="shared" si="178"/>
        <v>84386.260264615383</v>
      </c>
      <c r="AE204" s="134">
        <f t="shared" si="178"/>
        <v>14712.156798375736</v>
      </c>
      <c r="AF204" s="134">
        <f t="shared" si="178"/>
        <v>29462.813063076708</v>
      </c>
      <c r="AG204" s="134">
        <f t="shared" si="178"/>
        <v>43215.559005827796</v>
      </c>
      <c r="AH204" s="134">
        <f t="shared" si="178"/>
        <v>39492.263588439819</v>
      </c>
      <c r="AI204" s="134">
        <f t="shared" si="178"/>
        <v>211421.70481720922</v>
      </c>
      <c r="AJ204" s="134">
        <f t="shared" si="178"/>
        <v>61980.638943553393</v>
      </c>
      <c r="AK204" s="134">
        <f t="shared" si="178"/>
        <v>270154.64364037162</v>
      </c>
      <c r="AL204" s="134">
        <f t="shared" si="178"/>
        <v>168136.20119999998</v>
      </c>
      <c r="AM204" s="134">
        <f t="shared" si="178"/>
        <v>133755.1096</v>
      </c>
      <c r="AN204" s="134">
        <f t="shared" si="178"/>
        <v>68994.046000000002</v>
      </c>
      <c r="AO204" s="134">
        <f t="shared" si="178"/>
        <v>28480.645381395676</v>
      </c>
      <c r="AP204" s="134">
        <f t="shared" si="178"/>
        <v>27603.678698225373</v>
      </c>
      <c r="AQ204" s="134">
        <f t="shared" si="178"/>
        <v>46612.704225083471</v>
      </c>
      <c r="AR204" s="134">
        <f t="shared" si="178"/>
        <v>33103.181246908491</v>
      </c>
      <c r="AS204" s="134">
        <f t="shared" si="178"/>
        <v>20185.064811943248</v>
      </c>
      <c r="AT204" s="134">
        <f t="shared" si="178"/>
        <v>37430.823403354298</v>
      </c>
      <c r="AU204" s="134">
        <f t="shared" si="178"/>
        <v>54481.983061415165</v>
      </c>
      <c r="AV204" s="134">
        <f t="shared" si="178"/>
        <v>40026.671497701624</v>
      </c>
      <c r="AW204" s="134">
        <f t="shared" si="178"/>
        <v>22150.468871399862</v>
      </c>
      <c r="AX204" s="134">
        <f t="shared" si="178"/>
        <v>253.8617885882353</v>
      </c>
      <c r="AY204" s="134">
        <f t="shared" si="178"/>
        <v>11402.690133277838</v>
      </c>
      <c r="AZ204" s="134">
        <f t="shared" si="178"/>
        <v>16093.399746225114</v>
      </c>
      <c r="BA204" s="134">
        <f t="shared" si="178"/>
        <v>21633.572436682527</v>
      </c>
      <c r="BB204" s="134">
        <f t="shared" si="178"/>
        <v>55604.175892264153</v>
      </c>
      <c r="BC204" s="134">
        <f t="shared" si="178"/>
        <v>12054.95155611138</v>
      </c>
      <c r="BD204" s="134">
        <f t="shared" si="157"/>
        <v>3229514.2152836896</v>
      </c>
    </row>
    <row r="205" spans="1:56">
      <c r="A205" s="104"/>
      <c r="B205" s="9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3"/>
      <c r="AY205" s="172"/>
      <c r="AZ205" s="172"/>
      <c r="BA205" s="172"/>
      <c r="BB205" s="172"/>
      <c r="BC205" s="172"/>
      <c r="BD205" s="172"/>
    </row>
    <row r="206" spans="1:56">
      <c r="A206" s="104"/>
      <c r="B206" s="121" t="s">
        <v>268</v>
      </c>
      <c r="D206" s="171" t="s">
        <v>848</v>
      </c>
    </row>
    <row r="207" spans="1:56">
      <c r="A207" s="104"/>
      <c r="B207" s="9" t="s">
        <v>586</v>
      </c>
      <c r="D207" s="10" t="s">
        <v>792</v>
      </c>
      <c r="F207" s="122">
        <f>F$103*F198</f>
        <v>0</v>
      </c>
      <c r="G207" s="122">
        <f t="shared" ref="G207:BC207" si="179">G$103*G198</f>
        <v>0</v>
      </c>
      <c r="H207" s="122">
        <f t="shared" si="179"/>
        <v>39.333624632342278</v>
      </c>
      <c r="I207" s="122">
        <f t="shared" si="179"/>
        <v>0</v>
      </c>
      <c r="J207" s="122">
        <f t="shared" si="179"/>
        <v>0</v>
      </c>
      <c r="K207" s="122">
        <f t="shared" si="179"/>
        <v>0</v>
      </c>
      <c r="L207" s="122">
        <f t="shared" si="179"/>
        <v>0</v>
      </c>
      <c r="M207" s="122">
        <f t="shared" si="179"/>
        <v>0</v>
      </c>
      <c r="N207" s="122">
        <f t="shared" si="179"/>
        <v>0</v>
      </c>
      <c r="O207" s="122">
        <f t="shared" si="179"/>
        <v>0</v>
      </c>
      <c r="P207" s="122">
        <f t="shared" si="179"/>
        <v>146.32145786979285</v>
      </c>
      <c r="Q207" s="122">
        <f t="shared" si="179"/>
        <v>0</v>
      </c>
      <c r="R207" s="122">
        <f t="shared" si="179"/>
        <v>0</v>
      </c>
      <c r="S207" s="122">
        <f t="shared" si="179"/>
        <v>0</v>
      </c>
      <c r="T207" s="122">
        <f t="shared" si="179"/>
        <v>0</v>
      </c>
      <c r="U207" s="122">
        <f t="shared" si="179"/>
        <v>0</v>
      </c>
      <c r="V207" s="122">
        <f t="shared" si="179"/>
        <v>0</v>
      </c>
      <c r="W207" s="122">
        <f t="shared" si="179"/>
        <v>0</v>
      </c>
      <c r="X207" s="122">
        <f t="shared" si="179"/>
        <v>0</v>
      </c>
      <c r="Y207" s="122">
        <f t="shared" si="179"/>
        <v>0</v>
      </c>
      <c r="Z207" s="122">
        <f t="shared" si="179"/>
        <v>0</v>
      </c>
      <c r="AA207" s="122">
        <f t="shared" si="179"/>
        <v>0</v>
      </c>
      <c r="AB207" s="122">
        <f t="shared" si="179"/>
        <v>0</v>
      </c>
      <c r="AC207" s="122">
        <f t="shared" si="179"/>
        <v>0</v>
      </c>
      <c r="AD207" s="122">
        <f t="shared" si="179"/>
        <v>0</v>
      </c>
      <c r="AE207" s="122">
        <f t="shared" si="179"/>
        <v>0</v>
      </c>
      <c r="AF207" s="122">
        <f t="shared" si="179"/>
        <v>0</v>
      </c>
      <c r="AG207" s="122">
        <f t="shared" si="179"/>
        <v>0</v>
      </c>
      <c r="AH207" s="122">
        <f t="shared" si="179"/>
        <v>0</v>
      </c>
      <c r="AI207" s="122">
        <f t="shared" si="179"/>
        <v>0</v>
      </c>
      <c r="AJ207" s="122">
        <f t="shared" si="179"/>
        <v>0</v>
      </c>
      <c r="AK207" s="122">
        <f t="shared" si="179"/>
        <v>0</v>
      </c>
      <c r="AL207" s="122">
        <f t="shared" si="179"/>
        <v>0</v>
      </c>
      <c r="AM207" s="122">
        <f t="shared" si="179"/>
        <v>0</v>
      </c>
      <c r="AN207" s="122">
        <f t="shared" si="179"/>
        <v>0</v>
      </c>
      <c r="AO207" s="122">
        <f t="shared" si="179"/>
        <v>0</v>
      </c>
      <c r="AP207" s="122">
        <f t="shared" si="179"/>
        <v>0</v>
      </c>
      <c r="AQ207" s="122">
        <f t="shared" si="179"/>
        <v>0</v>
      </c>
      <c r="AR207" s="122">
        <f t="shared" si="179"/>
        <v>0</v>
      </c>
      <c r="AS207" s="122">
        <f t="shared" si="179"/>
        <v>0</v>
      </c>
      <c r="AT207" s="122">
        <f t="shared" si="179"/>
        <v>0</v>
      </c>
      <c r="AU207" s="122">
        <f t="shared" si="179"/>
        <v>0</v>
      </c>
      <c r="AV207" s="122">
        <f t="shared" si="179"/>
        <v>0</v>
      </c>
      <c r="AW207" s="122">
        <f t="shared" si="179"/>
        <v>0</v>
      </c>
      <c r="AX207" s="122">
        <f t="shared" si="179"/>
        <v>0</v>
      </c>
      <c r="AY207" s="122">
        <f t="shared" si="179"/>
        <v>0</v>
      </c>
      <c r="AZ207" s="122">
        <f t="shared" si="179"/>
        <v>155.63222166064034</v>
      </c>
      <c r="BA207" s="122">
        <f t="shared" si="179"/>
        <v>92.836844576955244</v>
      </c>
      <c r="BB207" s="122">
        <f t="shared" si="179"/>
        <v>266.57679173902494</v>
      </c>
      <c r="BC207" s="122">
        <f t="shared" si="179"/>
        <v>0</v>
      </c>
      <c r="BD207" s="134">
        <f t="shared" ref="BD207:BD213" si="180">SUM(F207:BC207)</f>
        <v>700.70094047875568</v>
      </c>
    </row>
    <row r="208" spans="1:56">
      <c r="A208" s="104"/>
      <c r="B208" s="9" t="s">
        <v>587</v>
      </c>
      <c r="F208" s="122">
        <f t="shared" ref="F208:U208" si="181">F$103*F199</f>
        <v>0</v>
      </c>
      <c r="G208" s="122">
        <f t="shared" si="181"/>
        <v>0</v>
      </c>
      <c r="H208" s="122">
        <f t="shared" si="181"/>
        <v>129.23905236341034</v>
      </c>
      <c r="I208" s="122">
        <f t="shared" si="181"/>
        <v>0</v>
      </c>
      <c r="J208" s="122">
        <f t="shared" si="181"/>
        <v>0</v>
      </c>
      <c r="K208" s="122">
        <f t="shared" si="181"/>
        <v>0</v>
      </c>
      <c r="L208" s="122">
        <f t="shared" si="181"/>
        <v>0</v>
      </c>
      <c r="M208" s="122">
        <f t="shared" si="181"/>
        <v>0</v>
      </c>
      <c r="N208" s="122">
        <f t="shared" si="181"/>
        <v>0</v>
      </c>
      <c r="O208" s="122">
        <f t="shared" si="181"/>
        <v>0</v>
      </c>
      <c r="P208" s="122">
        <f t="shared" si="181"/>
        <v>415.86098552467445</v>
      </c>
      <c r="Q208" s="122">
        <f t="shared" si="181"/>
        <v>0</v>
      </c>
      <c r="R208" s="122">
        <f t="shared" si="181"/>
        <v>0</v>
      </c>
      <c r="S208" s="122">
        <f t="shared" si="181"/>
        <v>0</v>
      </c>
      <c r="T208" s="122">
        <f t="shared" si="181"/>
        <v>0</v>
      </c>
      <c r="U208" s="122">
        <f t="shared" si="181"/>
        <v>62.166896069722291</v>
      </c>
      <c r="V208" s="122">
        <f t="shared" ref="V208:BC208" si="182">V$103*V199</f>
        <v>50.328584008084164</v>
      </c>
      <c r="W208" s="122">
        <f t="shared" si="182"/>
        <v>0</v>
      </c>
      <c r="X208" s="122">
        <f t="shared" si="182"/>
        <v>34.429058396070715</v>
      </c>
      <c r="Y208" s="122">
        <f t="shared" si="182"/>
        <v>0</v>
      </c>
      <c r="Z208" s="122">
        <f t="shared" si="182"/>
        <v>61.209177885439757</v>
      </c>
      <c r="AA208" s="122">
        <f t="shared" si="182"/>
        <v>0</v>
      </c>
      <c r="AB208" s="122">
        <f t="shared" si="182"/>
        <v>47.656104061125333</v>
      </c>
      <c r="AC208" s="122">
        <f t="shared" si="182"/>
        <v>0</v>
      </c>
      <c r="AD208" s="122">
        <f t="shared" si="182"/>
        <v>0</v>
      </c>
      <c r="AE208" s="122">
        <f t="shared" si="182"/>
        <v>43.32078346312678</v>
      </c>
      <c r="AF208" s="122">
        <f t="shared" si="182"/>
        <v>0</v>
      </c>
      <c r="AG208" s="122">
        <f t="shared" si="182"/>
        <v>127.41572451857515</v>
      </c>
      <c r="AH208" s="122">
        <f t="shared" si="182"/>
        <v>0</v>
      </c>
      <c r="AI208" s="122">
        <f t="shared" si="182"/>
        <v>66.861733458603723</v>
      </c>
      <c r="AJ208" s="122">
        <f t="shared" si="182"/>
        <v>0</v>
      </c>
      <c r="AK208" s="122">
        <f t="shared" si="182"/>
        <v>0</v>
      </c>
      <c r="AL208" s="122">
        <f t="shared" si="182"/>
        <v>0</v>
      </c>
      <c r="AM208" s="122">
        <f t="shared" si="182"/>
        <v>0</v>
      </c>
      <c r="AN208" s="122">
        <f t="shared" si="182"/>
        <v>0</v>
      </c>
      <c r="AO208" s="122">
        <f t="shared" si="182"/>
        <v>0</v>
      </c>
      <c r="AP208" s="122">
        <f t="shared" si="182"/>
        <v>0</v>
      </c>
      <c r="AQ208" s="122">
        <f t="shared" si="182"/>
        <v>0</v>
      </c>
      <c r="AR208" s="122">
        <f t="shared" si="182"/>
        <v>0</v>
      </c>
      <c r="AS208" s="122">
        <f t="shared" si="182"/>
        <v>0</v>
      </c>
      <c r="AT208" s="122">
        <f t="shared" si="182"/>
        <v>0</v>
      </c>
      <c r="AU208" s="122">
        <f t="shared" si="182"/>
        <v>0</v>
      </c>
      <c r="AV208" s="122">
        <f t="shared" si="182"/>
        <v>0</v>
      </c>
      <c r="AW208" s="122">
        <f t="shared" si="182"/>
        <v>0</v>
      </c>
      <c r="AX208" s="122">
        <f t="shared" si="182"/>
        <v>0</v>
      </c>
      <c r="AY208" s="122">
        <f t="shared" si="182"/>
        <v>96.457927098943827</v>
      </c>
      <c r="AZ208" s="122">
        <f t="shared" si="182"/>
        <v>787.88812215699159</v>
      </c>
      <c r="BA208" s="122">
        <f t="shared" si="182"/>
        <v>1007.9763326703463</v>
      </c>
      <c r="BB208" s="122">
        <f t="shared" si="182"/>
        <v>2018.3671374526175</v>
      </c>
      <c r="BC208" s="122">
        <f t="shared" si="182"/>
        <v>868.84135676594292</v>
      </c>
      <c r="BD208" s="134">
        <f t="shared" si="180"/>
        <v>5818.018975893674</v>
      </c>
    </row>
    <row r="209" spans="1:56">
      <c r="A209" s="104"/>
      <c r="B209" s="9" t="s">
        <v>568</v>
      </c>
      <c r="F209" s="122">
        <f t="shared" ref="F209:U209" si="183">F$103*F200</f>
        <v>0</v>
      </c>
      <c r="G209" s="122">
        <f t="shared" si="183"/>
        <v>0</v>
      </c>
      <c r="H209" s="122">
        <f t="shared" si="183"/>
        <v>365.71699416027684</v>
      </c>
      <c r="I209" s="122">
        <f t="shared" si="183"/>
        <v>0</v>
      </c>
      <c r="J209" s="122">
        <f t="shared" si="183"/>
        <v>86.803931266630201</v>
      </c>
      <c r="K209" s="122">
        <f t="shared" si="183"/>
        <v>47.204018447834372</v>
      </c>
      <c r="L209" s="122">
        <f t="shared" si="183"/>
        <v>83.5972514826327</v>
      </c>
      <c r="M209" s="122">
        <f t="shared" si="183"/>
        <v>55.414315560123356</v>
      </c>
      <c r="N209" s="122">
        <f t="shared" si="183"/>
        <v>97.810919052969012</v>
      </c>
      <c r="O209" s="122">
        <f t="shared" si="183"/>
        <v>0</v>
      </c>
      <c r="P209" s="122">
        <f t="shared" si="183"/>
        <v>1759.7535382287015</v>
      </c>
      <c r="Q209" s="122">
        <f t="shared" si="183"/>
        <v>0</v>
      </c>
      <c r="R209" s="122">
        <f t="shared" si="183"/>
        <v>59.125190066338554</v>
      </c>
      <c r="S209" s="122">
        <f t="shared" si="183"/>
        <v>52.964154082001372</v>
      </c>
      <c r="T209" s="122">
        <f t="shared" si="183"/>
        <v>20.252231182112087</v>
      </c>
      <c r="U209" s="122">
        <f t="shared" si="183"/>
        <v>195.02744603395172</v>
      </c>
      <c r="V209" s="122">
        <f t="shared" ref="V209:BC209" si="184">V$103*V200</f>
        <v>97.062269158448032</v>
      </c>
      <c r="W209" s="122">
        <f t="shared" si="184"/>
        <v>0</v>
      </c>
      <c r="X209" s="122">
        <f t="shared" si="184"/>
        <v>0</v>
      </c>
      <c r="Y209" s="122">
        <f t="shared" si="184"/>
        <v>0</v>
      </c>
      <c r="Z209" s="122">
        <f t="shared" si="184"/>
        <v>145.66043073789251</v>
      </c>
      <c r="AA209" s="122">
        <f t="shared" si="184"/>
        <v>172.96665855195124</v>
      </c>
      <c r="AB209" s="122">
        <f t="shared" si="184"/>
        <v>106.34006691325489</v>
      </c>
      <c r="AC209" s="122">
        <f t="shared" si="184"/>
        <v>48.943816958333286</v>
      </c>
      <c r="AD209" s="122">
        <f t="shared" si="184"/>
        <v>273.71509776325667</v>
      </c>
      <c r="AE209" s="122">
        <f t="shared" si="184"/>
        <v>439.04422101814072</v>
      </c>
      <c r="AF209" s="122">
        <f t="shared" si="184"/>
        <v>27.74388472253225</v>
      </c>
      <c r="AG209" s="122">
        <f t="shared" si="184"/>
        <v>0</v>
      </c>
      <c r="AH209" s="122">
        <f t="shared" si="184"/>
        <v>0</v>
      </c>
      <c r="AI209" s="122">
        <f t="shared" si="184"/>
        <v>250.43880454142945</v>
      </c>
      <c r="AJ209" s="122">
        <f t="shared" si="184"/>
        <v>95.050579775245495</v>
      </c>
      <c r="AK209" s="122">
        <f t="shared" si="184"/>
        <v>0</v>
      </c>
      <c r="AL209" s="122">
        <f t="shared" si="184"/>
        <v>0</v>
      </c>
      <c r="AM209" s="122">
        <f t="shared" si="184"/>
        <v>0</v>
      </c>
      <c r="AN209" s="122">
        <f t="shared" si="184"/>
        <v>0</v>
      </c>
      <c r="AO209" s="122">
        <f t="shared" si="184"/>
        <v>5.7883502477974949</v>
      </c>
      <c r="AP209" s="122">
        <f t="shared" si="184"/>
        <v>0</v>
      </c>
      <c r="AQ209" s="122">
        <f t="shared" si="184"/>
        <v>0</v>
      </c>
      <c r="AR209" s="122">
        <f t="shared" si="184"/>
        <v>0</v>
      </c>
      <c r="AS209" s="122">
        <f t="shared" si="184"/>
        <v>0</v>
      </c>
      <c r="AT209" s="122">
        <f t="shared" si="184"/>
        <v>0</v>
      </c>
      <c r="AU209" s="122">
        <f t="shared" si="184"/>
        <v>0</v>
      </c>
      <c r="AV209" s="122">
        <f t="shared" si="184"/>
        <v>33.084808241868423</v>
      </c>
      <c r="AW209" s="122">
        <f t="shared" si="184"/>
        <v>197.68083211885337</v>
      </c>
      <c r="AX209" s="122">
        <f t="shared" si="184"/>
        <v>0</v>
      </c>
      <c r="AY209" s="122">
        <f t="shared" si="184"/>
        <v>263.34322635782394</v>
      </c>
      <c r="AZ209" s="122">
        <f t="shared" si="184"/>
        <v>3328.4625530937728</v>
      </c>
      <c r="BA209" s="122">
        <f t="shared" si="184"/>
        <v>4261.7666001950993</v>
      </c>
      <c r="BB209" s="122">
        <f t="shared" si="184"/>
        <v>4744.2250715070477</v>
      </c>
      <c r="BC209" s="122">
        <f t="shared" si="184"/>
        <v>2519.1317719453446</v>
      </c>
      <c r="BD209" s="134">
        <f t="shared" si="180"/>
        <v>19834.119033411665</v>
      </c>
    </row>
    <row r="210" spans="1:56">
      <c r="A210" s="104"/>
      <c r="B210" s="9" t="s">
        <v>569</v>
      </c>
      <c r="F210" s="122">
        <f t="shared" ref="F210:U210" si="185">F$103*F201</f>
        <v>0</v>
      </c>
      <c r="G210" s="122">
        <f t="shared" si="185"/>
        <v>99.326135929035047</v>
      </c>
      <c r="H210" s="122">
        <f t="shared" si="185"/>
        <v>882.70783590503186</v>
      </c>
      <c r="I210" s="122">
        <f t="shared" si="185"/>
        <v>0</v>
      </c>
      <c r="J210" s="122">
        <f t="shared" si="185"/>
        <v>131.91097412125413</v>
      </c>
      <c r="K210" s="122">
        <f t="shared" si="185"/>
        <v>175.43092225560167</v>
      </c>
      <c r="L210" s="122">
        <f t="shared" si="185"/>
        <v>93.151223080647867</v>
      </c>
      <c r="M210" s="122">
        <f t="shared" si="185"/>
        <v>44.575975963390832</v>
      </c>
      <c r="N210" s="122">
        <f t="shared" si="185"/>
        <v>412.63981475471303</v>
      </c>
      <c r="O210" s="122">
        <f t="shared" si="185"/>
        <v>0</v>
      </c>
      <c r="P210" s="122">
        <f t="shared" si="185"/>
        <v>3444.4394980033762</v>
      </c>
      <c r="Q210" s="122">
        <f t="shared" si="185"/>
        <v>93.812963146187442</v>
      </c>
      <c r="R210" s="122">
        <f t="shared" si="185"/>
        <v>355.60637458414038</v>
      </c>
      <c r="S210" s="122">
        <f t="shared" si="185"/>
        <v>289.4674559729184</v>
      </c>
      <c r="T210" s="122">
        <f t="shared" si="185"/>
        <v>172.8849003351032</v>
      </c>
      <c r="U210" s="122">
        <f t="shared" si="185"/>
        <v>878.44799202903801</v>
      </c>
      <c r="V210" s="122">
        <f t="shared" ref="V210:BC210" si="186">V$103*V201</f>
        <v>49.059796175947589</v>
      </c>
      <c r="W210" s="122">
        <f t="shared" si="186"/>
        <v>148.98886779398356</v>
      </c>
      <c r="X210" s="122">
        <f t="shared" si="186"/>
        <v>103.65738011720214</v>
      </c>
      <c r="Y210" s="122">
        <f t="shared" si="186"/>
        <v>33.828086837688772</v>
      </c>
      <c r="Z210" s="122">
        <f t="shared" si="186"/>
        <v>576.21053664569149</v>
      </c>
      <c r="AA210" s="122">
        <f t="shared" si="186"/>
        <v>524.77540377832815</v>
      </c>
      <c r="AB210" s="122">
        <f t="shared" si="186"/>
        <v>280.83807596383713</v>
      </c>
      <c r="AC210" s="122">
        <f t="shared" si="186"/>
        <v>298.69587249534254</v>
      </c>
      <c r="AD210" s="122">
        <f t="shared" si="186"/>
        <v>408.52999666157706</v>
      </c>
      <c r="AE210" s="122">
        <f t="shared" si="186"/>
        <v>1127.2719997931915</v>
      </c>
      <c r="AF210" s="122">
        <f t="shared" si="186"/>
        <v>188.98290599301501</v>
      </c>
      <c r="AG210" s="122">
        <f t="shared" si="186"/>
        <v>303.94735454114294</v>
      </c>
      <c r="AH210" s="122">
        <f t="shared" si="186"/>
        <v>163.49068253371277</v>
      </c>
      <c r="AI210" s="122">
        <f t="shared" si="186"/>
        <v>998.50857618370787</v>
      </c>
      <c r="AJ210" s="122">
        <f t="shared" si="186"/>
        <v>864.81881159078785</v>
      </c>
      <c r="AK210" s="122">
        <f t="shared" si="186"/>
        <v>484.31351446169646</v>
      </c>
      <c r="AL210" s="122">
        <f t="shared" si="186"/>
        <v>0</v>
      </c>
      <c r="AM210" s="122">
        <f t="shared" si="186"/>
        <v>0</v>
      </c>
      <c r="AN210" s="122">
        <f t="shared" si="186"/>
        <v>0</v>
      </c>
      <c r="AO210" s="122">
        <f t="shared" si="186"/>
        <v>15.47973408961048</v>
      </c>
      <c r="AP210" s="122">
        <f t="shared" si="186"/>
        <v>57.383012514913226</v>
      </c>
      <c r="AQ210" s="122">
        <f t="shared" si="186"/>
        <v>13.495555732352706</v>
      </c>
      <c r="AR210" s="122">
        <f t="shared" si="186"/>
        <v>0</v>
      </c>
      <c r="AS210" s="122">
        <f t="shared" si="186"/>
        <v>72.183834391387961</v>
      </c>
      <c r="AT210" s="122">
        <f t="shared" si="186"/>
        <v>0</v>
      </c>
      <c r="AU210" s="122">
        <f t="shared" si="186"/>
        <v>18.12529450201767</v>
      </c>
      <c r="AV210" s="122">
        <f t="shared" si="186"/>
        <v>66.642256601477825</v>
      </c>
      <c r="AW210" s="122">
        <f t="shared" si="186"/>
        <v>356.42188406584728</v>
      </c>
      <c r="AX210" s="122">
        <f t="shared" si="186"/>
        <v>1674.7436684166719</v>
      </c>
      <c r="AY210" s="122">
        <f t="shared" si="186"/>
        <v>399.10402007024243</v>
      </c>
      <c r="AZ210" s="122">
        <f t="shared" si="186"/>
        <v>6343.9109865937844</v>
      </c>
      <c r="BA210" s="122">
        <f t="shared" si="186"/>
        <v>10684.526431803079</v>
      </c>
      <c r="BB210" s="122">
        <f t="shared" si="186"/>
        <v>9178.8921409848517</v>
      </c>
      <c r="BC210" s="122">
        <f t="shared" si="186"/>
        <v>7909.5392001371474</v>
      </c>
      <c r="BD210" s="134">
        <f t="shared" si="180"/>
        <v>50420.767947550674</v>
      </c>
    </row>
    <row r="211" spans="1:56">
      <c r="A211" s="104"/>
      <c r="B211" s="9" t="s">
        <v>570</v>
      </c>
      <c r="F211" s="122">
        <f t="shared" ref="F211:U211" si="187">F$103*F202</f>
        <v>0</v>
      </c>
      <c r="G211" s="122">
        <f t="shared" si="187"/>
        <v>625.75465635292085</v>
      </c>
      <c r="H211" s="122">
        <f t="shared" si="187"/>
        <v>4144.2306709006425</v>
      </c>
      <c r="I211" s="122">
        <f t="shared" si="187"/>
        <v>5050.4512535538088</v>
      </c>
      <c r="J211" s="122">
        <f t="shared" si="187"/>
        <v>392.62192159691574</v>
      </c>
      <c r="K211" s="122">
        <f t="shared" si="187"/>
        <v>561.84428807982601</v>
      </c>
      <c r="L211" s="122">
        <f t="shared" si="187"/>
        <v>248.28383690341911</v>
      </c>
      <c r="M211" s="122">
        <f t="shared" si="187"/>
        <v>690.344641831427</v>
      </c>
      <c r="N211" s="122">
        <f t="shared" si="187"/>
        <v>2640.8948144301635</v>
      </c>
      <c r="O211" s="122">
        <f t="shared" si="187"/>
        <v>0</v>
      </c>
      <c r="P211" s="122">
        <f t="shared" si="187"/>
        <v>12016.618895633137</v>
      </c>
      <c r="Q211" s="122">
        <f t="shared" si="187"/>
        <v>88.173742355952797</v>
      </c>
      <c r="R211" s="122">
        <f t="shared" si="187"/>
        <v>1047.9221666489161</v>
      </c>
      <c r="S211" s="122">
        <f t="shared" si="187"/>
        <v>2233.6354929607483</v>
      </c>
      <c r="T211" s="122">
        <f t="shared" si="187"/>
        <v>400.61913608763211</v>
      </c>
      <c r="U211" s="122">
        <f t="shared" si="187"/>
        <v>3678.3299133332157</v>
      </c>
      <c r="V211" s="122">
        <f t="shared" ref="V211:BC211" si="188">V$103*V202</f>
        <v>583.75038472598533</v>
      </c>
      <c r="W211" s="122">
        <f t="shared" si="188"/>
        <v>675.24950378652829</v>
      </c>
      <c r="X211" s="122">
        <f t="shared" si="188"/>
        <v>645.73611747297059</v>
      </c>
      <c r="Y211" s="122">
        <f t="shared" si="188"/>
        <v>804.35673147393288</v>
      </c>
      <c r="Z211" s="122">
        <f t="shared" si="188"/>
        <v>4386.9036026919448</v>
      </c>
      <c r="AA211" s="122">
        <f t="shared" si="188"/>
        <v>3970.7246466801012</v>
      </c>
      <c r="AB211" s="122">
        <f t="shared" si="188"/>
        <v>1725.6310407882918</v>
      </c>
      <c r="AC211" s="122">
        <f t="shared" si="188"/>
        <v>1485.2959139151965</v>
      </c>
      <c r="AD211" s="122">
        <f t="shared" si="188"/>
        <v>1266.4429896508889</v>
      </c>
      <c r="AE211" s="122">
        <f t="shared" si="188"/>
        <v>4398.5774354996802</v>
      </c>
      <c r="AF211" s="122">
        <f t="shared" si="188"/>
        <v>934.01444638793782</v>
      </c>
      <c r="AG211" s="122">
        <f t="shared" si="188"/>
        <v>3001.0853394562214</v>
      </c>
      <c r="AH211" s="122">
        <f t="shared" si="188"/>
        <v>1215.163157750183</v>
      </c>
      <c r="AI211" s="122">
        <f t="shared" si="188"/>
        <v>5238.1384686449492</v>
      </c>
      <c r="AJ211" s="122">
        <f t="shared" si="188"/>
        <v>3553.7530568572902</v>
      </c>
      <c r="AK211" s="122">
        <f t="shared" si="188"/>
        <v>2655.5975508913116</v>
      </c>
      <c r="AL211" s="122">
        <f t="shared" si="188"/>
        <v>0</v>
      </c>
      <c r="AM211" s="122">
        <f t="shared" si="188"/>
        <v>0</v>
      </c>
      <c r="AN211" s="122">
        <f t="shared" si="188"/>
        <v>0</v>
      </c>
      <c r="AO211" s="122">
        <f t="shared" si="188"/>
        <v>62.04525252553988</v>
      </c>
      <c r="AP211" s="122">
        <f t="shared" si="188"/>
        <v>321.53828291983831</v>
      </c>
      <c r="AQ211" s="122">
        <f t="shared" si="188"/>
        <v>180.64501215125736</v>
      </c>
      <c r="AR211" s="122">
        <f t="shared" si="188"/>
        <v>269.95826919401293</v>
      </c>
      <c r="AS211" s="122">
        <f t="shared" si="188"/>
        <v>174.74729795624901</v>
      </c>
      <c r="AT211" s="122">
        <f t="shared" si="188"/>
        <v>325.4401602467068</v>
      </c>
      <c r="AU211" s="122">
        <f t="shared" si="188"/>
        <v>68.14471955859895</v>
      </c>
      <c r="AV211" s="122">
        <f t="shared" si="188"/>
        <v>267.7451928767843</v>
      </c>
      <c r="AW211" s="122">
        <f t="shared" si="188"/>
        <v>1262.7677279708159</v>
      </c>
      <c r="AX211" s="122">
        <f t="shared" si="188"/>
        <v>2111.0214307773181</v>
      </c>
      <c r="AY211" s="122">
        <f t="shared" si="188"/>
        <v>1292.7073266490204</v>
      </c>
      <c r="AZ211" s="122">
        <f t="shared" si="188"/>
        <v>45574.037562308433</v>
      </c>
      <c r="BA211" s="122">
        <f t="shared" si="188"/>
        <v>30981.909322482537</v>
      </c>
      <c r="BB211" s="122">
        <f t="shared" si="188"/>
        <v>18463.526331850837</v>
      </c>
      <c r="BC211" s="122">
        <f t="shared" si="188"/>
        <v>18410.159450905103</v>
      </c>
      <c r="BD211" s="134">
        <f t="shared" si="180"/>
        <v>190126.53915771516</v>
      </c>
    </row>
    <row r="212" spans="1:56">
      <c r="A212" s="104"/>
      <c r="B212" s="9" t="s">
        <v>571</v>
      </c>
      <c r="F212" s="122">
        <f t="shared" ref="F212:U212" si="189">F$103*F203</f>
        <v>0</v>
      </c>
      <c r="G212" s="122">
        <f t="shared" si="189"/>
        <v>1474.8624262620535</v>
      </c>
      <c r="H212" s="122">
        <f t="shared" si="189"/>
        <v>13703.678685664414</v>
      </c>
      <c r="I212" s="122">
        <f t="shared" si="189"/>
        <v>5950.349840550668</v>
      </c>
      <c r="J212" s="122">
        <f t="shared" si="189"/>
        <v>2873.1780939545129</v>
      </c>
      <c r="K212" s="122">
        <f t="shared" si="189"/>
        <v>1178.7137431097424</v>
      </c>
      <c r="L212" s="122">
        <f t="shared" si="189"/>
        <v>125.39587722394904</v>
      </c>
      <c r="M212" s="122">
        <f t="shared" si="189"/>
        <v>1362.8687901152884</v>
      </c>
      <c r="N212" s="122">
        <f t="shared" si="189"/>
        <v>9065.5716877929372</v>
      </c>
      <c r="O212" s="122">
        <f t="shared" si="189"/>
        <v>0</v>
      </c>
      <c r="P212" s="122">
        <f t="shared" si="189"/>
        <v>16031.095768935855</v>
      </c>
      <c r="Q212" s="122">
        <f t="shared" si="189"/>
        <v>703.76350157568152</v>
      </c>
      <c r="R212" s="122">
        <f t="shared" si="189"/>
        <v>2223.3821473783596</v>
      </c>
      <c r="S212" s="122">
        <f t="shared" si="189"/>
        <v>3505.0152741941429</v>
      </c>
      <c r="T212" s="122">
        <f t="shared" si="189"/>
        <v>850.1764451357576</v>
      </c>
      <c r="U212" s="122">
        <f t="shared" si="189"/>
        <v>4615.5926304374898</v>
      </c>
      <c r="V212" s="122">
        <f t="shared" ref="V212:BC212" si="190">V$103*V203</f>
        <v>968.29899270306407</v>
      </c>
      <c r="W212" s="122">
        <f t="shared" si="190"/>
        <v>2562.219551955473</v>
      </c>
      <c r="X212" s="122">
        <f t="shared" si="190"/>
        <v>2004.3801479834908</v>
      </c>
      <c r="Y212" s="122">
        <f t="shared" si="190"/>
        <v>1407.5795965147952</v>
      </c>
      <c r="Z212" s="122">
        <f t="shared" si="190"/>
        <v>7744.7773198908417</v>
      </c>
      <c r="AA212" s="122">
        <f t="shared" si="190"/>
        <v>9730.2600691212265</v>
      </c>
      <c r="AB212" s="122">
        <f t="shared" si="190"/>
        <v>3244.8679561686508</v>
      </c>
      <c r="AC212" s="122">
        <f t="shared" si="190"/>
        <v>3299.123642097099</v>
      </c>
      <c r="AD212" s="122">
        <f t="shared" si="190"/>
        <v>3106.3992438459154</v>
      </c>
      <c r="AE212" s="122">
        <f t="shared" si="190"/>
        <v>4574.6747337061879</v>
      </c>
      <c r="AF212" s="122">
        <f t="shared" si="190"/>
        <v>1550.8831559895527</v>
      </c>
      <c r="AG212" s="122">
        <f t="shared" si="190"/>
        <v>5715.4848694835464</v>
      </c>
      <c r="AH212" s="122">
        <f t="shared" si="190"/>
        <v>2188.7062823764791</v>
      </c>
      <c r="AI212" s="122">
        <f t="shared" si="190"/>
        <v>12981.277545687839</v>
      </c>
      <c r="AJ212" s="122">
        <f t="shared" si="190"/>
        <v>6844.9929530399713</v>
      </c>
      <c r="AK212" s="122">
        <f t="shared" si="190"/>
        <v>5705.5143306088039</v>
      </c>
      <c r="AL212" s="122">
        <f t="shared" si="190"/>
        <v>0</v>
      </c>
      <c r="AM212" s="122">
        <f t="shared" si="190"/>
        <v>0</v>
      </c>
      <c r="AN212" s="122">
        <f t="shared" si="190"/>
        <v>0</v>
      </c>
      <c r="AO212" s="122">
        <f t="shared" si="190"/>
        <v>103.18566100787257</v>
      </c>
      <c r="AP212" s="122">
        <f t="shared" si="190"/>
        <v>498.22783957007988</v>
      </c>
      <c r="AQ212" s="122">
        <f t="shared" si="190"/>
        <v>237.26619276116088</v>
      </c>
      <c r="AR212" s="122">
        <f t="shared" si="190"/>
        <v>835.03258875813049</v>
      </c>
      <c r="AS212" s="122">
        <f t="shared" si="190"/>
        <v>133.46267577299659</v>
      </c>
      <c r="AT212" s="122">
        <f t="shared" si="190"/>
        <v>727.22153944693457</v>
      </c>
      <c r="AU212" s="122">
        <f t="shared" si="190"/>
        <v>142.99952065540276</v>
      </c>
      <c r="AV212" s="122">
        <f t="shared" si="190"/>
        <v>407.64789656833915</v>
      </c>
      <c r="AW212" s="122">
        <f t="shared" si="190"/>
        <v>936.23999793755922</v>
      </c>
      <c r="AX212" s="122">
        <f t="shared" si="190"/>
        <v>1733.1965724279682</v>
      </c>
      <c r="AY212" s="122">
        <f t="shared" si="190"/>
        <v>922.55685046009876</v>
      </c>
      <c r="AZ212" s="122">
        <f t="shared" si="190"/>
        <v>147696.67721672726</v>
      </c>
      <c r="BA212" s="122">
        <f t="shared" si="190"/>
        <v>36433.611497514816</v>
      </c>
      <c r="BB212" s="122">
        <f t="shared" si="190"/>
        <v>29392.411511388378</v>
      </c>
      <c r="BC212" s="122">
        <f t="shared" si="190"/>
        <v>16790.004986007505</v>
      </c>
      <c r="BD212" s="360">
        <f t="shared" si="180"/>
        <v>374282.82785050827</v>
      </c>
    </row>
    <row r="213" spans="1:56">
      <c r="A213" s="104"/>
      <c r="B213" s="9" t="s">
        <v>567</v>
      </c>
      <c r="F213" s="122">
        <f t="shared" ref="F213:BC213" si="191">F$103*F204</f>
        <v>1309274.4958118408</v>
      </c>
      <c r="G213" s="122">
        <f t="shared" si="191"/>
        <v>2844983.7431872459</v>
      </c>
      <c r="H213" s="122">
        <f t="shared" si="191"/>
        <v>3525616.203144656</v>
      </c>
      <c r="I213" s="122">
        <f t="shared" si="191"/>
        <v>189502.11367198173</v>
      </c>
      <c r="J213" s="122">
        <f t="shared" si="191"/>
        <v>1187546.8007427894</v>
      </c>
      <c r="K213" s="122">
        <f t="shared" si="191"/>
        <v>76012.761994250381</v>
      </c>
      <c r="L213" s="122">
        <f t="shared" si="191"/>
        <v>86591.346756805666</v>
      </c>
      <c r="M213" s="122">
        <f t="shared" si="191"/>
        <v>88933.722258511014</v>
      </c>
      <c r="N213" s="122">
        <f t="shared" si="191"/>
        <v>150638.26298716263</v>
      </c>
      <c r="O213" s="122">
        <f t="shared" si="191"/>
        <v>8651.7829823080319</v>
      </c>
      <c r="P213" s="122">
        <f t="shared" si="191"/>
        <v>253825.01679271137</v>
      </c>
      <c r="Q213" s="122">
        <f t="shared" si="191"/>
        <v>97268.19459741957</v>
      </c>
      <c r="R213" s="122">
        <f t="shared" si="191"/>
        <v>182339.20183180756</v>
      </c>
      <c r="S213" s="122">
        <f t="shared" si="191"/>
        <v>363661.67726924177</v>
      </c>
      <c r="T213" s="122">
        <f t="shared" si="191"/>
        <v>439195.11235601775</v>
      </c>
      <c r="U213" s="122">
        <f t="shared" si="191"/>
        <v>135288.06173951345</v>
      </c>
      <c r="V213" s="122">
        <f t="shared" si="191"/>
        <v>446319.69359948637</v>
      </c>
      <c r="W213" s="122">
        <f t="shared" si="191"/>
        <v>363246.38520816824</v>
      </c>
      <c r="X213" s="122">
        <f t="shared" si="191"/>
        <v>702341.86595315579</v>
      </c>
      <c r="Y213" s="122">
        <f t="shared" si="191"/>
        <v>857491.98728441214</v>
      </c>
      <c r="Z213" s="122">
        <f t="shared" si="191"/>
        <v>244638.46947133119</v>
      </c>
      <c r="AA213" s="122">
        <f t="shared" si="191"/>
        <v>1536923.8326334895</v>
      </c>
      <c r="AB213" s="122">
        <f t="shared" si="191"/>
        <v>445295.77235455305</v>
      </c>
      <c r="AC213" s="122">
        <f t="shared" si="191"/>
        <v>197415.90955418345</v>
      </c>
      <c r="AD213" s="122">
        <f t="shared" si="191"/>
        <v>434901.07932684734</v>
      </c>
      <c r="AE213" s="122">
        <f t="shared" si="191"/>
        <v>121035.43309989374</v>
      </c>
      <c r="AF213" s="122">
        <f t="shared" si="191"/>
        <v>158878.7602309348</v>
      </c>
      <c r="AG213" s="122">
        <f t="shared" si="191"/>
        <v>357474.04878729011</v>
      </c>
      <c r="AH213" s="122">
        <f t="shared" si="191"/>
        <v>268411.38424674416</v>
      </c>
      <c r="AI213" s="122">
        <f t="shared" si="191"/>
        <v>1637486.4997546524</v>
      </c>
      <c r="AJ213" s="122">
        <f t="shared" si="191"/>
        <v>357027.37905074749</v>
      </c>
      <c r="AK213" s="122">
        <f t="shared" si="191"/>
        <v>3017589.6532529425</v>
      </c>
      <c r="AL213" s="122">
        <f t="shared" si="191"/>
        <v>5505674.0872280924</v>
      </c>
      <c r="AM213" s="122">
        <f t="shared" si="191"/>
        <v>413696.14770342293</v>
      </c>
      <c r="AN213" s="122">
        <f t="shared" si="191"/>
        <v>607774.09058131278</v>
      </c>
      <c r="AO213" s="122">
        <f t="shared" si="191"/>
        <v>20089.560336977785</v>
      </c>
      <c r="AP213" s="122">
        <f t="shared" si="191"/>
        <v>84880.493532857872</v>
      </c>
      <c r="AQ213" s="122">
        <f t="shared" si="191"/>
        <v>156541.5026930231</v>
      </c>
      <c r="AR213" s="122">
        <f t="shared" si="191"/>
        <v>125696.95369469143</v>
      </c>
      <c r="AS213" s="122">
        <f t="shared" si="191"/>
        <v>68649.188996416764</v>
      </c>
      <c r="AT213" s="122">
        <f t="shared" si="191"/>
        <v>150536.03661603772</v>
      </c>
      <c r="AU213" s="122">
        <f t="shared" si="191"/>
        <v>36878.749700510809</v>
      </c>
      <c r="AV213" s="122">
        <f t="shared" si="191"/>
        <v>105645.6630925526</v>
      </c>
      <c r="AW213" s="122">
        <f t="shared" si="191"/>
        <v>167533.23073991196</v>
      </c>
      <c r="AX213" s="122">
        <f t="shared" si="191"/>
        <v>11609.098573548552</v>
      </c>
      <c r="AY213" s="122">
        <f t="shared" si="191"/>
        <v>107559.88548193265</v>
      </c>
      <c r="AZ213" s="122">
        <f t="shared" si="191"/>
        <v>526612.13175708975</v>
      </c>
      <c r="BA213" s="122">
        <f t="shared" si="191"/>
        <v>355141.47452671384</v>
      </c>
      <c r="BB213" s="122">
        <f t="shared" si="191"/>
        <v>629245.11273005139</v>
      </c>
      <c r="BC213" s="122">
        <f t="shared" si="191"/>
        <v>98795.085744150318</v>
      </c>
      <c r="BD213" s="360">
        <f t="shared" si="180"/>
        <v>31258365.145662386</v>
      </c>
    </row>
    <row r="214" spans="1:56">
      <c r="A214" s="104"/>
      <c r="BD214" s="7"/>
    </row>
    <row r="215" spans="1:56">
      <c r="A215" s="104"/>
      <c r="B215" s="121" t="s">
        <v>268</v>
      </c>
      <c r="D215" s="171" t="s">
        <v>849</v>
      </c>
    </row>
    <row r="216" spans="1:56">
      <c r="A216" s="104"/>
      <c r="B216" s="9" t="s">
        <v>586</v>
      </c>
      <c r="D216" s="10" t="s">
        <v>792</v>
      </c>
      <c r="F216" s="9"/>
      <c r="G216" s="9"/>
      <c r="H216" s="174">
        <f t="shared" ref="H216:H222" si="192">H207/H158</f>
        <v>89.905427731068059</v>
      </c>
      <c r="P216" s="174">
        <f t="shared" ref="P216:P222" si="193">P207/P158</f>
        <v>94.338834679208546</v>
      </c>
      <c r="AY216" s="174"/>
      <c r="AZ216" s="174">
        <f t="shared" ref="AZ216:BB222" si="194">AZ207/AZ158</f>
        <v>194.54027707580042</v>
      </c>
      <c r="BA216" s="174">
        <f t="shared" si="194"/>
        <v>97.597708401414479</v>
      </c>
      <c r="BB216" s="174">
        <f t="shared" si="194"/>
        <v>67.27890458175392</v>
      </c>
      <c r="BC216" s="174"/>
      <c r="BD216" s="174">
        <f t="shared" ref="BD216:BD222" si="195">BD207/BD158</f>
        <v>90.976443792027766</v>
      </c>
    </row>
    <row r="217" spans="1:56">
      <c r="A217" s="104"/>
      <c r="B217" s="9" t="s">
        <v>587</v>
      </c>
      <c r="F217" s="9"/>
      <c r="G217" s="9"/>
      <c r="H217" s="174">
        <f t="shared" si="192"/>
        <v>89.905427731068059</v>
      </c>
      <c r="P217" s="174">
        <f t="shared" si="193"/>
        <v>94.33883467920856</v>
      </c>
      <c r="T217" s="174"/>
      <c r="U217" s="174">
        <f t="shared" ref="U217:V222" si="196">U208/U159</f>
        <v>40.457821251724027</v>
      </c>
      <c r="V217" s="174">
        <f t="shared" si="196"/>
        <v>28.759190861762381</v>
      </c>
      <c r="W217" s="174"/>
      <c r="X217" s="174">
        <f>X208/X159</f>
        <v>22.952705597380476</v>
      </c>
      <c r="Y217" s="174"/>
      <c r="Z217" s="174">
        <f t="shared" ref="Z217:Z222" si="197">Z208/Z159</f>
        <v>64.956678572303403</v>
      </c>
      <c r="AA217" s="174"/>
      <c r="AB217" s="174">
        <f t="shared" ref="AB217:AB222" si="198">AB208/AB159</f>
        <v>38.991357868193461</v>
      </c>
      <c r="AC217" s="174"/>
      <c r="AD217" s="174"/>
      <c r="AE217" s="174">
        <f t="shared" ref="AE217:AE222" si="199">AE208/AE159</f>
        <v>48.91056197449798</v>
      </c>
      <c r="AF217" s="174"/>
      <c r="AG217" s="174">
        <f>AG208/AG159</f>
        <v>49.177998936993916</v>
      </c>
      <c r="AI217" s="174">
        <f t="shared" ref="AI217:AI222" si="200">AI208/AI159</f>
        <v>46.046288136585581</v>
      </c>
      <c r="AJ217" s="174"/>
      <c r="AY217" s="174">
        <f t="shared" ref="AY217:AY222" si="201">AY208/AY159</f>
        <v>56.080190173804553</v>
      </c>
      <c r="AZ217" s="174">
        <f t="shared" si="194"/>
        <v>194.54027707580039</v>
      </c>
      <c r="BA217" s="174">
        <f t="shared" si="194"/>
        <v>97.597708401414494</v>
      </c>
      <c r="BB217" s="174">
        <f t="shared" si="194"/>
        <v>67.27890458175392</v>
      </c>
      <c r="BC217" s="174">
        <f t="shared" ref="BC217:BC222" si="202">BC208/BC159</f>
        <v>48.723260399031304</v>
      </c>
      <c r="BD217" s="174">
        <f t="shared" si="195"/>
        <v>71.250796897268089</v>
      </c>
    </row>
    <row r="218" spans="1:56">
      <c r="A218" s="104"/>
      <c r="B218" s="9" t="s">
        <v>568</v>
      </c>
      <c r="F218" s="9"/>
      <c r="G218" s="9"/>
      <c r="H218" s="174">
        <f t="shared" si="192"/>
        <v>89.905427731068059</v>
      </c>
      <c r="J218" s="174">
        <f t="shared" ref="J218:N222" si="203">J209/J160</f>
        <v>62.39032559789046</v>
      </c>
      <c r="K218" s="174">
        <f t="shared" si="203"/>
        <v>15.250529036992646</v>
      </c>
      <c r="L218" s="174">
        <f t="shared" si="203"/>
        <v>33.438900593053077</v>
      </c>
      <c r="M218" s="174">
        <f t="shared" si="203"/>
        <v>53.993435673966353</v>
      </c>
      <c r="N218" s="174">
        <f t="shared" si="203"/>
        <v>220.0745678691803</v>
      </c>
      <c r="P218" s="174">
        <f t="shared" si="193"/>
        <v>94.33883467920856</v>
      </c>
      <c r="Q218" s="174"/>
      <c r="R218" s="174">
        <f t="shared" ref="R218:T222" si="204">R209/R160</f>
        <v>31.301571211591</v>
      </c>
      <c r="S218" s="174">
        <f t="shared" si="204"/>
        <v>52.964154082001372</v>
      </c>
      <c r="T218" s="174">
        <f t="shared" si="204"/>
        <v>31.503470727729916</v>
      </c>
      <c r="U218" s="174">
        <f t="shared" si="196"/>
        <v>40.457821251724027</v>
      </c>
      <c r="V218" s="174">
        <f t="shared" si="196"/>
        <v>28.759190861762381</v>
      </c>
      <c r="W218" s="174"/>
      <c r="X218" s="174"/>
      <c r="Y218" s="174"/>
      <c r="Z218" s="174">
        <f t="shared" si="197"/>
        <v>64.956678572303417</v>
      </c>
      <c r="AA218" s="174">
        <f>AA209/AA160</f>
        <v>67.528079023706994</v>
      </c>
      <c r="AB218" s="174">
        <f t="shared" si="198"/>
        <v>38.991357868193461</v>
      </c>
      <c r="AC218" s="174">
        <f t="shared" ref="AC218:AD222" si="205">AC209/AC160</f>
        <v>50.548532268442578</v>
      </c>
      <c r="AD218" s="174">
        <f t="shared" si="205"/>
        <v>30.639749749618282</v>
      </c>
      <c r="AE218" s="174">
        <f t="shared" si="199"/>
        <v>48.91056197449798</v>
      </c>
      <c r="AF218" s="174">
        <f>AF209/AF160</f>
        <v>32.059600123815045</v>
      </c>
      <c r="AG218" s="174"/>
      <c r="AI218" s="174">
        <f t="shared" si="200"/>
        <v>46.046288136585574</v>
      </c>
      <c r="AJ218" s="174">
        <f>AJ209/AJ160</f>
        <v>34.24616477196345</v>
      </c>
      <c r="AO218" s="174">
        <f>AO209/AO160</f>
        <v>4.1936006897308387</v>
      </c>
      <c r="AV218" s="174">
        <f t="shared" ref="AV218:AW222" si="206">AV209/AV160</f>
        <v>15.691651909000452</v>
      </c>
      <c r="AW218" s="174">
        <f t="shared" si="206"/>
        <v>44.966026190125447</v>
      </c>
      <c r="AY218" s="174">
        <f t="shared" si="201"/>
        <v>56.08019017380456</v>
      </c>
      <c r="AZ218" s="174">
        <f t="shared" si="194"/>
        <v>194.54027707580042</v>
      </c>
      <c r="BA218" s="174">
        <f t="shared" si="194"/>
        <v>97.597708401414494</v>
      </c>
      <c r="BB218" s="174">
        <f t="shared" si="194"/>
        <v>67.278904581753906</v>
      </c>
      <c r="BC218" s="174">
        <f t="shared" si="202"/>
        <v>48.723260399031311</v>
      </c>
      <c r="BD218" s="174">
        <f t="shared" si="195"/>
        <v>72.395151670071186</v>
      </c>
    </row>
    <row r="219" spans="1:56">
      <c r="A219" s="104"/>
      <c r="B219" s="9" t="s">
        <v>569</v>
      </c>
      <c r="F219" s="9"/>
      <c r="G219" s="174">
        <f>G210/G161</f>
        <v>74.494601946776285</v>
      </c>
      <c r="H219" s="174">
        <f t="shared" si="192"/>
        <v>89.905427731068059</v>
      </c>
      <c r="J219" s="174">
        <f t="shared" si="203"/>
        <v>62.390325597890467</v>
      </c>
      <c r="K219" s="174">
        <f t="shared" si="203"/>
        <v>15.250529036992646</v>
      </c>
      <c r="L219" s="174">
        <f t="shared" si="203"/>
        <v>33.438900593053084</v>
      </c>
      <c r="M219" s="174">
        <f t="shared" si="203"/>
        <v>53.99343567396636</v>
      </c>
      <c r="N219" s="174">
        <f t="shared" si="203"/>
        <v>220.07456786918027</v>
      </c>
      <c r="P219" s="174">
        <f t="shared" si="193"/>
        <v>94.338834679208546</v>
      </c>
      <c r="Q219" s="174">
        <f>Q210/Q161</f>
        <v>28.996734063367029</v>
      </c>
      <c r="R219" s="174">
        <f t="shared" si="204"/>
        <v>31.301571211591003</v>
      </c>
      <c r="S219" s="174">
        <f t="shared" si="204"/>
        <v>52.964154082001379</v>
      </c>
      <c r="T219" s="174">
        <f t="shared" si="204"/>
        <v>31.503470727729919</v>
      </c>
      <c r="U219" s="174">
        <f t="shared" si="196"/>
        <v>40.457821251724035</v>
      </c>
      <c r="V219" s="174">
        <f t="shared" si="196"/>
        <v>28.759190861762381</v>
      </c>
      <c r="W219" s="174">
        <f t="shared" ref="W219:Y222" si="207">W210/W161</f>
        <v>33.239604998341264</v>
      </c>
      <c r="X219" s="174">
        <f t="shared" si="207"/>
        <v>22.952705597380476</v>
      </c>
      <c r="Y219" s="174">
        <f t="shared" si="207"/>
        <v>36.903367459296845</v>
      </c>
      <c r="Z219" s="174">
        <f t="shared" si="197"/>
        <v>64.956678572303403</v>
      </c>
      <c r="AA219" s="174">
        <f>AA210/AA161</f>
        <v>67.528079023706994</v>
      </c>
      <c r="AB219" s="174">
        <f t="shared" si="198"/>
        <v>38.991357868193461</v>
      </c>
      <c r="AC219" s="174">
        <f t="shared" si="205"/>
        <v>50.548532268442585</v>
      </c>
      <c r="AD219" s="174">
        <f t="shared" si="205"/>
        <v>30.639749749618282</v>
      </c>
      <c r="AE219" s="174">
        <f t="shared" si="199"/>
        <v>48.91056197449798</v>
      </c>
      <c r="AF219" s="174">
        <f>AF210/AF161</f>
        <v>32.059600123815045</v>
      </c>
      <c r="AG219" s="174">
        <f t="shared" ref="AG219:AH222" si="208">AG210/AG161</f>
        <v>49.177998936993916</v>
      </c>
      <c r="AH219" s="174">
        <f t="shared" si="208"/>
        <v>40.406885213104225</v>
      </c>
      <c r="AI219" s="174">
        <f t="shared" si="200"/>
        <v>46.046288136585574</v>
      </c>
      <c r="AJ219" s="174">
        <f>AJ210/AJ161</f>
        <v>34.24616477196345</v>
      </c>
      <c r="AK219" s="174">
        <f>AK210/AK161</f>
        <v>66.407053992383908</v>
      </c>
      <c r="AO219" s="174">
        <f>AO210/AO161</f>
        <v>4.1936006897308387</v>
      </c>
      <c r="AP219" s="174">
        <f t="shared" ref="AP219:AQ222" si="209">AP210/AP161</f>
        <v>18.281313721565276</v>
      </c>
      <c r="AQ219" s="174">
        <f t="shared" si="209"/>
        <v>19.966027658823183</v>
      </c>
      <c r="AR219" s="174"/>
      <c r="AS219" s="174">
        <f>AS210/AS161</f>
        <v>20.219561454170297</v>
      </c>
      <c r="AT219" s="174"/>
      <c r="AU219" s="174">
        <f>AU210/AU161</f>
        <v>4.0242944621219854</v>
      </c>
      <c r="AV219" s="174">
        <f t="shared" si="206"/>
        <v>15.69165190900045</v>
      </c>
      <c r="AW219" s="174">
        <f t="shared" si="206"/>
        <v>44.966026190125447</v>
      </c>
      <c r="AX219" s="174">
        <f>AX210/AX161</f>
        <v>271.87397214556358</v>
      </c>
      <c r="AY219" s="174">
        <f t="shared" si="201"/>
        <v>56.080190173804553</v>
      </c>
      <c r="AZ219" s="174">
        <f t="shared" si="194"/>
        <v>194.54027707580042</v>
      </c>
      <c r="BA219" s="174">
        <f t="shared" si="194"/>
        <v>97.597708401414494</v>
      </c>
      <c r="BB219" s="174">
        <f t="shared" si="194"/>
        <v>67.27890458175392</v>
      </c>
      <c r="BC219" s="174">
        <f t="shared" si="202"/>
        <v>48.723260399031311</v>
      </c>
      <c r="BD219" s="174">
        <f t="shared" si="195"/>
        <v>67.768212403483176</v>
      </c>
    </row>
    <row r="220" spans="1:56">
      <c r="A220" s="104"/>
      <c r="B220" s="9" t="s">
        <v>570</v>
      </c>
      <c r="F220" s="9"/>
      <c r="G220" s="174">
        <f>G211/G162</f>
        <v>74.494601946776285</v>
      </c>
      <c r="H220" s="174">
        <f t="shared" si="192"/>
        <v>89.905427731068059</v>
      </c>
      <c r="I220" s="174">
        <f>I211/I162</f>
        <v>505.04512535538089</v>
      </c>
      <c r="J220" s="174">
        <f t="shared" si="203"/>
        <v>62.390325597890453</v>
      </c>
      <c r="K220" s="174">
        <f t="shared" si="203"/>
        <v>15.250529036992644</v>
      </c>
      <c r="L220" s="174">
        <f t="shared" si="203"/>
        <v>33.438900593053077</v>
      </c>
      <c r="M220" s="174">
        <f t="shared" si="203"/>
        <v>53.99343567396636</v>
      </c>
      <c r="N220" s="174">
        <f t="shared" si="203"/>
        <v>220.0745678691803</v>
      </c>
      <c r="P220" s="174">
        <f t="shared" si="193"/>
        <v>94.338834679208546</v>
      </c>
      <c r="Q220" s="174">
        <f>Q211/Q162</f>
        <v>28.996734063367033</v>
      </c>
      <c r="R220" s="174">
        <f t="shared" si="204"/>
        <v>31.301571211591</v>
      </c>
      <c r="S220" s="174">
        <f t="shared" si="204"/>
        <v>52.964154082001379</v>
      </c>
      <c r="T220" s="174">
        <f t="shared" si="204"/>
        <v>31.503470727729916</v>
      </c>
      <c r="U220" s="174">
        <f t="shared" si="196"/>
        <v>40.457821251724035</v>
      </c>
      <c r="V220" s="174">
        <f t="shared" si="196"/>
        <v>28.759190861762381</v>
      </c>
      <c r="W220" s="174">
        <f t="shared" si="207"/>
        <v>33.239604998341271</v>
      </c>
      <c r="X220" s="174">
        <f t="shared" si="207"/>
        <v>22.952705597380472</v>
      </c>
      <c r="Y220" s="174">
        <f t="shared" si="207"/>
        <v>36.903367459296838</v>
      </c>
      <c r="Z220" s="174">
        <f t="shared" si="197"/>
        <v>64.956678572303403</v>
      </c>
      <c r="AA220" s="174">
        <f>AA211/AA162</f>
        <v>67.528079023707008</v>
      </c>
      <c r="AB220" s="174">
        <f t="shared" si="198"/>
        <v>38.991357868193461</v>
      </c>
      <c r="AC220" s="174">
        <f t="shared" si="205"/>
        <v>50.548532268442585</v>
      </c>
      <c r="AD220" s="174">
        <f t="shared" si="205"/>
        <v>30.639749749618282</v>
      </c>
      <c r="AE220" s="174">
        <f t="shared" si="199"/>
        <v>48.91056197449798</v>
      </c>
      <c r="AF220" s="174">
        <f>AF211/AF162</f>
        <v>32.059600123815045</v>
      </c>
      <c r="AG220" s="174">
        <f t="shared" si="208"/>
        <v>49.177998936993916</v>
      </c>
      <c r="AH220" s="174">
        <f t="shared" si="208"/>
        <v>40.406885213104225</v>
      </c>
      <c r="AI220" s="174">
        <f t="shared" si="200"/>
        <v>46.046288136585581</v>
      </c>
      <c r="AJ220" s="174">
        <f>AJ211/AJ162</f>
        <v>34.246164771963443</v>
      </c>
      <c r="AK220" s="174">
        <f>AK211/AK162</f>
        <v>66.407053992383908</v>
      </c>
      <c r="AO220" s="174">
        <f>AO211/AO162</f>
        <v>4.1936006897308387</v>
      </c>
      <c r="AP220" s="174">
        <f t="shared" si="209"/>
        <v>18.281313721565276</v>
      </c>
      <c r="AQ220" s="174">
        <f t="shared" si="209"/>
        <v>19.966027658823183</v>
      </c>
      <c r="AR220" s="174">
        <f>AR211/AR162</f>
        <v>22.574674123668078</v>
      </c>
      <c r="AS220" s="174">
        <f>AS211/AS162</f>
        <v>20.2195614541703</v>
      </c>
      <c r="AT220" s="174">
        <f>AT211/AT162</f>
        <v>23.909889324247846</v>
      </c>
      <c r="AU220" s="174">
        <f>AU211/AU162</f>
        <v>4.0242944621219854</v>
      </c>
      <c r="AV220" s="174">
        <f t="shared" si="206"/>
        <v>15.69165190900045</v>
      </c>
      <c r="AW220" s="174">
        <f t="shared" si="206"/>
        <v>44.966026190125447</v>
      </c>
      <c r="AX220" s="174">
        <f>AX211/AX162</f>
        <v>271.87397214556364</v>
      </c>
      <c r="AY220" s="174">
        <f t="shared" si="201"/>
        <v>56.08019017380456</v>
      </c>
      <c r="AZ220" s="174">
        <f t="shared" si="194"/>
        <v>194.54027707580042</v>
      </c>
      <c r="BA220" s="174">
        <f t="shared" si="194"/>
        <v>97.597708401414494</v>
      </c>
      <c r="BB220" s="174">
        <f t="shared" si="194"/>
        <v>67.27890458175392</v>
      </c>
      <c r="BC220" s="174">
        <f t="shared" si="202"/>
        <v>48.723260399031304</v>
      </c>
      <c r="BD220" s="174">
        <f t="shared" si="195"/>
        <v>72.522816308111118</v>
      </c>
    </row>
    <row r="221" spans="1:56">
      <c r="A221" s="104"/>
      <c r="B221" s="9" t="s">
        <v>571</v>
      </c>
      <c r="F221" s="9"/>
      <c r="G221" s="174">
        <f>G212/G163</f>
        <v>74.494601946776285</v>
      </c>
      <c r="H221" s="174">
        <f t="shared" si="192"/>
        <v>89.905427731068059</v>
      </c>
      <c r="I221" s="174">
        <f>I212/I163</f>
        <v>505.04512535538078</v>
      </c>
      <c r="J221" s="174">
        <f t="shared" si="203"/>
        <v>62.39032559789046</v>
      </c>
      <c r="K221" s="174">
        <f t="shared" si="203"/>
        <v>15.250529036992646</v>
      </c>
      <c r="L221" s="174">
        <f t="shared" si="203"/>
        <v>33.438900593053077</v>
      </c>
      <c r="M221" s="174">
        <f t="shared" si="203"/>
        <v>53.993435673966353</v>
      </c>
      <c r="N221" s="174">
        <f t="shared" si="203"/>
        <v>220.0745678691803</v>
      </c>
      <c r="P221" s="174">
        <f t="shared" si="193"/>
        <v>94.33883467920856</v>
      </c>
      <c r="Q221" s="174">
        <f>Q212/Q163</f>
        <v>28.996734063367025</v>
      </c>
      <c r="R221" s="174">
        <f t="shared" si="204"/>
        <v>31.301571211591003</v>
      </c>
      <c r="S221" s="174">
        <f t="shared" si="204"/>
        <v>52.964154082001379</v>
      </c>
      <c r="T221" s="174">
        <f t="shared" si="204"/>
        <v>31.503470727729912</v>
      </c>
      <c r="U221" s="174">
        <f t="shared" si="196"/>
        <v>40.457821251724035</v>
      </c>
      <c r="V221" s="174">
        <f t="shared" si="196"/>
        <v>28.759190861762381</v>
      </c>
      <c r="W221" s="174">
        <f t="shared" si="207"/>
        <v>33.239604998341271</v>
      </c>
      <c r="X221" s="174">
        <f t="shared" si="207"/>
        <v>22.952705597380476</v>
      </c>
      <c r="Y221" s="174">
        <f t="shared" si="207"/>
        <v>36.903367459296838</v>
      </c>
      <c r="Z221" s="174">
        <f t="shared" si="197"/>
        <v>64.956678572303403</v>
      </c>
      <c r="AA221" s="174">
        <f>AA212/AA163</f>
        <v>67.528079023706994</v>
      </c>
      <c r="AB221" s="174">
        <f t="shared" si="198"/>
        <v>38.991357868193461</v>
      </c>
      <c r="AC221" s="174">
        <f t="shared" si="205"/>
        <v>50.548532268442585</v>
      </c>
      <c r="AD221" s="174">
        <f t="shared" si="205"/>
        <v>30.639749749618286</v>
      </c>
      <c r="AE221" s="174">
        <f t="shared" si="199"/>
        <v>48.910561974497973</v>
      </c>
      <c r="AF221" s="174">
        <f>AF212/AF163</f>
        <v>32.059600123815045</v>
      </c>
      <c r="AG221" s="174">
        <f t="shared" si="208"/>
        <v>49.177998936993916</v>
      </c>
      <c r="AH221" s="174">
        <f t="shared" si="208"/>
        <v>40.406885213104225</v>
      </c>
      <c r="AI221" s="174">
        <f t="shared" si="200"/>
        <v>46.046288136585581</v>
      </c>
      <c r="AJ221" s="174">
        <f>AJ212/AJ163</f>
        <v>34.24616477196345</v>
      </c>
      <c r="AK221" s="174">
        <f>AK212/AK163</f>
        <v>66.407053992383908</v>
      </c>
      <c r="AO221" s="174">
        <f>AO212/AO163</f>
        <v>4.1936006897308387</v>
      </c>
      <c r="AP221" s="174">
        <f t="shared" si="209"/>
        <v>18.281313721565276</v>
      </c>
      <c r="AQ221" s="174">
        <f t="shared" si="209"/>
        <v>19.966027658823183</v>
      </c>
      <c r="AR221" s="174">
        <f>AR212/AR163</f>
        <v>22.574674123668078</v>
      </c>
      <c r="AS221" s="174">
        <f>AS212/AS163</f>
        <v>20.2195614541703</v>
      </c>
      <c r="AT221" s="174">
        <f>AT212/AT163</f>
        <v>23.909889324247846</v>
      </c>
      <c r="AU221" s="174">
        <f>AU212/AU163</f>
        <v>4.0242944621219854</v>
      </c>
      <c r="AV221" s="174">
        <f t="shared" si="206"/>
        <v>15.691651909000452</v>
      </c>
      <c r="AW221" s="174">
        <f t="shared" si="206"/>
        <v>44.96602619012544</v>
      </c>
      <c r="AX221" s="174">
        <f>AX212/AX163</f>
        <v>271.87397214556364</v>
      </c>
      <c r="AY221" s="174">
        <f t="shared" si="201"/>
        <v>56.08019017380456</v>
      </c>
      <c r="AZ221" s="174">
        <f t="shared" si="194"/>
        <v>194.54027707580042</v>
      </c>
      <c r="BA221" s="174">
        <f t="shared" si="194"/>
        <v>97.597708401414479</v>
      </c>
      <c r="BB221" s="174">
        <f t="shared" si="194"/>
        <v>67.27890458175392</v>
      </c>
      <c r="BC221" s="174">
        <f t="shared" si="202"/>
        <v>48.723260399031304</v>
      </c>
      <c r="BD221" s="174">
        <f t="shared" si="195"/>
        <v>80.728374906721555</v>
      </c>
    </row>
    <row r="222" spans="1:56">
      <c r="A222" s="104"/>
      <c r="B222" s="9" t="s">
        <v>567</v>
      </c>
      <c r="F222" s="174">
        <f>F213/F164</f>
        <v>77.984066699138765</v>
      </c>
      <c r="G222" s="174">
        <f>G213/G164</f>
        <v>74.494601946776285</v>
      </c>
      <c r="H222" s="174">
        <f t="shared" si="192"/>
        <v>89.905427731068059</v>
      </c>
      <c r="I222" s="174">
        <f>I213/I164</f>
        <v>505.04512535538083</v>
      </c>
      <c r="J222" s="174">
        <f t="shared" si="203"/>
        <v>62.390325597890453</v>
      </c>
      <c r="K222" s="174">
        <f t="shared" si="203"/>
        <v>15.250529036992644</v>
      </c>
      <c r="L222" s="174">
        <f t="shared" si="203"/>
        <v>33.438900593053077</v>
      </c>
      <c r="M222" s="174">
        <f t="shared" si="203"/>
        <v>53.99343567396636</v>
      </c>
      <c r="N222" s="174">
        <f t="shared" si="203"/>
        <v>220.07456786918027</v>
      </c>
      <c r="O222" s="174">
        <f>O213/O164</f>
        <v>24.166991570692826</v>
      </c>
      <c r="P222" s="174">
        <f t="shared" si="193"/>
        <v>94.33883467920856</v>
      </c>
      <c r="Q222" s="174">
        <f>Q213/Q164</f>
        <v>28.996734063367025</v>
      </c>
      <c r="R222" s="174">
        <f t="shared" si="204"/>
        <v>31.301571211591</v>
      </c>
      <c r="S222" s="174">
        <f t="shared" si="204"/>
        <v>52.964154082001372</v>
      </c>
      <c r="T222" s="174">
        <f t="shared" si="204"/>
        <v>31.503470727729916</v>
      </c>
      <c r="U222" s="174">
        <f t="shared" si="196"/>
        <v>40.457821251724035</v>
      </c>
      <c r="V222" s="174">
        <f t="shared" si="196"/>
        <v>28.759190861762381</v>
      </c>
      <c r="W222" s="174">
        <f t="shared" si="207"/>
        <v>33.239604998341271</v>
      </c>
      <c r="X222" s="174">
        <f t="shared" si="207"/>
        <v>22.952705597380476</v>
      </c>
      <c r="Y222" s="174">
        <f t="shared" si="207"/>
        <v>36.903367459296838</v>
      </c>
      <c r="Z222" s="174">
        <f t="shared" si="197"/>
        <v>64.956678572303403</v>
      </c>
      <c r="AA222" s="174">
        <f>AA213/AA164</f>
        <v>67.528079023707008</v>
      </c>
      <c r="AB222" s="174">
        <f t="shared" si="198"/>
        <v>38.991357868193461</v>
      </c>
      <c r="AC222" s="174">
        <f t="shared" si="205"/>
        <v>50.548532268442585</v>
      </c>
      <c r="AD222" s="174">
        <f t="shared" si="205"/>
        <v>30.639749749618286</v>
      </c>
      <c r="AE222" s="174">
        <f t="shared" si="199"/>
        <v>48.91056197449798</v>
      </c>
      <c r="AF222" s="174">
        <f>AF213/AF164</f>
        <v>32.059600123815045</v>
      </c>
      <c r="AG222" s="174">
        <f t="shared" si="208"/>
        <v>49.177998936993909</v>
      </c>
      <c r="AH222" s="174">
        <f t="shared" si="208"/>
        <v>40.406885213104225</v>
      </c>
      <c r="AI222" s="174">
        <f t="shared" si="200"/>
        <v>46.046288136585581</v>
      </c>
      <c r="AJ222" s="174">
        <f>AJ213/AJ164</f>
        <v>34.24616477196345</v>
      </c>
      <c r="AK222" s="174">
        <f>AK213/AK164</f>
        <v>66.407053992383908</v>
      </c>
      <c r="AL222" s="174">
        <f>AL213/AL164</f>
        <v>194.67748973615122</v>
      </c>
      <c r="AM222" s="174">
        <f>AM213/AM164</f>
        <v>18.388129953925812</v>
      </c>
      <c r="AN222" s="174">
        <f>AN213/AN164</f>
        <v>52.371744125920962</v>
      </c>
      <c r="AO222" s="174">
        <f>AO213/AO164</f>
        <v>4.1936006897308387</v>
      </c>
      <c r="AP222" s="174">
        <f t="shared" si="209"/>
        <v>18.281313721565276</v>
      </c>
      <c r="AQ222" s="174">
        <f t="shared" si="209"/>
        <v>19.966027658823183</v>
      </c>
      <c r="AR222" s="174">
        <f>AR213/AR164</f>
        <v>22.574674123668075</v>
      </c>
      <c r="AS222" s="174">
        <f>AS213/AS164</f>
        <v>20.2195614541703</v>
      </c>
      <c r="AT222" s="174">
        <f>AT213/AT164</f>
        <v>23.90988932424785</v>
      </c>
      <c r="AU222" s="174">
        <f>AU213/AU164</f>
        <v>4.0242944621219854</v>
      </c>
      <c r="AV222" s="174">
        <f t="shared" si="206"/>
        <v>15.691651909000452</v>
      </c>
      <c r="AW222" s="174">
        <f t="shared" si="206"/>
        <v>44.96602619012544</v>
      </c>
      <c r="AX222" s="174">
        <f>AX213/AX164</f>
        <v>271.87397214556364</v>
      </c>
      <c r="AY222" s="174">
        <f t="shared" si="201"/>
        <v>56.08019017380456</v>
      </c>
      <c r="AZ222" s="174">
        <f t="shared" si="194"/>
        <v>194.54027707580042</v>
      </c>
      <c r="BA222" s="174">
        <f t="shared" si="194"/>
        <v>97.597708401414479</v>
      </c>
      <c r="BB222" s="174">
        <f t="shared" si="194"/>
        <v>67.27890458175392</v>
      </c>
      <c r="BC222" s="174">
        <f t="shared" si="202"/>
        <v>48.723260399031304</v>
      </c>
      <c r="BD222" s="174">
        <f t="shared" si="195"/>
        <v>57.543401290669834</v>
      </c>
    </row>
    <row r="223" spans="1:56">
      <c r="A223" s="104"/>
      <c r="B223" s="9"/>
      <c r="F223" s="370"/>
      <c r="G223" s="370"/>
      <c r="H223" s="370"/>
      <c r="I223" s="370"/>
      <c r="J223" s="370"/>
      <c r="K223" s="370"/>
      <c r="L223" s="370"/>
      <c r="M223" s="370"/>
      <c r="N223" s="370"/>
      <c r="O223" s="370"/>
      <c r="P223" s="370"/>
      <c r="Q223" s="370"/>
      <c r="R223" s="370"/>
      <c r="S223" s="370"/>
      <c r="T223" s="370"/>
      <c r="U223" s="370"/>
      <c r="V223" s="370"/>
      <c r="W223" s="370"/>
      <c r="X223" s="370"/>
      <c r="Y223" s="370"/>
      <c r="Z223" s="370"/>
      <c r="AA223" s="370"/>
      <c r="AB223" s="370"/>
      <c r="AC223" s="370"/>
      <c r="AD223" s="370"/>
      <c r="AE223" s="370"/>
      <c r="AF223" s="370"/>
      <c r="AG223" s="370"/>
      <c r="AH223" s="370"/>
      <c r="AI223" s="370"/>
      <c r="AJ223" s="370"/>
      <c r="AK223" s="370"/>
      <c r="AL223" s="370"/>
      <c r="AM223" s="370"/>
      <c r="AN223" s="370"/>
      <c r="AO223" s="370"/>
      <c r="AP223" s="370"/>
      <c r="AQ223" s="370"/>
      <c r="AR223" s="370"/>
      <c r="AS223" s="370"/>
      <c r="AT223" s="370"/>
      <c r="AU223" s="370"/>
      <c r="AV223" s="370"/>
      <c r="AW223" s="370"/>
      <c r="AX223" s="370"/>
      <c r="AY223" s="370"/>
      <c r="AZ223" s="370"/>
      <c r="BA223" s="370"/>
      <c r="BB223" s="370"/>
      <c r="BC223" s="370"/>
      <c r="BD223" s="370"/>
    </row>
    <row r="224" spans="1:56">
      <c r="A224" s="104"/>
      <c r="B224" s="121" t="s">
        <v>267</v>
      </c>
      <c r="D224" s="171" t="s">
        <v>657</v>
      </c>
      <c r="F224" s="370"/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  <c r="Z224" s="370"/>
      <c r="AA224" s="370"/>
      <c r="AB224" s="370"/>
      <c r="AC224" s="370"/>
      <c r="AD224" s="370"/>
      <c r="AE224" s="370"/>
      <c r="AF224" s="370"/>
      <c r="AG224" s="370"/>
      <c r="AH224" s="370"/>
      <c r="AI224" s="370"/>
      <c r="AJ224" s="370"/>
      <c r="AK224" s="370"/>
      <c r="AL224" s="370"/>
      <c r="AM224" s="370"/>
      <c r="AN224" s="370"/>
      <c r="AO224" s="370"/>
      <c r="AP224" s="370"/>
      <c r="AQ224" s="370"/>
      <c r="AR224" s="370"/>
      <c r="AS224" s="370"/>
      <c r="AT224" s="370"/>
      <c r="AU224" s="370"/>
      <c r="AV224" s="370"/>
      <c r="AW224" s="370"/>
      <c r="AX224" s="370"/>
      <c r="AY224" s="370"/>
      <c r="AZ224" s="370"/>
      <c r="BA224" s="370"/>
      <c r="BB224" s="370"/>
      <c r="BC224" s="370"/>
      <c r="BD224" s="370"/>
    </row>
    <row r="225" spans="1:56">
      <c r="A225" s="104"/>
      <c r="B225" s="9" t="s">
        <v>586</v>
      </c>
      <c r="F225" s="370">
        <f>F207*F$105</f>
        <v>0</v>
      </c>
      <c r="G225" s="370">
        <f t="shared" ref="G225:BC225" si="210">G207*G$105</f>
        <v>0</v>
      </c>
      <c r="H225" s="370">
        <f t="shared" si="210"/>
        <v>2.4885389827899833</v>
      </c>
      <c r="I225" s="370">
        <f t="shared" si="210"/>
        <v>0</v>
      </c>
      <c r="J225" s="370">
        <f t="shared" si="210"/>
        <v>0</v>
      </c>
      <c r="K225" s="370">
        <f t="shared" si="210"/>
        <v>0</v>
      </c>
      <c r="L225" s="370">
        <f t="shared" si="210"/>
        <v>0</v>
      </c>
      <c r="M225" s="370">
        <f t="shared" si="210"/>
        <v>0</v>
      </c>
      <c r="N225" s="370">
        <f t="shared" si="210"/>
        <v>0</v>
      </c>
      <c r="O225" s="370">
        <f t="shared" si="210"/>
        <v>0</v>
      </c>
      <c r="P225" s="370">
        <f t="shared" si="210"/>
        <v>6.1982499007295742</v>
      </c>
      <c r="Q225" s="370">
        <f t="shared" si="210"/>
        <v>0</v>
      </c>
      <c r="R225" s="370">
        <f t="shared" si="210"/>
        <v>0</v>
      </c>
      <c r="S225" s="370">
        <f t="shared" si="210"/>
        <v>0</v>
      </c>
      <c r="T225" s="370">
        <f t="shared" si="210"/>
        <v>0</v>
      </c>
      <c r="U225" s="370">
        <f t="shared" si="210"/>
        <v>0</v>
      </c>
      <c r="V225" s="370">
        <f t="shared" si="210"/>
        <v>0</v>
      </c>
      <c r="W225" s="370">
        <f t="shared" si="210"/>
        <v>0</v>
      </c>
      <c r="X225" s="370">
        <f t="shared" si="210"/>
        <v>0</v>
      </c>
      <c r="Y225" s="370">
        <f t="shared" si="210"/>
        <v>0</v>
      </c>
      <c r="Z225" s="370">
        <f t="shared" si="210"/>
        <v>0</v>
      </c>
      <c r="AA225" s="370">
        <f t="shared" si="210"/>
        <v>0</v>
      </c>
      <c r="AB225" s="370">
        <f t="shared" si="210"/>
        <v>0</v>
      </c>
      <c r="AC225" s="370">
        <f t="shared" si="210"/>
        <v>0</v>
      </c>
      <c r="AD225" s="370">
        <f t="shared" si="210"/>
        <v>0</v>
      </c>
      <c r="AE225" s="370">
        <f t="shared" si="210"/>
        <v>0</v>
      </c>
      <c r="AF225" s="370">
        <f t="shared" si="210"/>
        <v>0</v>
      </c>
      <c r="AG225" s="370">
        <f t="shared" si="210"/>
        <v>0</v>
      </c>
      <c r="AH225" s="370">
        <f t="shared" si="210"/>
        <v>0</v>
      </c>
      <c r="AI225" s="370">
        <f t="shared" si="210"/>
        <v>0</v>
      </c>
      <c r="AJ225" s="370">
        <f t="shared" si="210"/>
        <v>0</v>
      </c>
      <c r="AK225" s="370">
        <f t="shared" si="210"/>
        <v>0</v>
      </c>
      <c r="AL225" s="370">
        <f t="shared" si="210"/>
        <v>0</v>
      </c>
      <c r="AM225" s="370">
        <f t="shared" si="210"/>
        <v>0</v>
      </c>
      <c r="AN225" s="370">
        <f t="shared" si="210"/>
        <v>0</v>
      </c>
      <c r="AO225" s="370">
        <f t="shared" si="210"/>
        <v>0</v>
      </c>
      <c r="AP225" s="370">
        <f t="shared" si="210"/>
        <v>0</v>
      </c>
      <c r="AQ225" s="370">
        <f t="shared" si="210"/>
        <v>0</v>
      </c>
      <c r="AR225" s="370">
        <f t="shared" si="210"/>
        <v>0</v>
      </c>
      <c r="AS225" s="370">
        <f t="shared" si="210"/>
        <v>0</v>
      </c>
      <c r="AT225" s="370">
        <f t="shared" si="210"/>
        <v>0</v>
      </c>
      <c r="AU225" s="370">
        <f t="shared" si="210"/>
        <v>0</v>
      </c>
      <c r="AV225" s="370">
        <f t="shared" si="210"/>
        <v>0</v>
      </c>
      <c r="AW225" s="370">
        <f t="shared" si="210"/>
        <v>0</v>
      </c>
      <c r="AX225" s="370">
        <f t="shared" si="210"/>
        <v>0</v>
      </c>
      <c r="AY225" s="370">
        <f t="shared" si="210"/>
        <v>0</v>
      </c>
      <c r="AZ225" s="370">
        <f t="shared" si="210"/>
        <v>11.847202669035553</v>
      </c>
      <c r="BA225" s="370">
        <f t="shared" si="210"/>
        <v>23.380254691087831</v>
      </c>
      <c r="BB225" s="370">
        <f t="shared" si="210"/>
        <v>69.526639315292684</v>
      </c>
      <c r="BC225" s="370">
        <f t="shared" si="210"/>
        <v>0</v>
      </c>
      <c r="BD225" s="370">
        <f>SUM(F225:BC225)</f>
        <v>113.44088555893563</v>
      </c>
    </row>
    <row r="226" spans="1:56">
      <c r="A226" s="104"/>
      <c r="B226" s="9" t="s">
        <v>587</v>
      </c>
      <c r="F226" s="370">
        <f t="shared" ref="F226:U226" si="211">F208*F$105</f>
        <v>0</v>
      </c>
      <c r="G226" s="370">
        <f t="shared" si="211"/>
        <v>0</v>
      </c>
      <c r="H226" s="370">
        <f t="shared" si="211"/>
        <v>8.176628086309945</v>
      </c>
      <c r="I226" s="370">
        <f t="shared" si="211"/>
        <v>0</v>
      </c>
      <c r="J226" s="370">
        <f t="shared" si="211"/>
        <v>0</v>
      </c>
      <c r="K226" s="370">
        <f t="shared" si="211"/>
        <v>0</v>
      </c>
      <c r="L226" s="370">
        <f t="shared" si="211"/>
        <v>0</v>
      </c>
      <c r="M226" s="370">
        <f t="shared" si="211"/>
        <v>0</v>
      </c>
      <c r="N226" s="370">
        <f t="shared" si="211"/>
        <v>0</v>
      </c>
      <c r="O226" s="370">
        <f t="shared" si="211"/>
        <v>0</v>
      </c>
      <c r="P226" s="370">
        <f t="shared" si="211"/>
        <v>17.616078665231424</v>
      </c>
      <c r="Q226" s="370">
        <f t="shared" si="211"/>
        <v>0</v>
      </c>
      <c r="R226" s="370">
        <f t="shared" si="211"/>
        <v>0</v>
      </c>
      <c r="S226" s="370">
        <f t="shared" si="211"/>
        <v>0</v>
      </c>
      <c r="T226" s="370">
        <f t="shared" si="211"/>
        <v>0</v>
      </c>
      <c r="U226" s="370">
        <f t="shared" si="211"/>
        <v>7.6887163472885005</v>
      </c>
      <c r="V226" s="370">
        <f t="shared" ref="V226:BC226" si="212">V208*V$105</f>
        <v>5.5725650219523946</v>
      </c>
      <c r="W226" s="370">
        <f t="shared" si="212"/>
        <v>0</v>
      </c>
      <c r="X226" s="370">
        <f t="shared" si="212"/>
        <v>12.670595359389807</v>
      </c>
      <c r="Y226" s="370">
        <f t="shared" si="212"/>
        <v>0</v>
      </c>
      <c r="Z226" s="370">
        <f t="shared" si="212"/>
        <v>4.9989489293266258</v>
      </c>
      <c r="AA226" s="370">
        <f t="shared" si="212"/>
        <v>0</v>
      </c>
      <c r="AB226" s="370">
        <f t="shared" si="212"/>
        <v>8.6258407041950154</v>
      </c>
      <c r="AC226" s="370">
        <f t="shared" si="212"/>
        <v>0</v>
      </c>
      <c r="AD226" s="370">
        <f t="shared" si="212"/>
        <v>0</v>
      </c>
      <c r="AE226" s="370">
        <f t="shared" si="212"/>
        <v>12.076067215094699</v>
      </c>
      <c r="AF226" s="370">
        <f t="shared" si="212"/>
        <v>0</v>
      </c>
      <c r="AG226" s="370">
        <f t="shared" si="212"/>
        <v>11.438291450231858</v>
      </c>
      <c r="AH226" s="370">
        <f t="shared" si="212"/>
        <v>0</v>
      </c>
      <c r="AI226" s="370">
        <f t="shared" si="212"/>
        <v>9.2975008661981544</v>
      </c>
      <c r="AJ226" s="370">
        <f t="shared" si="212"/>
        <v>0</v>
      </c>
      <c r="AK226" s="370">
        <f t="shared" si="212"/>
        <v>0</v>
      </c>
      <c r="AL226" s="370">
        <f t="shared" si="212"/>
        <v>0</v>
      </c>
      <c r="AM226" s="370">
        <f t="shared" si="212"/>
        <v>0</v>
      </c>
      <c r="AN226" s="370">
        <f t="shared" si="212"/>
        <v>0</v>
      </c>
      <c r="AO226" s="370">
        <f t="shared" si="212"/>
        <v>0</v>
      </c>
      <c r="AP226" s="370">
        <f t="shared" si="212"/>
        <v>0</v>
      </c>
      <c r="AQ226" s="370">
        <f t="shared" si="212"/>
        <v>0</v>
      </c>
      <c r="AR226" s="370">
        <f t="shared" si="212"/>
        <v>0</v>
      </c>
      <c r="AS226" s="370">
        <f t="shared" si="212"/>
        <v>0</v>
      </c>
      <c r="AT226" s="370">
        <f t="shared" si="212"/>
        <v>0</v>
      </c>
      <c r="AU226" s="370">
        <f t="shared" si="212"/>
        <v>0</v>
      </c>
      <c r="AV226" s="370">
        <f t="shared" si="212"/>
        <v>0</v>
      </c>
      <c r="AW226" s="370">
        <f t="shared" si="212"/>
        <v>0</v>
      </c>
      <c r="AX226" s="370">
        <f t="shared" si="212"/>
        <v>0</v>
      </c>
      <c r="AY226" s="370">
        <f t="shared" si="212"/>
        <v>18.979610618619954</v>
      </c>
      <c r="AZ226" s="370">
        <f t="shared" si="212"/>
        <v>59.976463511992485</v>
      </c>
      <c r="BA226" s="370">
        <f t="shared" si="212"/>
        <v>253.85118901672917</v>
      </c>
      <c r="BB226" s="370">
        <f t="shared" si="212"/>
        <v>526.4159833872161</v>
      </c>
      <c r="BC226" s="370">
        <f t="shared" si="212"/>
        <v>297.91513081739714</v>
      </c>
      <c r="BD226" s="370">
        <f t="shared" ref="BD226:BD231" si="213">SUM(F226:BC226)</f>
        <v>1255.2996099971733</v>
      </c>
    </row>
    <row r="227" spans="1:56">
      <c r="A227" s="104"/>
      <c r="B227" s="9" t="s">
        <v>568</v>
      </c>
      <c r="F227" s="370">
        <f t="shared" ref="F227:U227" si="214">F209*F$105</f>
        <v>0</v>
      </c>
      <c r="G227" s="370">
        <f t="shared" si="214"/>
        <v>0</v>
      </c>
      <c r="H227" s="370">
        <f t="shared" si="214"/>
        <v>23.137989573640521</v>
      </c>
      <c r="I227" s="370">
        <f t="shared" si="214"/>
        <v>0</v>
      </c>
      <c r="J227" s="370">
        <f t="shared" si="214"/>
        <v>9.9296041724503272</v>
      </c>
      <c r="K227" s="370">
        <f t="shared" si="214"/>
        <v>10.996296160779288</v>
      </c>
      <c r="L227" s="370">
        <f t="shared" si="214"/>
        <v>0.3062370843423512</v>
      </c>
      <c r="M227" s="370">
        <f t="shared" si="214"/>
        <v>1.4186553429068887</v>
      </c>
      <c r="N227" s="370">
        <f t="shared" si="214"/>
        <v>4.2861180887625157</v>
      </c>
      <c r="O227" s="370">
        <f t="shared" si="214"/>
        <v>0</v>
      </c>
      <c r="P227" s="370">
        <f t="shared" si="214"/>
        <v>74.544037166037072</v>
      </c>
      <c r="Q227" s="370">
        <f t="shared" si="214"/>
        <v>0</v>
      </c>
      <c r="R227" s="370">
        <f t="shared" si="214"/>
        <v>4.5750993985926076</v>
      </c>
      <c r="S227" s="370">
        <f t="shared" si="214"/>
        <v>4.8979990597408571</v>
      </c>
      <c r="T227" s="370">
        <f t="shared" si="214"/>
        <v>1.6295509074644845</v>
      </c>
      <c r="U227" s="370">
        <f t="shared" si="214"/>
        <v>24.12072674192094</v>
      </c>
      <c r="V227" s="370">
        <f t="shared" ref="V227:BC227" si="215">V209*V$105</f>
        <v>10.747089685193904</v>
      </c>
      <c r="W227" s="370">
        <f t="shared" si="215"/>
        <v>0</v>
      </c>
      <c r="X227" s="370">
        <f t="shared" si="215"/>
        <v>0</v>
      </c>
      <c r="Y227" s="370">
        <f t="shared" si="215"/>
        <v>0</v>
      </c>
      <c r="Z227" s="370">
        <f t="shared" si="215"/>
        <v>11.896076363666579</v>
      </c>
      <c r="AA227" s="370">
        <f t="shared" si="215"/>
        <v>12.506365901615037</v>
      </c>
      <c r="AB227" s="370">
        <f t="shared" si="215"/>
        <v>19.24774372010458</v>
      </c>
      <c r="AC227" s="370">
        <f t="shared" si="215"/>
        <v>5.0592596378060524</v>
      </c>
      <c r="AD227" s="370">
        <f t="shared" si="215"/>
        <v>64.203712115248265</v>
      </c>
      <c r="AE227" s="370">
        <f t="shared" si="215"/>
        <v>122.38761858789525</v>
      </c>
      <c r="AF227" s="370">
        <f t="shared" si="215"/>
        <v>2.7762736755576785</v>
      </c>
      <c r="AG227" s="370">
        <f t="shared" si="215"/>
        <v>0</v>
      </c>
      <c r="AH227" s="370">
        <f t="shared" si="215"/>
        <v>0</v>
      </c>
      <c r="AI227" s="370">
        <f t="shared" si="215"/>
        <v>34.824927229791207</v>
      </c>
      <c r="AJ227" s="370">
        <f t="shared" si="215"/>
        <v>23.872039859868043</v>
      </c>
      <c r="AK227" s="370">
        <f t="shared" si="215"/>
        <v>0</v>
      </c>
      <c r="AL227" s="370">
        <f t="shared" si="215"/>
        <v>0</v>
      </c>
      <c r="AM227" s="370">
        <f t="shared" si="215"/>
        <v>0</v>
      </c>
      <c r="AN227" s="370">
        <f t="shared" si="215"/>
        <v>0</v>
      </c>
      <c r="AO227" s="370">
        <f t="shared" si="215"/>
        <v>0.57053806565067544</v>
      </c>
      <c r="AP227" s="370">
        <f t="shared" si="215"/>
        <v>0</v>
      </c>
      <c r="AQ227" s="370">
        <f t="shared" si="215"/>
        <v>0</v>
      </c>
      <c r="AR227" s="370">
        <f t="shared" si="215"/>
        <v>0</v>
      </c>
      <c r="AS227" s="370">
        <f t="shared" si="215"/>
        <v>0</v>
      </c>
      <c r="AT227" s="370">
        <f t="shared" si="215"/>
        <v>0</v>
      </c>
      <c r="AU227" s="370">
        <f t="shared" si="215"/>
        <v>0</v>
      </c>
      <c r="AV227" s="370">
        <f t="shared" si="215"/>
        <v>9.846103036861777</v>
      </c>
      <c r="AW227" s="370">
        <f t="shared" si="215"/>
        <v>24.553592743837125</v>
      </c>
      <c r="AX227" s="370">
        <f t="shared" si="215"/>
        <v>0</v>
      </c>
      <c r="AY227" s="370">
        <f t="shared" si="215"/>
        <v>51.816911742210984</v>
      </c>
      <c r="AZ227" s="370">
        <f t="shared" si="215"/>
        <v>253.37279145691272</v>
      </c>
      <c r="BA227" s="370">
        <f t="shared" si="215"/>
        <v>1073.2935721866047</v>
      </c>
      <c r="BB227" s="370">
        <f t="shared" si="215"/>
        <v>1237.3546220038459</v>
      </c>
      <c r="BC227" s="370">
        <f t="shared" si="215"/>
        <v>863.77963657125099</v>
      </c>
      <c r="BD227" s="370">
        <f t="shared" si="213"/>
        <v>3981.9511882805591</v>
      </c>
    </row>
    <row r="228" spans="1:56">
      <c r="A228" s="104"/>
      <c r="B228" s="9" t="s">
        <v>569</v>
      </c>
      <c r="F228" s="370">
        <f t="shared" ref="F228:U228" si="216">F210*F$105</f>
        <v>0</v>
      </c>
      <c r="G228" s="370">
        <f t="shared" si="216"/>
        <v>1.2507942963026371</v>
      </c>
      <c r="H228" s="370">
        <f t="shared" si="216"/>
        <v>55.846693016377799</v>
      </c>
      <c r="I228" s="370">
        <f t="shared" si="216"/>
        <v>0</v>
      </c>
      <c r="J228" s="370">
        <f t="shared" si="216"/>
        <v>15.089452054920052</v>
      </c>
      <c r="K228" s="370">
        <f t="shared" si="216"/>
        <v>40.867079547752894</v>
      </c>
      <c r="L228" s="370">
        <f t="shared" si="216"/>
        <v>0.34123560826719135</v>
      </c>
      <c r="M228" s="370">
        <f t="shared" si="216"/>
        <v>1.1411842919388153</v>
      </c>
      <c r="N228" s="370">
        <f t="shared" si="216"/>
        <v>18.082060686966866</v>
      </c>
      <c r="O228" s="370">
        <f t="shared" si="216"/>
        <v>0</v>
      </c>
      <c r="P228" s="370">
        <f t="shared" si="216"/>
        <v>145.90817428546083</v>
      </c>
      <c r="Q228" s="370">
        <f t="shared" si="216"/>
        <v>25.771155037623551</v>
      </c>
      <c r="R228" s="370">
        <f t="shared" si="216"/>
        <v>27.516774299924872</v>
      </c>
      <c r="S228" s="370">
        <f t="shared" si="216"/>
        <v>26.769262187890625</v>
      </c>
      <c r="T228" s="370">
        <f t="shared" si="216"/>
        <v>13.91080042957487</v>
      </c>
      <c r="U228" s="370">
        <f t="shared" si="216"/>
        <v>108.64524149607578</v>
      </c>
      <c r="V228" s="370">
        <f t="shared" ref="V228:BC228" si="217">V210*V$105</f>
        <v>5.4320801894661992</v>
      </c>
      <c r="W228" s="370">
        <f t="shared" si="217"/>
        <v>77.099102107439549</v>
      </c>
      <c r="X228" s="370">
        <f t="shared" si="217"/>
        <v>38.148029039023072</v>
      </c>
      <c r="Y228" s="370">
        <f t="shared" si="217"/>
        <v>3.1372583166605446</v>
      </c>
      <c r="Z228" s="370">
        <f t="shared" si="217"/>
        <v>47.059070955385138</v>
      </c>
      <c r="AA228" s="370">
        <f t="shared" si="217"/>
        <v>37.943920931144731</v>
      </c>
      <c r="AB228" s="370">
        <f t="shared" si="217"/>
        <v>50.832197777425172</v>
      </c>
      <c r="AC228" s="370">
        <f t="shared" si="217"/>
        <v>30.875809563063768</v>
      </c>
      <c r="AD228" s="370">
        <f t="shared" si="217"/>
        <v>95.826435992907847</v>
      </c>
      <c r="AE228" s="370">
        <f t="shared" si="217"/>
        <v>314.23744796267925</v>
      </c>
      <c r="AF228" s="370">
        <f t="shared" si="217"/>
        <v>18.911132030933238</v>
      </c>
      <c r="AG228" s="370">
        <f t="shared" si="217"/>
        <v>27.285787840587204</v>
      </c>
      <c r="AH228" s="370">
        <f t="shared" si="217"/>
        <v>26.64137281242083</v>
      </c>
      <c r="AI228" s="370">
        <f t="shared" si="217"/>
        <v>138.84824505368397</v>
      </c>
      <c r="AJ228" s="370">
        <f t="shared" si="217"/>
        <v>217.20003382068455</v>
      </c>
      <c r="AK228" s="370">
        <f t="shared" si="217"/>
        <v>57.599325662411189</v>
      </c>
      <c r="AL228" s="370">
        <f t="shared" si="217"/>
        <v>0</v>
      </c>
      <c r="AM228" s="370">
        <f t="shared" si="217"/>
        <v>0</v>
      </c>
      <c r="AN228" s="370">
        <f t="shared" si="217"/>
        <v>0</v>
      </c>
      <c r="AO228" s="370">
        <f t="shared" si="217"/>
        <v>1.5257849242335901</v>
      </c>
      <c r="AP228" s="370">
        <f t="shared" si="217"/>
        <v>15.299734907808931</v>
      </c>
      <c r="AQ228" s="370">
        <f t="shared" si="217"/>
        <v>2.7358830385807824</v>
      </c>
      <c r="AR228" s="370">
        <f t="shared" si="217"/>
        <v>0</v>
      </c>
      <c r="AS228" s="370">
        <f t="shared" si="217"/>
        <v>14.874809637405866</v>
      </c>
      <c r="AT228" s="370">
        <f t="shared" si="217"/>
        <v>0</v>
      </c>
      <c r="AU228" s="370">
        <f t="shared" si="217"/>
        <v>9.7575612953930033</v>
      </c>
      <c r="AV228" s="370">
        <f t="shared" si="217"/>
        <v>19.832864688535867</v>
      </c>
      <c r="AW228" s="370">
        <f t="shared" si="217"/>
        <v>44.270543039206963</v>
      </c>
      <c r="AX228" s="370">
        <f t="shared" si="217"/>
        <v>0</v>
      </c>
      <c r="AY228" s="370">
        <f t="shared" si="217"/>
        <v>78.52997804409614</v>
      </c>
      <c r="AZ228" s="370">
        <f t="shared" si="217"/>
        <v>482.91798684452851</v>
      </c>
      <c r="BA228" s="370">
        <f t="shared" si="217"/>
        <v>2690.8168881390989</v>
      </c>
      <c r="BB228" s="370">
        <f t="shared" si="217"/>
        <v>2393.9725549139162</v>
      </c>
      <c r="BC228" s="370">
        <f t="shared" si="217"/>
        <v>2712.0847634201323</v>
      </c>
      <c r="BD228" s="370">
        <f t="shared" si="213"/>
        <v>10134.83651018793</v>
      </c>
    </row>
    <row r="229" spans="1:56">
      <c r="A229" s="104"/>
      <c r="B229" s="9" t="s">
        <v>570</v>
      </c>
      <c r="F229" s="370">
        <f t="shared" ref="F229:U229" si="218">F211*F$105</f>
        <v>0</v>
      </c>
      <c r="G229" s="370">
        <f t="shared" si="218"/>
        <v>7.880004066706614</v>
      </c>
      <c r="H229" s="370">
        <f t="shared" si="218"/>
        <v>262.19499663730841</v>
      </c>
      <c r="I229" s="370">
        <f t="shared" si="218"/>
        <v>0.20515953229432435</v>
      </c>
      <c r="J229" s="370">
        <f t="shared" si="218"/>
        <v>44.912485114403111</v>
      </c>
      <c r="K229" s="370">
        <f t="shared" si="218"/>
        <v>130.88305595837269</v>
      </c>
      <c r="L229" s="370">
        <f t="shared" si="218"/>
        <v>0.9095241404967831</v>
      </c>
      <c r="M229" s="370">
        <f t="shared" si="218"/>
        <v>17.673431579583625</v>
      </c>
      <c r="N229" s="370">
        <f t="shared" si="218"/>
        <v>115.72518839658794</v>
      </c>
      <c r="O229" s="370">
        <f t="shared" si="218"/>
        <v>0</v>
      </c>
      <c r="P229" s="370">
        <f t="shared" si="218"/>
        <v>509.02996704176195</v>
      </c>
      <c r="Q229" s="370">
        <f t="shared" si="218"/>
        <v>24.222016961150448</v>
      </c>
      <c r="R229" s="370">
        <f t="shared" si="218"/>
        <v>81.088078854851076</v>
      </c>
      <c r="S229" s="370">
        <f t="shared" si="218"/>
        <v>206.56130044836061</v>
      </c>
      <c r="T229" s="370">
        <f t="shared" si="218"/>
        <v>32.234931099140049</v>
      </c>
      <c r="U229" s="370">
        <f t="shared" si="218"/>
        <v>454.93079312897606</v>
      </c>
      <c r="V229" s="370">
        <f t="shared" ref="V229:BC229" si="219">V211*V$105</f>
        <v>64.634979099605886</v>
      </c>
      <c r="W229" s="370">
        <f t="shared" si="219"/>
        <v>349.42966686896159</v>
      </c>
      <c r="X229" s="370">
        <f t="shared" si="219"/>
        <v>237.6440551849999</v>
      </c>
      <c r="Y229" s="370">
        <f t="shared" si="219"/>
        <v>74.597031085039603</v>
      </c>
      <c r="Z229" s="370">
        <f t="shared" si="219"/>
        <v>358.27808549855774</v>
      </c>
      <c r="AA229" s="370">
        <f t="shared" si="219"/>
        <v>287.10351313763192</v>
      </c>
      <c r="AB229" s="370">
        <f t="shared" si="219"/>
        <v>312.34232771025569</v>
      </c>
      <c r="AC229" s="370">
        <f t="shared" si="219"/>
        <v>153.53313522454997</v>
      </c>
      <c r="AD229" s="370">
        <f t="shared" si="219"/>
        <v>297.06195157801432</v>
      </c>
      <c r="AE229" s="370">
        <f t="shared" si="219"/>
        <v>1226.1439548318622</v>
      </c>
      <c r="AF229" s="370">
        <f t="shared" si="219"/>
        <v>93.464911133783488</v>
      </c>
      <c r="AG229" s="370">
        <f t="shared" si="219"/>
        <v>269.41171436586626</v>
      </c>
      <c r="AH229" s="370">
        <f t="shared" si="219"/>
        <v>198.01504411033048</v>
      </c>
      <c r="AI229" s="370">
        <f t="shared" si="219"/>
        <v>728.39267590399868</v>
      </c>
      <c r="AJ229" s="370">
        <f t="shared" si="219"/>
        <v>892.52832361490994</v>
      </c>
      <c r="AK229" s="370">
        <f t="shared" si="219"/>
        <v>315.82977471133034</v>
      </c>
      <c r="AL229" s="370">
        <f t="shared" si="219"/>
        <v>0</v>
      </c>
      <c r="AM229" s="370">
        <f t="shared" si="219"/>
        <v>0</v>
      </c>
      <c r="AN229" s="370">
        <f t="shared" si="219"/>
        <v>0</v>
      </c>
      <c r="AO229" s="370">
        <f t="shared" si="219"/>
        <v>6.1155902534057658</v>
      </c>
      <c r="AP229" s="370">
        <f t="shared" si="219"/>
        <v>85.73008414479952</v>
      </c>
      <c r="AQ229" s="370">
        <f t="shared" si="219"/>
        <v>36.621213275719278</v>
      </c>
      <c r="AR229" s="370">
        <f t="shared" si="219"/>
        <v>1.4614629289465904</v>
      </c>
      <c r="AS229" s="370">
        <f t="shared" si="219"/>
        <v>36.009901852212572</v>
      </c>
      <c r="AT229" s="370">
        <f t="shared" si="219"/>
        <v>192.89893230916221</v>
      </c>
      <c r="AU229" s="370">
        <f t="shared" si="219"/>
        <v>36.684991682555975</v>
      </c>
      <c r="AV229" s="370">
        <f t="shared" si="219"/>
        <v>79.681488174778352</v>
      </c>
      <c r="AW229" s="370">
        <f t="shared" si="219"/>
        <v>156.84618579516206</v>
      </c>
      <c r="AX229" s="370">
        <f t="shared" si="219"/>
        <v>0</v>
      </c>
      <c r="AY229" s="370">
        <f t="shared" si="219"/>
        <v>254.36044959237168</v>
      </c>
      <c r="AZ229" s="370">
        <f t="shared" si="219"/>
        <v>3469.2356999453859</v>
      </c>
      <c r="BA229" s="370">
        <f t="shared" si="219"/>
        <v>7802.5587155257354</v>
      </c>
      <c r="BB229" s="370">
        <f t="shared" si="219"/>
        <v>4815.5239898743093</v>
      </c>
      <c r="BC229" s="370">
        <f t="shared" si="219"/>
        <v>6312.6196957300772</v>
      </c>
      <c r="BD229" s="370">
        <f t="shared" si="213"/>
        <v>31033.210478104313</v>
      </c>
    </row>
    <row r="230" spans="1:56">
      <c r="A230" s="104"/>
      <c r="B230" s="9" t="s">
        <v>571</v>
      </c>
      <c r="F230" s="370">
        <f t="shared" ref="F230:U230" si="220">F212*F$105</f>
        <v>0</v>
      </c>
      <c r="G230" s="370">
        <f t="shared" si="220"/>
        <v>18.572649518125342</v>
      </c>
      <c r="H230" s="370">
        <f t="shared" si="220"/>
        <v>866.99710325865658</v>
      </c>
      <c r="I230" s="370">
        <f t="shared" si="220"/>
        <v>0.24171523077585846</v>
      </c>
      <c r="J230" s="370">
        <f t="shared" si="220"/>
        <v>328.66623404752562</v>
      </c>
      <c r="K230" s="370">
        <f t="shared" si="220"/>
        <v>274.58436451420567</v>
      </c>
      <c r="L230" s="370">
        <f t="shared" si="220"/>
        <v>0.45935562651352679</v>
      </c>
      <c r="M230" s="370">
        <f t="shared" si="220"/>
        <v>34.890642810166241</v>
      </c>
      <c r="N230" s="370">
        <f t="shared" si="220"/>
        <v>397.25739388033264</v>
      </c>
      <c r="O230" s="370">
        <f t="shared" si="220"/>
        <v>0</v>
      </c>
      <c r="P230" s="370">
        <f t="shared" si="220"/>
        <v>679.08520872457893</v>
      </c>
      <c r="Q230" s="370">
        <f t="shared" si="220"/>
        <v>193.32934064416443</v>
      </c>
      <c r="R230" s="370">
        <f t="shared" si="220"/>
        <v>172.04501691916855</v>
      </c>
      <c r="S230" s="370">
        <f t="shared" si="220"/>
        <v>324.13548021178059</v>
      </c>
      <c r="T230" s="370">
        <f t="shared" si="220"/>
        <v>68.40756384904256</v>
      </c>
      <c r="U230" s="370">
        <f t="shared" si="220"/>
        <v>570.85015906646004</v>
      </c>
      <c r="V230" s="370">
        <f t="shared" ref="V230:BC230" si="221">V212*V$105</f>
        <v>107.21360840714492</v>
      </c>
      <c r="W230" s="370">
        <f t="shared" si="221"/>
        <v>1325.9032690351798</v>
      </c>
      <c r="X230" s="370">
        <f t="shared" si="221"/>
        <v>737.65275568474806</v>
      </c>
      <c r="Y230" s="370">
        <f t="shared" si="221"/>
        <v>130.54066039016482</v>
      </c>
      <c r="Z230" s="370">
        <f t="shared" si="221"/>
        <v>632.51537806311626</v>
      </c>
      <c r="AA230" s="370">
        <f t="shared" si="221"/>
        <v>703.547109952141</v>
      </c>
      <c r="AB230" s="370">
        <f t="shared" si="221"/>
        <v>587.32694683050624</v>
      </c>
      <c r="AC230" s="370">
        <f t="shared" si="221"/>
        <v>341.02618307850804</v>
      </c>
      <c r="AD230" s="370">
        <f t="shared" si="221"/>
        <v>728.64947676145709</v>
      </c>
      <c r="AE230" s="370">
        <f t="shared" si="221"/>
        <v>1275.2326979140003</v>
      </c>
      <c r="AF230" s="370">
        <f t="shared" si="221"/>
        <v>155.1936984636742</v>
      </c>
      <c r="AG230" s="370">
        <f t="shared" si="221"/>
        <v>513.08723443323925</v>
      </c>
      <c r="AH230" s="370">
        <f t="shared" si="221"/>
        <v>356.65726720331901</v>
      </c>
      <c r="AI230" s="370">
        <f t="shared" si="221"/>
        <v>1805.1198044411542</v>
      </c>
      <c r="AJ230" s="370">
        <f t="shared" si="221"/>
        <v>1719.1262273398795</v>
      </c>
      <c r="AK230" s="370">
        <f t="shared" si="221"/>
        <v>678.55586967371642</v>
      </c>
      <c r="AL230" s="370">
        <f t="shared" si="221"/>
        <v>0</v>
      </c>
      <c r="AM230" s="370">
        <f t="shared" si="221"/>
        <v>0</v>
      </c>
      <c r="AN230" s="370">
        <f t="shared" si="221"/>
        <v>0</v>
      </c>
      <c r="AO230" s="370">
        <f t="shared" si="221"/>
        <v>10.170660881607652</v>
      </c>
      <c r="AP230" s="370">
        <f t="shared" si="221"/>
        <v>132.83990391984923</v>
      </c>
      <c r="AQ230" s="370">
        <f t="shared" si="221"/>
        <v>48.099727441956475</v>
      </c>
      <c r="AR230" s="370">
        <f t="shared" si="221"/>
        <v>4.5205845206218127</v>
      </c>
      <c r="AS230" s="370">
        <f t="shared" si="221"/>
        <v>27.502444453948211</v>
      </c>
      <c r="AT230" s="370">
        <f t="shared" si="221"/>
        <v>431.04777973682332</v>
      </c>
      <c r="AU230" s="370">
        <f t="shared" si="221"/>
        <v>76.982285052062764</v>
      </c>
      <c r="AV230" s="370">
        <f t="shared" si="221"/>
        <v>121.31680386445451</v>
      </c>
      <c r="AW230" s="370">
        <f t="shared" si="221"/>
        <v>116.28874369584011</v>
      </c>
      <c r="AX230" s="370">
        <f t="shared" si="221"/>
        <v>0</v>
      </c>
      <c r="AY230" s="370">
        <f t="shared" si="221"/>
        <v>181.52753559914308</v>
      </c>
      <c r="AZ230" s="370">
        <f t="shared" si="221"/>
        <v>11243.124655414589</v>
      </c>
      <c r="BA230" s="370">
        <f t="shared" si="221"/>
        <v>9175.5285308295606</v>
      </c>
      <c r="BB230" s="370">
        <f t="shared" si="221"/>
        <v>7665.9171281480858</v>
      </c>
      <c r="BC230" s="370">
        <f t="shared" si="221"/>
        <v>5757.0884406906325</v>
      </c>
      <c r="BD230" s="370">
        <f t="shared" si="213"/>
        <v>50718.825640222625</v>
      </c>
    </row>
    <row r="231" spans="1:56">
      <c r="A231" s="104"/>
      <c r="B231" s="9" t="s">
        <v>567</v>
      </c>
      <c r="F231" s="370">
        <f t="shared" ref="F231:BC231" si="222">F213*F$105</f>
        <v>343.03289723105161</v>
      </c>
      <c r="G231" s="370">
        <f t="shared" si="222"/>
        <v>35826.315055633961</v>
      </c>
      <c r="H231" s="370">
        <f t="shared" si="222"/>
        <v>223056.82331313344</v>
      </c>
      <c r="I231" s="370">
        <f t="shared" si="222"/>
        <v>7.6979586690144934</v>
      </c>
      <c r="J231" s="370">
        <f t="shared" si="222"/>
        <v>135844.88047454084</v>
      </c>
      <c r="K231" s="370">
        <f t="shared" si="222"/>
        <v>17707.366244916648</v>
      </c>
      <c r="L231" s="370">
        <f t="shared" si="222"/>
        <v>317.205184258847</v>
      </c>
      <c r="M231" s="370">
        <f t="shared" si="222"/>
        <v>2276.7817119340975</v>
      </c>
      <c r="N231" s="370">
        <f t="shared" si="222"/>
        <v>6601.0358567369394</v>
      </c>
      <c r="O231" s="370">
        <f t="shared" si="222"/>
        <v>90.03045748214268</v>
      </c>
      <c r="P231" s="370">
        <f t="shared" si="222"/>
        <v>10752.154250254347</v>
      </c>
      <c r="Q231" s="370">
        <f t="shared" si="222"/>
        <v>26720.334153539741</v>
      </c>
      <c r="R231" s="370">
        <f t="shared" si="222"/>
        <v>14109.38335596998</v>
      </c>
      <c r="S231" s="370">
        <f t="shared" si="222"/>
        <v>33630.567394143152</v>
      </c>
      <c r="T231" s="370">
        <f t="shared" si="222"/>
        <v>35338.861553479277</v>
      </c>
      <c r="U231" s="370">
        <f t="shared" si="222"/>
        <v>16732.241717890542</v>
      </c>
      <c r="V231" s="370">
        <f t="shared" si="222"/>
        <v>49418.149987321383</v>
      </c>
      <c r="W231" s="370">
        <f t="shared" si="222"/>
        <v>187973.57519387643</v>
      </c>
      <c r="X231" s="370">
        <f t="shared" si="222"/>
        <v>258476.12458860799</v>
      </c>
      <c r="Y231" s="370">
        <f t="shared" si="222"/>
        <v>79524.859962834351</v>
      </c>
      <c r="Z231" s="370">
        <f t="shared" si="222"/>
        <v>19979.605302405533</v>
      </c>
      <c r="AA231" s="370">
        <f t="shared" si="222"/>
        <v>111127.38128113728</v>
      </c>
      <c r="AB231" s="370">
        <f t="shared" si="222"/>
        <v>80599.337152176755</v>
      </c>
      <c r="AC231" s="370">
        <f t="shared" si="222"/>
        <v>20406.629583437021</v>
      </c>
      <c r="AD231" s="370">
        <f t="shared" si="222"/>
        <v>102012.14300521468</v>
      </c>
      <c r="AE231" s="370">
        <f t="shared" si="222"/>
        <v>33739.741266833444</v>
      </c>
      <c r="AF231" s="370">
        <f t="shared" si="222"/>
        <v>15898.67187114397</v>
      </c>
      <c r="AG231" s="370">
        <f t="shared" si="222"/>
        <v>32090.955581603528</v>
      </c>
      <c r="AH231" s="370">
        <f t="shared" si="222"/>
        <v>43738.564449022357</v>
      </c>
      <c r="AI231" s="370">
        <f t="shared" si="222"/>
        <v>227701.7265680476</v>
      </c>
      <c r="AJ231" s="370">
        <f t="shared" si="222"/>
        <v>89667.752094904543</v>
      </c>
      <c r="AK231" s="370">
        <f t="shared" si="222"/>
        <v>358881.4351927095</v>
      </c>
      <c r="AL231" s="370">
        <f t="shared" si="222"/>
        <v>839.01622450575871</v>
      </c>
      <c r="AM231" s="370">
        <f t="shared" si="222"/>
        <v>0</v>
      </c>
      <c r="AN231" s="370">
        <f t="shared" si="222"/>
        <v>153.19830380649529</v>
      </c>
      <c r="AO231" s="370">
        <f t="shared" si="222"/>
        <v>1980.1598734964509</v>
      </c>
      <c r="AP231" s="370">
        <f t="shared" si="222"/>
        <v>22631.245607037639</v>
      </c>
      <c r="AQ231" s="370">
        <f t="shared" si="222"/>
        <v>31734.835567021662</v>
      </c>
      <c r="AR231" s="370">
        <f t="shared" si="222"/>
        <v>680.48087082039183</v>
      </c>
      <c r="AS231" s="370">
        <f t="shared" si="222"/>
        <v>14146.430799827756</v>
      </c>
      <c r="AT231" s="370">
        <f t="shared" si="222"/>
        <v>89227.588614980923</v>
      </c>
      <c r="AU231" s="370">
        <f t="shared" si="222"/>
        <v>19853.286282335066</v>
      </c>
      <c r="AV231" s="370">
        <f t="shared" si="222"/>
        <v>31440.354032050887</v>
      </c>
      <c r="AW231" s="370">
        <f t="shared" si="222"/>
        <v>20809.011549353818</v>
      </c>
      <c r="AX231" s="370">
        <f t="shared" si="222"/>
        <v>0</v>
      </c>
      <c r="AY231" s="370">
        <f t="shared" si="222"/>
        <v>21164.095124461659</v>
      </c>
      <c r="AZ231" s="370">
        <f t="shared" si="222"/>
        <v>40087.332727943191</v>
      </c>
      <c r="BA231" s="370">
        <f t="shared" si="222"/>
        <v>89439.684897090599</v>
      </c>
      <c r="BB231" s="370">
        <f t="shared" si="222"/>
        <v>164115.17937586608</v>
      </c>
      <c r="BC231" s="370">
        <f t="shared" si="222"/>
        <v>33875.632950001644</v>
      </c>
      <c r="BD231" s="370">
        <f t="shared" si="213"/>
        <v>2852768.8974616895</v>
      </c>
    </row>
    <row r="232" spans="1:56">
      <c r="A232" s="104"/>
      <c r="F232" s="370"/>
      <c r="G232" s="370"/>
      <c r="H232" s="370"/>
      <c r="I232" s="370"/>
      <c r="J232" s="370"/>
      <c r="K232" s="370"/>
      <c r="L232" s="370"/>
      <c r="M232" s="370"/>
      <c r="N232" s="370"/>
      <c r="O232" s="370"/>
      <c r="P232" s="370"/>
      <c r="Q232" s="370"/>
      <c r="R232" s="370"/>
      <c r="S232" s="370"/>
      <c r="T232" s="370"/>
      <c r="U232" s="370"/>
      <c r="V232" s="370"/>
      <c r="W232" s="370"/>
      <c r="X232" s="370"/>
      <c r="Y232" s="370"/>
      <c r="Z232" s="370"/>
      <c r="AA232" s="370"/>
      <c r="AB232" s="370"/>
      <c r="AC232" s="370"/>
      <c r="AD232" s="370"/>
      <c r="AE232" s="370"/>
      <c r="AF232" s="370"/>
      <c r="AG232" s="370"/>
      <c r="AH232" s="370"/>
      <c r="AI232" s="370"/>
      <c r="AJ232" s="370"/>
      <c r="AK232" s="370"/>
      <c r="AL232" s="370"/>
      <c r="AM232" s="370"/>
      <c r="AN232" s="370"/>
      <c r="AO232" s="370"/>
      <c r="AP232" s="370"/>
      <c r="AQ232" s="370"/>
      <c r="AR232" s="370"/>
      <c r="AS232" s="370"/>
      <c r="AT232" s="370"/>
      <c r="AU232" s="370"/>
      <c r="AV232" s="370"/>
      <c r="AW232" s="370"/>
      <c r="AX232" s="370"/>
      <c r="AY232" s="370"/>
      <c r="AZ232" s="370"/>
      <c r="BA232" s="370"/>
      <c r="BB232" s="370"/>
      <c r="BC232" s="370"/>
      <c r="BD232" s="370"/>
    </row>
    <row r="233" spans="1:56">
      <c r="A233" s="104"/>
      <c r="B233" s="121" t="s">
        <v>267</v>
      </c>
      <c r="D233" s="171" t="s">
        <v>531</v>
      </c>
      <c r="F233" s="370"/>
      <c r="G233" s="370"/>
      <c r="H233" s="370"/>
      <c r="I233" s="370"/>
      <c r="J233" s="370"/>
      <c r="K233" s="370"/>
      <c r="L233" s="370"/>
      <c r="M233" s="370"/>
      <c r="N233" s="370"/>
      <c r="O233" s="370"/>
      <c r="P233" s="370"/>
      <c r="Q233" s="370"/>
      <c r="R233" s="370"/>
      <c r="S233" s="370"/>
      <c r="T233" s="370"/>
      <c r="U233" s="370"/>
      <c r="V233" s="370"/>
      <c r="W233" s="370"/>
      <c r="X233" s="370"/>
      <c r="Y233" s="370"/>
      <c r="Z233" s="370"/>
      <c r="AA233" s="370"/>
      <c r="AB233" s="370"/>
      <c r="AC233" s="370"/>
      <c r="AD233" s="370"/>
      <c r="AE233" s="370"/>
      <c r="AF233" s="370"/>
      <c r="AG233" s="370"/>
      <c r="AH233" s="370"/>
      <c r="AI233" s="370"/>
      <c r="AJ233" s="370"/>
      <c r="AK233" s="370"/>
      <c r="AL233" s="370"/>
      <c r="AM233" s="370"/>
      <c r="AN233" s="370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70"/>
      <c r="BC233" s="370"/>
      <c r="BD233" s="370"/>
    </row>
    <row r="234" spans="1:56">
      <c r="A234" s="104"/>
      <c r="B234" s="9" t="s">
        <v>586</v>
      </c>
      <c r="F234" s="402">
        <f>F216*F$105</f>
        <v>0</v>
      </c>
      <c r="G234" s="402">
        <f t="shared" ref="G234:BC234" si="223">G216*G$105</f>
        <v>0</v>
      </c>
      <c r="H234" s="402">
        <f t="shared" si="223"/>
        <v>5.6880891035199612</v>
      </c>
      <c r="I234" s="402">
        <f t="shared" si="223"/>
        <v>0</v>
      </c>
      <c r="J234" s="402">
        <f t="shared" si="223"/>
        <v>0</v>
      </c>
      <c r="K234" s="402">
        <f t="shared" si="223"/>
        <v>0</v>
      </c>
      <c r="L234" s="402">
        <f t="shared" si="223"/>
        <v>0</v>
      </c>
      <c r="M234" s="402">
        <f t="shared" si="223"/>
        <v>0</v>
      </c>
      <c r="N234" s="402">
        <f t="shared" si="223"/>
        <v>0</v>
      </c>
      <c r="O234" s="402">
        <f t="shared" si="223"/>
        <v>0</v>
      </c>
      <c r="P234" s="402">
        <f t="shared" si="223"/>
        <v>3.9962400675756462</v>
      </c>
      <c r="Q234" s="402">
        <f t="shared" si="223"/>
        <v>0</v>
      </c>
      <c r="R234" s="402">
        <f t="shared" si="223"/>
        <v>0</v>
      </c>
      <c r="S234" s="402">
        <f t="shared" si="223"/>
        <v>0</v>
      </c>
      <c r="T234" s="402">
        <f t="shared" si="223"/>
        <v>0</v>
      </c>
      <c r="U234" s="402">
        <f t="shared" si="223"/>
        <v>0</v>
      </c>
      <c r="V234" s="402">
        <f t="shared" si="223"/>
        <v>0</v>
      </c>
      <c r="W234" s="402">
        <f t="shared" si="223"/>
        <v>0</v>
      </c>
      <c r="X234" s="402">
        <f t="shared" si="223"/>
        <v>0</v>
      </c>
      <c r="Y234" s="402">
        <f t="shared" si="223"/>
        <v>0</v>
      </c>
      <c r="Z234" s="402">
        <f t="shared" si="223"/>
        <v>0</v>
      </c>
      <c r="AA234" s="402">
        <f t="shared" si="223"/>
        <v>0</v>
      </c>
      <c r="AB234" s="402">
        <f t="shared" si="223"/>
        <v>0</v>
      </c>
      <c r="AC234" s="402">
        <f t="shared" si="223"/>
        <v>0</v>
      </c>
      <c r="AD234" s="402">
        <f t="shared" si="223"/>
        <v>0</v>
      </c>
      <c r="AE234" s="402">
        <f t="shared" si="223"/>
        <v>0</v>
      </c>
      <c r="AF234" s="402">
        <f t="shared" si="223"/>
        <v>0</v>
      </c>
      <c r="AG234" s="402">
        <f t="shared" si="223"/>
        <v>0</v>
      </c>
      <c r="AH234" s="402">
        <f t="shared" si="223"/>
        <v>0</v>
      </c>
      <c r="AI234" s="402">
        <f t="shared" si="223"/>
        <v>0</v>
      </c>
      <c r="AJ234" s="402">
        <f t="shared" si="223"/>
        <v>0</v>
      </c>
      <c r="AK234" s="402">
        <f t="shared" si="223"/>
        <v>0</v>
      </c>
      <c r="AL234" s="402">
        <f t="shared" si="223"/>
        <v>0</v>
      </c>
      <c r="AM234" s="402">
        <f t="shared" si="223"/>
        <v>0</v>
      </c>
      <c r="AN234" s="402">
        <f t="shared" si="223"/>
        <v>0</v>
      </c>
      <c r="AO234" s="402">
        <f t="shared" si="223"/>
        <v>0</v>
      </c>
      <c r="AP234" s="402">
        <f t="shared" si="223"/>
        <v>0</v>
      </c>
      <c r="AQ234" s="402">
        <f t="shared" si="223"/>
        <v>0</v>
      </c>
      <c r="AR234" s="402">
        <f t="shared" si="223"/>
        <v>0</v>
      </c>
      <c r="AS234" s="402">
        <f t="shared" si="223"/>
        <v>0</v>
      </c>
      <c r="AT234" s="402">
        <f t="shared" si="223"/>
        <v>0</v>
      </c>
      <c r="AU234" s="402">
        <f t="shared" si="223"/>
        <v>0</v>
      </c>
      <c r="AV234" s="402">
        <f t="shared" si="223"/>
        <v>0</v>
      </c>
      <c r="AW234" s="402">
        <f t="shared" si="223"/>
        <v>0</v>
      </c>
      <c r="AX234" s="402">
        <f t="shared" si="223"/>
        <v>0</v>
      </c>
      <c r="AY234" s="402">
        <f t="shared" si="223"/>
        <v>0</v>
      </c>
      <c r="AZ234" s="402">
        <f t="shared" si="223"/>
        <v>14.809003336294442</v>
      </c>
      <c r="BA234" s="402">
        <f t="shared" si="223"/>
        <v>24.579242111143618</v>
      </c>
      <c r="BB234" s="402">
        <f t="shared" si="223"/>
        <v>17.547199446240537</v>
      </c>
      <c r="BC234" s="402">
        <f t="shared" si="223"/>
        <v>0</v>
      </c>
      <c r="BD234" s="402">
        <f t="shared" ref="BD234" si="224">BD216*BD$105</f>
        <v>11.016806337318764</v>
      </c>
    </row>
    <row r="235" spans="1:56">
      <c r="A235" s="104"/>
      <c r="B235" s="9" t="s">
        <v>587</v>
      </c>
      <c r="F235" s="402">
        <f t="shared" ref="F235:U235" si="225">F217*F$105</f>
        <v>0</v>
      </c>
      <c r="G235" s="402">
        <f t="shared" si="225"/>
        <v>0</v>
      </c>
      <c r="H235" s="402">
        <f t="shared" si="225"/>
        <v>5.6880891035199612</v>
      </c>
      <c r="I235" s="402">
        <f t="shared" si="225"/>
        <v>0</v>
      </c>
      <c r="J235" s="402">
        <f t="shared" si="225"/>
        <v>0</v>
      </c>
      <c r="K235" s="402">
        <f t="shared" si="225"/>
        <v>0</v>
      </c>
      <c r="L235" s="402">
        <f t="shared" si="225"/>
        <v>0</v>
      </c>
      <c r="M235" s="402">
        <f t="shared" si="225"/>
        <v>0</v>
      </c>
      <c r="N235" s="402">
        <f t="shared" si="225"/>
        <v>0</v>
      </c>
      <c r="O235" s="402">
        <f t="shared" si="225"/>
        <v>0</v>
      </c>
      <c r="P235" s="402">
        <f t="shared" si="225"/>
        <v>3.9962400675756466</v>
      </c>
      <c r="Q235" s="402">
        <f t="shared" si="225"/>
        <v>0</v>
      </c>
      <c r="R235" s="402">
        <f t="shared" si="225"/>
        <v>0</v>
      </c>
      <c r="S235" s="402">
        <f t="shared" si="225"/>
        <v>0</v>
      </c>
      <c r="T235" s="402">
        <f t="shared" si="225"/>
        <v>0</v>
      </c>
      <c r="U235" s="402">
        <f t="shared" si="225"/>
        <v>5.0037677815687056</v>
      </c>
      <c r="V235" s="402">
        <f t="shared" ref="V235:BC235" si="226">V217*V$105</f>
        <v>3.1843228696870827</v>
      </c>
      <c r="W235" s="402">
        <f t="shared" si="226"/>
        <v>0</v>
      </c>
      <c r="X235" s="402">
        <f t="shared" si="226"/>
        <v>8.4470635729265382</v>
      </c>
      <c r="Y235" s="402">
        <f t="shared" si="226"/>
        <v>0</v>
      </c>
      <c r="Z235" s="402">
        <f t="shared" si="226"/>
        <v>5.3050070270405003</v>
      </c>
      <c r="AA235" s="402">
        <f t="shared" si="226"/>
        <v>0</v>
      </c>
      <c r="AB235" s="402">
        <f t="shared" si="226"/>
        <v>7.0575060307050128</v>
      </c>
      <c r="AC235" s="402">
        <f t="shared" si="226"/>
        <v>0</v>
      </c>
      <c r="AD235" s="402">
        <f t="shared" si="226"/>
        <v>0</v>
      </c>
      <c r="AE235" s="402">
        <f t="shared" si="226"/>
        <v>13.634269436397242</v>
      </c>
      <c r="AF235" s="402">
        <f t="shared" si="226"/>
        <v>0</v>
      </c>
      <c r="AG235" s="402">
        <f t="shared" si="226"/>
        <v>4.41477915622984</v>
      </c>
      <c r="AH235" s="402">
        <f t="shared" si="226"/>
        <v>0</v>
      </c>
      <c r="AI235" s="402">
        <f t="shared" si="226"/>
        <v>6.4029958795515585</v>
      </c>
      <c r="AJ235" s="402">
        <f t="shared" si="226"/>
        <v>0</v>
      </c>
      <c r="AK235" s="402">
        <f t="shared" si="226"/>
        <v>0</v>
      </c>
      <c r="AL235" s="402">
        <f t="shared" si="226"/>
        <v>0</v>
      </c>
      <c r="AM235" s="402">
        <f t="shared" si="226"/>
        <v>0</v>
      </c>
      <c r="AN235" s="402">
        <f t="shared" si="226"/>
        <v>0</v>
      </c>
      <c r="AO235" s="402">
        <f t="shared" si="226"/>
        <v>0</v>
      </c>
      <c r="AP235" s="402">
        <f t="shared" si="226"/>
        <v>0</v>
      </c>
      <c r="AQ235" s="402">
        <f t="shared" si="226"/>
        <v>0</v>
      </c>
      <c r="AR235" s="402">
        <f t="shared" si="226"/>
        <v>0</v>
      </c>
      <c r="AS235" s="402">
        <f t="shared" si="226"/>
        <v>0</v>
      </c>
      <c r="AT235" s="402">
        <f t="shared" si="226"/>
        <v>0</v>
      </c>
      <c r="AU235" s="402">
        <f t="shared" si="226"/>
        <v>0</v>
      </c>
      <c r="AV235" s="402">
        <f t="shared" si="226"/>
        <v>0</v>
      </c>
      <c r="AW235" s="402">
        <f t="shared" si="226"/>
        <v>0</v>
      </c>
      <c r="AX235" s="402">
        <f t="shared" si="226"/>
        <v>0</v>
      </c>
      <c r="AY235" s="402">
        <f t="shared" si="226"/>
        <v>11.034657336406951</v>
      </c>
      <c r="AZ235" s="402">
        <f t="shared" si="226"/>
        <v>14.80900333629444</v>
      </c>
      <c r="BA235" s="402">
        <f t="shared" si="226"/>
        <v>24.579242111143621</v>
      </c>
      <c r="BB235" s="402">
        <f t="shared" si="226"/>
        <v>17.547199446240537</v>
      </c>
      <c r="BC235" s="402">
        <f t="shared" si="226"/>
        <v>16.706613218387368</v>
      </c>
      <c r="BD235" s="402">
        <f t="shared" ref="BD235" si="227">BD217*BD$105</f>
        <v>8.6281261179129611</v>
      </c>
    </row>
    <row r="236" spans="1:56">
      <c r="A236" s="104"/>
      <c r="B236" s="9" t="s">
        <v>568</v>
      </c>
      <c r="F236" s="402">
        <f t="shared" ref="F236:U236" si="228">F218*F$105</f>
        <v>0</v>
      </c>
      <c r="G236" s="402">
        <f t="shared" si="228"/>
        <v>0</v>
      </c>
      <c r="H236" s="402">
        <f t="shared" si="228"/>
        <v>5.6880891035199612</v>
      </c>
      <c r="I236" s="402">
        <f t="shared" si="228"/>
        <v>0</v>
      </c>
      <c r="J236" s="402">
        <f t="shared" si="228"/>
        <v>7.1369029989486723</v>
      </c>
      <c r="K236" s="402">
        <f t="shared" si="228"/>
        <v>3.5526495288671547</v>
      </c>
      <c r="L236" s="402">
        <f t="shared" si="228"/>
        <v>0.12249483373694046</v>
      </c>
      <c r="M236" s="402">
        <f t="shared" si="228"/>
        <v>1.3822795648836352</v>
      </c>
      <c r="N236" s="402">
        <f t="shared" si="228"/>
        <v>9.6437656997156616</v>
      </c>
      <c r="O236" s="402">
        <f t="shared" si="228"/>
        <v>0</v>
      </c>
      <c r="P236" s="402">
        <f t="shared" si="228"/>
        <v>3.9962400675756466</v>
      </c>
      <c r="Q236" s="402">
        <f t="shared" si="228"/>
        <v>0</v>
      </c>
      <c r="R236" s="402">
        <f t="shared" si="228"/>
        <v>2.4221114463137332</v>
      </c>
      <c r="S236" s="402">
        <f t="shared" si="228"/>
        <v>4.8979990597408571</v>
      </c>
      <c r="T236" s="402">
        <f t="shared" si="228"/>
        <v>2.5348569671669763</v>
      </c>
      <c r="U236" s="402">
        <f t="shared" si="228"/>
        <v>5.0037677815687056</v>
      </c>
      <c r="V236" s="402">
        <f t="shared" ref="V236:BC236" si="229">V218*V$105</f>
        <v>3.1843228696870827</v>
      </c>
      <c r="W236" s="402">
        <f t="shared" si="229"/>
        <v>0</v>
      </c>
      <c r="X236" s="402">
        <f t="shared" si="229"/>
        <v>0</v>
      </c>
      <c r="Y236" s="402">
        <f t="shared" si="229"/>
        <v>0</v>
      </c>
      <c r="Z236" s="402">
        <f t="shared" si="229"/>
        <v>5.3050070270405012</v>
      </c>
      <c r="AA236" s="402">
        <f t="shared" si="229"/>
        <v>4.8826223040551859</v>
      </c>
      <c r="AB236" s="402">
        <f t="shared" si="229"/>
        <v>7.0575060307050128</v>
      </c>
      <c r="AC236" s="402">
        <f t="shared" si="229"/>
        <v>5.2251370029800217</v>
      </c>
      <c r="AD236" s="402">
        <f t="shared" si="229"/>
        <v>7.1869826994680892</v>
      </c>
      <c r="AE236" s="402">
        <f t="shared" si="229"/>
        <v>13.634269436397242</v>
      </c>
      <c r="AF236" s="402">
        <f t="shared" si="229"/>
        <v>3.208138469533317</v>
      </c>
      <c r="AG236" s="402">
        <f t="shared" si="229"/>
        <v>0</v>
      </c>
      <c r="AH236" s="402">
        <f t="shared" si="229"/>
        <v>0</v>
      </c>
      <c r="AI236" s="402">
        <f t="shared" si="229"/>
        <v>6.4029958795515576</v>
      </c>
      <c r="AJ236" s="402">
        <f t="shared" si="229"/>
        <v>8.6009555377465734</v>
      </c>
      <c r="AK236" s="402">
        <f t="shared" si="229"/>
        <v>0</v>
      </c>
      <c r="AL236" s="402">
        <f t="shared" si="229"/>
        <v>0</v>
      </c>
      <c r="AM236" s="402">
        <f t="shared" si="229"/>
        <v>0</v>
      </c>
      <c r="AN236" s="402">
        <f t="shared" si="229"/>
        <v>0</v>
      </c>
      <c r="AO236" s="402">
        <f t="shared" si="229"/>
        <v>0.41334900674691799</v>
      </c>
      <c r="AP236" s="402">
        <f t="shared" si="229"/>
        <v>0</v>
      </c>
      <c r="AQ236" s="402">
        <f t="shared" si="229"/>
        <v>0</v>
      </c>
      <c r="AR236" s="402">
        <f t="shared" si="229"/>
        <v>0</v>
      </c>
      <c r="AS236" s="402">
        <f t="shared" si="229"/>
        <v>0</v>
      </c>
      <c r="AT236" s="402">
        <f t="shared" si="229"/>
        <v>0</v>
      </c>
      <c r="AU236" s="402">
        <f t="shared" si="229"/>
        <v>0</v>
      </c>
      <c r="AV236" s="402">
        <f t="shared" si="229"/>
        <v>4.669866011768729</v>
      </c>
      <c r="AW236" s="402">
        <f t="shared" si="229"/>
        <v>5.5851519975251831</v>
      </c>
      <c r="AX236" s="402">
        <f t="shared" si="229"/>
        <v>0</v>
      </c>
      <c r="AY236" s="402">
        <f t="shared" si="229"/>
        <v>11.034657336406953</v>
      </c>
      <c r="AZ236" s="402">
        <f t="shared" si="229"/>
        <v>14.809003336294442</v>
      </c>
      <c r="BA236" s="402">
        <f t="shared" si="229"/>
        <v>24.579242111143621</v>
      </c>
      <c r="BB236" s="402">
        <f t="shared" si="229"/>
        <v>17.547199446240533</v>
      </c>
      <c r="BC236" s="402">
        <f t="shared" si="229"/>
        <v>16.706613218387371</v>
      </c>
      <c r="BD236" s="402">
        <f t="shared" ref="BD236" si="230">BD218*BD$105</f>
        <v>8.7667019336700385</v>
      </c>
    </row>
    <row r="237" spans="1:56">
      <c r="A237" s="104"/>
      <c r="B237" s="9" t="s">
        <v>569</v>
      </c>
      <c r="F237" s="402">
        <f t="shared" ref="F237:U237" si="231">F219*F$105</f>
        <v>0</v>
      </c>
      <c r="G237" s="402">
        <f t="shared" si="231"/>
        <v>0.93809572222697779</v>
      </c>
      <c r="H237" s="402">
        <f t="shared" si="231"/>
        <v>5.6880891035199612</v>
      </c>
      <c r="I237" s="402">
        <f t="shared" si="231"/>
        <v>0</v>
      </c>
      <c r="J237" s="402">
        <f t="shared" si="231"/>
        <v>7.1369029989486732</v>
      </c>
      <c r="K237" s="402">
        <f t="shared" si="231"/>
        <v>3.5526495288671547</v>
      </c>
      <c r="L237" s="402">
        <f t="shared" si="231"/>
        <v>0.12249483373694049</v>
      </c>
      <c r="M237" s="402">
        <f t="shared" si="231"/>
        <v>1.3822795648836355</v>
      </c>
      <c r="N237" s="402">
        <f t="shared" si="231"/>
        <v>9.6437656997156616</v>
      </c>
      <c r="O237" s="402">
        <f t="shared" si="231"/>
        <v>0</v>
      </c>
      <c r="P237" s="402">
        <f t="shared" si="231"/>
        <v>3.9962400675756462</v>
      </c>
      <c r="Q237" s="402">
        <f t="shared" si="231"/>
        <v>7.9656297389018258</v>
      </c>
      <c r="R237" s="402">
        <f t="shared" si="231"/>
        <v>2.4221114463137337</v>
      </c>
      <c r="S237" s="402">
        <f t="shared" si="231"/>
        <v>4.897999059740858</v>
      </c>
      <c r="T237" s="402">
        <f t="shared" si="231"/>
        <v>2.5348569671669763</v>
      </c>
      <c r="U237" s="402">
        <f t="shared" si="231"/>
        <v>5.0037677815687065</v>
      </c>
      <c r="V237" s="402">
        <f t="shared" ref="V237:BC237" si="232">V219*V$105</f>
        <v>3.1843228696870827</v>
      </c>
      <c r="W237" s="402">
        <f t="shared" si="232"/>
        <v>17.200907273969896</v>
      </c>
      <c r="X237" s="402">
        <f t="shared" si="232"/>
        <v>8.4470635729265382</v>
      </c>
      <c r="Y237" s="402">
        <f t="shared" si="232"/>
        <v>3.4224636181751396</v>
      </c>
      <c r="Z237" s="402">
        <f t="shared" si="232"/>
        <v>5.3050070270405003</v>
      </c>
      <c r="AA237" s="402">
        <f t="shared" si="232"/>
        <v>4.8826223040551859</v>
      </c>
      <c r="AB237" s="402">
        <f t="shared" si="232"/>
        <v>7.0575060307050128</v>
      </c>
      <c r="AC237" s="402">
        <f t="shared" si="232"/>
        <v>5.2251370029800226</v>
      </c>
      <c r="AD237" s="402">
        <f t="shared" si="232"/>
        <v>7.1869826994680892</v>
      </c>
      <c r="AE237" s="402">
        <f t="shared" si="232"/>
        <v>13.634269436397242</v>
      </c>
      <c r="AF237" s="402">
        <f t="shared" si="232"/>
        <v>3.208138469533317</v>
      </c>
      <c r="AG237" s="402">
        <f t="shared" si="232"/>
        <v>4.41477915622984</v>
      </c>
      <c r="AH237" s="402">
        <f t="shared" si="232"/>
        <v>6.5844418560612734</v>
      </c>
      <c r="AI237" s="402">
        <f t="shared" si="232"/>
        <v>6.4029958795515576</v>
      </c>
      <c r="AJ237" s="402">
        <f t="shared" si="232"/>
        <v>8.6009555377465734</v>
      </c>
      <c r="AK237" s="402">
        <f t="shared" si="232"/>
        <v>7.8977798780611081</v>
      </c>
      <c r="AL237" s="402">
        <f t="shared" si="232"/>
        <v>0</v>
      </c>
      <c r="AM237" s="402">
        <f t="shared" si="232"/>
        <v>0</v>
      </c>
      <c r="AN237" s="402">
        <f t="shared" si="232"/>
        <v>0</v>
      </c>
      <c r="AO237" s="402">
        <f t="shared" si="232"/>
        <v>0.41334900674691799</v>
      </c>
      <c r="AP237" s="402">
        <f t="shared" si="232"/>
        <v>4.8742518290364742</v>
      </c>
      <c r="AQ237" s="402">
        <f t="shared" si="232"/>
        <v>4.047607783105815</v>
      </c>
      <c r="AR237" s="402">
        <f t="shared" si="232"/>
        <v>0</v>
      </c>
      <c r="AS237" s="402">
        <f t="shared" si="232"/>
        <v>4.166613343811167</v>
      </c>
      <c r="AT237" s="402">
        <f t="shared" si="232"/>
        <v>0</v>
      </c>
      <c r="AU237" s="402">
        <f t="shared" si="232"/>
        <v>2.1664365166863764</v>
      </c>
      <c r="AV237" s="402">
        <f t="shared" si="232"/>
        <v>4.6698660117687281</v>
      </c>
      <c r="AW237" s="402">
        <f t="shared" si="232"/>
        <v>5.5851519975251831</v>
      </c>
      <c r="AX237" s="402">
        <f t="shared" si="232"/>
        <v>0</v>
      </c>
      <c r="AY237" s="402">
        <f t="shared" si="232"/>
        <v>11.034657336406951</v>
      </c>
      <c r="AZ237" s="402">
        <f t="shared" si="232"/>
        <v>14.809003336294442</v>
      </c>
      <c r="BA237" s="402">
        <f t="shared" si="232"/>
        <v>24.579242111143621</v>
      </c>
      <c r="BB237" s="402">
        <f t="shared" si="232"/>
        <v>17.547199446240537</v>
      </c>
      <c r="BC237" s="402">
        <f t="shared" si="232"/>
        <v>16.706613218387371</v>
      </c>
      <c r="BD237" s="402">
        <f t="shared" ref="BD237" si="233">BD219*BD$105</f>
        <v>8.2064020174514773</v>
      </c>
    </row>
    <row r="238" spans="1:56">
      <c r="A238" s="104"/>
      <c r="B238" s="9" t="s">
        <v>570</v>
      </c>
      <c r="F238" s="402">
        <f t="shared" ref="F238:U238" si="234">F220*F$105</f>
        <v>0</v>
      </c>
      <c r="G238" s="402">
        <f t="shared" si="234"/>
        <v>0.93809572222697779</v>
      </c>
      <c r="H238" s="402">
        <f t="shared" si="234"/>
        <v>5.6880891035199612</v>
      </c>
      <c r="I238" s="402">
        <f t="shared" si="234"/>
        <v>2.0515953229432435E-2</v>
      </c>
      <c r="J238" s="402">
        <f t="shared" si="234"/>
        <v>7.1369029989486714</v>
      </c>
      <c r="K238" s="402">
        <f t="shared" si="234"/>
        <v>3.5526495288671542</v>
      </c>
      <c r="L238" s="402">
        <f t="shared" si="234"/>
        <v>0.12249483373694046</v>
      </c>
      <c r="M238" s="402">
        <f t="shared" si="234"/>
        <v>1.3822795648836355</v>
      </c>
      <c r="N238" s="402">
        <f t="shared" si="234"/>
        <v>9.6437656997156616</v>
      </c>
      <c r="O238" s="402">
        <f t="shared" si="234"/>
        <v>0</v>
      </c>
      <c r="P238" s="402">
        <f t="shared" si="234"/>
        <v>3.9962400675756462</v>
      </c>
      <c r="Q238" s="402">
        <f t="shared" si="234"/>
        <v>7.9656297389018267</v>
      </c>
      <c r="R238" s="402">
        <f t="shared" si="234"/>
        <v>2.4221114463137332</v>
      </c>
      <c r="S238" s="402">
        <f t="shared" si="234"/>
        <v>4.897999059740858</v>
      </c>
      <c r="T238" s="402">
        <f t="shared" si="234"/>
        <v>2.5348569671669763</v>
      </c>
      <c r="U238" s="402">
        <f t="shared" si="234"/>
        <v>5.0037677815687065</v>
      </c>
      <c r="V238" s="402">
        <f t="shared" ref="V238:BC238" si="235">V220*V$105</f>
        <v>3.1843228696870827</v>
      </c>
      <c r="W238" s="402">
        <f t="shared" si="235"/>
        <v>17.2009072739699</v>
      </c>
      <c r="X238" s="402">
        <f t="shared" si="235"/>
        <v>8.4470635729265364</v>
      </c>
      <c r="Y238" s="402">
        <f t="shared" si="235"/>
        <v>3.4224636181751391</v>
      </c>
      <c r="Z238" s="402">
        <f t="shared" si="235"/>
        <v>5.3050070270405003</v>
      </c>
      <c r="AA238" s="402">
        <f t="shared" si="235"/>
        <v>4.8826223040551868</v>
      </c>
      <c r="AB238" s="402">
        <f t="shared" si="235"/>
        <v>7.0575060307050128</v>
      </c>
      <c r="AC238" s="402">
        <f t="shared" si="235"/>
        <v>5.2251370029800226</v>
      </c>
      <c r="AD238" s="402">
        <f t="shared" si="235"/>
        <v>7.1869826994680892</v>
      </c>
      <c r="AE238" s="402">
        <f t="shared" si="235"/>
        <v>13.634269436397242</v>
      </c>
      <c r="AF238" s="402">
        <f t="shared" si="235"/>
        <v>3.208138469533317</v>
      </c>
      <c r="AG238" s="402">
        <f t="shared" si="235"/>
        <v>4.41477915622984</v>
      </c>
      <c r="AH238" s="402">
        <f t="shared" si="235"/>
        <v>6.5844418560612734</v>
      </c>
      <c r="AI238" s="402">
        <f t="shared" si="235"/>
        <v>6.4029958795515585</v>
      </c>
      <c r="AJ238" s="402">
        <f t="shared" si="235"/>
        <v>8.6009555377465716</v>
      </c>
      <c r="AK238" s="402">
        <f t="shared" si="235"/>
        <v>7.8977798780611081</v>
      </c>
      <c r="AL238" s="402">
        <f t="shared" si="235"/>
        <v>0</v>
      </c>
      <c r="AM238" s="402">
        <f t="shared" si="235"/>
        <v>0</v>
      </c>
      <c r="AN238" s="402">
        <f t="shared" si="235"/>
        <v>0</v>
      </c>
      <c r="AO238" s="402">
        <f t="shared" si="235"/>
        <v>0.41334900674691799</v>
      </c>
      <c r="AP238" s="402">
        <f t="shared" si="235"/>
        <v>4.8742518290364742</v>
      </c>
      <c r="AQ238" s="402">
        <f t="shared" si="235"/>
        <v>4.047607783105815</v>
      </c>
      <c r="AR238" s="402">
        <f t="shared" si="235"/>
        <v>0.12221166428163796</v>
      </c>
      <c r="AS238" s="402">
        <f t="shared" si="235"/>
        <v>4.166613343811167</v>
      </c>
      <c r="AT238" s="402">
        <f t="shared" si="235"/>
        <v>14.172166455367018</v>
      </c>
      <c r="AU238" s="402">
        <f t="shared" si="235"/>
        <v>2.1664365166863764</v>
      </c>
      <c r="AV238" s="402">
        <f t="shared" si="235"/>
        <v>4.6698660117687281</v>
      </c>
      <c r="AW238" s="402">
        <f t="shared" si="235"/>
        <v>5.5851519975251831</v>
      </c>
      <c r="AX238" s="402">
        <f t="shared" si="235"/>
        <v>0</v>
      </c>
      <c r="AY238" s="402">
        <f t="shared" si="235"/>
        <v>11.034657336406953</v>
      </c>
      <c r="AZ238" s="402">
        <f t="shared" si="235"/>
        <v>14.809003336294442</v>
      </c>
      <c r="BA238" s="402">
        <f t="shared" si="235"/>
        <v>24.579242111143621</v>
      </c>
      <c r="BB238" s="402">
        <f t="shared" si="235"/>
        <v>17.547199446240537</v>
      </c>
      <c r="BC238" s="402">
        <f t="shared" si="235"/>
        <v>16.706613218387368</v>
      </c>
      <c r="BD238" s="402">
        <f t="shared" ref="BD238" si="236">BD220*BD$105</f>
        <v>8.7821615024857298</v>
      </c>
    </row>
    <row r="239" spans="1:56">
      <c r="A239" s="104"/>
      <c r="B239" s="9" t="s">
        <v>571</v>
      </c>
      <c r="F239" s="402">
        <f t="shared" ref="F239:U239" si="237">F221*F$105</f>
        <v>0</v>
      </c>
      <c r="G239" s="402">
        <f t="shared" si="237"/>
        <v>0.93809572222697779</v>
      </c>
      <c r="H239" s="402">
        <f t="shared" si="237"/>
        <v>5.6880891035199612</v>
      </c>
      <c r="I239" s="402">
        <f t="shared" si="237"/>
        <v>2.0515953229432431E-2</v>
      </c>
      <c r="J239" s="402">
        <f t="shared" si="237"/>
        <v>7.1369029989486723</v>
      </c>
      <c r="K239" s="402">
        <f t="shared" si="237"/>
        <v>3.5526495288671547</v>
      </c>
      <c r="L239" s="402">
        <f t="shared" si="237"/>
        <v>0.12249483373694046</v>
      </c>
      <c r="M239" s="402">
        <f t="shared" si="237"/>
        <v>1.3822795648836352</v>
      </c>
      <c r="N239" s="402">
        <f t="shared" si="237"/>
        <v>9.6437656997156616</v>
      </c>
      <c r="O239" s="402">
        <f t="shared" si="237"/>
        <v>0</v>
      </c>
      <c r="P239" s="402">
        <f t="shared" si="237"/>
        <v>3.9962400675756466</v>
      </c>
      <c r="Q239" s="402">
        <f t="shared" si="237"/>
        <v>7.965629738901824</v>
      </c>
      <c r="R239" s="402">
        <f t="shared" si="237"/>
        <v>2.4221114463137337</v>
      </c>
      <c r="S239" s="402">
        <f t="shared" si="237"/>
        <v>4.897999059740858</v>
      </c>
      <c r="T239" s="402">
        <f t="shared" si="237"/>
        <v>2.5348569671669758</v>
      </c>
      <c r="U239" s="402">
        <f t="shared" si="237"/>
        <v>5.0037677815687065</v>
      </c>
      <c r="V239" s="402">
        <f t="shared" ref="V239:BC239" si="238">V221*V$105</f>
        <v>3.1843228696870827</v>
      </c>
      <c r="W239" s="402">
        <f t="shared" si="238"/>
        <v>17.2009072739699</v>
      </c>
      <c r="X239" s="402">
        <f t="shared" si="238"/>
        <v>8.4470635729265382</v>
      </c>
      <c r="Y239" s="402">
        <f t="shared" si="238"/>
        <v>3.4224636181751391</v>
      </c>
      <c r="Z239" s="402">
        <f t="shared" si="238"/>
        <v>5.3050070270405003</v>
      </c>
      <c r="AA239" s="402">
        <f t="shared" si="238"/>
        <v>4.8826223040551859</v>
      </c>
      <c r="AB239" s="402">
        <f t="shared" si="238"/>
        <v>7.0575060307050128</v>
      </c>
      <c r="AC239" s="402">
        <f t="shared" si="238"/>
        <v>5.2251370029800226</v>
      </c>
      <c r="AD239" s="402">
        <f t="shared" si="238"/>
        <v>7.1869826994680901</v>
      </c>
      <c r="AE239" s="402">
        <f t="shared" si="238"/>
        <v>13.63426943639724</v>
      </c>
      <c r="AF239" s="402">
        <f t="shared" si="238"/>
        <v>3.208138469533317</v>
      </c>
      <c r="AG239" s="402">
        <f t="shared" si="238"/>
        <v>4.41477915622984</v>
      </c>
      <c r="AH239" s="402">
        <f t="shared" si="238"/>
        <v>6.5844418560612734</v>
      </c>
      <c r="AI239" s="402">
        <f t="shared" si="238"/>
        <v>6.4029958795515585</v>
      </c>
      <c r="AJ239" s="402">
        <f t="shared" si="238"/>
        <v>8.6009555377465734</v>
      </c>
      <c r="AK239" s="402">
        <f t="shared" si="238"/>
        <v>7.8977798780611081</v>
      </c>
      <c r="AL239" s="402">
        <f t="shared" si="238"/>
        <v>0</v>
      </c>
      <c r="AM239" s="402">
        <f t="shared" si="238"/>
        <v>0</v>
      </c>
      <c r="AN239" s="402">
        <f t="shared" si="238"/>
        <v>0</v>
      </c>
      <c r="AO239" s="402">
        <f t="shared" si="238"/>
        <v>0.41334900674691799</v>
      </c>
      <c r="AP239" s="402">
        <f t="shared" si="238"/>
        <v>4.8742518290364742</v>
      </c>
      <c r="AQ239" s="402">
        <f t="shared" si="238"/>
        <v>4.047607783105815</v>
      </c>
      <c r="AR239" s="402">
        <f t="shared" si="238"/>
        <v>0.12221166428163796</v>
      </c>
      <c r="AS239" s="402">
        <f t="shared" si="238"/>
        <v>4.166613343811167</v>
      </c>
      <c r="AT239" s="402">
        <f t="shared" si="238"/>
        <v>14.172166455367018</v>
      </c>
      <c r="AU239" s="402">
        <f t="shared" si="238"/>
        <v>2.1664365166863764</v>
      </c>
      <c r="AV239" s="402">
        <f t="shared" si="238"/>
        <v>4.669866011768729</v>
      </c>
      <c r="AW239" s="402">
        <f t="shared" si="238"/>
        <v>5.5851519975251822</v>
      </c>
      <c r="AX239" s="402">
        <f t="shared" si="238"/>
        <v>0</v>
      </c>
      <c r="AY239" s="402">
        <f t="shared" si="238"/>
        <v>11.034657336406953</v>
      </c>
      <c r="AZ239" s="402">
        <f t="shared" si="238"/>
        <v>14.809003336294442</v>
      </c>
      <c r="BA239" s="402">
        <f t="shared" si="238"/>
        <v>24.579242111143618</v>
      </c>
      <c r="BB239" s="402">
        <f t="shared" si="238"/>
        <v>17.547199446240537</v>
      </c>
      <c r="BC239" s="402">
        <f t="shared" si="238"/>
        <v>16.706613218387368</v>
      </c>
      <c r="BD239" s="402">
        <f t="shared" ref="BD239" si="239">BD221*BD$105</f>
        <v>9.7758148725500114</v>
      </c>
    </row>
    <row r="240" spans="1:56">
      <c r="A240" s="104"/>
      <c r="B240" s="9" t="s">
        <v>567</v>
      </c>
      <c r="F240" s="402">
        <f t="shared" ref="F240:BC240" si="240">F222*F$105</f>
        <v>2.0432002932339724E-2</v>
      </c>
      <c r="G240" s="402">
        <f t="shared" si="240"/>
        <v>0.93809572222697779</v>
      </c>
      <c r="H240" s="402">
        <f t="shared" si="240"/>
        <v>5.6880891035199612</v>
      </c>
      <c r="I240" s="402">
        <f t="shared" si="240"/>
        <v>2.0515953229432435E-2</v>
      </c>
      <c r="J240" s="402">
        <f t="shared" si="240"/>
        <v>7.1369029989486714</v>
      </c>
      <c r="K240" s="402">
        <f t="shared" si="240"/>
        <v>3.5526495288671542</v>
      </c>
      <c r="L240" s="402">
        <f t="shared" si="240"/>
        <v>0.12249483373694046</v>
      </c>
      <c r="M240" s="402">
        <f t="shared" si="240"/>
        <v>1.3822795648836355</v>
      </c>
      <c r="N240" s="402">
        <f t="shared" si="240"/>
        <v>9.6437656997156616</v>
      </c>
      <c r="O240" s="402">
        <f t="shared" si="240"/>
        <v>0.25148172481045444</v>
      </c>
      <c r="P240" s="402">
        <f t="shared" si="240"/>
        <v>3.9962400675756466</v>
      </c>
      <c r="Q240" s="402">
        <f t="shared" si="240"/>
        <v>7.965629738901824</v>
      </c>
      <c r="R240" s="402">
        <f t="shared" si="240"/>
        <v>2.4221114463137332</v>
      </c>
      <c r="S240" s="402">
        <f t="shared" si="240"/>
        <v>4.8979990597408571</v>
      </c>
      <c r="T240" s="402">
        <f t="shared" si="240"/>
        <v>2.5348569671669763</v>
      </c>
      <c r="U240" s="402">
        <f t="shared" si="240"/>
        <v>5.0037677815687065</v>
      </c>
      <c r="V240" s="402">
        <f t="shared" si="240"/>
        <v>3.1843228696870827</v>
      </c>
      <c r="W240" s="402">
        <f t="shared" si="240"/>
        <v>17.2009072739699</v>
      </c>
      <c r="X240" s="402">
        <f t="shared" si="240"/>
        <v>8.4470635729265382</v>
      </c>
      <c r="Y240" s="402">
        <f t="shared" si="240"/>
        <v>3.4224636181751391</v>
      </c>
      <c r="Z240" s="402">
        <f t="shared" si="240"/>
        <v>5.3050070270405003</v>
      </c>
      <c r="AA240" s="402">
        <f t="shared" si="240"/>
        <v>4.8826223040551868</v>
      </c>
      <c r="AB240" s="402">
        <f t="shared" si="240"/>
        <v>7.0575060307050128</v>
      </c>
      <c r="AC240" s="402">
        <f t="shared" si="240"/>
        <v>5.2251370029800226</v>
      </c>
      <c r="AD240" s="402">
        <f t="shared" si="240"/>
        <v>7.1869826994680901</v>
      </c>
      <c r="AE240" s="402">
        <f t="shared" si="240"/>
        <v>13.634269436397242</v>
      </c>
      <c r="AF240" s="402">
        <f t="shared" si="240"/>
        <v>3.208138469533317</v>
      </c>
      <c r="AG240" s="402">
        <f t="shared" si="240"/>
        <v>4.4147791562298391</v>
      </c>
      <c r="AH240" s="402">
        <f t="shared" si="240"/>
        <v>6.5844418560612734</v>
      </c>
      <c r="AI240" s="402">
        <f t="shared" si="240"/>
        <v>6.4029958795515585</v>
      </c>
      <c r="AJ240" s="402">
        <f t="shared" si="240"/>
        <v>8.6009555377465734</v>
      </c>
      <c r="AK240" s="402">
        <f t="shared" si="240"/>
        <v>7.8977798780611081</v>
      </c>
      <c r="AL240" s="402">
        <f t="shared" si="240"/>
        <v>2.9667134277633705E-2</v>
      </c>
      <c r="AM240" s="402">
        <f t="shared" si="240"/>
        <v>0</v>
      </c>
      <c r="AN240" s="402">
        <f t="shared" si="240"/>
        <v>1.3201060215984082E-2</v>
      </c>
      <c r="AO240" s="402">
        <f t="shared" si="240"/>
        <v>0.41334900674691799</v>
      </c>
      <c r="AP240" s="402">
        <f t="shared" si="240"/>
        <v>4.8742518290364742</v>
      </c>
      <c r="AQ240" s="402">
        <f t="shared" si="240"/>
        <v>4.047607783105815</v>
      </c>
      <c r="AR240" s="402">
        <f t="shared" si="240"/>
        <v>0.12221166428163793</v>
      </c>
      <c r="AS240" s="402">
        <f t="shared" si="240"/>
        <v>4.166613343811167</v>
      </c>
      <c r="AT240" s="402">
        <f t="shared" si="240"/>
        <v>14.172166455367019</v>
      </c>
      <c r="AU240" s="402">
        <f t="shared" si="240"/>
        <v>2.1664365166863764</v>
      </c>
      <c r="AV240" s="402">
        <f t="shared" si="240"/>
        <v>4.669866011768729</v>
      </c>
      <c r="AW240" s="402">
        <f t="shared" si="240"/>
        <v>5.5851519975251822</v>
      </c>
      <c r="AX240" s="402">
        <f t="shared" si="240"/>
        <v>0</v>
      </c>
      <c r="AY240" s="402">
        <f t="shared" si="240"/>
        <v>11.034657336406953</v>
      </c>
      <c r="AZ240" s="402">
        <f t="shared" si="240"/>
        <v>14.809003336294442</v>
      </c>
      <c r="BA240" s="402">
        <f t="shared" si="240"/>
        <v>24.579242111143618</v>
      </c>
      <c r="BB240" s="402">
        <f t="shared" si="240"/>
        <v>17.547199446240537</v>
      </c>
      <c r="BC240" s="402">
        <f t="shared" si="240"/>
        <v>16.706613218387368</v>
      </c>
      <c r="BD240" s="402">
        <f t="shared" ref="BD240" si="241">BD222*BD$105</f>
        <v>6.9682269561901746</v>
      </c>
    </row>
    <row r="241" spans="1:56">
      <c r="A241" s="104"/>
    </row>
    <row r="242" spans="1:56" ht="18">
      <c r="A242" s="104"/>
      <c r="B242" s="10" t="s">
        <v>792</v>
      </c>
      <c r="C242" s="313" t="s">
        <v>189</v>
      </c>
    </row>
    <row r="243" spans="1:56">
      <c r="A243" s="104"/>
      <c r="B243" s="9" t="s">
        <v>863</v>
      </c>
      <c r="C243" s="314" t="s">
        <v>190</v>
      </c>
      <c r="F243" s="304">
        <f t="shared" ref="F243:AK243" si="242">F168+F207+F225</f>
        <v>0</v>
      </c>
      <c r="G243" s="371">
        <f t="shared" si="242"/>
        <v>0</v>
      </c>
      <c r="H243" s="371">
        <f t="shared" si="242"/>
        <v>52919.094663615135</v>
      </c>
      <c r="I243" s="371">
        <f t="shared" si="242"/>
        <v>0</v>
      </c>
      <c r="J243" s="371">
        <f t="shared" si="242"/>
        <v>0</v>
      </c>
      <c r="K243" s="371">
        <f t="shared" si="242"/>
        <v>0</v>
      </c>
      <c r="L243" s="371">
        <f t="shared" si="242"/>
        <v>0</v>
      </c>
      <c r="M243" s="371">
        <f t="shared" si="242"/>
        <v>0</v>
      </c>
      <c r="N243" s="371">
        <f t="shared" si="242"/>
        <v>0</v>
      </c>
      <c r="O243" s="371">
        <f t="shared" si="242"/>
        <v>0</v>
      </c>
      <c r="P243" s="371">
        <f t="shared" si="242"/>
        <v>185013.00950368887</v>
      </c>
      <c r="Q243" s="371">
        <f t="shared" si="242"/>
        <v>0</v>
      </c>
      <c r="R243" s="371">
        <f t="shared" si="242"/>
        <v>0</v>
      </c>
      <c r="S243" s="371">
        <f t="shared" si="242"/>
        <v>0</v>
      </c>
      <c r="T243" s="371">
        <f t="shared" si="242"/>
        <v>0</v>
      </c>
      <c r="U243" s="371">
        <f t="shared" si="242"/>
        <v>0</v>
      </c>
      <c r="V243" s="371">
        <f t="shared" si="242"/>
        <v>0</v>
      </c>
      <c r="W243" s="371">
        <f t="shared" si="242"/>
        <v>0</v>
      </c>
      <c r="X243" s="371">
        <f t="shared" si="242"/>
        <v>0</v>
      </c>
      <c r="Y243" s="371">
        <f t="shared" si="242"/>
        <v>0</v>
      </c>
      <c r="Z243" s="371">
        <f t="shared" si="242"/>
        <v>0</v>
      </c>
      <c r="AA243" s="371">
        <f t="shared" si="242"/>
        <v>0</v>
      </c>
      <c r="AB243" s="371">
        <f t="shared" si="242"/>
        <v>0</v>
      </c>
      <c r="AC243" s="371">
        <f t="shared" si="242"/>
        <v>0</v>
      </c>
      <c r="AD243" s="371">
        <f t="shared" si="242"/>
        <v>0</v>
      </c>
      <c r="AE243" s="371">
        <f t="shared" si="242"/>
        <v>0</v>
      </c>
      <c r="AF243" s="371">
        <f t="shared" si="242"/>
        <v>0</v>
      </c>
      <c r="AG243" s="371">
        <f t="shared" si="242"/>
        <v>0</v>
      </c>
      <c r="AH243" s="371">
        <f t="shared" si="242"/>
        <v>0</v>
      </c>
      <c r="AI243" s="371">
        <f t="shared" si="242"/>
        <v>0</v>
      </c>
      <c r="AJ243" s="371">
        <f t="shared" si="242"/>
        <v>0</v>
      </c>
      <c r="AK243" s="371">
        <f t="shared" si="242"/>
        <v>0</v>
      </c>
      <c r="AL243" s="371">
        <f t="shared" ref="AL243:BC243" si="243">AL168+AL207+AL225</f>
        <v>0</v>
      </c>
      <c r="AM243" s="371">
        <f t="shared" si="243"/>
        <v>0</v>
      </c>
      <c r="AN243" s="371">
        <f t="shared" si="243"/>
        <v>0</v>
      </c>
      <c r="AO243" s="371">
        <f t="shared" si="243"/>
        <v>0</v>
      </c>
      <c r="AP243" s="371">
        <f t="shared" si="243"/>
        <v>0</v>
      </c>
      <c r="AQ243" s="371">
        <f t="shared" si="243"/>
        <v>0</v>
      </c>
      <c r="AR243" s="371">
        <f t="shared" si="243"/>
        <v>0</v>
      </c>
      <c r="AS243" s="371">
        <f t="shared" si="243"/>
        <v>0</v>
      </c>
      <c r="AT243" s="371">
        <f t="shared" si="243"/>
        <v>0</v>
      </c>
      <c r="AU243" s="371">
        <f t="shared" si="243"/>
        <v>0</v>
      </c>
      <c r="AV243" s="371">
        <f t="shared" si="243"/>
        <v>0</v>
      </c>
      <c r="AW243" s="371">
        <f t="shared" si="243"/>
        <v>0</v>
      </c>
      <c r="AX243" s="371">
        <f t="shared" si="243"/>
        <v>0</v>
      </c>
      <c r="AY243" s="371">
        <f t="shared" si="243"/>
        <v>0</v>
      </c>
      <c r="AZ243" s="371">
        <f t="shared" si="243"/>
        <v>59320.95142432968</v>
      </c>
      <c r="BA243" s="371">
        <f t="shared" si="243"/>
        <v>95519.006367560723</v>
      </c>
      <c r="BB243" s="371">
        <f t="shared" si="243"/>
        <v>496876.86946879013</v>
      </c>
      <c r="BC243" s="371">
        <f t="shared" si="243"/>
        <v>0</v>
      </c>
      <c r="BD243" s="304">
        <f t="shared" ref="BD243:BD249" si="244">SUM(F243:BC243)</f>
        <v>889648.9314279845</v>
      </c>
    </row>
    <row r="244" spans="1:56">
      <c r="A244" s="104"/>
      <c r="B244" s="9" t="s">
        <v>864</v>
      </c>
      <c r="C244" s="314" t="s">
        <v>191</v>
      </c>
      <c r="F244" s="371">
        <f t="shared" ref="F244:AK244" si="245">F169+F208+F226</f>
        <v>0</v>
      </c>
      <c r="G244" s="371">
        <f t="shared" si="245"/>
        <v>0</v>
      </c>
      <c r="H244" s="371">
        <f t="shared" si="245"/>
        <v>43806.49568044972</v>
      </c>
      <c r="I244" s="371">
        <f t="shared" si="245"/>
        <v>0</v>
      </c>
      <c r="J244" s="371">
        <f t="shared" si="245"/>
        <v>0</v>
      </c>
      <c r="K244" s="371">
        <f t="shared" si="245"/>
        <v>0</v>
      </c>
      <c r="L244" s="371">
        <f t="shared" si="245"/>
        <v>0</v>
      </c>
      <c r="M244" s="371">
        <f t="shared" si="245"/>
        <v>0</v>
      </c>
      <c r="N244" s="371">
        <f t="shared" si="245"/>
        <v>0</v>
      </c>
      <c r="O244" s="371">
        <f t="shared" si="245"/>
        <v>0</v>
      </c>
      <c r="P244" s="371">
        <f t="shared" si="245"/>
        <v>140594.70155398577</v>
      </c>
      <c r="Q244" s="371">
        <f t="shared" si="245"/>
        <v>0</v>
      </c>
      <c r="R244" s="371">
        <f t="shared" si="245"/>
        <v>0</v>
      </c>
      <c r="S244" s="371">
        <f t="shared" si="245"/>
        <v>0</v>
      </c>
      <c r="T244" s="371">
        <f t="shared" si="245"/>
        <v>0</v>
      </c>
      <c r="U244" s="371">
        <f t="shared" si="245"/>
        <v>45678.308295343835</v>
      </c>
      <c r="V244" s="371">
        <f t="shared" si="245"/>
        <v>53935.076149030036</v>
      </c>
      <c r="W244" s="371">
        <f t="shared" si="245"/>
        <v>0</v>
      </c>
      <c r="X244" s="371">
        <f t="shared" si="245"/>
        <v>44984.09965375546</v>
      </c>
      <c r="Y244" s="371">
        <f t="shared" si="245"/>
        <v>0</v>
      </c>
      <c r="Z244" s="371">
        <f t="shared" si="245"/>
        <v>29034.398511430154</v>
      </c>
      <c r="AA244" s="371">
        <f t="shared" si="245"/>
        <v>0</v>
      </c>
      <c r="AB244" s="371">
        <f t="shared" si="245"/>
        <v>37004.659722543096</v>
      </c>
      <c r="AC244" s="371">
        <f t="shared" si="245"/>
        <v>0</v>
      </c>
      <c r="AD244" s="371">
        <f t="shared" si="245"/>
        <v>0</v>
      </c>
      <c r="AE244" s="371">
        <f t="shared" si="245"/>
        <v>27840.474564963934</v>
      </c>
      <c r="AF244" s="371">
        <f t="shared" si="245"/>
        <v>0</v>
      </c>
      <c r="AG244" s="371">
        <f t="shared" si="245"/>
        <v>78612.646743241537</v>
      </c>
      <c r="AH244" s="371">
        <f t="shared" si="245"/>
        <v>0</v>
      </c>
      <c r="AI244" s="371">
        <f t="shared" si="245"/>
        <v>42983.158686379589</v>
      </c>
      <c r="AJ244" s="371">
        <f t="shared" si="245"/>
        <v>0</v>
      </c>
      <c r="AK244" s="371">
        <f t="shared" si="245"/>
        <v>0</v>
      </c>
      <c r="AL244" s="371">
        <f t="shared" ref="AL244:BC244" si="246">AL169+AL208+AL226</f>
        <v>0</v>
      </c>
      <c r="AM244" s="371">
        <f t="shared" si="246"/>
        <v>0</v>
      </c>
      <c r="AN244" s="371">
        <f t="shared" si="246"/>
        <v>0</v>
      </c>
      <c r="AO244" s="371">
        <f t="shared" si="246"/>
        <v>0</v>
      </c>
      <c r="AP244" s="371">
        <f t="shared" si="246"/>
        <v>0</v>
      </c>
      <c r="AQ244" s="371">
        <f t="shared" si="246"/>
        <v>0</v>
      </c>
      <c r="AR244" s="371">
        <f t="shared" si="246"/>
        <v>0</v>
      </c>
      <c r="AS244" s="371">
        <f t="shared" si="246"/>
        <v>0</v>
      </c>
      <c r="AT244" s="371">
        <f t="shared" si="246"/>
        <v>0</v>
      </c>
      <c r="AU244" s="371">
        <f t="shared" si="246"/>
        <v>0</v>
      </c>
      <c r="AV244" s="371">
        <f t="shared" si="246"/>
        <v>0</v>
      </c>
      <c r="AW244" s="371">
        <f t="shared" si="246"/>
        <v>0</v>
      </c>
      <c r="AX244" s="371">
        <f t="shared" si="246"/>
        <v>0</v>
      </c>
      <c r="AY244" s="371">
        <f t="shared" si="246"/>
        <v>51685.43753771756</v>
      </c>
      <c r="AZ244" s="371">
        <f t="shared" si="246"/>
        <v>113535.71258566898</v>
      </c>
      <c r="BA244" s="371">
        <f t="shared" si="246"/>
        <v>282838.80784955592</v>
      </c>
      <c r="BB244" s="371">
        <f t="shared" si="246"/>
        <v>856829.33312083979</v>
      </c>
      <c r="BC244" s="371">
        <f t="shared" si="246"/>
        <v>518011.58417989104</v>
      </c>
      <c r="BD244" s="304">
        <f t="shared" si="244"/>
        <v>2367374.894834796</v>
      </c>
    </row>
    <row r="245" spans="1:56">
      <c r="A245" s="104"/>
      <c r="B245" s="9" t="s">
        <v>866</v>
      </c>
      <c r="C245" s="314" t="s">
        <v>192</v>
      </c>
      <c r="F245" s="371">
        <f t="shared" ref="F245:AK245" si="247">F170+F209+F227</f>
        <v>0</v>
      </c>
      <c r="G245" s="371">
        <f t="shared" si="247"/>
        <v>0</v>
      </c>
      <c r="H245" s="371">
        <f t="shared" si="247"/>
        <v>57080.22791093569</v>
      </c>
      <c r="I245" s="371">
        <f t="shared" si="247"/>
        <v>0</v>
      </c>
      <c r="J245" s="371">
        <f t="shared" si="247"/>
        <v>19582.619042004724</v>
      </c>
      <c r="K245" s="371">
        <f t="shared" si="247"/>
        <v>48871.443980903248</v>
      </c>
      <c r="L245" s="371">
        <f t="shared" si="247"/>
        <v>34807.163747559774</v>
      </c>
      <c r="M245" s="371">
        <f t="shared" si="247"/>
        <v>14261.928992968356</v>
      </c>
      <c r="N245" s="371">
        <f t="shared" si="247"/>
        <v>5451.444918929762</v>
      </c>
      <c r="O245" s="371">
        <f t="shared" si="247"/>
        <v>0</v>
      </c>
      <c r="P245" s="371">
        <f t="shared" si="247"/>
        <v>265627.0793115733</v>
      </c>
      <c r="Q245" s="371">
        <f t="shared" si="247"/>
        <v>0</v>
      </c>
      <c r="R245" s="371">
        <f t="shared" si="247"/>
        <v>26016.978039755661</v>
      </c>
      <c r="S245" s="371">
        <f t="shared" si="247"/>
        <v>13683.938013328585</v>
      </c>
      <c r="T245" s="371">
        <f t="shared" si="247"/>
        <v>9485.6791479959829</v>
      </c>
      <c r="U245" s="371">
        <f t="shared" si="247"/>
        <v>65428.079275190888</v>
      </c>
      <c r="V245" s="371">
        <f t="shared" si="247"/>
        <v>47027.994863430795</v>
      </c>
      <c r="W245" s="371">
        <f t="shared" si="247"/>
        <v>0</v>
      </c>
      <c r="X245" s="371">
        <f t="shared" si="247"/>
        <v>0</v>
      </c>
      <c r="Y245" s="371">
        <f t="shared" si="247"/>
        <v>0</v>
      </c>
      <c r="Z245" s="371">
        <f t="shared" si="247"/>
        <v>30379.171567296555</v>
      </c>
      <c r="AA245" s="371">
        <f t="shared" si="247"/>
        <v>34277.237692154209</v>
      </c>
      <c r="AB245" s="371">
        <f t="shared" si="247"/>
        <v>35008.025495827453</v>
      </c>
      <c r="AC245" s="371">
        <f t="shared" si="247"/>
        <v>13356.810784145177</v>
      </c>
      <c r="AD245" s="371">
        <f t="shared" si="247"/>
        <v>122398.98095580975</v>
      </c>
      <c r="AE245" s="371">
        <f t="shared" si="247"/>
        <v>124343.43270563947</v>
      </c>
      <c r="AF245" s="371">
        <f t="shared" si="247"/>
        <v>12377.550078333166</v>
      </c>
      <c r="AG245" s="371">
        <f t="shared" si="247"/>
        <v>0</v>
      </c>
      <c r="AH245" s="371">
        <f t="shared" si="247"/>
        <v>0</v>
      </c>
      <c r="AI245" s="371">
        <f t="shared" si="247"/>
        <v>71820.891445926623</v>
      </c>
      <c r="AJ245" s="371">
        <f t="shared" si="247"/>
        <v>38804.032489906502</v>
      </c>
      <c r="AK245" s="371">
        <f t="shared" si="247"/>
        <v>0</v>
      </c>
      <c r="AL245" s="371">
        <f t="shared" ref="AL245:BC245" si="248">AL170+AL209+AL227</f>
        <v>0</v>
      </c>
      <c r="AM245" s="371">
        <f t="shared" si="248"/>
        <v>0</v>
      </c>
      <c r="AN245" s="371">
        <f t="shared" si="248"/>
        <v>0</v>
      </c>
      <c r="AO245" s="371">
        <f t="shared" si="248"/>
        <v>18991.485016796662</v>
      </c>
      <c r="AP245" s="371">
        <f t="shared" si="248"/>
        <v>0</v>
      </c>
      <c r="AQ245" s="371">
        <f t="shared" si="248"/>
        <v>0</v>
      </c>
      <c r="AR245" s="371">
        <f t="shared" si="248"/>
        <v>0</v>
      </c>
      <c r="AS245" s="371">
        <f t="shared" si="248"/>
        <v>0</v>
      </c>
      <c r="AT245" s="371">
        <f t="shared" si="248"/>
        <v>0</v>
      </c>
      <c r="AU245" s="371">
        <f t="shared" si="248"/>
        <v>0</v>
      </c>
      <c r="AV245" s="371">
        <f t="shared" si="248"/>
        <v>28662.349859835416</v>
      </c>
      <c r="AW245" s="371">
        <f t="shared" si="248"/>
        <v>61763.271774577472</v>
      </c>
      <c r="AX245" s="371">
        <f t="shared" si="248"/>
        <v>0</v>
      </c>
      <c r="AY245" s="371">
        <f t="shared" si="248"/>
        <v>65383.948518547644</v>
      </c>
      <c r="AZ245" s="371">
        <f t="shared" si="248"/>
        <v>242456.01045879669</v>
      </c>
      <c r="BA245" s="371">
        <f t="shared" si="248"/>
        <v>588343.84287999594</v>
      </c>
      <c r="BB245" s="371">
        <f t="shared" si="248"/>
        <v>969166.53003431391</v>
      </c>
      <c r="BC245" s="371">
        <f t="shared" si="248"/>
        <v>728823.42925662536</v>
      </c>
      <c r="BD245" s="304">
        <f t="shared" si="244"/>
        <v>3793681.5782591049</v>
      </c>
    </row>
    <row r="246" spans="1:56">
      <c r="A246" s="104"/>
      <c r="B246" s="9" t="s">
        <v>569</v>
      </c>
      <c r="C246" s="314" t="s">
        <v>193</v>
      </c>
      <c r="F246" s="371">
        <f t="shared" ref="F246:AK246" si="249">F171+F210+F228</f>
        <v>0</v>
      </c>
      <c r="G246" s="371">
        <f t="shared" si="249"/>
        <v>9477.2435968920036</v>
      </c>
      <c r="H246" s="371">
        <f t="shared" si="249"/>
        <v>66803.710373077265</v>
      </c>
      <c r="I246" s="371">
        <f t="shared" si="249"/>
        <v>0</v>
      </c>
      <c r="J246" s="371">
        <f t="shared" si="249"/>
        <v>14475.828997604745</v>
      </c>
      <c r="K246" s="371">
        <f t="shared" si="249"/>
        <v>80675.592119450404</v>
      </c>
      <c r="L246" s="371">
        <f t="shared" si="249"/>
        <v>19960.349601546055</v>
      </c>
      <c r="M246" s="371">
        <f t="shared" si="249"/>
        <v>5538.4148346739348</v>
      </c>
      <c r="N246" s="371">
        <f t="shared" si="249"/>
        <v>12543.846875441681</v>
      </c>
      <c r="O246" s="371">
        <f t="shared" si="249"/>
        <v>0</v>
      </c>
      <c r="P246" s="371">
        <f t="shared" si="249"/>
        <v>258392.41585410704</v>
      </c>
      <c r="Q246" s="371">
        <f t="shared" si="249"/>
        <v>22964.231177007339</v>
      </c>
      <c r="R246" s="371">
        <f t="shared" si="249"/>
        <v>77858.516591506996</v>
      </c>
      <c r="S246" s="371">
        <f t="shared" si="249"/>
        <v>38341.38523301229</v>
      </c>
      <c r="T246" s="371">
        <f t="shared" si="249"/>
        <v>38272.527408081754</v>
      </c>
      <c r="U246" s="371">
        <f t="shared" si="249"/>
        <v>154678.75741262961</v>
      </c>
      <c r="V246" s="371">
        <f t="shared" si="249"/>
        <v>12474.785994012471</v>
      </c>
      <c r="W246" s="371">
        <f t="shared" si="249"/>
        <v>31258.513501816324</v>
      </c>
      <c r="X246" s="371">
        <f t="shared" si="249"/>
        <v>31394.063473672351</v>
      </c>
      <c r="Y246" s="371">
        <f t="shared" si="249"/>
        <v>6067.5070118210151</v>
      </c>
      <c r="Z246" s="371">
        <f t="shared" si="249"/>
        <v>60765.942021394178</v>
      </c>
      <c r="AA246" s="371">
        <f t="shared" si="249"/>
        <v>52651.730394820181</v>
      </c>
      <c r="AB246" s="371">
        <f t="shared" si="249"/>
        <v>49048.969309111031</v>
      </c>
      <c r="AC246" s="371">
        <f t="shared" si="249"/>
        <v>41905.480772967501</v>
      </c>
      <c r="AD246" s="371">
        <f t="shared" si="249"/>
        <v>93883.356432654473</v>
      </c>
      <c r="AE246" s="371">
        <f t="shared" si="249"/>
        <v>163746.09040013683</v>
      </c>
      <c r="AF246" s="371">
        <f t="shared" si="249"/>
        <v>41882.420353813417</v>
      </c>
      <c r="AG246" s="371">
        <f t="shared" si="249"/>
        <v>43184.126660900249</v>
      </c>
      <c r="AH246" s="371">
        <f t="shared" si="249"/>
        <v>27304.166637478698</v>
      </c>
      <c r="AI246" s="371">
        <f t="shared" si="249"/>
        <v>150827.13174085153</v>
      </c>
      <c r="AJ246" s="371">
        <f t="shared" si="249"/>
        <v>181852.23571288135</v>
      </c>
      <c r="AK246" s="371">
        <f t="shared" si="249"/>
        <v>50074.912840124111</v>
      </c>
      <c r="AL246" s="371">
        <f t="shared" ref="AL246:BC246" si="250">AL171+AL210+AL228</f>
        <v>0</v>
      </c>
      <c r="AM246" s="371">
        <f t="shared" si="250"/>
        <v>0</v>
      </c>
      <c r="AN246" s="371">
        <f t="shared" si="250"/>
        <v>0</v>
      </c>
      <c r="AO246" s="371">
        <f t="shared" si="250"/>
        <v>25209.253841161495</v>
      </c>
      <c r="AP246" s="371">
        <f t="shared" si="250"/>
        <v>22118.571636311612</v>
      </c>
      <c r="AQ246" s="371">
        <f t="shared" si="250"/>
        <v>4574.324031363527</v>
      </c>
      <c r="AR246" s="371">
        <f t="shared" si="250"/>
        <v>0</v>
      </c>
      <c r="AS246" s="371">
        <f t="shared" si="250"/>
        <v>25499.428644028794</v>
      </c>
      <c r="AT246" s="371">
        <f t="shared" si="250"/>
        <v>0</v>
      </c>
      <c r="AU246" s="371">
        <f t="shared" si="250"/>
        <v>28609.152697067249</v>
      </c>
      <c r="AV246" s="371">
        <f t="shared" si="250"/>
        <v>29361.505241771945</v>
      </c>
      <c r="AW246" s="371">
        <f t="shared" si="250"/>
        <v>56883.866796852963</v>
      </c>
      <c r="AX246" s="371">
        <f t="shared" si="250"/>
        <v>48688.303668416673</v>
      </c>
      <c r="AY246" s="371">
        <f t="shared" si="250"/>
        <v>50841.933998114342</v>
      </c>
      <c r="AZ246" s="371">
        <f t="shared" si="250"/>
        <v>231894.24360758462</v>
      </c>
      <c r="BA246" s="371">
        <f t="shared" si="250"/>
        <v>786472.40714972944</v>
      </c>
      <c r="BB246" s="371">
        <f t="shared" si="250"/>
        <v>983160.11635152809</v>
      </c>
      <c r="BC246" s="371">
        <f t="shared" si="250"/>
        <v>1180888.4623635574</v>
      </c>
      <c r="BD246" s="304">
        <f t="shared" si="244"/>
        <v>5312505.823360974</v>
      </c>
    </row>
    <row r="247" spans="1:56">
      <c r="A247" s="104"/>
      <c r="B247" s="9" t="s">
        <v>570</v>
      </c>
      <c r="C247" s="314" t="s">
        <v>194</v>
      </c>
      <c r="F247" s="371">
        <f t="shared" ref="F247:AK247" si="251">F172+F211+F229</f>
        <v>0</v>
      </c>
      <c r="G247" s="371">
        <f t="shared" si="251"/>
        <v>26192.555553843667</v>
      </c>
      <c r="H247" s="371">
        <f t="shared" si="251"/>
        <v>145754.24316517948</v>
      </c>
      <c r="I247" s="371">
        <f t="shared" si="251"/>
        <v>29948.436413086103</v>
      </c>
      <c r="J247" s="371">
        <f t="shared" si="251"/>
        <v>19601.75414804498</v>
      </c>
      <c r="K247" s="371">
        <f t="shared" si="251"/>
        <v>120262.62970684565</v>
      </c>
      <c r="L247" s="371">
        <f t="shared" si="251"/>
        <v>23693.138509245353</v>
      </c>
      <c r="M247" s="371">
        <f t="shared" si="251"/>
        <v>43072.744024581458</v>
      </c>
      <c r="N247" s="371">
        <f t="shared" si="251"/>
        <v>39047.442212522532</v>
      </c>
      <c r="O247" s="371">
        <f t="shared" si="251"/>
        <v>0</v>
      </c>
      <c r="P247" s="371">
        <f t="shared" si="251"/>
        <v>409537.10900350544</v>
      </c>
      <c r="Q247" s="371">
        <f t="shared" si="251"/>
        <v>9662.9216804547887</v>
      </c>
      <c r="R247" s="371">
        <f t="shared" si="251"/>
        <v>103171.98485629543</v>
      </c>
      <c r="S247" s="371">
        <f t="shared" si="251"/>
        <v>130682.88237413853</v>
      </c>
      <c r="T247" s="371">
        <f t="shared" si="251"/>
        <v>40028.553943500621</v>
      </c>
      <c r="U247" s="371">
        <f t="shared" si="251"/>
        <v>282183.86611480697</v>
      </c>
      <c r="V247" s="371">
        <f t="shared" si="251"/>
        <v>65204.008750056222</v>
      </c>
      <c r="W247" s="371">
        <f t="shared" si="251"/>
        <v>62905.955767378458</v>
      </c>
      <c r="X247" s="371">
        <f t="shared" si="251"/>
        <v>89185.636671337896</v>
      </c>
      <c r="Y247" s="371">
        <f t="shared" si="251"/>
        <v>64574.622055559623</v>
      </c>
      <c r="Z247" s="371">
        <f t="shared" si="251"/>
        <v>212123.56922460548</v>
      </c>
      <c r="AA247" s="371">
        <f t="shared" si="251"/>
        <v>188855.79965008621</v>
      </c>
      <c r="AB247" s="371">
        <f t="shared" si="251"/>
        <v>139243.13550560194</v>
      </c>
      <c r="AC247" s="371">
        <f t="shared" si="251"/>
        <v>96636.759482518042</v>
      </c>
      <c r="AD247" s="371">
        <f t="shared" si="251"/>
        <v>126390.18385171167</v>
      </c>
      <c r="AE247" s="371">
        <f t="shared" si="251"/>
        <v>284377.62923703768</v>
      </c>
      <c r="AF247" s="371">
        <f t="shared" si="251"/>
        <v>94322.795670057676</v>
      </c>
      <c r="AG247" s="371">
        <f t="shared" si="251"/>
        <v>192676.39325419499</v>
      </c>
      <c r="AH247" s="371">
        <f t="shared" si="251"/>
        <v>94343.438328404605</v>
      </c>
      <c r="AI247" s="371">
        <f t="shared" si="251"/>
        <v>360890.06802216196</v>
      </c>
      <c r="AJ247" s="371">
        <f t="shared" si="251"/>
        <v>330982.71286182728</v>
      </c>
      <c r="AK247" s="371">
        <f t="shared" si="251"/>
        <v>128685.64053551904</v>
      </c>
      <c r="AL247" s="371">
        <f t="shared" ref="AL247:BC247" si="252">AL172+AL211+AL229</f>
        <v>0</v>
      </c>
      <c r="AM247" s="371">
        <f t="shared" si="252"/>
        <v>0</v>
      </c>
      <c r="AN247" s="371">
        <f t="shared" si="252"/>
        <v>0</v>
      </c>
      <c r="AO247" s="371">
        <f t="shared" si="252"/>
        <v>45605.304839935816</v>
      </c>
      <c r="AP247" s="371">
        <f t="shared" si="252"/>
        <v>55904.139951790559</v>
      </c>
      <c r="AQ247" s="371">
        <f t="shared" si="252"/>
        <v>26993.198896870897</v>
      </c>
      <c r="AR247" s="371">
        <f t="shared" si="252"/>
        <v>37215.302270288819</v>
      </c>
      <c r="AS247" s="371">
        <f t="shared" si="252"/>
        <v>27955.793696718862</v>
      </c>
      <c r="AT247" s="371">
        <f t="shared" si="252"/>
        <v>44924.664255984884</v>
      </c>
      <c r="AU247" s="371">
        <f t="shared" si="252"/>
        <v>54364.893481290172</v>
      </c>
      <c r="AV247" s="371">
        <f t="shared" si="252"/>
        <v>58191.657753067295</v>
      </c>
      <c r="AW247" s="371">
        <f t="shared" si="252"/>
        <v>94580.905209447024</v>
      </c>
      <c r="AX247" s="371">
        <f t="shared" si="252"/>
        <v>27259.870571144569</v>
      </c>
      <c r="AY247" s="371">
        <f t="shared" si="252"/>
        <v>75070.580748703636</v>
      </c>
      <c r="AZ247" s="371">
        <f t="shared" si="252"/>
        <v>649402.66243353137</v>
      </c>
      <c r="BA247" s="371">
        <f t="shared" si="252"/>
        <v>1055407.8256395583</v>
      </c>
      <c r="BB247" s="371">
        <f t="shared" si="252"/>
        <v>886484.72538620257</v>
      </c>
      <c r="BC247" s="371">
        <f t="shared" si="252"/>
        <v>1264518.2696972005</v>
      </c>
      <c r="BD247" s="304">
        <f t="shared" si="244"/>
        <v>8358118.4054058436</v>
      </c>
    </row>
    <row r="248" spans="1:56">
      <c r="A248" s="104"/>
      <c r="B248" s="9" t="s">
        <v>571</v>
      </c>
      <c r="C248" s="314" t="s">
        <v>195</v>
      </c>
      <c r="F248" s="371">
        <f t="shared" ref="F248:AK248" si="253">F173+F212+F230</f>
        <v>0</v>
      </c>
      <c r="G248" s="371">
        <f t="shared" si="253"/>
        <v>29888.311935190613</v>
      </c>
      <c r="H248" s="371">
        <f t="shared" si="253"/>
        <v>223520.76411749132</v>
      </c>
      <c r="I248" s="371">
        <f t="shared" si="253"/>
        <v>21562.855555781443</v>
      </c>
      <c r="J248" s="371">
        <f t="shared" si="253"/>
        <v>65858.395070706465</v>
      </c>
      <c r="K248" s="371">
        <f t="shared" si="253"/>
        <v>103720.64840417267</v>
      </c>
      <c r="L248" s="371">
        <f t="shared" si="253"/>
        <v>5214.6261163036997</v>
      </c>
      <c r="M248" s="371">
        <f t="shared" si="253"/>
        <v>37397.087192557563</v>
      </c>
      <c r="N248" s="371">
        <f t="shared" si="253"/>
        <v>64797.309345724098</v>
      </c>
      <c r="O248" s="371">
        <f t="shared" si="253"/>
        <v>0</v>
      </c>
      <c r="P248" s="371">
        <f t="shared" si="253"/>
        <v>259814.79889098852</v>
      </c>
      <c r="Q248" s="371">
        <f t="shared" si="253"/>
        <v>35853.634600000849</v>
      </c>
      <c r="R248" s="371">
        <f t="shared" si="253"/>
        <v>102338.51827368763</v>
      </c>
      <c r="S248" s="371">
        <f t="shared" si="253"/>
        <v>96299.789392774182</v>
      </c>
      <c r="T248" s="371">
        <f t="shared" si="253"/>
        <v>38907.144492372528</v>
      </c>
      <c r="U248" s="371">
        <f t="shared" si="253"/>
        <v>167321.01956054513</v>
      </c>
      <c r="V248" s="371">
        <f t="shared" si="253"/>
        <v>47143.25291783586</v>
      </c>
      <c r="W248" s="371">
        <f t="shared" si="253"/>
        <v>110744.39403828532</v>
      </c>
      <c r="X248" s="371">
        <f t="shared" si="253"/>
        <v>122557.8221750949</v>
      </c>
      <c r="Y248" s="371">
        <f t="shared" si="253"/>
        <v>54936.215413341037</v>
      </c>
      <c r="Z248" s="371">
        <f t="shared" si="253"/>
        <v>180875.89243784919</v>
      </c>
      <c r="AA248" s="371">
        <f t="shared" si="253"/>
        <v>218551.83887827973</v>
      </c>
      <c r="AB248" s="371">
        <f t="shared" si="253"/>
        <v>124108.41080575332</v>
      </c>
      <c r="AC248" s="371">
        <f t="shared" si="253"/>
        <v>94616.99059404849</v>
      </c>
      <c r="AD248" s="371">
        <f t="shared" si="253"/>
        <v>149556.66113332452</v>
      </c>
      <c r="AE248" s="371">
        <f t="shared" si="253"/>
        <v>142412.04235967278</v>
      </c>
      <c r="AF248" s="371">
        <f t="shared" si="253"/>
        <v>70437.659144834499</v>
      </c>
      <c r="AG248" s="371">
        <f t="shared" si="253"/>
        <v>171892.27189787064</v>
      </c>
      <c r="AH248" s="371">
        <f t="shared" si="253"/>
        <v>80699.994954014721</v>
      </c>
      <c r="AI248" s="371">
        <f t="shared" si="253"/>
        <v>417012.78959030379</v>
      </c>
      <c r="AJ248" s="371">
        <f t="shared" si="253"/>
        <v>291608.33768412977</v>
      </c>
      <c r="AK248" s="371">
        <f t="shared" si="253"/>
        <v>127354.33553445232</v>
      </c>
      <c r="AL248" s="371">
        <f t="shared" ref="AL248:BC248" si="254">AL173+AL212+AL230</f>
        <v>0</v>
      </c>
      <c r="AM248" s="371">
        <f t="shared" si="254"/>
        <v>0</v>
      </c>
      <c r="AN248" s="371">
        <f t="shared" si="254"/>
        <v>0</v>
      </c>
      <c r="AO248" s="371">
        <f t="shared" si="254"/>
        <v>34122.388224228649</v>
      </c>
      <c r="AP248" s="371">
        <f t="shared" si="254"/>
        <v>39071.906070684316</v>
      </c>
      <c r="AQ248" s="371">
        <f t="shared" si="254"/>
        <v>16969.73876513369</v>
      </c>
      <c r="AR248" s="371">
        <f t="shared" si="254"/>
        <v>52619.658744827917</v>
      </c>
      <c r="AS248" s="371">
        <f t="shared" si="254"/>
        <v>9570.4145047815327</v>
      </c>
      <c r="AT248" s="371">
        <f t="shared" si="254"/>
        <v>44331.037389038509</v>
      </c>
      <c r="AU248" s="371">
        <f t="shared" si="254"/>
        <v>51176.974669121599</v>
      </c>
      <c r="AV248" s="371">
        <f t="shared" si="254"/>
        <v>38135.262658565771</v>
      </c>
      <c r="AW248" s="371">
        <f t="shared" si="254"/>
        <v>29998.912726129525</v>
      </c>
      <c r="AX248" s="371">
        <f t="shared" si="254"/>
        <v>10872.784762904157</v>
      </c>
      <c r="AY248" s="371">
        <f t="shared" si="254"/>
        <v>24831.483433402635</v>
      </c>
      <c r="AZ248" s="371">
        <f t="shared" si="254"/>
        <v>993655.61055339803</v>
      </c>
      <c r="BA248" s="371">
        <f t="shared" si="254"/>
        <v>597216.94947871834</v>
      </c>
      <c r="BB248" s="371">
        <f t="shared" si="254"/>
        <v>671902.65598766471</v>
      </c>
      <c r="BC248" s="371">
        <f t="shared" si="254"/>
        <v>525063.16556985106</v>
      </c>
      <c r="BD248" s="304">
        <f t="shared" si="244"/>
        <v>6796542.7560458388</v>
      </c>
    </row>
    <row r="249" spans="1:56">
      <c r="A249" s="104"/>
      <c r="B249" s="9" t="s">
        <v>873</v>
      </c>
      <c r="C249" s="314" t="s">
        <v>196</v>
      </c>
      <c r="F249" s="371">
        <f t="shared" ref="F249:AK249" si="255">F174+F213+F231</f>
        <v>1423478.1249182122</v>
      </c>
      <c r="G249" s="371">
        <f t="shared" si="255"/>
        <v>3377457.6911098487</v>
      </c>
      <c r="H249" s="371">
        <f t="shared" si="255"/>
        <v>4969361.3027103934</v>
      </c>
      <c r="I249" s="371">
        <f t="shared" si="255"/>
        <v>243081.80763065076</v>
      </c>
      <c r="J249" s="371">
        <f t="shared" si="255"/>
        <v>2587636.3693560963</v>
      </c>
      <c r="K249" s="371">
        <f t="shared" si="255"/>
        <v>597837.92022750981</v>
      </c>
      <c r="L249" s="371">
        <f t="shared" si="255"/>
        <v>177693.96115504191</v>
      </c>
      <c r="M249" s="371">
        <f t="shared" si="255"/>
        <v>282633.6566883052</v>
      </c>
      <c r="N249" s="371">
        <f t="shared" si="255"/>
        <v>476442.80095779715</v>
      </c>
      <c r="O249" s="371">
        <f t="shared" si="255"/>
        <v>26187.49243187765</v>
      </c>
      <c r="P249" s="371">
        <f t="shared" si="255"/>
        <v>1190031.5228860783</v>
      </c>
      <c r="Q249" s="371">
        <f t="shared" si="255"/>
        <v>510321.16188652033</v>
      </c>
      <c r="R249" s="371">
        <f t="shared" si="255"/>
        <v>688505.44340313133</v>
      </c>
      <c r="S249" s="371">
        <f t="shared" si="255"/>
        <v>1144145.6671686901</v>
      </c>
      <c r="T249" s="371">
        <f t="shared" si="255"/>
        <v>969090.9111848101</v>
      </c>
      <c r="U249" s="371">
        <f t="shared" si="255"/>
        <v>559986.80446909473</v>
      </c>
      <c r="V249" s="371">
        <f t="shared" si="255"/>
        <v>928653.57630592713</v>
      </c>
      <c r="W249" s="371">
        <f t="shared" si="255"/>
        <v>1655635.1524188742</v>
      </c>
      <c r="X249" s="371">
        <f t="shared" si="255"/>
        <v>2377637.8043954214</v>
      </c>
      <c r="Y249" s="371">
        <f t="shared" si="255"/>
        <v>2066016.604587178</v>
      </c>
      <c r="Z249" s="371">
        <f t="shared" si="255"/>
        <v>881677.21446636727</v>
      </c>
      <c r="AA249" s="371">
        <f t="shared" si="255"/>
        <v>3599407.8225141931</v>
      </c>
      <c r="AB249" s="371">
        <f t="shared" si="255"/>
        <v>1587717.5249523472</v>
      </c>
      <c r="AC249" s="371">
        <f t="shared" si="255"/>
        <v>643378.7238137488</v>
      </c>
      <c r="AD249" s="371">
        <f t="shared" si="255"/>
        <v>1462348.5740917213</v>
      </c>
      <c r="AE249" s="371">
        <f t="shared" si="255"/>
        <v>790678.32658966235</v>
      </c>
      <c r="AF249" s="371">
        <f t="shared" si="255"/>
        <v>595645.52709068276</v>
      </c>
      <c r="AG249" s="371">
        <f t="shared" si="255"/>
        <v>1443149.9469069871</v>
      </c>
      <c r="AH249" s="371">
        <f t="shared" si="255"/>
        <v>1035449.277450753</v>
      </c>
      <c r="AI249" s="371">
        <f t="shared" si="255"/>
        <v>4131257.8914107443</v>
      </c>
      <c r="AJ249" s="371">
        <f t="shared" si="255"/>
        <v>1789026.9598788065</v>
      </c>
      <c r="AK249" s="371">
        <f t="shared" si="255"/>
        <v>5483704.2225643732</v>
      </c>
      <c r="AL249" s="371">
        <f t="shared" ref="AL249:BC249" si="256">AL174+AL213+AL231</f>
        <v>9695278.9850339163</v>
      </c>
      <c r="AM249" s="371">
        <f t="shared" si="256"/>
        <v>3197810.0160395019</v>
      </c>
      <c r="AN249" s="371">
        <f t="shared" si="256"/>
        <v>1411801.5242586401</v>
      </c>
      <c r="AO249" s="371">
        <f t="shared" si="256"/>
        <v>575300.04395782808</v>
      </c>
      <c r="AP249" s="371">
        <f t="shared" si="256"/>
        <v>590860.15899628808</v>
      </c>
      <c r="AQ249" s="371">
        <f t="shared" si="256"/>
        <v>586093.3768075523</v>
      </c>
      <c r="AR249" s="371">
        <f t="shared" si="256"/>
        <v>967077.51616037579</v>
      </c>
      <c r="AS249" s="371">
        <f t="shared" si="256"/>
        <v>309460.02723014331</v>
      </c>
      <c r="AT249" s="371">
        <f t="shared" si="256"/>
        <v>983762.25384628715</v>
      </c>
      <c r="AU249" s="371">
        <f t="shared" si="256"/>
        <v>622231.24520453485</v>
      </c>
      <c r="AV249" s="371">
        <f t="shared" si="256"/>
        <v>869596.81944811903</v>
      </c>
      <c r="AW249" s="371">
        <f t="shared" si="256"/>
        <v>648421.41647825646</v>
      </c>
      <c r="AX249" s="371">
        <f t="shared" si="256"/>
        <v>32015.01250021558</v>
      </c>
      <c r="AY249" s="371">
        <f t="shared" si="256"/>
        <v>716586.06952703395</v>
      </c>
      <c r="AZ249" s="371">
        <f t="shared" si="256"/>
        <v>1232319.6222621487</v>
      </c>
      <c r="BA249" s="371">
        <f t="shared" si="256"/>
        <v>1727368.783042572</v>
      </c>
      <c r="BB249" s="371">
        <f t="shared" si="256"/>
        <v>2348653.6687098532</v>
      </c>
      <c r="BC249" s="371">
        <f t="shared" si="256"/>
        <v>535415.99496654992</v>
      </c>
      <c r="BD249" s="304">
        <f t="shared" si="244"/>
        <v>76745330.322091669</v>
      </c>
    </row>
    <row r="250" spans="1:56">
      <c r="A250" s="104"/>
    </row>
    <row r="251" spans="1:56">
      <c r="A251" s="104"/>
    </row>
    <row r="252" spans="1:56" ht="18">
      <c r="A252" s="104"/>
      <c r="B252" s="10" t="s">
        <v>792</v>
      </c>
      <c r="C252" s="313" t="s">
        <v>103</v>
      </c>
      <c r="E252" s="23" t="s">
        <v>96</v>
      </c>
    </row>
    <row r="253" spans="1:56">
      <c r="A253" s="104"/>
      <c r="B253" s="9" t="s">
        <v>863</v>
      </c>
      <c r="C253" s="314" t="s">
        <v>190</v>
      </c>
      <c r="F253" s="316">
        <f t="shared" ref="F253:AK253" si="257">(946.75*F158)+F243</f>
        <v>0</v>
      </c>
      <c r="G253" s="316">
        <f t="shared" si="257"/>
        <v>0</v>
      </c>
      <c r="H253" s="316">
        <f t="shared" si="257"/>
        <v>53333.297788615135</v>
      </c>
      <c r="I253" s="316">
        <f t="shared" si="257"/>
        <v>0</v>
      </c>
      <c r="J253" s="316">
        <f t="shared" si="257"/>
        <v>0</v>
      </c>
      <c r="K253" s="316">
        <f t="shared" si="257"/>
        <v>0</v>
      </c>
      <c r="L253" s="316">
        <f t="shared" si="257"/>
        <v>0</v>
      </c>
      <c r="M253" s="316">
        <f t="shared" si="257"/>
        <v>0</v>
      </c>
      <c r="N253" s="316">
        <f t="shared" si="257"/>
        <v>0</v>
      </c>
      <c r="O253" s="316">
        <f t="shared" si="257"/>
        <v>0</v>
      </c>
      <c r="P253" s="316">
        <f t="shared" si="257"/>
        <v>186481.43807511745</v>
      </c>
      <c r="Q253" s="316">
        <f t="shared" si="257"/>
        <v>0</v>
      </c>
      <c r="R253" s="316">
        <f t="shared" si="257"/>
        <v>0</v>
      </c>
      <c r="S253" s="316">
        <f t="shared" si="257"/>
        <v>0</v>
      </c>
      <c r="T253" s="316">
        <f t="shared" si="257"/>
        <v>0</v>
      </c>
      <c r="U253" s="316">
        <f t="shared" si="257"/>
        <v>0</v>
      </c>
      <c r="V253" s="316">
        <f t="shared" si="257"/>
        <v>0</v>
      </c>
      <c r="W253" s="316">
        <f t="shared" si="257"/>
        <v>0</v>
      </c>
      <c r="X253" s="316">
        <f t="shared" si="257"/>
        <v>0</v>
      </c>
      <c r="Y253" s="316">
        <f t="shared" si="257"/>
        <v>0</v>
      </c>
      <c r="Z253" s="316">
        <f t="shared" si="257"/>
        <v>0</v>
      </c>
      <c r="AA253" s="316">
        <f t="shared" si="257"/>
        <v>0</v>
      </c>
      <c r="AB253" s="316">
        <f t="shared" si="257"/>
        <v>0</v>
      </c>
      <c r="AC253" s="316">
        <f t="shared" si="257"/>
        <v>0</v>
      </c>
      <c r="AD253" s="316">
        <f t="shared" si="257"/>
        <v>0</v>
      </c>
      <c r="AE253" s="316">
        <f t="shared" si="257"/>
        <v>0</v>
      </c>
      <c r="AF253" s="316">
        <f t="shared" si="257"/>
        <v>0</v>
      </c>
      <c r="AG253" s="316">
        <f t="shared" si="257"/>
        <v>0</v>
      </c>
      <c r="AH253" s="316">
        <f t="shared" si="257"/>
        <v>0</v>
      </c>
      <c r="AI253" s="316">
        <f t="shared" si="257"/>
        <v>0</v>
      </c>
      <c r="AJ253" s="316">
        <f t="shared" si="257"/>
        <v>0</v>
      </c>
      <c r="AK253" s="316">
        <f t="shared" si="257"/>
        <v>0</v>
      </c>
      <c r="AL253" s="316">
        <f t="shared" ref="AL253:BC253" si="258">(946.75*AL158)+AL243</f>
        <v>0</v>
      </c>
      <c r="AM253" s="316">
        <f t="shared" si="258"/>
        <v>0</v>
      </c>
      <c r="AN253" s="316">
        <f t="shared" si="258"/>
        <v>0</v>
      </c>
      <c r="AO253" s="316">
        <f t="shared" si="258"/>
        <v>0</v>
      </c>
      <c r="AP253" s="316">
        <f t="shared" si="258"/>
        <v>0</v>
      </c>
      <c r="AQ253" s="316">
        <f t="shared" si="258"/>
        <v>0</v>
      </c>
      <c r="AR253" s="316">
        <f t="shared" si="258"/>
        <v>0</v>
      </c>
      <c r="AS253" s="316">
        <f t="shared" si="258"/>
        <v>0</v>
      </c>
      <c r="AT253" s="316">
        <f t="shared" si="258"/>
        <v>0</v>
      </c>
      <c r="AU253" s="316">
        <f t="shared" si="258"/>
        <v>0</v>
      </c>
      <c r="AV253" s="316">
        <f t="shared" si="258"/>
        <v>0</v>
      </c>
      <c r="AW253" s="316">
        <f t="shared" si="258"/>
        <v>0</v>
      </c>
      <c r="AX253" s="316">
        <f t="shared" si="258"/>
        <v>0</v>
      </c>
      <c r="AY253" s="316">
        <f t="shared" si="258"/>
        <v>0</v>
      </c>
      <c r="AZ253" s="316">
        <f t="shared" si="258"/>
        <v>60078.351424329681</v>
      </c>
      <c r="BA253" s="316">
        <f t="shared" si="258"/>
        <v>96419.573440731459</v>
      </c>
      <c r="BB253" s="316">
        <f t="shared" si="258"/>
        <v>500628.14305369579</v>
      </c>
      <c r="BC253" s="316">
        <f t="shared" si="258"/>
        <v>0</v>
      </c>
      <c r="BD253" s="304">
        <f t="shared" ref="BD253:BD260" si="259">SUM(F253:BC253)</f>
        <v>896940.8037824895</v>
      </c>
    </row>
    <row r="254" spans="1:56">
      <c r="A254" s="104"/>
      <c r="B254" s="9" t="s">
        <v>864</v>
      </c>
      <c r="C254" s="314" t="s">
        <v>191</v>
      </c>
      <c r="F254" s="316">
        <f t="shared" ref="F254:AK254" si="260">(946.75*F159)+F244</f>
        <v>0</v>
      </c>
      <c r="G254" s="316">
        <f t="shared" si="260"/>
        <v>0</v>
      </c>
      <c r="H254" s="316">
        <f t="shared" si="260"/>
        <v>45167.44880544972</v>
      </c>
      <c r="I254" s="316">
        <f t="shared" si="260"/>
        <v>0</v>
      </c>
      <c r="J254" s="316">
        <f t="shared" si="260"/>
        <v>0</v>
      </c>
      <c r="K254" s="316">
        <f t="shared" si="260"/>
        <v>0</v>
      </c>
      <c r="L254" s="316">
        <f t="shared" si="260"/>
        <v>0</v>
      </c>
      <c r="M254" s="316">
        <f t="shared" si="260"/>
        <v>0</v>
      </c>
      <c r="N254" s="316">
        <f t="shared" si="260"/>
        <v>0</v>
      </c>
      <c r="O254" s="316">
        <f t="shared" si="260"/>
        <v>0</v>
      </c>
      <c r="P254" s="316">
        <f t="shared" si="260"/>
        <v>144768.13012541435</v>
      </c>
      <c r="Q254" s="316">
        <f t="shared" si="260"/>
        <v>0</v>
      </c>
      <c r="R254" s="316">
        <f t="shared" si="260"/>
        <v>0</v>
      </c>
      <c r="S254" s="316">
        <f t="shared" si="260"/>
        <v>0</v>
      </c>
      <c r="T254" s="316">
        <f t="shared" si="260"/>
        <v>0</v>
      </c>
      <c r="U254" s="316">
        <f t="shared" si="260"/>
        <v>47133.070490465783</v>
      </c>
      <c r="V254" s="316">
        <f t="shared" si="260"/>
        <v>55591.888649030036</v>
      </c>
      <c r="W254" s="316">
        <f t="shared" si="260"/>
        <v>0</v>
      </c>
      <c r="X254" s="316">
        <f t="shared" si="260"/>
        <v>46404.22465375546</v>
      </c>
      <c r="Y254" s="316">
        <f t="shared" si="260"/>
        <v>0</v>
      </c>
      <c r="Z254" s="316">
        <f t="shared" si="260"/>
        <v>29926.528319122463</v>
      </c>
      <c r="AA254" s="316">
        <f t="shared" si="260"/>
        <v>0</v>
      </c>
      <c r="AB254" s="316">
        <f t="shared" si="260"/>
        <v>38161.798611431987</v>
      </c>
      <c r="AC254" s="316">
        <f t="shared" si="260"/>
        <v>0</v>
      </c>
      <c r="AD254" s="316">
        <f t="shared" si="260"/>
        <v>0</v>
      </c>
      <c r="AE254" s="316">
        <f t="shared" si="260"/>
        <v>28679.024564963933</v>
      </c>
      <c r="AF254" s="316">
        <f t="shared" si="260"/>
        <v>0</v>
      </c>
      <c r="AG254" s="316">
        <f t="shared" si="260"/>
        <v>81065.589925059714</v>
      </c>
      <c r="AH254" s="316">
        <f t="shared" si="260"/>
        <v>0</v>
      </c>
      <c r="AI254" s="316">
        <f t="shared" si="260"/>
        <v>44357.891563091915</v>
      </c>
      <c r="AJ254" s="316">
        <f t="shared" si="260"/>
        <v>0</v>
      </c>
      <c r="AK254" s="316">
        <f t="shared" si="260"/>
        <v>0</v>
      </c>
      <c r="AL254" s="316">
        <f t="shared" ref="AL254:BC254" si="261">(946.75*AL159)+AL244</f>
        <v>0</v>
      </c>
      <c r="AM254" s="316">
        <f t="shared" si="261"/>
        <v>0</v>
      </c>
      <c r="AN254" s="316">
        <f t="shared" si="261"/>
        <v>0</v>
      </c>
      <c r="AO254" s="316">
        <f t="shared" si="261"/>
        <v>0</v>
      </c>
      <c r="AP254" s="316">
        <f t="shared" si="261"/>
        <v>0</v>
      </c>
      <c r="AQ254" s="316">
        <f t="shared" si="261"/>
        <v>0</v>
      </c>
      <c r="AR254" s="316">
        <f t="shared" si="261"/>
        <v>0</v>
      </c>
      <c r="AS254" s="316">
        <f t="shared" si="261"/>
        <v>0</v>
      </c>
      <c r="AT254" s="316">
        <f t="shared" si="261"/>
        <v>0</v>
      </c>
      <c r="AU254" s="316">
        <f t="shared" si="261"/>
        <v>0</v>
      </c>
      <c r="AV254" s="316">
        <f t="shared" si="261"/>
        <v>0</v>
      </c>
      <c r="AW254" s="316">
        <f t="shared" si="261"/>
        <v>0</v>
      </c>
      <c r="AX254" s="316">
        <f t="shared" si="261"/>
        <v>0</v>
      </c>
      <c r="AY254" s="316">
        <f t="shared" si="261"/>
        <v>53313.847537717564</v>
      </c>
      <c r="AZ254" s="316">
        <f t="shared" si="261"/>
        <v>117370.05008566898</v>
      </c>
      <c r="BA254" s="316">
        <f t="shared" si="261"/>
        <v>292616.71768562146</v>
      </c>
      <c r="BB254" s="316">
        <f t="shared" si="261"/>
        <v>885231.83312083979</v>
      </c>
      <c r="BC254" s="316">
        <f t="shared" si="261"/>
        <v>534894.18907499593</v>
      </c>
      <c r="BD254" s="304">
        <f t="shared" si="259"/>
        <v>2444682.2332126289</v>
      </c>
    </row>
    <row r="255" spans="1:56">
      <c r="A255" s="104"/>
      <c r="B255" s="9" t="s">
        <v>866</v>
      </c>
      <c r="C255" s="314" t="s">
        <v>192</v>
      </c>
      <c r="F255" s="316">
        <f t="shared" ref="F255:AK255" si="262">(946.75*F160)+F245</f>
        <v>0</v>
      </c>
      <c r="G255" s="316">
        <f t="shared" si="262"/>
        <v>0</v>
      </c>
      <c r="H255" s="316">
        <f t="shared" si="262"/>
        <v>60931.414351613654</v>
      </c>
      <c r="I255" s="316">
        <f t="shared" si="262"/>
        <v>0</v>
      </c>
      <c r="J255" s="316">
        <f t="shared" si="262"/>
        <v>20899.836433309072</v>
      </c>
      <c r="K255" s="316">
        <f t="shared" si="262"/>
        <v>51801.860647569913</v>
      </c>
      <c r="L255" s="316">
        <f t="shared" si="262"/>
        <v>37174.038747559774</v>
      </c>
      <c r="M255" s="316">
        <f t="shared" si="262"/>
        <v>15233.593466652566</v>
      </c>
      <c r="N255" s="316">
        <f t="shared" si="262"/>
        <v>5872.2226967075394</v>
      </c>
      <c r="O255" s="316">
        <f t="shared" si="262"/>
        <v>0</v>
      </c>
      <c r="P255" s="316">
        <f t="shared" si="262"/>
        <v>283287.32143755758</v>
      </c>
      <c r="Q255" s="316">
        <f t="shared" si="262"/>
        <v>0</v>
      </c>
      <c r="R255" s="316">
        <f t="shared" si="262"/>
        <v>27805.283595311215</v>
      </c>
      <c r="S255" s="316">
        <f t="shared" si="262"/>
        <v>14630.688013328585</v>
      </c>
      <c r="T255" s="316">
        <f t="shared" si="262"/>
        <v>10094.304147995983</v>
      </c>
      <c r="U255" s="316">
        <f t="shared" si="262"/>
        <v>69991.899788011404</v>
      </c>
      <c r="V255" s="316">
        <f t="shared" si="262"/>
        <v>50223.276113430795</v>
      </c>
      <c r="W255" s="316">
        <f t="shared" si="262"/>
        <v>0</v>
      </c>
      <c r="X255" s="316">
        <f t="shared" si="262"/>
        <v>0</v>
      </c>
      <c r="Y255" s="316">
        <f t="shared" si="262"/>
        <v>0</v>
      </c>
      <c r="Z255" s="316">
        <f t="shared" si="262"/>
        <v>32502.186718811707</v>
      </c>
      <c r="AA255" s="316">
        <f t="shared" si="262"/>
        <v>36702.246464084034</v>
      </c>
      <c r="AB255" s="316">
        <f t="shared" si="262"/>
        <v>37590.070950372909</v>
      </c>
      <c r="AC255" s="316">
        <f t="shared" si="262"/>
        <v>14273.50522858962</v>
      </c>
      <c r="AD255" s="316">
        <f t="shared" si="262"/>
        <v>130856.61428914308</v>
      </c>
      <c r="AE255" s="316">
        <f t="shared" si="262"/>
        <v>132841.90623505122</v>
      </c>
      <c r="AF255" s="316">
        <f t="shared" si="262"/>
        <v>13196.852962948551</v>
      </c>
      <c r="AG255" s="316">
        <f t="shared" si="262"/>
        <v>0</v>
      </c>
      <c r="AH255" s="316">
        <f t="shared" si="262"/>
        <v>0</v>
      </c>
      <c r="AI255" s="316">
        <f t="shared" si="262"/>
        <v>76970.121661753961</v>
      </c>
      <c r="AJ255" s="316">
        <f t="shared" si="262"/>
        <v>41431.746775620784</v>
      </c>
      <c r="AK255" s="316">
        <f t="shared" si="262"/>
        <v>0</v>
      </c>
      <c r="AL255" s="316">
        <f t="shared" ref="AL255:BC255" si="263">(946.75*AL160)+AL245</f>
        <v>0</v>
      </c>
      <c r="AM255" s="316">
        <f t="shared" si="263"/>
        <v>0</v>
      </c>
      <c r="AN255" s="316">
        <f t="shared" si="263"/>
        <v>0</v>
      </c>
      <c r="AO255" s="316">
        <f t="shared" si="263"/>
        <v>20298.266706937506</v>
      </c>
      <c r="AP255" s="316">
        <f t="shared" si="263"/>
        <v>0</v>
      </c>
      <c r="AQ255" s="316">
        <f t="shared" si="263"/>
        <v>0</v>
      </c>
      <c r="AR255" s="316">
        <f t="shared" si="263"/>
        <v>0</v>
      </c>
      <c r="AS255" s="316">
        <f t="shared" si="263"/>
        <v>0</v>
      </c>
      <c r="AT255" s="316">
        <f t="shared" si="263"/>
        <v>0</v>
      </c>
      <c r="AU255" s="316">
        <f t="shared" si="263"/>
        <v>0</v>
      </c>
      <c r="AV255" s="316">
        <f t="shared" si="263"/>
        <v>30658.509498389634</v>
      </c>
      <c r="AW255" s="316">
        <f t="shared" si="263"/>
        <v>65925.399133068044</v>
      </c>
      <c r="AX255" s="316">
        <f t="shared" si="263"/>
        <v>0</v>
      </c>
      <c r="AY255" s="316">
        <f t="shared" si="263"/>
        <v>69829.728726880974</v>
      </c>
      <c r="AZ255" s="316">
        <f t="shared" si="263"/>
        <v>258654.31124004669</v>
      </c>
      <c r="BA255" s="316">
        <f t="shared" si="263"/>
        <v>629685.25954666256</v>
      </c>
      <c r="BB255" s="316">
        <f t="shared" si="263"/>
        <v>1035927.3537185244</v>
      </c>
      <c r="BC255" s="316">
        <f t="shared" si="263"/>
        <v>777773.10925662541</v>
      </c>
      <c r="BD255" s="304">
        <f t="shared" si="259"/>
        <v>4053062.9285525596</v>
      </c>
    </row>
    <row r="256" spans="1:56">
      <c r="A256" s="104"/>
      <c r="B256" s="9" t="s">
        <v>569</v>
      </c>
      <c r="C256" s="314" t="s">
        <v>193</v>
      </c>
      <c r="F256" s="316">
        <f t="shared" ref="F256:AK256" si="264">(946.75*F161)+F246</f>
        <v>0</v>
      </c>
      <c r="G256" s="316">
        <f t="shared" si="264"/>
        <v>10739.576930225337</v>
      </c>
      <c r="H256" s="316">
        <f t="shared" si="264"/>
        <v>76099.074009440897</v>
      </c>
      <c r="I256" s="316">
        <f t="shared" si="264"/>
        <v>0</v>
      </c>
      <c r="J256" s="316">
        <f t="shared" si="264"/>
        <v>16477.528997604746</v>
      </c>
      <c r="K256" s="316">
        <f t="shared" si="264"/>
        <v>91566.311073698773</v>
      </c>
      <c r="L256" s="316">
        <f t="shared" si="264"/>
        <v>22597.724601546055</v>
      </c>
      <c r="M256" s="316">
        <f t="shared" si="264"/>
        <v>6320.0340207204463</v>
      </c>
      <c r="N256" s="316">
        <f t="shared" si="264"/>
        <v>14319.003125441681</v>
      </c>
      <c r="O256" s="316">
        <f t="shared" si="264"/>
        <v>0</v>
      </c>
      <c r="P256" s="316">
        <f t="shared" si="264"/>
        <v>292959.5493768343</v>
      </c>
      <c r="Q256" s="316">
        <f t="shared" si="264"/>
        <v>26027.245882889692</v>
      </c>
      <c r="R256" s="316">
        <f t="shared" si="264"/>
        <v>88614.217411179125</v>
      </c>
      <c r="S256" s="316">
        <f t="shared" si="264"/>
        <v>43515.702064695455</v>
      </c>
      <c r="T256" s="316">
        <f t="shared" si="264"/>
        <v>43468.106676374438</v>
      </c>
      <c r="U256" s="316">
        <f t="shared" si="264"/>
        <v>175235.2434200923</v>
      </c>
      <c r="V256" s="316">
        <f t="shared" si="264"/>
        <v>14089.83011165953</v>
      </c>
      <c r="W256" s="316">
        <f t="shared" si="264"/>
        <v>35502.102154298591</v>
      </c>
      <c r="X256" s="316">
        <f t="shared" si="264"/>
        <v>35669.708634962677</v>
      </c>
      <c r="Y256" s="316">
        <f t="shared" si="264"/>
        <v>6935.3611784876821</v>
      </c>
      <c r="Z256" s="316">
        <f t="shared" si="264"/>
        <v>69164.267452428656</v>
      </c>
      <c r="AA256" s="316">
        <f t="shared" si="264"/>
        <v>60009.130763823872</v>
      </c>
      <c r="AB256" s="316">
        <f t="shared" si="264"/>
        <v>55868.004678885947</v>
      </c>
      <c r="AC256" s="316">
        <f t="shared" si="264"/>
        <v>47499.912591149317</v>
      </c>
      <c r="AD256" s="316">
        <f t="shared" si="264"/>
        <v>106506.6897659878</v>
      </c>
      <c r="AE256" s="316">
        <f t="shared" si="264"/>
        <v>185566.42373347018</v>
      </c>
      <c r="AF256" s="316">
        <f t="shared" si="264"/>
        <v>47463.262459076577</v>
      </c>
      <c r="AG256" s="316">
        <f t="shared" si="264"/>
        <v>49035.567633122468</v>
      </c>
      <c r="AH256" s="316">
        <f t="shared" si="264"/>
        <v>31134.820816153049</v>
      </c>
      <c r="AI256" s="316">
        <f t="shared" si="264"/>
        <v>171357.29894342387</v>
      </c>
      <c r="AJ256" s="316">
        <f t="shared" si="264"/>
        <v>205760.52486950785</v>
      </c>
      <c r="AK256" s="316">
        <f t="shared" si="264"/>
        <v>56979.658529779284</v>
      </c>
      <c r="AL256" s="316">
        <f t="shared" ref="AL256:BC256" si="265">(946.75*AL161)+AL246</f>
        <v>0</v>
      </c>
      <c r="AM256" s="316">
        <f t="shared" si="265"/>
        <v>0</v>
      </c>
      <c r="AN256" s="316">
        <f t="shared" si="265"/>
        <v>0</v>
      </c>
      <c r="AO256" s="316">
        <f t="shared" si="265"/>
        <v>28703.968606262166</v>
      </c>
      <c r="AP256" s="316">
        <f t="shared" si="265"/>
        <v>25090.314691867166</v>
      </c>
      <c r="AQ256" s="316">
        <f t="shared" si="265"/>
        <v>5214.2569017338974</v>
      </c>
      <c r="AR256" s="316">
        <f t="shared" si="265"/>
        <v>0</v>
      </c>
      <c r="AS256" s="316">
        <f t="shared" si="265"/>
        <v>28879.326144028793</v>
      </c>
      <c r="AT256" s="316">
        <f t="shared" si="265"/>
        <v>0</v>
      </c>
      <c r="AU256" s="316">
        <f t="shared" si="265"/>
        <v>32873.284641511695</v>
      </c>
      <c r="AV256" s="316">
        <f t="shared" si="265"/>
        <v>33382.341085145439</v>
      </c>
      <c r="AW256" s="316">
        <f t="shared" si="265"/>
        <v>64388.252826264725</v>
      </c>
      <c r="AX256" s="316">
        <f t="shared" si="265"/>
        <v>54520.283668416676</v>
      </c>
      <c r="AY256" s="316">
        <f t="shared" si="265"/>
        <v>57579.638164781012</v>
      </c>
      <c r="AZ256" s="316">
        <f t="shared" si="265"/>
        <v>262767.53019295045</v>
      </c>
      <c r="BA256" s="316">
        <f t="shared" si="265"/>
        <v>890118.03126320464</v>
      </c>
      <c r="BB256" s="316">
        <f t="shared" si="265"/>
        <v>1112325.6577422565</v>
      </c>
      <c r="BC256" s="316">
        <f t="shared" si="265"/>
        <v>1334580.0703635574</v>
      </c>
      <c r="BD256" s="304">
        <f t="shared" si="259"/>
        <v>6016904.8381989412</v>
      </c>
    </row>
    <row r="257" spans="1:56">
      <c r="A257" s="104"/>
      <c r="B257" s="9" t="s">
        <v>570</v>
      </c>
      <c r="C257" s="314" t="s">
        <v>194</v>
      </c>
      <c r="F257" s="316">
        <f t="shared" ref="F257:AK257" si="266">(946.75*F162)+F247</f>
        <v>0</v>
      </c>
      <c r="G257" s="316">
        <f t="shared" si="266"/>
        <v>34145.255553843672</v>
      </c>
      <c r="H257" s="316">
        <f t="shared" si="266"/>
        <v>189395.10542114478</v>
      </c>
      <c r="I257" s="316">
        <f t="shared" si="266"/>
        <v>39415.936413086107</v>
      </c>
      <c r="J257" s="316">
        <f t="shared" si="266"/>
        <v>25559.645867790205</v>
      </c>
      <c r="K257" s="316">
        <f t="shared" si="266"/>
        <v>155141.81838609092</v>
      </c>
      <c r="L257" s="316">
        <f t="shared" si="266"/>
        <v>30722.757259245351</v>
      </c>
      <c r="M257" s="316">
        <f t="shared" si="266"/>
        <v>55177.619024581458</v>
      </c>
      <c r="N257" s="316">
        <f t="shared" si="266"/>
        <v>50408.442212522532</v>
      </c>
      <c r="O257" s="316">
        <f t="shared" si="266"/>
        <v>0</v>
      </c>
      <c r="P257" s="316">
        <f t="shared" si="266"/>
        <v>530131.49601418152</v>
      </c>
      <c r="Q257" s="316">
        <f t="shared" si="266"/>
        <v>12541.814537597646</v>
      </c>
      <c r="R257" s="316">
        <f t="shared" si="266"/>
        <v>134867.52833455629</v>
      </c>
      <c r="S257" s="316">
        <f t="shared" si="266"/>
        <v>170609.78085129589</v>
      </c>
      <c r="T257" s="316">
        <f t="shared" si="266"/>
        <v>52068.058110167287</v>
      </c>
      <c r="U257" s="316">
        <f t="shared" si="266"/>
        <v>368260.14846774813</v>
      </c>
      <c r="V257" s="316">
        <f t="shared" si="266"/>
        <v>84421.019388354092</v>
      </c>
      <c r="W257" s="316">
        <f t="shared" si="266"/>
        <v>82138.809699962731</v>
      </c>
      <c r="X257" s="316">
        <f t="shared" si="266"/>
        <v>115820.87000467123</v>
      </c>
      <c r="Y257" s="316">
        <f t="shared" si="266"/>
        <v>85210.265574078134</v>
      </c>
      <c r="Z257" s="316">
        <f t="shared" si="266"/>
        <v>276063.12212562939</v>
      </c>
      <c r="AA257" s="316">
        <f t="shared" si="266"/>
        <v>244525.73153019519</v>
      </c>
      <c r="AB257" s="316">
        <f t="shared" si="266"/>
        <v>181143.21996506141</v>
      </c>
      <c r="AC257" s="316">
        <f t="shared" si="266"/>
        <v>124455.64646881941</v>
      </c>
      <c r="AD257" s="316">
        <f t="shared" si="266"/>
        <v>165522.517185045</v>
      </c>
      <c r="AE257" s="316">
        <f t="shared" si="266"/>
        <v>369519.83613358939</v>
      </c>
      <c r="AF257" s="316">
        <f t="shared" si="266"/>
        <v>121905.11652567265</v>
      </c>
      <c r="AG257" s="316">
        <f t="shared" si="266"/>
        <v>250451.77262191547</v>
      </c>
      <c r="AH257" s="316">
        <f t="shared" si="266"/>
        <v>122815.2127186485</v>
      </c>
      <c r="AI257" s="316">
        <f t="shared" si="266"/>
        <v>468590.55368300981</v>
      </c>
      <c r="AJ257" s="316">
        <f t="shared" si="266"/>
        <v>429227.7493201606</v>
      </c>
      <c r="AK257" s="316">
        <f t="shared" si="266"/>
        <v>166545.8802262407</v>
      </c>
      <c r="AL257" s="316">
        <f t="shared" ref="AL257:BC257" si="267">(946.75*AL162)+AL247</f>
        <v>0</v>
      </c>
      <c r="AM257" s="316">
        <f t="shared" si="267"/>
        <v>0</v>
      </c>
      <c r="AN257" s="316">
        <f t="shared" si="267"/>
        <v>0</v>
      </c>
      <c r="AO257" s="316">
        <f t="shared" si="267"/>
        <v>59612.681119799294</v>
      </c>
      <c r="AP257" s="316">
        <f t="shared" si="267"/>
        <v>72555.917498568102</v>
      </c>
      <c r="AQ257" s="316">
        <f t="shared" si="267"/>
        <v>35559.032230204233</v>
      </c>
      <c r="AR257" s="316">
        <f t="shared" si="267"/>
        <v>48536.971409754697</v>
      </c>
      <c r="AS257" s="316">
        <f t="shared" si="267"/>
        <v>36138.068308117829</v>
      </c>
      <c r="AT257" s="316">
        <f t="shared" si="267"/>
        <v>57810.983700429329</v>
      </c>
      <c r="AU257" s="316">
        <f t="shared" si="267"/>
        <v>70396.526814623503</v>
      </c>
      <c r="AV257" s="316">
        <f t="shared" si="267"/>
        <v>74345.964694498965</v>
      </c>
      <c r="AW257" s="316">
        <f t="shared" si="267"/>
        <v>121168.20784102597</v>
      </c>
      <c r="AX257" s="316">
        <f t="shared" si="267"/>
        <v>34611.105865262216</v>
      </c>
      <c r="AY257" s="316">
        <f t="shared" si="267"/>
        <v>96894.163331286225</v>
      </c>
      <c r="AZ257" s="316">
        <f t="shared" si="267"/>
        <v>871193.34100496001</v>
      </c>
      <c r="BA257" s="316">
        <f t="shared" si="267"/>
        <v>1355948.9257483722</v>
      </c>
      <c r="BB257" s="316">
        <f t="shared" si="267"/>
        <v>1146303.8122656352</v>
      </c>
      <c r="BC257" s="316">
        <f t="shared" si="267"/>
        <v>1622249.2244280325</v>
      </c>
      <c r="BD257" s="304">
        <f t="shared" si="259"/>
        <v>10840127.655885477</v>
      </c>
    </row>
    <row r="258" spans="1:56">
      <c r="A258" s="104"/>
      <c r="B258" s="9" t="s">
        <v>571</v>
      </c>
      <c r="C258" s="314" t="s">
        <v>195</v>
      </c>
      <c r="F258" s="316">
        <f t="shared" ref="F258:AK258" si="268">(946.75*F163)+F248</f>
        <v>0</v>
      </c>
      <c r="G258" s="316">
        <f t="shared" si="268"/>
        <v>48632.300970278331</v>
      </c>
      <c r="H258" s="316">
        <f t="shared" si="268"/>
        <v>367827.48867322638</v>
      </c>
      <c r="I258" s="316">
        <f t="shared" si="268"/>
        <v>32717.291919417807</v>
      </c>
      <c r="J258" s="316">
        <f t="shared" si="268"/>
        <v>109457.80466480242</v>
      </c>
      <c r="K258" s="316">
        <f t="shared" si="268"/>
        <v>176894.97787052998</v>
      </c>
      <c r="L258" s="316">
        <f t="shared" si="268"/>
        <v>8764.9386163036997</v>
      </c>
      <c r="M258" s="316">
        <f t="shared" si="268"/>
        <v>61294.363054626527</v>
      </c>
      <c r="N258" s="316">
        <f t="shared" si="268"/>
        <v>103796.95423208774</v>
      </c>
      <c r="O258" s="316">
        <f t="shared" si="268"/>
        <v>0</v>
      </c>
      <c r="P258" s="316">
        <f t="shared" si="268"/>
        <v>420697.00578754023</v>
      </c>
      <c r="Q258" s="316">
        <f t="shared" si="268"/>
        <v>58831.673908176948</v>
      </c>
      <c r="R258" s="316">
        <f t="shared" si="268"/>
        <v>169587.12486283493</v>
      </c>
      <c r="S258" s="316">
        <f t="shared" si="268"/>
        <v>158952.97942967457</v>
      </c>
      <c r="T258" s="316">
        <f t="shared" si="268"/>
        <v>64456.854757273191</v>
      </c>
      <c r="U258" s="316">
        <f t="shared" si="268"/>
        <v>275330.10625056265</v>
      </c>
      <c r="V258" s="316">
        <f t="shared" si="268"/>
        <v>79019.569457759819</v>
      </c>
      <c r="W258" s="316">
        <f t="shared" si="268"/>
        <v>183723.03987161865</v>
      </c>
      <c r="X258" s="316">
        <f t="shared" si="268"/>
        <v>205234.21503223776</v>
      </c>
      <c r="Y258" s="316">
        <f t="shared" si="268"/>
        <v>91047.44522103334</v>
      </c>
      <c r="Z258" s="316">
        <f t="shared" si="268"/>
        <v>293756.7861160101</v>
      </c>
      <c r="AA258" s="316">
        <f t="shared" si="268"/>
        <v>354970.99745091482</v>
      </c>
      <c r="AB258" s="316">
        <f t="shared" si="268"/>
        <v>202897.11952134967</v>
      </c>
      <c r="AC258" s="316">
        <f t="shared" si="268"/>
        <v>156408.0094028259</v>
      </c>
      <c r="AD258" s="316">
        <f t="shared" si="268"/>
        <v>245542.54574870915</v>
      </c>
      <c r="AE258" s="316">
        <f t="shared" si="268"/>
        <v>230962.92235967278</v>
      </c>
      <c r="AF258" s="316">
        <f t="shared" si="268"/>
        <v>116236.6903948345</v>
      </c>
      <c r="AG258" s="316">
        <f t="shared" si="268"/>
        <v>281923.90021028346</v>
      </c>
      <c r="AH258" s="316">
        <f t="shared" si="268"/>
        <v>131982.28662068141</v>
      </c>
      <c r="AI258" s="316">
        <f t="shared" si="268"/>
        <v>683918.65787494089</v>
      </c>
      <c r="AJ258" s="316">
        <f t="shared" si="268"/>
        <v>480841.12101746316</v>
      </c>
      <c r="AK258" s="316">
        <f t="shared" si="268"/>
        <v>208696.53290287335</v>
      </c>
      <c r="AL258" s="316">
        <f t="shared" ref="AL258:BC258" si="269">(946.75*AL163)+AL248</f>
        <v>0</v>
      </c>
      <c r="AM258" s="316">
        <f t="shared" si="269"/>
        <v>0</v>
      </c>
      <c r="AN258" s="316">
        <f t="shared" si="269"/>
        <v>0</v>
      </c>
      <c r="AO258" s="316">
        <f t="shared" si="269"/>
        <v>57417.649692118561</v>
      </c>
      <c r="AP258" s="316">
        <f t="shared" si="269"/>
        <v>64874.056523173</v>
      </c>
      <c r="AQ258" s="316">
        <f t="shared" si="269"/>
        <v>28220.437794259902</v>
      </c>
      <c r="AR258" s="316">
        <f t="shared" si="269"/>
        <v>87639.748030542207</v>
      </c>
      <c r="AS258" s="316">
        <f t="shared" si="269"/>
        <v>15819.599907466098</v>
      </c>
      <c r="AT258" s="316">
        <f t="shared" si="269"/>
        <v>73126.52795507625</v>
      </c>
      <c r="AU258" s="316">
        <f t="shared" si="269"/>
        <v>84818.845922527602</v>
      </c>
      <c r="AV258" s="316">
        <f t="shared" si="269"/>
        <v>62730.547356074669</v>
      </c>
      <c r="AW258" s="316">
        <f t="shared" si="269"/>
        <v>49711.244305076892</v>
      </c>
      <c r="AX258" s="316">
        <f t="shared" si="269"/>
        <v>16908.316012904157</v>
      </c>
      <c r="AY258" s="316">
        <f t="shared" si="269"/>
        <v>40406.157760756891</v>
      </c>
      <c r="AZ258" s="316">
        <f t="shared" si="269"/>
        <v>1712436.4782317793</v>
      </c>
      <c r="BA258" s="316">
        <f t="shared" si="269"/>
        <v>950642.47811307956</v>
      </c>
      <c r="BB258" s="316">
        <f t="shared" si="269"/>
        <v>1085513.2189330328</v>
      </c>
      <c r="BC258" s="316">
        <f t="shared" si="269"/>
        <v>851312.62199618341</v>
      </c>
      <c r="BD258" s="304">
        <f t="shared" si="259"/>
        <v>11185981.632734595</v>
      </c>
    </row>
    <row r="259" spans="1:56">
      <c r="A259" s="104"/>
      <c r="B259" s="9" t="s">
        <v>873</v>
      </c>
      <c r="C259" s="314" t="s">
        <v>196</v>
      </c>
      <c r="F259" s="316">
        <f t="shared" ref="F259:AK259" si="270">(946.75*F164)+F249</f>
        <v>17318463.874918211</v>
      </c>
      <c r="G259" s="316">
        <f t="shared" si="270"/>
        <v>39534283.668741427</v>
      </c>
      <c r="H259" s="316">
        <f t="shared" si="270"/>
        <v>42095897.759571649</v>
      </c>
      <c r="I259" s="316">
        <f t="shared" si="270"/>
        <v>598319.62126701442</v>
      </c>
      <c r="J259" s="316">
        <f t="shared" si="270"/>
        <v>20608217.650650948</v>
      </c>
      <c r="K259" s="316">
        <f t="shared" si="270"/>
        <v>5316696.0164609924</v>
      </c>
      <c r="L259" s="316">
        <f t="shared" si="270"/>
        <v>2629340.2799050421</v>
      </c>
      <c r="M259" s="316">
        <f t="shared" si="270"/>
        <v>1842045.4721665056</v>
      </c>
      <c r="N259" s="316">
        <f t="shared" si="270"/>
        <v>1124481.2220436558</v>
      </c>
      <c r="O259" s="316">
        <f t="shared" si="270"/>
        <v>365123.99243187765</v>
      </c>
      <c r="P259" s="316">
        <f t="shared" si="270"/>
        <v>3737326.446187282</v>
      </c>
      <c r="Q259" s="316">
        <f t="shared" si="270"/>
        <v>3686149.9650153192</v>
      </c>
      <c r="R259" s="316">
        <f t="shared" si="270"/>
        <v>6203552.5369604956</v>
      </c>
      <c r="S259" s="316">
        <f t="shared" si="270"/>
        <v>7644706.2618229492</v>
      </c>
      <c r="T259" s="316">
        <f t="shared" si="270"/>
        <v>14167889.742484951</v>
      </c>
      <c r="U259" s="316">
        <f t="shared" si="270"/>
        <v>3725851.1167107308</v>
      </c>
      <c r="V259" s="316">
        <f t="shared" si="270"/>
        <v>15621458.111260058</v>
      </c>
      <c r="W259" s="316">
        <f t="shared" si="270"/>
        <v>12001832.564000474</v>
      </c>
      <c r="X259" s="316">
        <f t="shared" si="270"/>
        <v>31347737.158043656</v>
      </c>
      <c r="Y259" s="316">
        <f t="shared" si="270"/>
        <v>24064836.627094302</v>
      </c>
      <c r="Z259" s="316">
        <f t="shared" si="270"/>
        <v>4447307.04749694</v>
      </c>
      <c r="AA259" s="316">
        <f t="shared" si="270"/>
        <v>25147224.072920516</v>
      </c>
      <c r="AB259" s="316">
        <f t="shared" si="270"/>
        <v>12399953.762064081</v>
      </c>
      <c r="AC259" s="316">
        <f t="shared" si="270"/>
        <v>4340884.9417560436</v>
      </c>
      <c r="AD259" s="316">
        <f t="shared" si="270"/>
        <v>14900532.639476337</v>
      </c>
      <c r="AE259" s="316">
        <f t="shared" si="270"/>
        <v>3133532.1328303656</v>
      </c>
      <c r="AF259" s="316">
        <f t="shared" si="270"/>
        <v>5287484.029995189</v>
      </c>
      <c r="AG259" s="316">
        <f t="shared" si="270"/>
        <v>8325059.8050728142</v>
      </c>
      <c r="AH259" s="316">
        <f t="shared" si="270"/>
        <v>7324438.8072151681</v>
      </c>
      <c r="AI259" s="316">
        <f t="shared" si="270"/>
        <v>37799342.907170154</v>
      </c>
      <c r="AJ259" s="316">
        <f t="shared" si="270"/>
        <v>11659202.886644797</v>
      </c>
      <c r="AK259" s="316">
        <f t="shared" si="270"/>
        <v>48504781.539815575</v>
      </c>
      <c r="AL259" s="316">
        <f t="shared" ref="AL259:BC259" si="271">(946.75*AL164)+AL249</f>
        <v>36470315.735033914</v>
      </c>
      <c r="AM259" s="316">
        <f t="shared" si="271"/>
        <v>24497791.516039502</v>
      </c>
      <c r="AN259" s="316">
        <f t="shared" si="271"/>
        <v>12398835.27425864</v>
      </c>
      <c r="AO259" s="316">
        <f t="shared" si="271"/>
        <v>5110732.1597548332</v>
      </c>
      <c r="AP259" s="316">
        <f t="shared" si="271"/>
        <v>4986638.7379414663</v>
      </c>
      <c r="AQ259" s="316">
        <f t="shared" si="271"/>
        <v>8008985.4115747213</v>
      </c>
      <c r="AR259" s="316">
        <f t="shared" si="271"/>
        <v>6238630.5077351946</v>
      </c>
      <c r="AS259" s="316">
        <f t="shared" si="271"/>
        <v>3523853.1697160592</v>
      </c>
      <c r="AT259" s="316">
        <f t="shared" si="271"/>
        <v>6944475.4438358042</v>
      </c>
      <c r="AU259" s="316">
        <f t="shared" si="271"/>
        <v>9298275.3586733509</v>
      </c>
      <c r="AV259" s="316">
        <f t="shared" si="271"/>
        <v>7243688.7323272508</v>
      </c>
      <c r="AW259" s="316">
        <f t="shared" si="271"/>
        <v>4175797.518879828</v>
      </c>
      <c r="AX259" s="316">
        <f t="shared" si="271"/>
        <v>72441.515956097937</v>
      </c>
      <c r="AY259" s="316">
        <f t="shared" si="271"/>
        <v>2532420.1682420969</v>
      </c>
      <c r="AZ259" s="316">
        <f t="shared" si="271"/>
        <v>3795131.0011457233</v>
      </c>
      <c r="BA259" s="316">
        <f t="shared" si="271"/>
        <v>5172431.1366100181</v>
      </c>
      <c r="BB259" s="316">
        <f t="shared" si="271"/>
        <v>11203402.630225208</v>
      </c>
      <c r="BC259" s="316">
        <f t="shared" si="271"/>
        <v>2455120.1909142807</v>
      </c>
      <c r="BD259" s="304">
        <f t="shared" si="259"/>
        <v>591032920.86905932</v>
      </c>
    </row>
    <row r="260" spans="1:56">
      <c r="A260" s="104"/>
      <c r="B260" s="10" t="s">
        <v>106</v>
      </c>
      <c r="F260" s="316">
        <f>SUM(F253:F259)</f>
        <v>17318463.874918211</v>
      </c>
      <c r="G260" s="316">
        <f t="shared" ref="G260:BC260" si="272">SUM(G253:G259)</f>
        <v>39627800.802195773</v>
      </c>
      <c r="H260" s="316">
        <f t="shared" si="272"/>
        <v>42888651.58862114</v>
      </c>
      <c r="I260" s="316">
        <f t="shared" si="272"/>
        <v>670452.84959951835</v>
      </c>
      <c r="J260" s="316">
        <f t="shared" si="272"/>
        <v>20780612.466614455</v>
      </c>
      <c r="K260" s="316">
        <f t="shared" si="272"/>
        <v>5792100.9844388822</v>
      </c>
      <c r="L260" s="316">
        <f t="shared" si="272"/>
        <v>2728599.739129697</v>
      </c>
      <c r="M260" s="316">
        <f t="shared" si="272"/>
        <v>1980071.0817330866</v>
      </c>
      <c r="N260" s="316">
        <f t="shared" si="272"/>
        <v>1298877.8443104152</v>
      </c>
      <c r="O260" s="316">
        <f t="shared" si="272"/>
        <v>365123.99243187765</v>
      </c>
      <c r="P260" s="316">
        <f t="shared" si="272"/>
        <v>5595651.3870039275</v>
      </c>
      <c r="Q260" s="316">
        <f t="shared" si="272"/>
        <v>3783550.6993439835</v>
      </c>
      <c r="R260" s="316">
        <f t="shared" si="272"/>
        <v>6624426.6911643771</v>
      </c>
      <c r="S260" s="316">
        <f t="shared" si="272"/>
        <v>8032415.4121819437</v>
      </c>
      <c r="T260" s="316">
        <f t="shared" si="272"/>
        <v>14337977.066176763</v>
      </c>
      <c r="U260" s="316">
        <f t="shared" si="272"/>
        <v>4661801.5851276107</v>
      </c>
      <c r="V260" s="316">
        <f t="shared" si="272"/>
        <v>15904803.694980294</v>
      </c>
      <c r="W260" s="316">
        <f t="shared" si="272"/>
        <v>12303196.515726354</v>
      </c>
      <c r="X260" s="316">
        <f t="shared" si="272"/>
        <v>31750866.176369283</v>
      </c>
      <c r="Y260" s="316">
        <f t="shared" si="272"/>
        <v>24248029.699067902</v>
      </c>
      <c r="Z260" s="316">
        <f t="shared" si="272"/>
        <v>5148719.9382289425</v>
      </c>
      <c r="AA260" s="316">
        <f t="shared" si="272"/>
        <v>25843432.179129533</v>
      </c>
      <c r="AB260" s="316">
        <f t="shared" si="272"/>
        <v>12915613.975791182</v>
      </c>
      <c r="AC260" s="316">
        <f t="shared" si="272"/>
        <v>4683522.0154474275</v>
      </c>
      <c r="AD260" s="316">
        <f t="shared" si="272"/>
        <v>15548961.006465221</v>
      </c>
      <c r="AE260" s="316">
        <f t="shared" si="272"/>
        <v>4081102.245857113</v>
      </c>
      <c r="AF260" s="316">
        <f t="shared" si="272"/>
        <v>5586285.9523377214</v>
      </c>
      <c r="AG260" s="316">
        <f t="shared" si="272"/>
        <v>8987536.6354631949</v>
      </c>
      <c r="AH260" s="316">
        <f t="shared" si="272"/>
        <v>7610371.1273706509</v>
      </c>
      <c r="AI260" s="316">
        <f t="shared" si="272"/>
        <v>39244537.430896372</v>
      </c>
      <c r="AJ260" s="316">
        <f t="shared" si="272"/>
        <v>12816464.02862755</v>
      </c>
      <c r="AK260" s="316">
        <f t="shared" si="272"/>
        <v>48937003.611474469</v>
      </c>
      <c r="AL260" s="316">
        <f t="shared" si="272"/>
        <v>36470315.735033914</v>
      </c>
      <c r="AM260" s="316">
        <f t="shared" si="272"/>
        <v>24497791.516039502</v>
      </c>
      <c r="AN260" s="316">
        <f t="shared" si="272"/>
        <v>12398835.27425864</v>
      </c>
      <c r="AO260" s="316">
        <f t="shared" si="272"/>
        <v>5276764.7258799504</v>
      </c>
      <c r="AP260" s="316">
        <f t="shared" si="272"/>
        <v>5149159.0266550742</v>
      </c>
      <c r="AQ260" s="316">
        <f t="shared" si="272"/>
        <v>8077979.1385009196</v>
      </c>
      <c r="AR260" s="316">
        <f t="shared" si="272"/>
        <v>6374807.2271754919</v>
      </c>
      <c r="AS260" s="316">
        <f t="shared" si="272"/>
        <v>3604690.1640756722</v>
      </c>
      <c r="AT260" s="316">
        <f t="shared" si="272"/>
        <v>7075412.95549131</v>
      </c>
      <c r="AU260" s="316">
        <f t="shared" si="272"/>
        <v>9486364.0160520133</v>
      </c>
      <c r="AV260" s="316">
        <f t="shared" si="272"/>
        <v>7444806.0949613592</v>
      </c>
      <c r="AW260" s="316">
        <f t="shared" si="272"/>
        <v>4476990.6229852634</v>
      </c>
      <c r="AX260" s="316">
        <f t="shared" si="272"/>
        <v>178481.22150268097</v>
      </c>
      <c r="AY260" s="316">
        <f t="shared" si="272"/>
        <v>2850443.7037635194</v>
      </c>
      <c r="AZ260" s="316">
        <f t="shared" si="272"/>
        <v>7077631.0633254582</v>
      </c>
      <c r="BA260" s="316">
        <f t="shared" si="272"/>
        <v>9387862.1224076897</v>
      </c>
      <c r="BB260" s="316">
        <f t="shared" si="272"/>
        <v>16969332.649059191</v>
      </c>
      <c r="BC260" s="316">
        <f t="shared" si="272"/>
        <v>7575929.4060336761</v>
      </c>
      <c r="BD260" s="304">
        <f t="shared" si="259"/>
        <v>626470620.9614259</v>
      </c>
    </row>
    <row r="261" spans="1:56">
      <c r="A261" s="104"/>
    </row>
    <row r="262" spans="1:56" ht="18">
      <c r="A262" s="104"/>
      <c r="B262" s="10" t="s">
        <v>792</v>
      </c>
      <c r="C262" s="313" t="s">
        <v>104</v>
      </c>
      <c r="F262" s="23" t="s">
        <v>96</v>
      </c>
    </row>
    <row r="263" spans="1:56">
      <c r="A263" s="104"/>
      <c r="B263" s="9" t="s">
        <v>863</v>
      </c>
      <c r="C263" s="314" t="s">
        <v>190</v>
      </c>
      <c r="F263" s="9"/>
      <c r="G263" s="9"/>
      <c r="H263" s="306">
        <f t="shared" ref="H263:H270" si="273">H253/H158</f>
        <v>121904.68065969173</v>
      </c>
      <c r="I263" s="306"/>
      <c r="J263" s="306"/>
      <c r="K263" s="306"/>
      <c r="L263" s="306"/>
      <c r="M263" s="306"/>
      <c r="N263" s="306"/>
      <c r="O263" s="306"/>
      <c r="P263" s="306">
        <f t="shared" ref="P263:P270" si="274">P253/P158</f>
        <v>120231.4534957994</v>
      </c>
      <c r="AY263" s="306"/>
      <c r="AZ263" s="306">
        <f t="shared" ref="AZ263:BB270" si="275">AZ253/AZ158</f>
        <v>75097.939280412102</v>
      </c>
      <c r="BA263" s="306">
        <f t="shared" si="275"/>
        <v>101364.16695051255</v>
      </c>
      <c r="BB263" s="306">
        <f t="shared" si="275"/>
        <v>126349.00753259941</v>
      </c>
      <c r="BC263" s="306"/>
      <c r="BD263" s="306">
        <f t="shared" ref="BD263:BD270" si="276">BD253/BD158</f>
        <v>116455.50891417403</v>
      </c>
    </row>
    <row r="264" spans="1:56">
      <c r="A264" s="104"/>
      <c r="B264" s="9" t="s">
        <v>864</v>
      </c>
      <c r="C264" s="314" t="s">
        <v>191</v>
      </c>
      <c r="F264" s="9"/>
      <c r="G264" s="9"/>
      <c r="H264" s="306">
        <f t="shared" si="273"/>
        <v>31420.833951617195</v>
      </c>
      <c r="I264" s="306"/>
      <c r="J264" s="306"/>
      <c r="K264" s="306"/>
      <c r="L264" s="306"/>
      <c r="M264" s="306"/>
      <c r="N264" s="306"/>
      <c r="O264" s="306"/>
      <c r="P264" s="306">
        <f t="shared" si="274"/>
        <v>32840.918408080113</v>
      </c>
      <c r="U264" s="306">
        <f t="shared" ref="U264:V270" si="277">U254/U159</f>
        <v>30673.903017604716</v>
      </c>
      <c r="V264" s="306">
        <f t="shared" si="277"/>
        <v>31766.793513731449</v>
      </c>
      <c r="X264" s="306">
        <f>X254/X159</f>
        <v>30936.149769170308</v>
      </c>
      <c r="Z264" s="306">
        <f t="shared" ref="Z264:Z270" si="278">Z254/Z159</f>
        <v>31758.764746823836</v>
      </c>
      <c r="AA264" s="306"/>
      <c r="AB264" s="306">
        <f t="shared" ref="AB264:AB270" si="279">AB254/AB159</f>
        <v>31223.28977298981</v>
      </c>
      <c r="AE264" s="306">
        <f t="shared" ref="AE264:AE270" si="280">AE254/AE159</f>
        <v>32379.543863668958</v>
      </c>
      <c r="AF264" s="306"/>
      <c r="AG264" s="306">
        <f>AG254/AG159</f>
        <v>31288.473304409014</v>
      </c>
      <c r="AI264" s="306">
        <f t="shared" ref="AI264:AI270" si="281">AI254/AI159</f>
        <v>30548.359284016129</v>
      </c>
      <c r="AJ264" s="306"/>
      <c r="AK264" s="306"/>
      <c r="AO264" s="306"/>
      <c r="AP264" s="306"/>
      <c r="AQ264" s="306"/>
      <c r="AR264" s="306"/>
      <c r="AS264" s="306"/>
      <c r="AT264" s="306"/>
      <c r="AU264" s="306"/>
      <c r="AV264" s="306"/>
      <c r="AW264" s="306"/>
      <c r="AX264" s="306"/>
      <c r="AY264" s="306">
        <f t="shared" ref="AY264:AY270" si="282">AY254/AY159</f>
        <v>30996.422987045094</v>
      </c>
      <c r="AZ264" s="306">
        <f t="shared" si="275"/>
        <v>28980.259280412094</v>
      </c>
      <c r="BA264" s="306">
        <f t="shared" si="275"/>
        <v>28332.729807655414</v>
      </c>
      <c r="BB264" s="306">
        <f t="shared" si="275"/>
        <v>29507.727770694659</v>
      </c>
      <c r="BC264" s="306">
        <f t="shared" ref="BC264:BC270" si="283">BC254/BC159</f>
        <v>29996.027073617417</v>
      </c>
      <c r="BD264" s="306">
        <f t="shared" si="276"/>
        <v>29938.980604688921</v>
      </c>
    </row>
    <row r="265" spans="1:56">
      <c r="A265" s="104"/>
      <c r="B265" s="9" t="s">
        <v>866</v>
      </c>
      <c r="C265" s="314" t="s">
        <v>192</v>
      </c>
      <c r="F265" s="9"/>
      <c r="G265" s="9"/>
      <c r="H265" s="306">
        <f t="shared" si="273"/>
        <v>14978.97269477169</v>
      </c>
      <c r="I265" s="306"/>
      <c r="J265" s="306">
        <f t="shared" ref="J265:N270" si="284">J255/J160</f>
        <v>15021.757436440896</v>
      </c>
      <c r="K265" s="306">
        <f t="shared" si="284"/>
        <v>16735.985747676434</v>
      </c>
      <c r="L265" s="306">
        <f t="shared" si="284"/>
        <v>14869.61549902391</v>
      </c>
      <c r="M265" s="306">
        <f t="shared" si="284"/>
        <v>14842.98850596917</v>
      </c>
      <c r="N265" s="306">
        <f t="shared" si="284"/>
        <v>13212.501067591964</v>
      </c>
      <c r="O265" s="306"/>
      <c r="P265" s="306">
        <f t="shared" si="274"/>
        <v>15186.783378037067</v>
      </c>
      <c r="R265" s="306">
        <f t="shared" ref="R265:T270" si="285">R255/R160</f>
        <v>14720.444256341232</v>
      </c>
      <c r="S265" s="306">
        <f t="shared" si="285"/>
        <v>14630.688013328585</v>
      </c>
      <c r="T265" s="306">
        <f t="shared" si="285"/>
        <v>15702.250896882642</v>
      </c>
      <c r="U265" s="306">
        <f t="shared" si="277"/>
        <v>14519.596232619388</v>
      </c>
      <c r="V265" s="306">
        <f t="shared" si="277"/>
        <v>14880.970700275791</v>
      </c>
      <c r="X265" s="306"/>
      <c r="Z265" s="306">
        <f t="shared" si="278"/>
        <v>14494.218401632246</v>
      </c>
      <c r="AA265" s="306">
        <f t="shared" ref="AA265:AA270" si="286">AA255/AA160</f>
        <v>14328.959235978013</v>
      </c>
      <c r="AB265" s="306">
        <f t="shared" si="279"/>
        <v>13783.026015136735</v>
      </c>
      <c r="AC265" s="306">
        <f t="shared" ref="AC265:AD270" si="287">AC255/AC160</f>
        <v>14741.489006576167</v>
      </c>
      <c r="AD265" s="306">
        <f t="shared" si="287"/>
        <v>14648.128465202582</v>
      </c>
      <c r="AE265" s="306">
        <f t="shared" si="280"/>
        <v>14798.901743092207</v>
      </c>
      <c r="AF265" s="306">
        <f t="shared" ref="AF265:AF270" si="288">AF255/AF160</f>
        <v>15249.696757184991</v>
      </c>
      <c r="AG265" s="306"/>
      <c r="AI265" s="306">
        <f t="shared" si="281"/>
        <v>14151.913903417726</v>
      </c>
      <c r="AJ265" s="306">
        <f t="shared" ref="AJ265:AJ270" si="289">AJ255/AJ160</f>
        <v>14927.614647098666</v>
      </c>
      <c r="AK265" s="306"/>
      <c r="AO265" s="306">
        <f t="shared" ref="AO265:AO270" si="290">AO255/AO160</f>
        <v>14705.887104005744</v>
      </c>
      <c r="AP265" s="306"/>
      <c r="AQ265" s="306"/>
      <c r="AR265" s="306"/>
      <c r="AS265" s="306"/>
      <c r="AT265" s="306"/>
      <c r="AU265" s="306"/>
      <c r="AV265" s="306">
        <f t="shared" ref="AV265:AW270" si="291">AV255/AV160</f>
        <v>14540.893076379083</v>
      </c>
      <c r="AW265" s="306">
        <f t="shared" si="291"/>
        <v>14995.906240569126</v>
      </c>
      <c r="AX265" s="306"/>
      <c r="AY265" s="306">
        <f t="shared" si="282"/>
        <v>14870.572222228422</v>
      </c>
      <c r="AZ265" s="306">
        <f t="shared" si="275"/>
        <v>15117.694903527843</v>
      </c>
      <c r="BA265" s="306">
        <f t="shared" si="275"/>
        <v>14420.27311938922</v>
      </c>
      <c r="BB265" s="306">
        <f t="shared" si="275"/>
        <v>14690.714823594537</v>
      </c>
      <c r="BC265" s="306">
        <f t="shared" si="283"/>
        <v>15043.135954897154</v>
      </c>
      <c r="BD265" s="306">
        <f t="shared" si="276"/>
        <v>14793.805812429568</v>
      </c>
    </row>
    <row r="266" spans="1:56">
      <c r="A266" s="104"/>
      <c r="B266" s="9" t="s">
        <v>569</v>
      </c>
      <c r="C266" s="314" t="s">
        <v>193</v>
      </c>
      <c r="F266" s="9"/>
      <c r="G266" s="306">
        <f>G256/G161</f>
        <v>8054.6826976690036</v>
      </c>
      <c r="H266" s="306">
        <f t="shared" si="273"/>
        <v>7750.831612072684</v>
      </c>
      <c r="I266" s="306"/>
      <c r="J266" s="306">
        <f t="shared" si="284"/>
        <v>7793.4258772454878</v>
      </c>
      <c r="K266" s="306">
        <f t="shared" si="284"/>
        <v>7960.0259058385864</v>
      </c>
      <c r="L266" s="306">
        <f t="shared" si="284"/>
        <v>8112.0037031190968</v>
      </c>
      <c r="M266" s="306">
        <f t="shared" si="284"/>
        <v>7655.25247580223</v>
      </c>
      <c r="N266" s="306">
        <f t="shared" si="284"/>
        <v>7636.80166690223</v>
      </c>
      <c r="O266" s="306"/>
      <c r="P266" s="306">
        <f t="shared" si="274"/>
        <v>8023.7909570997244</v>
      </c>
      <c r="Q266" s="306">
        <f>Q256/Q161</f>
        <v>8044.7850910749958</v>
      </c>
      <c r="R266" s="306">
        <f t="shared" si="285"/>
        <v>7800.0970592812801</v>
      </c>
      <c r="S266" s="306">
        <f t="shared" si="285"/>
        <v>7962.1121531417411</v>
      </c>
      <c r="T266" s="306">
        <f t="shared" si="285"/>
        <v>7920.8549943615653</v>
      </c>
      <c r="U266" s="306">
        <f t="shared" si="277"/>
        <v>8070.6384665036494</v>
      </c>
      <c r="V266" s="306">
        <f t="shared" si="277"/>
        <v>8259.5555826969667</v>
      </c>
      <c r="W266" s="306">
        <f t="shared" ref="W266:Y270" si="292">W256/W161</f>
        <v>7920.5639299938312</v>
      </c>
      <c r="X266" s="306">
        <f t="shared" si="292"/>
        <v>7898.2926263131649</v>
      </c>
      <c r="Y266" s="306">
        <f t="shared" si="292"/>
        <v>7565.8485583501988</v>
      </c>
      <c r="Z266" s="306">
        <f t="shared" si="278"/>
        <v>7796.9436583884581</v>
      </c>
      <c r="AA266" s="306">
        <f t="shared" si="286"/>
        <v>7721.9726671397293</v>
      </c>
      <c r="AB266" s="306">
        <f t="shared" si="279"/>
        <v>7756.6738638988982</v>
      </c>
      <c r="AC266" s="306">
        <f t="shared" si="287"/>
        <v>8038.4467461944996</v>
      </c>
      <c r="AD266" s="306">
        <f t="shared" si="287"/>
        <v>7988.0017324490855</v>
      </c>
      <c r="AE266" s="306">
        <f t="shared" si="280"/>
        <v>8051.4357405018054</v>
      </c>
      <c r="AF266" s="306">
        <f t="shared" si="288"/>
        <v>8051.8034528790622</v>
      </c>
      <c r="AG266" s="306">
        <f t="shared" ref="AG266:AH270" si="293">AG256/AG161</f>
        <v>7933.8446507523995</v>
      </c>
      <c r="AH266" s="306">
        <f t="shared" si="293"/>
        <v>7695.0020108298495</v>
      </c>
      <c r="AI266" s="306">
        <f t="shared" si="281"/>
        <v>7902.1530206709404</v>
      </c>
      <c r="AJ266" s="306">
        <f t="shared" si="289"/>
        <v>8147.9597157295566</v>
      </c>
      <c r="AK266" s="306">
        <f>AK256/AK161</f>
        <v>7812.813699118673</v>
      </c>
      <c r="AO266" s="306">
        <f t="shared" si="290"/>
        <v>7776.166040605568</v>
      </c>
      <c r="AP266" s="306">
        <f t="shared" ref="AP266:AQ270" si="294">AP256/AP161</f>
        <v>7993.3745920992742</v>
      </c>
      <c r="AQ266" s="306">
        <f t="shared" si="294"/>
        <v>7714.2430874967249</v>
      </c>
      <c r="AR266" s="306"/>
      <c r="AS266" s="306">
        <f>AS256/AS161</f>
        <v>8089.4470991677299</v>
      </c>
      <c r="AT266" s="306"/>
      <c r="AU266" s="306">
        <f>AU256/AU161</f>
        <v>7298.7380878070016</v>
      </c>
      <c r="AV266" s="306">
        <f t="shared" si="291"/>
        <v>7860.2391774952375</v>
      </c>
      <c r="AW266" s="306">
        <f t="shared" si="291"/>
        <v>8123.193306467535</v>
      </c>
      <c r="AX266" s="306">
        <f>AX256/AX161</f>
        <v>8850.6954007169934</v>
      </c>
      <c r="AY266" s="306">
        <f t="shared" si="282"/>
        <v>8090.8156671823435</v>
      </c>
      <c r="AZ266" s="306">
        <f t="shared" si="275"/>
        <v>8057.9422123492659</v>
      </c>
      <c r="BA266" s="306">
        <f t="shared" si="275"/>
        <v>8130.7749681337045</v>
      </c>
      <c r="BB266" s="306">
        <f t="shared" si="275"/>
        <v>8153.0592844561288</v>
      </c>
      <c r="BC266" s="306">
        <f t="shared" si="283"/>
        <v>8221.0974174770672</v>
      </c>
      <c r="BD266" s="306">
        <f t="shared" si="276"/>
        <v>8087.0423376092031</v>
      </c>
    </row>
    <row r="267" spans="1:56">
      <c r="A267" s="104"/>
      <c r="B267" s="9" t="s">
        <v>570</v>
      </c>
      <c r="C267" s="314" t="s">
        <v>194</v>
      </c>
      <c r="F267" s="9"/>
      <c r="G267" s="306">
        <f>G257/G162</f>
        <v>4064.9113754575797</v>
      </c>
      <c r="H267" s="306">
        <f t="shared" si="273"/>
        <v>4108.7596987834231</v>
      </c>
      <c r="I267" s="306">
        <f>I257/I162</f>
        <v>3941.5936413086106</v>
      </c>
      <c r="J267" s="306">
        <f t="shared" si="284"/>
        <v>4061.6036449828562</v>
      </c>
      <c r="K267" s="306">
        <f t="shared" si="284"/>
        <v>4211.1219359993947</v>
      </c>
      <c r="L267" s="306">
        <f t="shared" si="284"/>
        <v>4137.7450854202498</v>
      </c>
      <c r="M267" s="306">
        <f t="shared" si="284"/>
        <v>4315.5679684030192</v>
      </c>
      <c r="N267" s="306">
        <f t="shared" si="284"/>
        <v>4200.7035177102107</v>
      </c>
      <c r="O267" s="306"/>
      <c r="P267" s="306">
        <f t="shared" si="274"/>
        <v>4161.9017791184033</v>
      </c>
      <c r="Q267" s="306">
        <f>Q257/Q162</f>
        <v>4124.4893445790922</v>
      </c>
      <c r="R267" s="306">
        <f t="shared" si="285"/>
        <v>4028.5105866166164</v>
      </c>
      <c r="S267" s="306">
        <f t="shared" si="285"/>
        <v>4045.5135806096887</v>
      </c>
      <c r="T267" s="306">
        <f t="shared" si="285"/>
        <v>4094.4737701311105</v>
      </c>
      <c r="U267" s="306">
        <f t="shared" si="277"/>
        <v>4050.4804114594449</v>
      </c>
      <c r="V267" s="306">
        <f t="shared" si="277"/>
        <v>4159.1068252124132</v>
      </c>
      <c r="W267" s="306">
        <f t="shared" si="292"/>
        <v>4043.3374243897583</v>
      </c>
      <c r="X267" s="306">
        <f t="shared" si="292"/>
        <v>4116.855568886418</v>
      </c>
      <c r="Y267" s="306">
        <f t="shared" si="292"/>
        <v>3909.3919634666267</v>
      </c>
      <c r="Z267" s="306">
        <f t="shared" si="278"/>
        <v>4087.6538701642107</v>
      </c>
      <c r="AA267" s="306">
        <f t="shared" si="286"/>
        <v>4158.5237938638384</v>
      </c>
      <c r="AB267" s="306">
        <f t="shared" si="279"/>
        <v>4093.0071076074942</v>
      </c>
      <c r="AC267" s="306">
        <f t="shared" si="287"/>
        <v>4235.5534695682127</v>
      </c>
      <c r="AD267" s="306">
        <f t="shared" si="287"/>
        <v>4004.5770286704442</v>
      </c>
      <c r="AE267" s="306">
        <f t="shared" si="280"/>
        <v>4108.9245582339308</v>
      </c>
      <c r="AF267" s="306">
        <f t="shared" si="288"/>
        <v>4184.334946824667</v>
      </c>
      <c r="AG267" s="306">
        <f t="shared" si="293"/>
        <v>4104.0875598694292</v>
      </c>
      <c r="AH267" s="306">
        <f t="shared" si="293"/>
        <v>4083.8797416582229</v>
      </c>
      <c r="AI267" s="306">
        <f t="shared" si="281"/>
        <v>4119.1839013281651</v>
      </c>
      <c r="AJ267" s="306">
        <f t="shared" si="289"/>
        <v>4136.3043500035546</v>
      </c>
      <c r="AK267" s="306">
        <f>AK257/AK162</f>
        <v>4164.7203871991096</v>
      </c>
      <c r="AO267" s="306">
        <f t="shared" si="290"/>
        <v>4029.1846754558692</v>
      </c>
      <c r="AP267" s="306">
        <f t="shared" si="294"/>
        <v>4125.2241509233163</v>
      </c>
      <c r="AQ267" s="306">
        <f t="shared" si="294"/>
        <v>3930.2088254436258</v>
      </c>
      <c r="AR267" s="306">
        <f>AR257/AR162</f>
        <v>4058.798849897601</v>
      </c>
      <c r="AS267" s="306">
        <f>AS257/AS162</f>
        <v>4181.4431555556002</v>
      </c>
      <c r="AT267" s="306">
        <f>AT257/AT162</f>
        <v>4247.3375779907265</v>
      </c>
      <c r="AU267" s="306">
        <f>AU257/AU162</f>
        <v>4157.2752055880019</v>
      </c>
      <c r="AV267" s="306">
        <f t="shared" si="291"/>
        <v>4357.168792799901</v>
      </c>
      <c r="AW267" s="306">
        <f t="shared" si="291"/>
        <v>4314.6912029066816</v>
      </c>
      <c r="AX267" s="306">
        <f>AX257/AX162</f>
        <v>4457.4909068898305</v>
      </c>
      <c r="AY267" s="306">
        <f t="shared" si="282"/>
        <v>4203.4596651013953</v>
      </c>
      <c r="AZ267" s="306">
        <f t="shared" si="275"/>
        <v>3718.8321029046988</v>
      </c>
      <c r="BA267" s="306">
        <f t="shared" si="275"/>
        <v>4271.4445544635282</v>
      </c>
      <c r="BB267" s="306">
        <f t="shared" si="275"/>
        <v>4176.9954136052347</v>
      </c>
      <c r="BC267" s="306">
        <f t="shared" si="283"/>
        <v>4293.3507232631646</v>
      </c>
      <c r="BD267" s="306">
        <f t="shared" si="276"/>
        <v>4134.9124126859488</v>
      </c>
    </row>
    <row r="268" spans="1:56">
      <c r="A268" s="104"/>
      <c r="B268" s="9" t="s">
        <v>571</v>
      </c>
      <c r="C268" s="314" t="s">
        <v>195</v>
      </c>
      <c r="F268" s="9"/>
      <c r="G268" s="306">
        <f>G258/G163</f>
        <v>2456.394466376486</v>
      </c>
      <c r="H268" s="306">
        <f t="shared" si="273"/>
        <v>2413.1978324189413</v>
      </c>
      <c r="I268" s="306">
        <f>I258/I163</f>
        <v>2776.9306413086101</v>
      </c>
      <c r="J268" s="306">
        <f t="shared" si="284"/>
        <v>2376.8481621924243</v>
      </c>
      <c r="K268" s="306">
        <f t="shared" si="284"/>
        <v>2288.7168426452458</v>
      </c>
      <c r="L268" s="306">
        <f t="shared" si="284"/>
        <v>2337.3169643476531</v>
      </c>
      <c r="M268" s="306">
        <f t="shared" si="284"/>
        <v>2428.3285909619799</v>
      </c>
      <c r="N268" s="306">
        <f t="shared" si="284"/>
        <v>2519.7605441168889</v>
      </c>
      <c r="O268" s="306"/>
      <c r="P268" s="306">
        <f t="shared" si="274"/>
        <v>2475.6926071101188</v>
      </c>
      <c r="Q268" s="306">
        <f>Q258/Q163</f>
        <v>2424.0052219228128</v>
      </c>
      <c r="R268" s="306">
        <f t="shared" si="285"/>
        <v>2387.5083605048239</v>
      </c>
      <c r="S268" s="306">
        <f t="shared" si="285"/>
        <v>2401.932498351835</v>
      </c>
      <c r="T268" s="306">
        <f t="shared" si="285"/>
        <v>2388.4625934596938</v>
      </c>
      <c r="U268" s="306">
        <f t="shared" si="277"/>
        <v>2413.3967435613167</v>
      </c>
      <c r="V268" s="306">
        <f t="shared" si="277"/>
        <v>2346.9392170966498</v>
      </c>
      <c r="W268" s="306">
        <f t="shared" si="292"/>
        <v>2383.4340307669449</v>
      </c>
      <c r="X268" s="306">
        <f t="shared" si="292"/>
        <v>2350.1931611543937</v>
      </c>
      <c r="Y268" s="306">
        <f t="shared" si="292"/>
        <v>2387.0460580285035</v>
      </c>
      <c r="Z268" s="306">
        <f t="shared" si="278"/>
        <v>2463.7848637899237</v>
      </c>
      <c r="AA268" s="306">
        <f t="shared" si="286"/>
        <v>2463.5014271673349</v>
      </c>
      <c r="AB268" s="306">
        <f t="shared" si="279"/>
        <v>2438.0758491706661</v>
      </c>
      <c r="AC268" s="306">
        <f t="shared" si="287"/>
        <v>2396.4531700048733</v>
      </c>
      <c r="AD268" s="306">
        <f t="shared" si="287"/>
        <v>2421.8915741526698</v>
      </c>
      <c r="AE268" s="306">
        <f t="shared" si="280"/>
        <v>2469.3616454632656</v>
      </c>
      <c r="AF268" s="306">
        <f t="shared" si="288"/>
        <v>2402.8256412368887</v>
      </c>
      <c r="AG268" s="306">
        <f t="shared" si="293"/>
        <v>2425.7702682200079</v>
      </c>
      <c r="AH268" s="306">
        <f t="shared" si="293"/>
        <v>2436.5960606895028</v>
      </c>
      <c r="AI268" s="306">
        <f t="shared" si="281"/>
        <v>2425.9488691817937</v>
      </c>
      <c r="AJ268" s="306">
        <f t="shared" si="289"/>
        <v>2405.6948447531154</v>
      </c>
      <c r="AK268" s="306">
        <f>AK258/AK163</f>
        <v>2429.0398946427022</v>
      </c>
      <c r="AO268" s="306">
        <f t="shared" si="290"/>
        <v>2333.5286414768539</v>
      </c>
      <c r="AP268" s="306">
        <f t="shared" si="294"/>
        <v>2380.4028709316344</v>
      </c>
      <c r="AQ268" s="306">
        <f t="shared" si="294"/>
        <v>2374.7590627522632</v>
      </c>
      <c r="AR268" s="306">
        <f>AR258/AR163</f>
        <v>2369.2952571015549</v>
      </c>
      <c r="AS268" s="306">
        <f>AS258/AS163</f>
        <v>2396.6653647305016</v>
      </c>
      <c r="AT268" s="306">
        <f>AT258/AT163</f>
        <v>2404.2841077041198</v>
      </c>
      <c r="AU268" s="306">
        <f>AU258/AU163</f>
        <v>2386.9731196662547</v>
      </c>
      <c r="AV268" s="306">
        <f t="shared" si="291"/>
        <v>2414.696411925614</v>
      </c>
      <c r="AW268" s="306">
        <f t="shared" si="291"/>
        <v>2387.547122842419</v>
      </c>
      <c r="AX268" s="306">
        <f>AX258/AX163</f>
        <v>2652.2848647692795</v>
      </c>
      <c r="AY268" s="306">
        <f t="shared" si="282"/>
        <v>2456.2009487934542</v>
      </c>
      <c r="AZ268" s="306">
        <f t="shared" si="275"/>
        <v>2255.5542428424314</v>
      </c>
      <c r="BA268" s="306">
        <f t="shared" si="275"/>
        <v>2546.5641082330549</v>
      </c>
      <c r="BB268" s="306">
        <f t="shared" si="275"/>
        <v>2484.7277417346668</v>
      </c>
      <c r="BC268" s="306">
        <f t="shared" si="283"/>
        <v>2470.4415869482941</v>
      </c>
      <c r="BD268" s="306">
        <f t="shared" si="276"/>
        <v>2412.6838095489006</v>
      </c>
    </row>
    <row r="269" spans="1:56">
      <c r="A269" s="104"/>
      <c r="B269" s="9" t="s">
        <v>873</v>
      </c>
      <c r="C269" s="314" t="s">
        <v>196</v>
      </c>
      <c r="F269" s="306">
        <f>F259/F164</f>
        <v>1031.5363556446609</v>
      </c>
      <c r="G269" s="306">
        <f>G259/G164</f>
        <v>1035.1871894545293</v>
      </c>
      <c r="H269" s="306">
        <f t="shared" si="273"/>
        <v>1073.4718346318862</v>
      </c>
      <c r="I269" s="306">
        <f>I259/I164</f>
        <v>1594.5912278764254</v>
      </c>
      <c r="J269" s="306">
        <f t="shared" si="284"/>
        <v>1082.6970426867301</v>
      </c>
      <c r="K269" s="306">
        <f t="shared" si="284"/>
        <v>1066.6949187563343</v>
      </c>
      <c r="L269" s="306">
        <f t="shared" si="284"/>
        <v>1015.3699132545804</v>
      </c>
      <c r="M269" s="306">
        <f t="shared" si="284"/>
        <v>1118.3425272681081</v>
      </c>
      <c r="N269" s="306">
        <f t="shared" si="284"/>
        <v>1642.8078372050443</v>
      </c>
      <c r="O269" s="306">
        <f>O259/O164</f>
        <v>1019.8994202007756</v>
      </c>
      <c r="P269" s="306">
        <f t="shared" si="274"/>
        <v>1389.0475659340932</v>
      </c>
      <c r="Q269" s="306">
        <f>Q259/Q164</f>
        <v>1098.8824321827649</v>
      </c>
      <c r="R269" s="306">
        <f t="shared" si="285"/>
        <v>1064.9434655287698</v>
      </c>
      <c r="S269" s="306">
        <f t="shared" si="285"/>
        <v>1113.3848455059006</v>
      </c>
      <c r="T269" s="306">
        <f t="shared" si="285"/>
        <v>1016.2629027944919</v>
      </c>
      <c r="U269" s="306">
        <f t="shared" si="277"/>
        <v>1114.2137491825172</v>
      </c>
      <c r="V269" s="306">
        <f t="shared" si="277"/>
        <v>1006.5890029130256</v>
      </c>
      <c r="W269" s="306">
        <f t="shared" si="292"/>
        <v>1098.252288057826</v>
      </c>
      <c r="X269" s="306">
        <f t="shared" si="292"/>
        <v>1024.4517905196758</v>
      </c>
      <c r="Y269" s="306">
        <f t="shared" si="292"/>
        <v>1035.6639153096264</v>
      </c>
      <c r="Z269" s="306">
        <f t="shared" si="278"/>
        <v>1180.8539148437244</v>
      </c>
      <c r="AA269" s="306">
        <f t="shared" si="286"/>
        <v>1104.8977824186038</v>
      </c>
      <c r="AB269" s="306">
        <f t="shared" si="279"/>
        <v>1085.7750392041171</v>
      </c>
      <c r="AC269" s="306">
        <f t="shared" si="287"/>
        <v>1111.4877369684718</v>
      </c>
      <c r="AD269" s="306">
        <f t="shared" si="287"/>
        <v>1049.7757143215958</v>
      </c>
      <c r="AE269" s="306">
        <f t="shared" si="280"/>
        <v>1266.2640489367157</v>
      </c>
      <c r="AF269" s="306">
        <f t="shared" si="288"/>
        <v>1066.9432680385314</v>
      </c>
      <c r="AG269" s="306">
        <f t="shared" si="293"/>
        <v>1145.2853252793607</v>
      </c>
      <c r="AH269" s="306">
        <f t="shared" si="293"/>
        <v>1102.6274424391868</v>
      </c>
      <c r="AI269" s="306">
        <f t="shared" si="281"/>
        <v>1062.921395161392</v>
      </c>
      <c r="AJ269" s="306">
        <f t="shared" si="289"/>
        <v>1118.3539599326805</v>
      </c>
      <c r="AK269" s="306">
        <f>AK259/AK164</f>
        <v>1067.427986151476</v>
      </c>
      <c r="AL269" s="306">
        <f t="shared" ref="AL269:AN270" si="295">AL259/AL164</f>
        <v>1289.569524947276</v>
      </c>
      <c r="AM269" s="306">
        <f t="shared" si="295"/>
        <v>1088.8875240483378</v>
      </c>
      <c r="AN269" s="306">
        <f t="shared" si="295"/>
        <v>1068.4045906297838</v>
      </c>
      <c r="AO269" s="306">
        <f t="shared" si="290"/>
        <v>1066.8411628067352</v>
      </c>
      <c r="AP269" s="306">
        <f t="shared" si="294"/>
        <v>1074.0077418273806</v>
      </c>
      <c r="AQ269" s="306">
        <f t="shared" si="294"/>
        <v>1021.5030614608966</v>
      </c>
      <c r="AR269" s="306">
        <f>AR259/AR164</f>
        <v>1120.4332845820099</v>
      </c>
      <c r="AS269" s="306">
        <f>AS259/AS164</f>
        <v>1037.8966854840148</v>
      </c>
      <c r="AT269" s="306">
        <f>AT259/AT164</f>
        <v>1103.0025966512087</v>
      </c>
      <c r="AU269" s="306">
        <f>AU259/AU164</f>
        <v>1014.6493126006436</v>
      </c>
      <c r="AV269" s="306">
        <f t="shared" si="291"/>
        <v>1075.9120516404873</v>
      </c>
      <c r="AW269" s="306">
        <f t="shared" si="291"/>
        <v>1120.7867225464922</v>
      </c>
      <c r="AX269" s="306">
        <f>AX259/AX164</f>
        <v>1696.5109363534689</v>
      </c>
      <c r="AY269" s="306">
        <f t="shared" si="282"/>
        <v>1320.3677560520505</v>
      </c>
      <c r="AZ269" s="306">
        <f t="shared" si="275"/>
        <v>1401.9916974537286</v>
      </c>
      <c r="BA269" s="306">
        <f t="shared" si="275"/>
        <v>1421.4544400087771</v>
      </c>
      <c r="BB269" s="306">
        <f t="shared" si="275"/>
        <v>1197.8681141910679</v>
      </c>
      <c r="BC269" s="306">
        <f t="shared" si="283"/>
        <v>1210.8037507312833</v>
      </c>
      <c r="BD269" s="306">
        <f t="shared" si="276"/>
        <v>1088.0301763409545</v>
      </c>
    </row>
    <row r="270" spans="1:56">
      <c r="A270" s="104"/>
      <c r="B270" s="10" t="s">
        <v>105</v>
      </c>
      <c r="F270" s="306">
        <f>F260/F165</f>
        <v>1031.5363556446609</v>
      </c>
      <c r="G270" s="306">
        <f>G260/G165</f>
        <v>1036.8341392515902</v>
      </c>
      <c r="H270" s="306">
        <f t="shared" si="273"/>
        <v>1087.7438329306131</v>
      </c>
      <c r="I270" s="306">
        <f>I260/I165</f>
        <v>1688.7981098224643</v>
      </c>
      <c r="J270" s="306">
        <f t="shared" si="284"/>
        <v>1088.5601082563885</v>
      </c>
      <c r="K270" s="306">
        <f t="shared" si="284"/>
        <v>1132.8184988145672</v>
      </c>
      <c r="L270" s="306">
        <f t="shared" si="284"/>
        <v>1047.0451800190701</v>
      </c>
      <c r="M270" s="306">
        <f t="shared" si="284"/>
        <v>1173.723225686477</v>
      </c>
      <c r="N270" s="306">
        <f t="shared" si="284"/>
        <v>1755.2403301492097</v>
      </c>
      <c r="O270" s="306">
        <f>O260/O165</f>
        <v>1019.8994202007756</v>
      </c>
      <c r="P270" s="306">
        <f t="shared" si="274"/>
        <v>1835.2415175480248</v>
      </c>
      <c r="Q270" s="306">
        <f>Q260/Q165</f>
        <v>1117.7402361429788</v>
      </c>
      <c r="R270" s="306">
        <f t="shared" si="285"/>
        <v>1114.6603888885036</v>
      </c>
      <c r="S270" s="306">
        <f t="shared" si="285"/>
        <v>1150.6110030342277</v>
      </c>
      <c r="T270" s="306">
        <f t="shared" si="285"/>
        <v>1025.0930911687112</v>
      </c>
      <c r="U270" s="306">
        <f t="shared" si="277"/>
        <v>1303.2713405444815</v>
      </c>
      <c r="V270" s="306">
        <f t="shared" si="277"/>
        <v>1020.8474772131126</v>
      </c>
      <c r="W270" s="306">
        <f t="shared" si="292"/>
        <v>1115.430327808373</v>
      </c>
      <c r="X270" s="306">
        <f t="shared" si="292"/>
        <v>1033.5231983454082</v>
      </c>
      <c r="Y270" s="306">
        <f t="shared" si="292"/>
        <v>1040.8219813309827</v>
      </c>
      <c r="Z270" s="306">
        <f t="shared" si="278"/>
        <v>1298.542229061524</v>
      </c>
      <c r="AA270" s="306">
        <f t="shared" si="286"/>
        <v>1124.9480772702534</v>
      </c>
      <c r="AB270" s="306">
        <f t="shared" si="279"/>
        <v>1117.3643027762939</v>
      </c>
      <c r="AC270" s="306">
        <f t="shared" si="287"/>
        <v>1168.8350425374165</v>
      </c>
      <c r="AD270" s="306">
        <f t="shared" si="287"/>
        <v>1082.8721363928701</v>
      </c>
      <c r="AE270" s="306">
        <f t="shared" si="280"/>
        <v>1516.5745989807183</v>
      </c>
      <c r="AF270" s="306">
        <f t="shared" si="288"/>
        <v>1108.3900699082781</v>
      </c>
      <c r="AG270" s="306">
        <f t="shared" si="293"/>
        <v>1205.5716479494561</v>
      </c>
      <c r="AH270" s="306">
        <f t="shared" si="293"/>
        <v>1130.6449453826551</v>
      </c>
      <c r="AI270" s="306">
        <f t="shared" si="281"/>
        <v>1090.550142580347</v>
      </c>
      <c r="AJ270" s="306">
        <f t="shared" si="289"/>
        <v>1191.4533818562379</v>
      </c>
      <c r="AK270" s="306">
        <f>AK260/AK165</f>
        <v>1073.7921536725867</v>
      </c>
      <c r="AL270" s="306">
        <f t="shared" si="295"/>
        <v>1289.569524947276</v>
      </c>
      <c r="AM270" s="306">
        <f t="shared" si="295"/>
        <v>1088.8875240483378</v>
      </c>
      <c r="AN270" s="306">
        <f t="shared" si="295"/>
        <v>1068.4045906297838</v>
      </c>
      <c r="AO270" s="306">
        <f t="shared" si="290"/>
        <v>1091.3680922192245</v>
      </c>
      <c r="AP270" s="306">
        <f t="shared" si="294"/>
        <v>1097.6676671616019</v>
      </c>
      <c r="AQ270" s="306">
        <f t="shared" si="294"/>
        <v>1027.4712717503078</v>
      </c>
      <c r="AR270" s="306">
        <f>AR260/AR165</f>
        <v>1134.9131613273084</v>
      </c>
      <c r="AS270" s="306">
        <f>AS260/AS165</f>
        <v>1055.8553497585449</v>
      </c>
      <c r="AT270" s="306">
        <f>AT260/AT165</f>
        <v>1115.9957343046231</v>
      </c>
      <c r="AU270" s="306">
        <f>AU260/AU165</f>
        <v>1028.7782253608084</v>
      </c>
      <c r="AV270" s="306">
        <f t="shared" si="291"/>
        <v>1097.7301820939781</v>
      </c>
      <c r="AW270" s="306">
        <f t="shared" si="291"/>
        <v>1182.1997948205078</v>
      </c>
      <c r="AX270" s="306">
        <f>AX260/AX165</f>
        <v>2833.0352619473169</v>
      </c>
      <c r="AY270" s="306">
        <f t="shared" si="282"/>
        <v>1446.1916305243631</v>
      </c>
      <c r="AZ270" s="306">
        <f t="shared" si="275"/>
        <v>1884.8551433623059</v>
      </c>
      <c r="BA270" s="306">
        <f t="shared" si="275"/>
        <v>2088.976885270959</v>
      </c>
      <c r="BB270" s="306">
        <f t="shared" si="275"/>
        <v>1646.7086510489269</v>
      </c>
      <c r="BC270" s="306">
        <f t="shared" si="283"/>
        <v>2540.5531207356394</v>
      </c>
      <c r="BD270" s="306">
        <f t="shared" si="276"/>
        <v>1135.7767807719765</v>
      </c>
    </row>
    <row r="271" spans="1:56">
      <c r="A271" s="104"/>
    </row>
    <row r="272" spans="1:56">
      <c r="A272" s="104"/>
      <c r="B272" s="20" t="s">
        <v>842</v>
      </c>
      <c r="C272" s="20"/>
      <c r="D272" s="20"/>
      <c r="E272" s="131"/>
      <c r="F272" s="373">
        <f>F111+F123+F131+F139+F147+F165</f>
        <v>66469.292273683968</v>
      </c>
      <c r="G272" s="373">
        <f t="shared" ref="G272:BC272" si="296">G111+G123+G131+G139+G147+G165</f>
        <v>262991.43143617944</v>
      </c>
      <c r="H272" s="373">
        <f t="shared" si="296"/>
        <v>261622.76634142324</v>
      </c>
      <c r="I272" s="373">
        <f t="shared" si="296"/>
        <v>68496.135745651045</v>
      </c>
      <c r="J272" s="373">
        <f t="shared" si="296"/>
        <v>188537.67149195744</v>
      </c>
      <c r="K272" s="373">
        <f t="shared" si="296"/>
        <v>252490.00689875253</v>
      </c>
      <c r="L272" s="373">
        <f t="shared" si="296"/>
        <v>561346.82889298524</v>
      </c>
      <c r="M272" s="373">
        <f t="shared" si="296"/>
        <v>420780.16227649816</v>
      </c>
      <c r="N272" s="373">
        <f t="shared" si="296"/>
        <v>126505.20782507959</v>
      </c>
      <c r="O272" s="373">
        <f t="shared" si="296"/>
        <v>623305.00911565765</v>
      </c>
      <c r="P272" s="373">
        <f t="shared" si="296"/>
        <v>494431.25485610007</v>
      </c>
      <c r="Q272" s="373">
        <f t="shared" si="296"/>
        <v>430729.31610143842</v>
      </c>
      <c r="R272" s="373">
        <f t="shared" si="296"/>
        <v>297648.08684826171</v>
      </c>
      <c r="S272" s="373">
        <f t="shared" si="296"/>
        <v>198099.63254053806</v>
      </c>
      <c r="T272" s="373">
        <f t="shared" si="296"/>
        <v>280380.51781053847</v>
      </c>
      <c r="U272" s="373">
        <f t="shared" si="296"/>
        <v>319784.45599819662</v>
      </c>
      <c r="V272" s="373">
        <f t="shared" si="296"/>
        <v>321322.08501994557</v>
      </c>
      <c r="W272" s="373">
        <f t="shared" si="296"/>
        <v>253732.59605747409</v>
      </c>
      <c r="X272" s="373">
        <f t="shared" si="296"/>
        <v>349880.68179194932</v>
      </c>
      <c r="Y272" s="373">
        <f t="shared" si="296"/>
        <v>218012.20535027716</v>
      </c>
      <c r="Z272" s="373">
        <f t="shared" si="296"/>
        <v>448874.99758491444</v>
      </c>
      <c r="AA272" s="373">
        <f t="shared" si="296"/>
        <v>390997.66063974088</v>
      </c>
      <c r="AB272" s="373">
        <f t="shared" si="296"/>
        <v>338358.74720003374</v>
      </c>
      <c r="AC272" s="373">
        <f t="shared" si="296"/>
        <v>265429.93566914485</v>
      </c>
      <c r="AD272" s="373">
        <f t="shared" si="296"/>
        <v>303533.63039878581</v>
      </c>
      <c r="AE272" s="373">
        <f t="shared" si="296"/>
        <v>421079.21566656115</v>
      </c>
      <c r="AF272" s="373">
        <f t="shared" si="296"/>
        <v>288707.95942870073</v>
      </c>
      <c r="AG272" s="373">
        <f t="shared" si="296"/>
        <v>458799.00150694803</v>
      </c>
      <c r="AH272" s="373">
        <f t="shared" si="296"/>
        <v>239171.19292088284</v>
      </c>
      <c r="AI272" s="373">
        <f t="shared" si="296"/>
        <v>498733.16725996928</v>
      </c>
      <c r="AJ272" s="373">
        <f t="shared" si="296"/>
        <v>421569.85319411644</v>
      </c>
      <c r="AK272" s="373">
        <f t="shared" si="296"/>
        <v>399345.97674567718</v>
      </c>
      <c r="AL272" s="373">
        <f t="shared" si="296"/>
        <v>111198.50257398466</v>
      </c>
      <c r="AM272" s="373">
        <f t="shared" si="296"/>
        <v>229392.18198281366</v>
      </c>
      <c r="AN272" s="373">
        <f t="shared" si="296"/>
        <v>82681.383738602264</v>
      </c>
      <c r="AO272" s="373">
        <f t="shared" si="296"/>
        <v>224115.29910235052</v>
      </c>
      <c r="AP272" s="373">
        <f t="shared" si="296"/>
        <v>216861.27647235824</v>
      </c>
      <c r="AQ272" s="373">
        <f t="shared" si="296"/>
        <v>215678.59690335882</v>
      </c>
      <c r="AR272" s="373">
        <f t="shared" si="296"/>
        <v>224400.73778192376</v>
      </c>
      <c r="AS272" s="373">
        <f t="shared" si="296"/>
        <v>291258.19194036478</v>
      </c>
      <c r="AT272" s="373">
        <f t="shared" si="296"/>
        <v>200581.31233467534</v>
      </c>
      <c r="AU272" s="373">
        <f t="shared" si="296"/>
        <v>454257.59476921067</v>
      </c>
      <c r="AV272" s="373">
        <f t="shared" si="296"/>
        <v>582341.85054431658</v>
      </c>
      <c r="AW272" s="373">
        <f t="shared" si="296"/>
        <v>534784.59939926036</v>
      </c>
      <c r="AX272" s="373">
        <f t="shared" si="296"/>
        <v>67970.186835790941</v>
      </c>
      <c r="AY272" s="373">
        <f t="shared" si="296"/>
        <v>316427.73741516651</v>
      </c>
      <c r="AZ272" s="373">
        <f t="shared" si="296"/>
        <v>243655.58526441135</v>
      </c>
      <c r="BA272" s="373">
        <f t="shared" si="296"/>
        <v>377088.44232710783</v>
      </c>
      <c r="BB272" s="373">
        <f t="shared" si="296"/>
        <v>203410.377126248</v>
      </c>
      <c r="BC272" s="373">
        <f t="shared" si="296"/>
        <v>388037.75456370797</v>
      </c>
      <c r="BD272" s="373">
        <f t="shared" ref="BD272" si="297">BD111+BD123+BD131+BD139+BD147+BD165</f>
        <v>15435308.293963712</v>
      </c>
    </row>
    <row r="273" spans="1:59">
      <c r="A273" s="104"/>
      <c r="F273" s="373">
        <f t="shared" ref="F273:AK273" si="298">F272-F24</f>
        <v>0.355005588644417</v>
      </c>
      <c r="G273" s="373">
        <f t="shared" si="298"/>
        <v>1.0519615178345703</v>
      </c>
      <c r="H273" s="373">
        <f t="shared" si="298"/>
        <v>1.0464868794369977</v>
      </c>
      <c r="I273" s="373">
        <f t="shared" si="298"/>
        <v>0.27398344704124611</v>
      </c>
      <c r="J273" s="373">
        <f t="shared" si="298"/>
        <v>0.7541476693295408</v>
      </c>
      <c r="K273" s="373">
        <f t="shared" si="298"/>
        <v>1.0099559877708089</v>
      </c>
      <c r="L273" s="373">
        <f t="shared" si="298"/>
        <v>2.2453783340752125</v>
      </c>
      <c r="M273" s="373">
        <f t="shared" si="298"/>
        <v>1.6831139166024514</v>
      </c>
      <c r="N273" s="373">
        <f t="shared" si="298"/>
        <v>0.50601880722388159</v>
      </c>
      <c r="O273" s="373">
        <f t="shared" si="298"/>
        <v>2.4932100635487586</v>
      </c>
      <c r="P273" s="373">
        <f t="shared" si="298"/>
        <v>1.9777171085588634</v>
      </c>
      <c r="Q273" s="373">
        <f t="shared" si="298"/>
        <v>1.7229103727149777</v>
      </c>
      <c r="R273" s="373">
        <f t="shared" si="298"/>
        <v>1.1905875850352459</v>
      </c>
      <c r="S273" s="373">
        <f t="shared" si="298"/>
        <v>0.79239536059321836</v>
      </c>
      <c r="T273" s="373">
        <f t="shared" si="298"/>
        <v>1.1215175851830281</v>
      </c>
      <c r="U273" s="373">
        <f t="shared" si="298"/>
        <v>1.2791327075101435</v>
      </c>
      <c r="V273" s="373">
        <f t="shared" si="298"/>
        <v>1.2852831989293918</v>
      </c>
      <c r="W273" s="373">
        <f t="shared" si="298"/>
        <v>1.0149263244820759</v>
      </c>
      <c r="X273" s="373">
        <f t="shared" si="298"/>
        <v>1.399517129000742</v>
      </c>
      <c r="Y273" s="373">
        <f t="shared" si="298"/>
        <v>0.87204533320618793</v>
      </c>
      <c r="Z273" s="373">
        <f t="shared" si="298"/>
        <v>1.7954928082763217</v>
      </c>
      <c r="AA273" s="373">
        <f t="shared" si="298"/>
        <v>1.5639843866229057</v>
      </c>
      <c r="AB273" s="373">
        <f t="shared" si="298"/>
        <v>1.3534295750432648</v>
      </c>
      <c r="AC273" s="373">
        <f t="shared" si="298"/>
        <v>1.0617154957726598</v>
      </c>
      <c r="AD273" s="373">
        <f t="shared" si="298"/>
        <v>1.2141296650515869</v>
      </c>
      <c r="AE273" s="373">
        <f t="shared" si="298"/>
        <v>1.68431012541987</v>
      </c>
      <c r="AF273" s="373">
        <f t="shared" si="298"/>
        <v>1.1548272184445523</v>
      </c>
      <c r="AG273" s="373">
        <f t="shared" si="298"/>
        <v>1.8351886651362292</v>
      </c>
      <c r="AH273" s="373">
        <f t="shared" si="298"/>
        <v>0.95668094500433654</v>
      </c>
      <c r="AI273" s="373">
        <f t="shared" si="298"/>
        <v>1.994924689293839</v>
      </c>
      <c r="AJ273" s="373">
        <f t="shared" si="298"/>
        <v>1.6862726676627062</v>
      </c>
      <c r="AK273" s="373">
        <f t="shared" si="298"/>
        <v>1.5973775174934417</v>
      </c>
      <c r="AL273" s="373">
        <f t="shared" ref="AL273:BC273" si="299">AL272-AL24</f>
        <v>0.50539780179678928</v>
      </c>
      <c r="AM273" s="373">
        <f t="shared" si="299"/>
        <v>0.91756505766534247</v>
      </c>
      <c r="AN273" s="373">
        <f t="shared" si="299"/>
        <v>0.33072421204997227</v>
      </c>
      <c r="AO273" s="373">
        <f t="shared" si="299"/>
        <v>0.89645761056453921</v>
      </c>
      <c r="AP273" s="373">
        <f t="shared" si="299"/>
        <v>0.86744163610273972</v>
      </c>
      <c r="AQ273" s="373">
        <f t="shared" si="299"/>
        <v>0.86271093672257848</v>
      </c>
      <c r="AR273" s="373">
        <f t="shared" si="299"/>
        <v>0.89759936073096469</v>
      </c>
      <c r="AS273" s="373">
        <f t="shared" si="299"/>
        <v>1.1650281077018008</v>
      </c>
      <c r="AT273" s="373">
        <f t="shared" si="299"/>
        <v>0.80232204007916152</v>
      </c>
      <c r="AU273" s="373">
        <f t="shared" si="299"/>
        <v>1.8170231109834276</v>
      </c>
      <c r="AV273" s="373">
        <f t="shared" si="299"/>
        <v>2.3293580847093835</v>
      </c>
      <c r="AW273" s="373">
        <f t="shared" si="299"/>
        <v>2.1391298411181197</v>
      </c>
      <c r="AX273" s="373">
        <f t="shared" si="299"/>
        <v>0.27187965982011519</v>
      </c>
      <c r="AY273" s="373">
        <f t="shared" si="299"/>
        <v>1.2657058868207969</v>
      </c>
      <c r="AZ273" s="373">
        <f t="shared" si="299"/>
        <v>0.9746184425894171</v>
      </c>
      <c r="BA273" s="373">
        <f t="shared" si="299"/>
        <v>1.5083477359148674</v>
      </c>
      <c r="BB273" s="373">
        <f t="shared" si="299"/>
        <v>0.81363825389416888</v>
      </c>
      <c r="BC273" s="373">
        <f t="shared" si="299"/>
        <v>1.5521448096260428</v>
      </c>
      <c r="BD273" s="373">
        <f>BD272-SUM(F272:BC272)</f>
        <v>0</v>
      </c>
    </row>
    <row r="274" spans="1:59">
      <c r="I274" s="371">
        <f>I116+I129+I137+I145+I153+SUM(I253:I259)</f>
        <v>56494749.075867049</v>
      </c>
    </row>
    <row r="275" spans="1:59">
      <c r="I275" s="6">
        <f>I274/I272</f>
        <v>824.78739071720577</v>
      </c>
    </row>
    <row r="276" spans="1:59" ht="18">
      <c r="A276" s="350"/>
      <c r="B276" s="351" t="s">
        <v>852</v>
      </c>
      <c r="C276" s="350"/>
      <c r="D276" s="350"/>
      <c r="E276" s="352"/>
      <c r="F276" s="350"/>
      <c r="G276" s="350"/>
      <c r="H276" s="350"/>
      <c r="I276" s="350"/>
      <c r="J276" s="350"/>
      <c r="K276" s="350"/>
      <c r="L276" s="350"/>
      <c r="M276" s="350"/>
      <c r="N276" s="350"/>
      <c r="O276" s="350"/>
      <c r="P276" s="350"/>
      <c r="Q276" s="350"/>
      <c r="R276" s="350"/>
      <c r="S276" s="350"/>
      <c r="T276" s="350"/>
      <c r="U276" s="350"/>
      <c r="V276" s="350"/>
      <c r="W276" s="350"/>
      <c r="X276" s="350"/>
      <c r="Y276" s="350"/>
      <c r="Z276" s="350"/>
      <c r="AA276" s="350"/>
      <c r="AB276" s="350"/>
      <c r="AC276" s="350"/>
      <c r="AD276" s="350"/>
      <c r="AE276" s="350"/>
      <c r="AF276" s="350"/>
      <c r="AG276" s="350"/>
      <c r="AH276" s="350"/>
      <c r="AI276" s="350"/>
      <c r="AJ276" s="350"/>
      <c r="AK276" s="350"/>
      <c r="AL276" s="350"/>
      <c r="AM276" s="350"/>
      <c r="AN276" s="350"/>
      <c r="AO276" s="350"/>
      <c r="AP276" s="350"/>
      <c r="AQ276" s="350"/>
      <c r="AR276" s="350"/>
      <c r="AS276" s="350"/>
      <c r="AT276" s="350"/>
      <c r="AU276" s="350"/>
      <c r="AV276" s="350"/>
      <c r="AW276" s="350"/>
      <c r="AX276" s="350"/>
      <c r="AY276" s="350"/>
      <c r="AZ276" s="350"/>
      <c r="BA276" s="350"/>
      <c r="BB276" s="350"/>
      <c r="BC276" s="350"/>
      <c r="BD276" s="350"/>
      <c r="BE276" s="350"/>
      <c r="BF276" s="350"/>
    </row>
    <row r="277" spans="1:59">
      <c r="A277" s="350"/>
      <c r="B277" s="6" t="s">
        <v>853</v>
      </c>
      <c r="BF277" s="350"/>
    </row>
    <row r="278" spans="1:59">
      <c r="A278" s="350"/>
      <c r="D278" s="171" t="s">
        <v>881</v>
      </c>
      <c r="BF278" s="350"/>
    </row>
    <row r="279" spans="1:59" s="23" customFormat="1">
      <c r="A279" s="353"/>
      <c r="B279" s="202" t="s">
        <v>610</v>
      </c>
      <c r="C279" s="23" t="s">
        <v>611</v>
      </c>
      <c r="F279" s="356">
        <f>F$101</f>
        <v>44.890600792442939</v>
      </c>
      <c r="G279" s="356">
        <f t="shared" ref="G279:BD284" si="300">G$101</f>
        <v>42.881931896244758</v>
      </c>
      <c r="H279" s="356">
        <f t="shared" si="300"/>
        <v>51.752990529715163</v>
      </c>
      <c r="I279" s="356">
        <f t="shared" si="300"/>
        <v>290.72322160326735</v>
      </c>
      <c r="J279" s="356">
        <f t="shared" si="300"/>
        <v>35.91424913156478</v>
      </c>
      <c r="K279" s="356">
        <f t="shared" si="300"/>
        <v>8.7787857167591969</v>
      </c>
      <c r="L279" s="356">
        <f t="shared" si="300"/>
        <v>19.248705549713357</v>
      </c>
      <c r="M279" s="356">
        <f t="shared" si="300"/>
        <v>31.08067928290329</v>
      </c>
      <c r="N279" s="356">
        <f t="shared" si="300"/>
        <v>126.68330838527386</v>
      </c>
      <c r="O279" s="356">
        <f t="shared" si="300"/>
        <v>13.911441360704092</v>
      </c>
      <c r="P279" s="356">
        <f t="shared" si="300"/>
        <v>54.305028527774788</v>
      </c>
      <c r="Q279" s="356">
        <f t="shared" si="300"/>
        <v>16.691625202685362</v>
      </c>
      <c r="R279" s="356">
        <f t="shared" si="300"/>
        <v>18.018377303363611</v>
      </c>
      <c r="S279" s="356">
        <f t="shared" si="300"/>
        <v>30.488185572282006</v>
      </c>
      <c r="T279" s="356">
        <f t="shared" si="300"/>
        <v>18.134598359315284</v>
      </c>
      <c r="U279" s="356">
        <f t="shared" si="300"/>
        <v>23.289063774398095</v>
      </c>
      <c r="V279" s="356">
        <f t="shared" si="300"/>
        <v>16.554886282986136</v>
      </c>
      <c r="W279" s="356">
        <f t="shared" si="300"/>
        <v>19.133983410171499</v>
      </c>
      <c r="X279" s="356">
        <f t="shared" si="300"/>
        <v>13.212452077596724</v>
      </c>
      <c r="Y279" s="356">
        <f t="shared" si="300"/>
        <v>21.242984709983311</v>
      </c>
      <c r="Z279" s="356">
        <f t="shared" si="300"/>
        <v>37.391539708258215</v>
      </c>
      <c r="AA279" s="356">
        <f t="shared" si="300"/>
        <v>38.871735805068603</v>
      </c>
      <c r="AB279" s="356">
        <f t="shared" si="300"/>
        <v>22.444911563398655</v>
      </c>
      <c r="AC279" s="356">
        <f t="shared" si="300"/>
        <v>29.097661596194182</v>
      </c>
      <c r="AD279" s="356">
        <f t="shared" si="300"/>
        <v>17.637407647601655</v>
      </c>
      <c r="AE279" s="356">
        <f t="shared" si="300"/>
        <v>28.154783471371289</v>
      </c>
      <c r="AF279" s="356">
        <f t="shared" si="300"/>
        <v>18.454727633990256</v>
      </c>
      <c r="AG279" s="356">
        <f t="shared" si="300"/>
        <v>28.308730379101373</v>
      </c>
      <c r="AH279" s="356">
        <f t="shared" si="300"/>
        <v>23.259743049378049</v>
      </c>
      <c r="AI279" s="356">
        <f t="shared" si="300"/>
        <v>26.505998291777882</v>
      </c>
      <c r="AJ279" s="356">
        <f t="shared" si="300"/>
        <v>19.713397576218114</v>
      </c>
      <c r="AK279" s="356">
        <f t="shared" si="300"/>
        <v>38.226431074377814</v>
      </c>
      <c r="AL279" s="356">
        <f t="shared" si="300"/>
        <v>112.06378232025421</v>
      </c>
      <c r="AM279" s="356">
        <f t="shared" si="300"/>
        <v>10.584908379628805</v>
      </c>
      <c r="AN279" s="356">
        <f t="shared" si="300"/>
        <v>30.147171824608748</v>
      </c>
      <c r="AO279" s="356">
        <f t="shared" si="300"/>
        <v>2.4139963766175256</v>
      </c>
      <c r="AP279" s="356">
        <f t="shared" si="300"/>
        <v>10.523420885477611</v>
      </c>
      <c r="AQ279" s="356">
        <f t="shared" si="300"/>
        <v>11.493206432808458</v>
      </c>
      <c r="AR279" s="356">
        <f t="shared" si="300"/>
        <v>12.994842754414432</v>
      </c>
      <c r="AS279" s="356">
        <f t="shared" si="300"/>
        <v>11.639150147673048</v>
      </c>
      <c r="AT279" s="356">
        <f t="shared" si="300"/>
        <v>13.763443509392626</v>
      </c>
      <c r="AU279" s="356">
        <f t="shared" si="300"/>
        <v>2.3165372596855347</v>
      </c>
      <c r="AV279" s="356">
        <f t="shared" si="300"/>
        <v>9.0327128532358731</v>
      </c>
      <c r="AW279" s="356">
        <f t="shared" si="300"/>
        <v>25.88415834622981</v>
      </c>
      <c r="AX279" s="356">
        <f t="shared" si="300"/>
        <v>156.50101958041427</v>
      </c>
      <c r="AY279" s="356">
        <f t="shared" si="300"/>
        <v>32.281894699963672</v>
      </c>
      <c r="AZ279" s="356">
        <f t="shared" si="300"/>
        <v>111.98479748373316</v>
      </c>
      <c r="BA279" s="356">
        <f t="shared" si="300"/>
        <v>56.180960439108993</v>
      </c>
      <c r="BB279" s="356">
        <f t="shared" si="300"/>
        <v>38.728301500154124</v>
      </c>
      <c r="BC279" s="356">
        <f t="shared" si="300"/>
        <v>28.04696554640325</v>
      </c>
      <c r="BD279" s="356">
        <f t="shared" si="300"/>
        <v>29.015291365706737</v>
      </c>
      <c r="BF279" s="353"/>
      <c r="BG279" s="354"/>
    </row>
    <row r="280" spans="1:59" s="23" customFormat="1">
      <c r="A280" s="353"/>
      <c r="B280" s="355" t="s">
        <v>742</v>
      </c>
      <c r="C280" s="17" t="s">
        <v>743</v>
      </c>
      <c r="F280" s="356">
        <f t="shared" ref="F280:U291" si="301">F$101</f>
        <v>44.890600792442939</v>
      </c>
      <c r="G280" s="356">
        <f t="shared" si="301"/>
        <v>42.881931896244758</v>
      </c>
      <c r="H280" s="356">
        <f t="shared" si="301"/>
        <v>51.752990529715163</v>
      </c>
      <c r="I280" s="356">
        <f t="shared" si="301"/>
        <v>290.72322160326735</v>
      </c>
      <c r="J280" s="356">
        <f t="shared" si="301"/>
        <v>35.91424913156478</v>
      </c>
      <c r="K280" s="356">
        <f t="shared" si="301"/>
        <v>8.7787857167591969</v>
      </c>
      <c r="L280" s="356">
        <f t="shared" si="301"/>
        <v>19.248705549713357</v>
      </c>
      <c r="M280" s="356">
        <f t="shared" si="301"/>
        <v>31.08067928290329</v>
      </c>
      <c r="N280" s="356">
        <f t="shared" si="301"/>
        <v>126.68330838527386</v>
      </c>
      <c r="O280" s="356">
        <f t="shared" si="301"/>
        <v>13.911441360704092</v>
      </c>
      <c r="P280" s="356">
        <f t="shared" si="301"/>
        <v>54.305028527774788</v>
      </c>
      <c r="Q280" s="356">
        <f t="shared" si="301"/>
        <v>16.691625202685362</v>
      </c>
      <c r="R280" s="356">
        <f t="shared" si="301"/>
        <v>18.018377303363611</v>
      </c>
      <c r="S280" s="356">
        <f t="shared" si="301"/>
        <v>30.488185572282006</v>
      </c>
      <c r="T280" s="356">
        <f t="shared" si="301"/>
        <v>18.134598359315284</v>
      </c>
      <c r="U280" s="356">
        <f t="shared" si="301"/>
        <v>23.289063774398095</v>
      </c>
      <c r="V280" s="356">
        <f t="shared" si="300"/>
        <v>16.554886282986136</v>
      </c>
      <c r="W280" s="356">
        <f t="shared" si="300"/>
        <v>19.133983410171499</v>
      </c>
      <c r="X280" s="356">
        <f t="shared" si="300"/>
        <v>13.212452077596724</v>
      </c>
      <c r="Y280" s="356">
        <f t="shared" si="300"/>
        <v>21.242984709983311</v>
      </c>
      <c r="Z280" s="356">
        <f t="shared" si="300"/>
        <v>37.391539708258215</v>
      </c>
      <c r="AA280" s="356">
        <f t="shared" si="300"/>
        <v>38.871735805068603</v>
      </c>
      <c r="AB280" s="356">
        <f t="shared" si="300"/>
        <v>22.444911563398655</v>
      </c>
      <c r="AC280" s="356">
        <f t="shared" si="300"/>
        <v>29.097661596194182</v>
      </c>
      <c r="AD280" s="356">
        <f t="shared" si="300"/>
        <v>17.637407647601655</v>
      </c>
      <c r="AE280" s="356">
        <f t="shared" si="300"/>
        <v>28.154783471371289</v>
      </c>
      <c r="AF280" s="356">
        <f t="shared" si="300"/>
        <v>18.454727633990256</v>
      </c>
      <c r="AG280" s="356">
        <f t="shared" si="300"/>
        <v>28.308730379101373</v>
      </c>
      <c r="AH280" s="356">
        <f t="shared" si="300"/>
        <v>23.259743049378049</v>
      </c>
      <c r="AI280" s="356">
        <f t="shared" si="300"/>
        <v>26.505998291777882</v>
      </c>
      <c r="AJ280" s="356">
        <f t="shared" si="300"/>
        <v>19.713397576218114</v>
      </c>
      <c r="AK280" s="356">
        <f t="shared" si="300"/>
        <v>38.226431074377814</v>
      </c>
      <c r="AL280" s="356">
        <f t="shared" si="300"/>
        <v>112.06378232025421</v>
      </c>
      <c r="AM280" s="356">
        <f t="shared" si="300"/>
        <v>10.584908379628805</v>
      </c>
      <c r="AN280" s="356">
        <f t="shared" si="300"/>
        <v>30.147171824608748</v>
      </c>
      <c r="AO280" s="356">
        <f t="shared" si="300"/>
        <v>2.4139963766175256</v>
      </c>
      <c r="AP280" s="356">
        <f t="shared" si="300"/>
        <v>10.523420885477611</v>
      </c>
      <c r="AQ280" s="356">
        <f t="shared" si="300"/>
        <v>11.493206432808458</v>
      </c>
      <c r="AR280" s="356">
        <f t="shared" si="300"/>
        <v>12.994842754414432</v>
      </c>
      <c r="AS280" s="356">
        <f t="shared" si="300"/>
        <v>11.639150147673048</v>
      </c>
      <c r="AT280" s="356">
        <f t="shared" si="300"/>
        <v>13.763443509392626</v>
      </c>
      <c r="AU280" s="356">
        <f t="shared" si="300"/>
        <v>2.3165372596855347</v>
      </c>
      <c r="AV280" s="356">
        <f t="shared" si="300"/>
        <v>9.0327128532358731</v>
      </c>
      <c r="AW280" s="356">
        <f t="shared" si="300"/>
        <v>25.88415834622981</v>
      </c>
      <c r="AX280" s="356">
        <f t="shared" si="300"/>
        <v>156.50101958041427</v>
      </c>
      <c r="AY280" s="356">
        <f t="shared" si="300"/>
        <v>32.281894699963672</v>
      </c>
      <c r="AZ280" s="356">
        <f t="shared" si="300"/>
        <v>111.98479748373316</v>
      </c>
      <c r="BA280" s="356">
        <f t="shared" si="300"/>
        <v>56.180960439108993</v>
      </c>
      <c r="BB280" s="356">
        <f t="shared" si="300"/>
        <v>38.728301500154124</v>
      </c>
      <c r="BC280" s="356">
        <f t="shared" si="300"/>
        <v>28.04696554640325</v>
      </c>
      <c r="BD280" s="356">
        <f t="shared" si="300"/>
        <v>29.015291365706737</v>
      </c>
      <c r="BF280" s="353"/>
      <c r="BG280" s="354"/>
    </row>
    <row r="281" spans="1:59" s="23" customFormat="1">
      <c r="A281" s="353"/>
      <c r="B281" s="355" t="s">
        <v>744</v>
      </c>
      <c r="C281" s="17" t="s">
        <v>745</v>
      </c>
      <c r="F281" s="356">
        <f t="shared" si="301"/>
        <v>44.890600792442939</v>
      </c>
      <c r="G281" s="356">
        <f t="shared" si="300"/>
        <v>42.881931896244758</v>
      </c>
      <c r="H281" s="356">
        <f t="shared" si="300"/>
        <v>51.752990529715163</v>
      </c>
      <c r="I281" s="356">
        <f t="shared" si="300"/>
        <v>290.72322160326735</v>
      </c>
      <c r="J281" s="356">
        <f t="shared" si="300"/>
        <v>35.91424913156478</v>
      </c>
      <c r="K281" s="356">
        <f t="shared" si="300"/>
        <v>8.7787857167591969</v>
      </c>
      <c r="L281" s="356">
        <f t="shared" si="300"/>
        <v>19.248705549713357</v>
      </c>
      <c r="M281" s="356">
        <f t="shared" si="300"/>
        <v>31.08067928290329</v>
      </c>
      <c r="N281" s="356">
        <f t="shared" si="300"/>
        <v>126.68330838527386</v>
      </c>
      <c r="O281" s="356">
        <f t="shared" si="300"/>
        <v>13.911441360704092</v>
      </c>
      <c r="P281" s="356">
        <f t="shared" si="300"/>
        <v>54.305028527774788</v>
      </c>
      <c r="Q281" s="356">
        <f t="shared" si="300"/>
        <v>16.691625202685362</v>
      </c>
      <c r="R281" s="356">
        <f t="shared" si="300"/>
        <v>18.018377303363611</v>
      </c>
      <c r="S281" s="356">
        <f t="shared" si="300"/>
        <v>30.488185572282006</v>
      </c>
      <c r="T281" s="356">
        <f t="shared" si="300"/>
        <v>18.134598359315284</v>
      </c>
      <c r="U281" s="356">
        <f t="shared" si="300"/>
        <v>23.289063774398095</v>
      </c>
      <c r="V281" s="356">
        <f t="shared" si="300"/>
        <v>16.554886282986136</v>
      </c>
      <c r="W281" s="356">
        <f t="shared" si="300"/>
        <v>19.133983410171499</v>
      </c>
      <c r="X281" s="356">
        <f t="shared" si="300"/>
        <v>13.212452077596724</v>
      </c>
      <c r="Y281" s="356">
        <f t="shared" si="300"/>
        <v>21.242984709983311</v>
      </c>
      <c r="Z281" s="356">
        <f t="shared" si="300"/>
        <v>37.391539708258215</v>
      </c>
      <c r="AA281" s="356">
        <f t="shared" si="300"/>
        <v>38.871735805068603</v>
      </c>
      <c r="AB281" s="356">
        <f t="shared" si="300"/>
        <v>22.444911563398655</v>
      </c>
      <c r="AC281" s="356">
        <f t="shared" si="300"/>
        <v>29.097661596194182</v>
      </c>
      <c r="AD281" s="356">
        <f t="shared" si="300"/>
        <v>17.637407647601655</v>
      </c>
      <c r="AE281" s="356">
        <f t="shared" si="300"/>
        <v>28.154783471371289</v>
      </c>
      <c r="AF281" s="356">
        <f t="shared" si="300"/>
        <v>18.454727633990256</v>
      </c>
      <c r="AG281" s="356">
        <f t="shared" si="300"/>
        <v>28.308730379101373</v>
      </c>
      <c r="AH281" s="356">
        <f t="shared" si="300"/>
        <v>23.259743049378049</v>
      </c>
      <c r="AI281" s="356">
        <f t="shared" si="300"/>
        <v>26.505998291777882</v>
      </c>
      <c r="AJ281" s="356">
        <f t="shared" si="300"/>
        <v>19.713397576218114</v>
      </c>
      <c r="AK281" s="356">
        <f t="shared" si="300"/>
        <v>38.226431074377814</v>
      </c>
      <c r="AL281" s="356">
        <f t="shared" si="300"/>
        <v>112.06378232025421</v>
      </c>
      <c r="AM281" s="356">
        <f t="shared" si="300"/>
        <v>10.584908379628805</v>
      </c>
      <c r="AN281" s="356">
        <f t="shared" si="300"/>
        <v>30.147171824608748</v>
      </c>
      <c r="AO281" s="356">
        <f t="shared" si="300"/>
        <v>2.4139963766175256</v>
      </c>
      <c r="AP281" s="356">
        <f t="shared" si="300"/>
        <v>10.523420885477611</v>
      </c>
      <c r="AQ281" s="356">
        <f t="shared" si="300"/>
        <v>11.493206432808458</v>
      </c>
      <c r="AR281" s="356">
        <f t="shared" si="300"/>
        <v>12.994842754414432</v>
      </c>
      <c r="AS281" s="356">
        <f t="shared" si="300"/>
        <v>11.639150147673048</v>
      </c>
      <c r="AT281" s="356">
        <f t="shared" si="300"/>
        <v>13.763443509392626</v>
      </c>
      <c r="AU281" s="356">
        <f t="shared" si="300"/>
        <v>2.3165372596855347</v>
      </c>
      <c r="AV281" s="356">
        <f t="shared" si="300"/>
        <v>9.0327128532358731</v>
      </c>
      <c r="AW281" s="356">
        <f t="shared" si="300"/>
        <v>25.88415834622981</v>
      </c>
      <c r="AX281" s="356">
        <f t="shared" si="300"/>
        <v>156.50101958041427</v>
      </c>
      <c r="AY281" s="356">
        <f t="shared" si="300"/>
        <v>32.281894699963672</v>
      </c>
      <c r="AZ281" s="356">
        <f t="shared" si="300"/>
        <v>111.98479748373316</v>
      </c>
      <c r="BA281" s="356">
        <f t="shared" si="300"/>
        <v>56.180960439108993</v>
      </c>
      <c r="BB281" s="356">
        <f t="shared" si="300"/>
        <v>38.728301500154124</v>
      </c>
      <c r="BC281" s="356">
        <f t="shared" si="300"/>
        <v>28.04696554640325</v>
      </c>
      <c r="BD281" s="356">
        <f t="shared" si="300"/>
        <v>29.015291365706737</v>
      </c>
      <c r="BF281" s="353"/>
      <c r="BG281" s="354"/>
    </row>
    <row r="282" spans="1:59" s="23" customFormat="1">
      <c r="A282" s="353"/>
      <c r="B282" s="355" t="s">
        <v>746</v>
      </c>
      <c r="C282" s="17" t="s">
        <v>747</v>
      </c>
      <c r="F282" s="356">
        <f t="shared" si="301"/>
        <v>44.890600792442939</v>
      </c>
      <c r="G282" s="356">
        <f t="shared" si="300"/>
        <v>42.881931896244758</v>
      </c>
      <c r="H282" s="356">
        <f t="shared" si="300"/>
        <v>51.752990529715163</v>
      </c>
      <c r="I282" s="356">
        <f t="shared" si="300"/>
        <v>290.72322160326735</v>
      </c>
      <c r="J282" s="356">
        <f t="shared" si="300"/>
        <v>35.91424913156478</v>
      </c>
      <c r="K282" s="356">
        <f t="shared" si="300"/>
        <v>8.7787857167591969</v>
      </c>
      <c r="L282" s="356">
        <f t="shared" si="300"/>
        <v>19.248705549713357</v>
      </c>
      <c r="M282" s="356">
        <f t="shared" si="300"/>
        <v>31.08067928290329</v>
      </c>
      <c r="N282" s="356">
        <f t="shared" si="300"/>
        <v>126.68330838527386</v>
      </c>
      <c r="O282" s="356">
        <f t="shared" si="300"/>
        <v>13.911441360704092</v>
      </c>
      <c r="P282" s="356">
        <f t="shared" si="300"/>
        <v>54.305028527774788</v>
      </c>
      <c r="Q282" s="356">
        <f t="shared" si="300"/>
        <v>16.691625202685362</v>
      </c>
      <c r="R282" s="356">
        <f t="shared" si="300"/>
        <v>18.018377303363611</v>
      </c>
      <c r="S282" s="356">
        <f t="shared" si="300"/>
        <v>30.488185572282006</v>
      </c>
      <c r="T282" s="356">
        <f t="shared" si="300"/>
        <v>18.134598359315284</v>
      </c>
      <c r="U282" s="356">
        <f t="shared" si="300"/>
        <v>23.289063774398095</v>
      </c>
      <c r="V282" s="356">
        <f t="shared" si="300"/>
        <v>16.554886282986136</v>
      </c>
      <c r="W282" s="356">
        <f t="shared" si="300"/>
        <v>19.133983410171499</v>
      </c>
      <c r="X282" s="356">
        <f t="shared" si="300"/>
        <v>13.212452077596724</v>
      </c>
      <c r="Y282" s="356">
        <f t="shared" si="300"/>
        <v>21.242984709983311</v>
      </c>
      <c r="Z282" s="356">
        <f t="shared" si="300"/>
        <v>37.391539708258215</v>
      </c>
      <c r="AA282" s="356">
        <f t="shared" si="300"/>
        <v>38.871735805068603</v>
      </c>
      <c r="AB282" s="356">
        <f t="shared" si="300"/>
        <v>22.444911563398655</v>
      </c>
      <c r="AC282" s="356">
        <f t="shared" si="300"/>
        <v>29.097661596194182</v>
      </c>
      <c r="AD282" s="356">
        <f t="shared" si="300"/>
        <v>17.637407647601655</v>
      </c>
      <c r="AE282" s="356">
        <f t="shared" si="300"/>
        <v>28.154783471371289</v>
      </c>
      <c r="AF282" s="356">
        <f t="shared" si="300"/>
        <v>18.454727633990256</v>
      </c>
      <c r="AG282" s="356">
        <f t="shared" si="300"/>
        <v>28.308730379101373</v>
      </c>
      <c r="AH282" s="356">
        <f t="shared" si="300"/>
        <v>23.259743049378049</v>
      </c>
      <c r="AI282" s="356">
        <f t="shared" si="300"/>
        <v>26.505998291777882</v>
      </c>
      <c r="AJ282" s="356">
        <f t="shared" si="300"/>
        <v>19.713397576218114</v>
      </c>
      <c r="AK282" s="356">
        <f t="shared" si="300"/>
        <v>38.226431074377814</v>
      </c>
      <c r="AL282" s="356">
        <f t="shared" si="300"/>
        <v>112.06378232025421</v>
      </c>
      <c r="AM282" s="356">
        <f t="shared" si="300"/>
        <v>10.584908379628805</v>
      </c>
      <c r="AN282" s="356">
        <f t="shared" si="300"/>
        <v>30.147171824608748</v>
      </c>
      <c r="AO282" s="356">
        <f t="shared" si="300"/>
        <v>2.4139963766175256</v>
      </c>
      <c r="AP282" s="356">
        <f t="shared" si="300"/>
        <v>10.523420885477611</v>
      </c>
      <c r="AQ282" s="356">
        <f t="shared" si="300"/>
        <v>11.493206432808458</v>
      </c>
      <c r="AR282" s="356">
        <f t="shared" si="300"/>
        <v>12.994842754414432</v>
      </c>
      <c r="AS282" s="356">
        <f t="shared" si="300"/>
        <v>11.639150147673048</v>
      </c>
      <c r="AT282" s="356">
        <f t="shared" si="300"/>
        <v>13.763443509392626</v>
      </c>
      <c r="AU282" s="356">
        <f t="shared" si="300"/>
        <v>2.3165372596855347</v>
      </c>
      <c r="AV282" s="356">
        <f t="shared" si="300"/>
        <v>9.0327128532358731</v>
      </c>
      <c r="AW282" s="356">
        <f t="shared" si="300"/>
        <v>25.88415834622981</v>
      </c>
      <c r="AX282" s="356">
        <f t="shared" si="300"/>
        <v>156.50101958041427</v>
      </c>
      <c r="AY282" s="356">
        <f t="shared" si="300"/>
        <v>32.281894699963672</v>
      </c>
      <c r="AZ282" s="356">
        <f t="shared" si="300"/>
        <v>111.98479748373316</v>
      </c>
      <c r="BA282" s="356">
        <f t="shared" si="300"/>
        <v>56.180960439108993</v>
      </c>
      <c r="BB282" s="356">
        <f t="shared" si="300"/>
        <v>38.728301500154124</v>
      </c>
      <c r="BC282" s="356">
        <f t="shared" si="300"/>
        <v>28.04696554640325</v>
      </c>
      <c r="BD282" s="356">
        <f t="shared" si="300"/>
        <v>29.015291365706737</v>
      </c>
      <c r="BF282" s="353"/>
      <c r="BG282" s="354"/>
    </row>
    <row r="283" spans="1:59" s="23" customFormat="1">
      <c r="A283" s="353"/>
      <c r="B283" s="355" t="s">
        <v>748</v>
      </c>
      <c r="C283" s="17" t="s">
        <v>843</v>
      </c>
      <c r="F283" s="356">
        <f t="shared" si="301"/>
        <v>44.890600792442939</v>
      </c>
      <c r="G283" s="356">
        <f t="shared" si="300"/>
        <v>42.881931896244758</v>
      </c>
      <c r="H283" s="356">
        <f t="shared" si="300"/>
        <v>51.752990529715163</v>
      </c>
      <c r="I283" s="356">
        <f t="shared" si="300"/>
        <v>290.72322160326735</v>
      </c>
      <c r="J283" s="356">
        <f t="shared" si="300"/>
        <v>35.91424913156478</v>
      </c>
      <c r="K283" s="356">
        <f t="shared" si="300"/>
        <v>8.7787857167591969</v>
      </c>
      <c r="L283" s="356">
        <f t="shared" si="300"/>
        <v>19.248705549713357</v>
      </c>
      <c r="M283" s="356">
        <f t="shared" si="300"/>
        <v>31.08067928290329</v>
      </c>
      <c r="N283" s="356">
        <f t="shared" si="300"/>
        <v>126.68330838527386</v>
      </c>
      <c r="O283" s="356">
        <f t="shared" si="300"/>
        <v>13.911441360704092</v>
      </c>
      <c r="P283" s="356">
        <f t="shared" si="300"/>
        <v>54.305028527774788</v>
      </c>
      <c r="Q283" s="356">
        <f t="shared" si="300"/>
        <v>16.691625202685362</v>
      </c>
      <c r="R283" s="356">
        <f t="shared" si="300"/>
        <v>18.018377303363611</v>
      </c>
      <c r="S283" s="356">
        <f t="shared" si="300"/>
        <v>30.488185572282006</v>
      </c>
      <c r="T283" s="356">
        <f t="shared" si="300"/>
        <v>18.134598359315284</v>
      </c>
      <c r="U283" s="356">
        <f t="shared" si="300"/>
        <v>23.289063774398095</v>
      </c>
      <c r="V283" s="356">
        <f t="shared" si="300"/>
        <v>16.554886282986136</v>
      </c>
      <c r="W283" s="356">
        <f t="shared" si="300"/>
        <v>19.133983410171499</v>
      </c>
      <c r="X283" s="356">
        <f t="shared" si="300"/>
        <v>13.212452077596724</v>
      </c>
      <c r="Y283" s="356">
        <f t="shared" si="300"/>
        <v>21.242984709983311</v>
      </c>
      <c r="Z283" s="356">
        <f t="shared" si="300"/>
        <v>37.391539708258215</v>
      </c>
      <c r="AA283" s="356">
        <f t="shared" si="300"/>
        <v>38.871735805068603</v>
      </c>
      <c r="AB283" s="356">
        <f t="shared" si="300"/>
        <v>22.444911563398655</v>
      </c>
      <c r="AC283" s="356">
        <f t="shared" si="300"/>
        <v>29.097661596194182</v>
      </c>
      <c r="AD283" s="356">
        <f t="shared" si="300"/>
        <v>17.637407647601655</v>
      </c>
      <c r="AE283" s="356">
        <f t="shared" si="300"/>
        <v>28.154783471371289</v>
      </c>
      <c r="AF283" s="356">
        <f t="shared" si="300"/>
        <v>18.454727633990256</v>
      </c>
      <c r="AG283" s="356">
        <f t="shared" si="300"/>
        <v>28.308730379101373</v>
      </c>
      <c r="AH283" s="356">
        <f t="shared" si="300"/>
        <v>23.259743049378049</v>
      </c>
      <c r="AI283" s="356">
        <f t="shared" si="300"/>
        <v>26.505998291777882</v>
      </c>
      <c r="AJ283" s="356">
        <f t="shared" si="300"/>
        <v>19.713397576218114</v>
      </c>
      <c r="AK283" s="356">
        <f t="shared" si="300"/>
        <v>38.226431074377814</v>
      </c>
      <c r="AL283" s="356">
        <f t="shared" si="300"/>
        <v>112.06378232025421</v>
      </c>
      <c r="AM283" s="356">
        <f t="shared" si="300"/>
        <v>10.584908379628805</v>
      </c>
      <c r="AN283" s="356">
        <f t="shared" si="300"/>
        <v>30.147171824608748</v>
      </c>
      <c r="AO283" s="356">
        <f t="shared" si="300"/>
        <v>2.4139963766175256</v>
      </c>
      <c r="AP283" s="356">
        <f t="shared" si="300"/>
        <v>10.523420885477611</v>
      </c>
      <c r="AQ283" s="356">
        <f t="shared" si="300"/>
        <v>11.493206432808458</v>
      </c>
      <c r="AR283" s="356">
        <f t="shared" si="300"/>
        <v>12.994842754414432</v>
      </c>
      <c r="AS283" s="356">
        <f t="shared" si="300"/>
        <v>11.639150147673048</v>
      </c>
      <c r="AT283" s="356">
        <f t="shared" si="300"/>
        <v>13.763443509392626</v>
      </c>
      <c r="AU283" s="356">
        <f t="shared" si="300"/>
        <v>2.3165372596855347</v>
      </c>
      <c r="AV283" s="356">
        <f t="shared" si="300"/>
        <v>9.0327128532358731</v>
      </c>
      <c r="AW283" s="356">
        <f t="shared" si="300"/>
        <v>25.88415834622981</v>
      </c>
      <c r="AX283" s="356">
        <f t="shared" si="300"/>
        <v>156.50101958041427</v>
      </c>
      <c r="AY283" s="356">
        <f t="shared" si="300"/>
        <v>32.281894699963672</v>
      </c>
      <c r="AZ283" s="356">
        <f t="shared" si="300"/>
        <v>111.98479748373316</v>
      </c>
      <c r="BA283" s="356">
        <f t="shared" si="300"/>
        <v>56.180960439108993</v>
      </c>
      <c r="BB283" s="356">
        <f t="shared" si="300"/>
        <v>38.728301500154124</v>
      </c>
      <c r="BC283" s="356">
        <f t="shared" si="300"/>
        <v>28.04696554640325</v>
      </c>
      <c r="BD283" s="356">
        <f t="shared" si="300"/>
        <v>29.015291365706737</v>
      </c>
      <c r="BF283" s="353"/>
      <c r="BG283" s="354"/>
    </row>
    <row r="284" spans="1:59" s="23" customFormat="1">
      <c r="A284" s="353"/>
      <c r="B284" s="202" t="s">
        <v>844</v>
      </c>
      <c r="C284" s="23" t="s">
        <v>845</v>
      </c>
      <c r="F284" s="356">
        <f t="shared" si="301"/>
        <v>44.890600792442939</v>
      </c>
      <c r="G284" s="356">
        <f t="shared" si="300"/>
        <v>42.881931896244758</v>
      </c>
      <c r="H284" s="356">
        <f t="shared" si="300"/>
        <v>51.752990529715163</v>
      </c>
      <c r="I284" s="356">
        <f t="shared" si="300"/>
        <v>290.72322160326735</v>
      </c>
      <c r="J284" s="356">
        <f t="shared" si="300"/>
        <v>35.91424913156478</v>
      </c>
      <c r="K284" s="356">
        <f t="shared" si="300"/>
        <v>8.7787857167591969</v>
      </c>
      <c r="L284" s="356">
        <f t="shared" si="300"/>
        <v>19.248705549713357</v>
      </c>
      <c r="M284" s="356">
        <f t="shared" si="300"/>
        <v>31.08067928290329</v>
      </c>
      <c r="N284" s="356">
        <f t="shared" si="300"/>
        <v>126.68330838527386</v>
      </c>
      <c r="O284" s="356">
        <f t="shared" si="300"/>
        <v>13.911441360704092</v>
      </c>
      <c r="P284" s="356">
        <f t="shared" si="300"/>
        <v>54.305028527774788</v>
      </c>
      <c r="Q284" s="356">
        <f t="shared" si="300"/>
        <v>16.691625202685362</v>
      </c>
      <c r="R284" s="356">
        <f t="shared" si="300"/>
        <v>18.018377303363611</v>
      </c>
      <c r="S284" s="356">
        <f t="shared" si="300"/>
        <v>30.488185572282006</v>
      </c>
      <c r="T284" s="356">
        <f t="shared" si="300"/>
        <v>18.134598359315284</v>
      </c>
      <c r="U284" s="356">
        <f t="shared" si="300"/>
        <v>23.289063774398095</v>
      </c>
      <c r="V284" s="356">
        <f t="shared" si="300"/>
        <v>16.554886282986136</v>
      </c>
      <c r="W284" s="356">
        <f t="shared" si="300"/>
        <v>19.133983410171499</v>
      </c>
      <c r="X284" s="356">
        <f t="shared" si="300"/>
        <v>13.212452077596724</v>
      </c>
      <c r="Y284" s="356">
        <f t="shared" si="300"/>
        <v>21.242984709983311</v>
      </c>
      <c r="Z284" s="356">
        <f t="shared" si="300"/>
        <v>37.391539708258215</v>
      </c>
      <c r="AA284" s="356">
        <f t="shared" ref="G284:BD289" si="302">AA$101</f>
        <v>38.871735805068603</v>
      </c>
      <c r="AB284" s="356">
        <f t="shared" si="302"/>
        <v>22.444911563398655</v>
      </c>
      <c r="AC284" s="356">
        <f t="shared" si="302"/>
        <v>29.097661596194182</v>
      </c>
      <c r="AD284" s="356">
        <f t="shared" si="302"/>
        <v>17.637407647601655</v>
      </c>
      <c r="AE284" s="356">
        <f t="shared" si="302"/>
        <v>28.154783471371289</v>
      </c>
      <c r="AF284" s="356">
        <f t="shared" si="302"/>
        <v>18.454727633990256</v>
      </c>
      <c r="AG284" s="356">
        <f t="shared" si="302"/>
        <v>28.308730379101373</v>
      </c>
      <c r="AH284" s="356">
        <f t="shared" si="302"/>
        <v>23.259743049378049</v>
      </c>
      <c r="AI284" s="356">
        <f t="shared" si="302"/>
        <v>26.505998291777882</v>
      </c>
      <c r="AJ284" s="356">
        <f t="shared" si="302"/>
        <v>19.713397576218114</v>
      </c>
      <c r="AK284" s="356">
        <f t="shared" si="302"/>
        <v>38.226431074377814</v>
      </c>
      <c r="AL284" s="356">
        <f t="shared" si="302"/>
        <v>112.06378232025421</v>
      </c>
      <c r="AM284" s="356">
        <f t="shared" si="302"/>
        <v>10.584908379628805</v>
      </c>
      <c r="AN284" s="356">
        <f t="shared" si="302"/>
        <v>30.147171824608748</v>
      </c>
      <c r="AO284" s="356">
        <f t="shared" si="302"/>
        <v>2.4139963766175256</v>
      </c>
      <c r="AP284" s="356">
        <f t="shared" si="302"/>
        <v>10.523420885477611</v>
      </c>
      <c r="AQ284" s="356">
        <f t="shared" si="302"/>
        <v>11.493206432808458</v>
      </c>
      <c r="AR284" s="356">
        <f t="shared" si="302"/>
        <v>12.994842754414432</v>
      </c>
      <c r="AS284" s="356">
        <f t="shared" si="302"/>
        <v>11.639150147673048</v>
      </c>
      <c r="AT284" s="356">
        <f t="shared" si="302"/>
        <v>13.763443509392626</v>
      </c>
      <c r="AU284" s="356">
        <f t="shared" si="302"/>
        <v>2.3165372596855347</v>
      </c>
      <c r="AV284" s="356">
        <f t="shared" si="302"/>
        <v>9.0327128532358731</v>
      </c>
      <c r="AW284" s="356">
        <f t="shared" si="302"/>
        <v>25.88415834622981</v>
      </c>
      <c r="AX284" s="356">
        <f t="shared" si="302"/>
        <v>156.50101958041427</v>
      </c>
      <c r="AY284" s="356">
        <f t="shared" si="302"/>
        <v>32.281894699963672</v>
      </c>
      <c r="AZ284" s="356">
        <f t="shared" si="302"/>
        <v>111.98479748373316</v>
      </c>
      <c r="BA284" s="356">
        <f t="shared" si="302"/>
        <v>56.180960439108993</v>
      </c>
      <c r="BB284" s="356">
        <f t="shared" si="302"/>
        <v>38.728301500154124</v>
      </c>
      <c r="BC284" s="356">
        <f t="shared" si="302"/>
        <v>28.04696554640325</v>
      </c>
      <c r="BD284" s="356">
        <f t="shared" si="302"/>
        <v>29.015291365706737</v>
      </c>
      <c r="BF284" s="353"/>
      <c r="BG284" s="354"/>
    </row>
    <row r="285" spans="1:59" s="23" customFormat="1">
      <c r="A285" s="353"/>
      <c r="B285" s="202" t="s">
        <v>846</v>
      </c>
      <c r="C285" s="23" t="s">
        <v>892</v>
      </c>
      <c r="F285" s="356">
        <f t="shared" si="301"/>
        <v>44.890600792442939</v>
      </c>
      <c r="G285" s="356">
        <f t="shared" si="302"/>
        <v>42.881931896244758</v>
      </c>
      <c r="H285" s="356">
        <f t="shared" si="302"/>
        <v>51.752990529715163</v>
      </c>
      <c r="I285" s="356">
        <f t="shared" si="302"/>
        <v>290.72322160326735</v>
      </c>
      <c r="J285" s="356">
        <f t="shared" si="302"/>
        <v>35.91424913156478</v>
      </c>
      <c r="K285" s="356">
        <f t="shared" si="302"/>
        <v>8.7787857167591969</v>
      </c>
      <c r="L285" s="356">
        <f t="shared" si="302"/>
        <v>19.248705549713357</v>
      </c>
      <c r="M285" s="356">
        <f t="shared" si="302"/>
        <v>31.08067928290329</v>
      </c>
      <c r="N285" s="356">
        <f t="shared" si="302"/>
        <v>126.68330838527386</v>
      </c>
      <c r="O285" s="356">
        <f t="shared" si="302"/>
        <v>13.911441360704092</v>
      </c>
      <c r="P285" s="356">
        <f t="shared" si="302"/>
        <v>54.305028527774788</v>
      </c>
      <c r="Q285" s="356">
        <f t="shared" si="302"/>
        <v>16.691625202685362</v>
      </c>
      <c r="R285" s="356">
        <f t="shared" si="302"/>
        <v>18.018377303363611</v>
      </c>
      <c r="S285" s="356">
        <f t="shared" si="302"/>
        <v>30.488185572282006</v>
      </c>
      <c r="T285" s="356">
        <f t="shared" si="302"/>
        <v>18.134598359315284</v>
      </c>
      <c r="U285" s="356">
        <f t="shared" si="302"/>
        <v>23.289063774398095</v>
      </c>
      <c r="V285" s="356">
        <f t="shared" si="302"/>
        <v>16.554886282986136</v>
      </c>
      <c r="W285" s="356">
        <f t="shared" si="302"/>
        <v>19.133983410171499</v>
      </c>
      <c r="X285" s="356">
        <f t="shared" si="302"/>
        <v>13.212452077596724</v>
      </c>
      <c r="Y285" s="356">
        <f t="shared" si="302"/>
        <v>21.242984709983311</v>
      </c>
      <c r="Z285" s="356">
        <f t="shared" si="302"/>
        <v>37.391539708258215</v>
      </c>
      <c r="AA285" s="356">
        <f t="shared" si="302"/>
        <v>38.871735805068603</v>
      </c>
      <c r="AB285" s="356">
        <f t="shared" si="302"/>
        <v>22.444911563398655</v>
      </c>
      <c r="AC285" s="356">
        <f t="shared" si="302"/>
        <v>29.097661596194182</v>
      </c>
      <c r="AD285" s="356">
        <f t="shared" si="302"/>
        <v>17.637407647601655</v>
      </c>
      <c r="AE285" s="356">
        <f t="shared" si="302"/>
        <v>28.154783471371289</v>
      </c>
      <c r="AF285" s="356">
        <f t="shared" si="302"/>
        <v>18.454727633990256</v>
      </c>
      <c r="AG285" s="356">
        <f t="shared" si="302"/>
        <v>28.308730379101373</v>
      </c>
      <c r="AH285" s="356">
        <f t="shared" si="302"/>
        <v>23.259743049378049</v>
      </c>
      <c r="AI285" s="356">
        <f t="shared" si="302"/>
        <v>26.505998291777882</v>
      </c>
      <c r="AJ285" s="356">
        <f t="shared" si="302"/>
        <v>19.713397576218114</v>
      </c>
      <c r="AK285" s="356">
        <f t="shared" si="302"/>
        <v>38.226431074377814</v>
      </c>
      <c r="AL285" s="356">
        <f t="shared" si="302"/>
        <v>112.06378232025421</v>
      </c>
      <c r="AM285" s="356">
        <f t="shared" si="302"/>
        <v>10.584908379628805</v>
      </c>
      <c r="AN285" s="356">
        <f t="shared" si="302"/>
        <v>30.147171824608748</v>
      </c>
      <c r="AO285" s="356">
        <f t="shared" si="302"/>
        <v>2.4139963766175256</v>
      </c>
      <c r="AP285" s="356">
        <f t="shared" si="302"/>
        <v>10.523420885477611</v>
      </c>
      <c r="AQ285" s="356">
        <f t="shared" si="302"/>
        <v>11.493206432808458</v>
      </c>
      <c r="AR285" s="356">
        <f t="shared" si="302"/>
        <v>12.994842754414432</v>
      </c>
      <c r="AS285" s="356">
        <f t="shared" si="302"/>
        <v>11.639150147673048</v>
      </c>
      <c r="AT285" s="356">
        <f t="shared" si="302"/>
        <v>13.763443509392626</v>
      </c>
      <c r="AU285" s="356">
        <f t="shared" si="302"/>
        <v>2.3165372596855347</v>
      </c>
      <c r="AV285" s="356">
        <f t="shared" si="302"/>
        <v>9.0327128532358731</v>
      </c>
      <c r="AW285" s="356">
        <f t="shared" si="302"/>
        <v>25.88415834622981</v>
      </c>
      <c r="AX285" s="356">
        <f t="shared" si="302"/>
        <v>156.50101958041427</v>
      </c>
      <c r="AY285" s="356">
        <f t="shared" si="302"/>
        <v>32.281894699963672</v>
      </c>
      <c r="AZ285" s="356">
        <f t="shared" si="302"/>
        <v>111.98479748373316</v>
      </c>
      <c r="BA285" s="356">
        <f t="shared" si="302"/>
        <v>56.180960439108993</v>
      </c>
      <c r="BB285" s="356">
        <f t="shared" si="302"/>
        <v>38.728301500154124</v>
      </c>
      <c r="BC285" s="356">
        <f t="shared" si="302"/>
        <v>28.04696554640325</v>
      </c>
      <c r="BD285" s="356">
        <f t="shared" si="302"/>
        <v>29.015291365706737</v>
      </c>
      <c r="BF285" s="353"/>
      <c r="BG285" s="354"/>
    </row>
    <row r="286" spans="1:59" s="23" customFormat="1">
      <c r="A286" s="353"/>
      <c r="B286" s="202" t="s">
        <v>192</v>
      </c>
      <c r="C286" s="23" t="s">
        <v>893</v>
      </c>
      <c r="F286" s="356">
        <f t="shared" si="301"/>
        <v>44.890600792442939</v>
      </c>
      <c r="G286" s="356">
        <f t="shared" si="302"/>
        <v>42.881931896244758</v>
      </c>
      <c r="H286" s="356">
        <f t="shared" si="302"/>
        <v>51.752990529715163</v>
      </c>
      <c r="I286" s="356">
        <f t="shared" si="302"/>
        <v>290.72322160326735</v>
      </c>
      <c r="J286" s="356">
        <f t="shared" si="302"/>
        <v>35.91424913156478</v>
      </c>
      <c r="K286" s="356">
        <f t="shared" si="302"/>
        <v>8.7787857167591969</v>
      </c>
      <c r="L286" s="356">
        <f t="shared" si="302"/>
        <v>19.248705549713357</v>
      </c>
      <c r="M286" s="356">
        <f t="shared" si="302"/>
        <v>31.08067928290329</v>
      </c>
      <c r="N286" s="356">
        <f t="shared" si="302"/>
        <v>126.68330838527386</v>
      </c>
      <c r="O286" s="356">
        <f t="shared" si="302"/>
        <v>13.911441360704092</v>
      </c>
      <c r="P286" s="356">
        <f t="shared" si="302"/>
        <v>54.305028527774788</v>
      </c>
      <c r="Q286" s="356">
        <f t="shared" si="302"/>
        <v>16.691625202685362</v>
      </c>
      <c r="R286" s="356">
        <f t="shared" si="302"/>
        <v>18.018377303363611</v>
      </c>
      <c r="S286" s="356">
        <f t="shared" si="302"/>
        <v>30.488185572282006</v>
      </c>
      <c r="T286" s="356">
        <f t="shared" si="302"/>
        <v>18.134598359315284</v>
      </c>
      <c r="U286" s="356">
        <f t="shared" si="302"/>
        <v>23.289063774398095</v>
      </c>
      <c r="V286" s="356">
        <f t="shared" si="302"/>
        <v>16.554886282986136</v>
      </c>
      <c r="W286" s="356">
        <f t="shared" si="302"/>
        <v>19.133983410171499</v>
      </c>
      <c r="X286" s="356">
        <f t="shared" si="302"/>
        <v>13.212452077596724</v>
      </c>
      <c r="Y286" s="356">
        <f t="shared" si="302"/>
        <v>21.242984709983311</v>
      </c>
      <c r="Z286" s="356">
        <f t="shared" si="302"/>
        <v>37.391539708258215</v>
      </c>
      <c r="AA286" s="356">
        <f t="shared" si="302"/>
        <v>38.871735805068603</v>
      </c>
      <c r="AB286" s="356">
        <f t="shared" si="302"/>
        <v>22.444911563398655</v>
      </c>
      <c r="AC286" s="356">
        <f t="shared" si="302"/>
        <v>29.097661596194182</v>
      </c>
      <c r="AD286" s="356">
        <f t="shared" si="302"/>
        <v>17.637407647601655</v>
      </c>
      <c r="AE286" s="356">
        <f t="shared" si="302"/>
        <v>28.154783471371289</v>
      </c>
      <c r="AF286" s="356">
        <f t="shared" si="302"/>
        <v>18.454727633990256</v>
      </c>
      <c r="AG286" s="356">
        <f t="shared" si="302"/>
        <v>28.308730379101373</v>
      </c>
      <c r="AH286" s="356">
        <f t="shared" si="302"/>
        <v>23.259743049378049</v>
      </c>
      <c r="AI286" s="356">
        <f t="shared" si="302"/>
        <v>26.505998291777882</v>
      </c>
      <c r="AJ286" s="356">
        <f t="shared" si="302"/>
        <v>19.713397576218114</v>
      </c>
      <c r="AK286" s="356">
        <f t="shared" si="302"/>
        <v>38.226431074377814</v>
      </c>
      <c r="AL286" s="356">
        <f t="shared" si="302"/>
        <v>112.06378232025421</v>
      </c>
      <c r="AM286" s="356">
        <f t="shared" si="302"/>
        <v>10.584908379628805</v>
      </c>
      <c r="AN286" s="356">
        <f t="shared" si="302"/>
        <v>30.147171824608748</v>
      </c>
      <c r="AO286" s="356">
        <f t="shared" si="302"/>
        <v>2.4139963766175256</v>
      </c>
      <c r="AP286" s="356">
        <f t="shared" si="302"/>
        <v>10.523420885477611</v>
      </c>
      <c r="AQ286" s="356">
        <f t="shared" si="302"/>
        <v>11.493206432808458</v>
      </c>
      <c r="AR286" s="356">
        <f t="shared" si="302"/>
        <v>12.994842754414432</v>
      </c>
      <c r="AS286" s="356">
        <f t="shared" si="302"/>
        <v>11.639150147673048</v>
      </c>
      <c r="AT286" s="356">
        <f t="shared" si="302"/>
        <v>13.763443509392626</v>
      </c>
      <c r="AU286" s="356">
        <f t="shared" si="302"/>
        <v>2.3165372596855347</v>
      </c>
      <c r="AV286" s="356">
        <f t="shared" si="302"/>
        <v>9.0327128532358731</v>
      </c>
      <c r="AW286" s="356">
        <f t="shared" si="302"/>
        <v>25.88415834622981</v>
      </c>
      <c r="AX286" s="356">
        <f t="shared" si="302"/>
        <v>156.50101958041427</v>
      </c>
      <c r="AY286" s="356">
        <f t="shared" si="302"/>
        <v>32.281894699963672</v>
      </c>
      <c r="AZ286" s="356">
        <f t="shared" si="302"/>
        <v>111.98479748373316</v>
      </c>
      <c r="BA286" s="356">
        <f t="shared" si="302"/>
        <v>56.180960439108993</v>
      </c>
      <c r="BB286" s="356">
        <f t="shared" si="302"/>
        <v>38.728301500154124</v>
      </c>
      <c r="BC286" s="356">
        <f t="shared" si="302"/>
        <v>28.04696554640325</v>
      </c>
      <c r="BD286" s="356">
        <f t="shared" si="302"/>
        <v>29.015291365706737</v>
      </c>
      <c r="BF286" s="353"/>
      <c r="BG286" s="354"/>
    </row>
    <row r="287" spans="1:59" s="23" customFormat="1">
      <c r="A287" s="353"/>
      <c r="B287" s="202" t="s">
        <v>894</v>
      </c>
      <c r="C287" s="23" t="s">
        <v>895</v>
      </c>
      <c r="F287" s="356">
        <f t="shared" si="301"/>
        <v>44.890600792442939</v>
      </c>
      <c r="G287" s="356">
        <f t="shared" si="302"/>
        <v>42.881931896244758</v>
      </c>
      <c r="H287" s="356">
        <f t="shared" si="302"/>
        <v>51.752990529715163</v>
      </c>
      <c r="I287" s="356">
        <f t="shared" si="302"/>
        <v>290.72322160326735</v>
      </c>
      <c r="J287" s="356">
        <f t="shared" si="302"/>
        <v>35.91424913156478</v>
      </c>
      <c r="K287" s="356">
        <f t="shared" si="302"/>
        <v>8.7787857167591969</v>
      </c>
      <c r="L287" s="356">
        <f t="shared" si="302"/>
        <v>19.248705549713357</v>
      </c>
      <c r="M287" s="356">
        <f t="shared" si="302"/>
        <v>31.08067928290329</v>
      </c>
      <c r="N287" s="356">
        <f t="shared" si="302"/>
        <v>126.68330838527386</v>
      </c>
      <c r="O287" s="356">
        <f t="shared" si="302"/>
        <v>13.911441360704092</v>
      </c>
      <c r="P287" s="356">
        <f t="shared" si="302"/>
        <v>54.305028527774788</v>
      </c>
      <c r="Q287" s="356">
        <f t="shared" si="302"/>
        <v>16.691625202685362</v>
      </c>
      <c r="R287" s="356">
        <f t="shared" si="302"/>
        <v>18.018377303363611</v>
      </c>
      <c r="S287" s="356">
        <f t="shared" si="302"/>
        <v>30.488185572282006</v>
      </c>
      <c r="T287" s="356">
        <f t="shared" si="302"/>
        <v>18.134598359315284</v>
      </c>
      <c r="U287" s="356">
        <f t="shared" si="302"/>
        <v>23.289063774398095</v>
      </c>
      <c r="V287" s="356">
        <f t="shared" si="302"/>
        <v>16.554886282986136</v>
      </c>
      <c r="W287" s="356">
        <f t="shared" si="302"/>
        <v>19.133983410171499</v>
      </c>
      <c r="X287" s="356">
        <f t="shared" si="302"/>
        <v>13.212452077596724</v>
      </c>
      <c r="Y287" s="356">
        <f t="shared" si="302"/>
        <v>21.242984709983311</v>
      </c>
      <c r="Z287" s="356">
        <f t="shared" si="302"/>
        <v>37.391539708258215</v>
      </c>
      <c r="AA287" s="356">
        <f t="shared" si="302"/>
        <v>38.871735805068603</v>
      </c>
      <c r="AB287" s="356">
        <f t="shared" si="302"/>
        <v>22.444911563398655</v>
      </c>
      <c r="AC287" s="356">
        <f t="shared" si="302"/>
        <v>29.097661596194182</v>
      </c>
      <c r="AD287" s="356">
        <f t="shared" si="302"/>
        <v>17.637407647601655</v>
      </c>
      <c r="AE287" s="356">
        <f t="shared" si="302"/>
        <v>28.154783471371289</v>
      </c>
      <c r="AF287" s="356">
        <f t="shared" si="302"/>
        <v>18.454727633990256</v>
      </c>
      <c r="AG287" s="356">
        <f t="shared" si="302"/>
        <v>28.308730379101373</v>
      </c>
      <c r="AH287" s="356">
        <f t="shared" si="302"/>
        <v>23.259743049378049</v>
      </c>
      <c r="AI287" s="356">
        <f t="shared" si="302"/>
        <v>26.505998291777882</v>
      </c>
      <c r="AJ287" s="356">
        <f t="shared" si="302"/>
        <v>19.713397576218114</v>
      </c>
      <c r="AK287" s="356">
        <f t="shared" si="302"/>
        <v>38.226431074377814</v>
      </c>
      <c r="AL287" s="356">
        <f t="shared" si="302"/>
        <v>112.06378232025421</v>
      </c>
      <c r="AM287" s="356">
        <f t="shared" si="302"/>
        <v>10.584908379628805</v>
      </c>
      <c r="AN287" s="356">
        <f t="shared" si="302"/>
        <v>30.147171824608748</v>
      </c>
      <c r="AO287" s="356">
        <f t="shared" si="302"/>
        <v>2.4139963766175256</v>
      </c>
      <c r="AP287" s="356">
        <f t="shared" si="302"/>
        <v>10.523420885477611</v>
      </c>
      <c r="AQ287" s="356">
        <f t="shared" si="302"/>
        <v>11.493206432808458</v>
      </c>
      <c r="AR287" s="356">
        <f t="shared" si="302"/>
        <v>12.994842754414432</v>
      </c>
      <c r="AS287" s="356">
        <f t="shared" si="302"/>
        <v>11.639150147673048</v>
      </c>
      <c r="AT287" s="356">
        <f t="shared" si="302"/>
        <v>13.763443509392626</v>
      </c>
      <c r="AU287" s="356">
        <f t="shared" si="302"/>
        <v>2.3165372596855347</v>
      </c>
      <c r="AV287" s="356">
        <f t="shared" si="302"/>
        <v>9.0327128532358731</v>
      </c>
      <c r="AW287" s="356">
        <f t="shared" si="302"/>
        <v>25.88415834622981</v>
      </c>
      <c r="AX287" s="356">
        <f t="shared" si="302"/>
        <v>156.50101958041427</v>
      </c>
      <c r="AY287" s="356">
        <f t="shared" si="302"/>
        <v>32.281894699963672</v>
      </c>
      <c r="AZ287" s="356">
        <f t="shared" si="302"/>
        <v>111.98479748373316</v>
      </c>
      <c r="BA287" s="356">
        <f t="shared" si="302"/>
        <v>56.180960439108993</v>
      </c>
      <c r="BB287" s="356">
        <f t="shared" si="302"/>
        <v>38.728301500154124</v>
      </c>
      <c r="BC287" s="356">
        <f t="shared" si="302"/>
        <v>28.04696554640325</v>
      </c>
      <c r="BD287" s="356">
        <f t="shared" si="302"/>
        <v>29.015291365706737</v>
      </c>
      <c r="BF287" s="353"/>
      <c r="BG287" s="354"/>
    </row>
    <row r="288" spans="1:59" s="23" customFormat="1">
      <c r="A288" s="353"/>
      <c r="B288" s="202" t="s">
        <v>896</v>
      </c>
      <c r="C288" s="23" t="s">
        <v>897</v>
      </c>
      <c r="F288" s="356">
        <f t="shared" si="301"/>
        <v>44.890600792442939</v>
      </c>
      <c r="G288" s="356">
        <f t="shared" si="302"/>
        <v>42.881931896244758</v>
      </c>
      <c r="H288" s="356">
        <f t="shared" si="302"/>
        <v>51.752990529715163</v>
      </c>
      <c r="I288" s="356">
        <f t="shared" si="302"/>
        <v>290.72322160326735</v>
      </c>
      <c r="J288" s="356">
        <f t="shared" si="302"/>
        <v>35.91424913156478</v>
      </c>
      <c r="K288" s="356">
        <f t="shared" si="302"/>
        <v>8.7787857167591969</v>
      </c>
      <c r="L288" s="356">
        <f t="shared" si="302"/>
        <v>19.248705549713357</v>
      </c>
      <c r="M288" s="356">
        <f t="shared" si="302"/>
        <v>31.08067928290329</v>
      </c>
      <c r="N288" s="356">
        <f t="shared" si="302"/>
        <v>126.68330838527386</v>
      </c>
      <c r="O288" s="356">
        <f t="shared" si="302"/>
        <v>13.911441360704092</v>
      </c>
      <c r="P288" s="356">
        <f t="shared" si="302"/>
        <v>54.305028527774788</v>
      </c>
      <c r="Q288" s="356">
        <f t="shared" si="302"/>
        <v>16.691625202685362</v>
      </c>
      <c r="R288" s="356">
        <f t="shared" si="302"/>
        <v>18.018377303363611</v>
      </c>
      <c r="S288" s="356">
        <f t="shared" si="302"/>
        <v>30.488185572282006</v>
      </c>
      <c r="T288" s="356">
        <f t="shared" si="302"/>
        <v>18.134598359315284</v>
      </c>
      <c r="U288" s="356">
        <f t="shared" si="302"/>
        <v>23.289063774398095</v>
      </c>
      <c r="V288" s="356">
        <f t="shared" si="302"/>
        <v>16.554886282986136</v>
      </c>
      <c r="W288" s="356">
        <f t="shared" si="302"/>
        <v>19.133983410171499</v>
      </c>
      <c r="X288" s="356">
        <f t="shared" si="302"/>
        <v>13.212452077596724</v>
      </c>
      <c r="Y288" s="356">
        <f t="shared" si="302"/>
        <v>21.242984709983311</v>
      </c>
      <c r="Z288" s="356">
        <f t="shared" si="302"/>
        <v>37.391539708258215</v>
      </c>
      <c r="AA288" s="356">
        <f t="shared" si="302"/>
        <v>38.871735805068603</v>
      </c>
      <c r="AB288" s="356">
        <f t="shared" si="302"/>
        <v>22.444911563398655</v>
      </c>
      <c r="AC288" s="356">
        <f t="shared" si="302"/>
        <v>29.097661596194182</v>
      </c>
      <c r="AD288" s="356">
        <f t="shared" si="302"/>
        <v>17.637407647601655</v>
      </c>
      <c r="AE288" s="356">
        <f t="shared" si="302"/>
        <v>28.154783471371289</v>
      </c>
      <c r="AF288" s="356">
        <f t="shared" si="302"/>
        <v>18.454727633990256</v>
      </c>
      <c r="AG288" s="356">
        <f t="shared" si="302"/>
        <v>28.308730379101373</v>
      </c>
      <c r="AH288" s="356">
        <f t="shared" si="302"/>
        <v>23.259743049378049</v>
      </c>
      <c r="AI288" s="356">
        <f t="shared" si="302"/>
        <v>26.505998291777882</v>
      </c>
      <c r="AJ288" s="356">
        <f t="shared" si="302"/>
        <v>19.713397576218114</v>
      </c>
      <c r="AK288" s="356">
        <f t="shared" si="302"/>
        <v>38.226431074377814</v>
      </c>
      <c r="AL288" s="356">
        <f t="shared" si="302"/>
        <v>112.06378232025421</v>
      </c>
      <c r="AM288" s="356">
        <f t="shared" si="302"/>
        <v>10.584908379628805</v>
      </c>
      <c r="AN288" s="356">
        <f t="shared" si="302"/>
        <v>30.147171824608748</v>
      </c>
      <c r="AO288" s="356">
        <f t="shared" si="302"/>
        <v>2.4139963766175256</v>
      </c>
      <c r="AP288" s="356">
        <f t="shared" si="302"/>
        <v>10.523420885477611</v>
      </c>
      <c r="AQ288" s="356">
        <f t="shared" si="302"/>
        <v>11.493206432808458</v>
      </c>
      <c r="AR288" s="356">
        <f t="shared" si="302"/>
        <v>12.994842754414432</v>
      </c>
      <c r="AS288" s="356">
        <f t="shared" si="302"/>
        <v>11.639150147673048</v>
      </c>
      <c r="AT288" s="356">
        <f t="shared" si="302"/>
        <v>13.763443509392626</v>
      </c>
      <c r="AU288" s="356">
        <f t="shared" si="302"/>
        <v>2.3165372596855347</v>
      </c>
      <c r="AV288" s="356">
        <f t="shared" si="302"/>
        <v>9.0327128532358731</v>
      </c>
      <c r="AW288" s="356">
        <f t="shared" si="302"/>
        <v>25.88415834622981</v>
      </c>
      <c r="AX288" s="356">
        <f t="shared" si="302"/>
        <v>156.50101958041427</v>
      </c>
      <c r="AY288" s="356">
        <f t="shared" si="302"/>
        <v>32.281894699963672</v>
      </c>
      <c r="AZ288" s="356">
        <f t="shared" si="302"/>
        <v>111.98479748373316</v>
      </c>
      <c r="BA288" s="356">
        <f t="shared" si="302"/>
        <v>56.180960439108993</v>
      </c>
      <c r="BB288" s="356">
        <f t="shared" si="302"/>
        <v>38.728301500154124</v>
      </c>
      <c r="BC288" s="356">
        <f t="shared" si="302"/>
        <v>28.04696554640325</v>
      </c>
      <c r="BD288" s="356">
        <f t="shared" si="302"/>
        <v>29.015291365706737</v>
      </c>
      <c r="BF288" s="353"/>
      <c r="BG288" s="354"/>
    </row>
    <row r="289" spans="1:59" s="23" customFormat="1">
      <c r="A289" s="353"/>
      <c r="B289" s="202" t="s">
        <v>898</v>
      </c>
      <c r="C289" s="23" t="s">
        <v>899</v>
      </c>
      <c r="F289" s="356">
        <f t="shared" si="301"/>
        <v>44.890600792442939</v>
      </c>
      <c r="G289" s="356">
        <f t="shared" si="302"/>
        <v>42.881931896244758</v>
      </c>
      <c r="H289" s="356">
        <f t="shared" si="302"/>
        <v>51.752990529715163</v>
      </c>
      <c r="I289" s="356">
        <f t="shared" si="302"/>
        <v>290.72322160326735</v>
      </c>
      <c r="J289" s="356">
        <f t="shared" si="302"/>
        <v>35.91424913156478</v>
      </c>
      <c r="K289" s="356">
        <f t="shared" si="302"/>
        <v>8.7787857167591969</v>
      </c>
      <c r="L289" s="356">
        <f t="shared" si="302"/>
        <v>19.248705549713357</v>
      </c>
      <c r="M289" s="356">
        <f t="shared" si="302"/>
        <v>31.08067928290329</v>
      </c>
      <c r="N289" s="356">
        <f t="shared" si="302"/>
        <v>126.68330838527386</v>
      </c>
      <c r="O289" s="356">
        <f t="shared" si="302"/>
        <v>13.911441360704092</v>
      </c>
      <c r="P289" s="356">
        <f t="shared" si="302"/>
        <v>54.305028527774788</v>
      </c>
      <c r="Q289" s="356">
        <f t="shared" si="302"/>
        <v>16.691625202685362</v>
      </c>
      <c r="R289" s="356">
        <f t="shared" si="302"/>
        <v>18.018377303363611</v>
      </c>
      <c r="S289" s="356">
        <f t="shared" si="302"/>
        <v>30.488185572282006</v>
      </c>
      <c r="T289" s="356">
        <f t="shared" si="302"/>
        <v>18.134598359315284</v>
      </c>
      <c r="U289" s="356">
        <f t="shared" si="302"/>
        <v>23.289063774398095</v>
      </c>
      <c r="V289" s="356">
        <f t="shared" si="302"/>
        <v>16.554886282986136</v>
      </c>
      <c r="W289" s="356">
        <f t="shared" si="302"/>
        <v>19.133983410171499</v>
      </c>
      <c r="X289" s="356">
        <f t="shared" si="302"/>
        <v>13.212452077596724</v>
      </c>
      <c r="Y289" s="356">
        <f t="shared" si="302"/>
        <v>21.242984709983311</v>
      </c>
      <c r="Z289" s="356">
        <f t="shared" si="302"/>
        <v>37.391539708258215</v>
      </c>
      <c r="AA289" s="356">
        <f t="shared" si="302"/>
        <v>38.871735805068603</v>
      </c>
      <c r="AB289" s="356">
        <f t="shared" si="302"/>
        <v>22.444911563398655</v>
      </c>
      <c r="AC289" s="356">
        <f t="shared" si="302"/>
        <v>29.097661596194182</v>
      </c>
      <c r="AD289" s="356">
        <f t="shared" si="302"/>
        <v>17.637407647601655</v>
      </c>
      <c r="AE289" s="356">
        <f t="shared" si="302"/>
        <v>28.154783471371289</v>
      </c>
      <c r="AF289" s="356">
        <f t="shared" ref="G289:BD291" si="303">AF$101</f>
        <v>18.454727633990256</v>
      </c>
      <c r="AG289" s="356">
        <f t="shared" si="303"/>
        <v>28.308730379101373</v>
      </c>
      <c r="AH289" s="356">
        <f t="shared" si="303"/>
        <v>23.259743049378049</v>
      </c>
      <c r="AI289" s="356">
        <f t="shared" si="303"/>
        <v>26.505998291777882</v>
      </c>
      <c r="AJ289" s="356">
        <f t="shared" si="303"/>
        <v>19.713397576218114</v>
      </c>
      <c r="AK289" s="356">
        <f t="shared" si="303"/>
        <v>38.226431074377814</v>
      </c>
      <c r="AL289" s="356">
        <f t="shared" si="303"/>
        <v>112.06378232025421</v>
      </c>
      <c r="AM289" s="356">
        <f t="shared" si="303"/>
        <v>10.584908379628805</v>
      </c>
      <c r="AN289" s="356">
        <f t="shared" si="303"/>
        <v>30.147171824608748</v>
      </c>
      <c r="AO289" s="356">
        <f t="shared" si="303"/>
        <v>2.4139963766175256</v>
      </c>
      <c r="AP289" s="356">
        <f t="shared" si="303"/>
        <v>10.523420885477611</v>
      </c>
      <c r="AQ289" s="356">
        <f t="shared" si="303"/>
        <v>11.493206432808458</v>
      </c>
      <c r="AR289" s="356">
        <f t="shared" si="303"/>
        <v>12.994842754414432</v>
      </c>
      <c r="AS289" s="356">
        <f t="shared" si="303"/>
        <v>11.639150147673048</v>
      </c>
      <c r="AT289" s="356">
        <f t="shared" si="303"/>
        <v>13.763443509392626</v>
      </c>
      <c r="AU289" s="356">
        <f t="shared" si="303"/>
        <v>2.3165372596855347</v>
      </c>
      <c r="AV289" s="356">
        <f t="shared" si="303"/>
        <v>9.0327128532358731</v>
      </c>
      <c r="AW289" s="356">
        <f t="shared" si="303"/>
        <v>25.88415834622981</v>
      </c>
      <c r="AX289" s="356">
        <f t="shared" si="303"/>
        <v>156.50101958041427</v>
      </c>
      <c r="AY289" s="356">
        <f t="shared" si="303"/>
        <v>32.281894699963672</v>
      </c>
      <c r="AZ289" s="356">
        <f t="shared" si="303"/>
        <v>111.98479748373316</v>
      </c>
      <c r="BA289" s="356">
        <f t="shared" si="303"/>
        <v>56.180960439108993</v>
      </c>
      <c r="BB289" s="356">
        <f t="shared" si="303"/>
        <v>38.728301500154124</v>
      </c>
      <c r="BC289" s="356">
        <f t="shared" si="303"/>
        <v>28.04696554640325</v>
      </c>
      <c r="BD289" s="356">
        <f t="shared" si="303"/>
        <v>29.015291365706737</v>
      </c>
      <c r="BF289" s="353"/>
      <c r="BG289" s="354"/>
    </row>
    <row r="290" spans="1:59" s="23" customFormat="1">
      <c r="A290" s="353"/>
      <c r="B290" s="202" t="s">
        <v>900</v>
      </c>
      <c r="C290" s="23" t="s">
        <v>874</v>
      </c>
      <c r="F290" s="356">
        <f t="shared" si="301"/>
        <v>44.890600792442939</v>
      </c>
      <c r="G290" s="356">
        <f t="shared" si="303"/>
        <v>42.881931896244758</v>
      </c>
      <c r="H290" s="356">
        <f t="shared" si="303"/>
        <v>51.752990529715163</v>
      </c>
      <c r="I290" s="356">
        <f t="shared" si="303"/>
        <v>290.72322160326735</v>
      </c>
      <c r="J290" s="356">
        <f t="shared" si="303"/>
        <v>35.91424913156478</v>
      </c>
      <c r="K290" s="356">
        <f t="shared" si="303"/>
        <v>8.7787857167591969</v>
      </c>
      <c r="L290" s="356">
        <f t="shared" si="303"/>
        <v>19.248705549713357</v>
      </c>
      <c r="M290" s="356">
        <f t="shared" si="303"/>
        <v>31.08067928290329</v>
      </c>
      <c r="N290" s="356">
        <f t="shared" si="303"/>
        <v>126.68330838527386</v>
      </c>
      <c r="O290" s="356">
        <f t="shared" si="303"/>
        <v>13.911441360704092</v>
      </c>
      <c r="P290" s="356">
        <f t="shared" si="303"/>
        <v>54.305028527774788</v>
      </c>
      <c r="Q290" s="356">
        <f t="shared" si="303"/>
        <v>16.691625202685362</v>
      </c>
      <c r="R290" s="356">
        <f t="shared" si="303"/>
        <v>18.018377303363611</v>
      </c>
      <c r="S290" s="356">
        <f t="shared" si="303"/>
        <v>30.488185572282006</v>
      </c>
      <c r="T290" s="356">
        <f t="shared" si="303"/>
        <v>18.134598359315284</v>
      </c>
      <c r="U290" s="356">
        <f t="shared" si="303"/>
        <v>23.289063774398095</v>
      </c>
      <c r="V290" s="356">
        <f t="shared" si="303"/>
        <v>16.554886282986136</v>
      </c>
      <c r="W290" s="356">
        <f t="shared" si="303"/>
        <v>19.133983410171499</v>
      </c>
      <c r="X290" s="356">
        <f t="shared" si="303"/>
        <v>13.212452077596724</v>
      </c>
      <c r="Y290" s="356">
        <f t="shared" si="303"/>
        <v>21.242984709983311</v>
      </c>
      <c r="Z290" s="356">
        <f t="shared" si="303"/>
        <v>37.391539708258215</v>
      </c>
      <c r="AA290" s="356">
        <f t="shared" si="303"/>
        <v>38.871735805068603</v>
      </c>
      <c r="AB290" s="356">
        <f t="shared" si="303"/>
        <v>22.444911563398655</v>
      </c>
      <c r="AC290" s="356">
        <f t="shared" si="303"/>
        <v>29.097661596194182</v>
      </c>
      <c r="AD290" s="356">
        <f t="shared" si="303"/>
        <v>17.637407647601655</v>
      </c>
      <c r="AE290" s="356">
        <f t="shared" si="303"/>
        <v>28.154783471371289</v>
      </c>
      <c r="AF290" s="356">
        <f t="shared" si="303"/>
        <v>18.454727633990256</v>
      </c>
      <c r="AG290" s="356">
        <f t="shared" si="303"/>
        <v>28.308730379101373</v>
      </c>
      <c r="AH290" s="356">
        <f t="shared" si="303"/>
        <v>23.259743049378049</v>
      </c>
      <c r="AI290" s="356">
        <f t="shared" si="303"/>
        <v>26.505998291777882</v>
      </c>
      <c r="AJ290" s="356">
        <f t="shared" si="303"/>
        <v>19.713397576218114</v>
      </c>
      <c r="AK290" s="356">
        <f t="shared" si="303"/>
        <v>38.226431074377814</v>
      </c>
      <c r="AL290" s="356">
        <f t="shared" si="303"/>
        <v>112.06378232025421</v>
      </c>
      <c r="AM290" s="356">
        <f t="shared" si="303"/>
        <v>10.584908379628805</v>
      </c>
      <c r="AN290" s="356">
        <f t="shared" si="303"/>
        <v>30.147171824608748</v>
      </c>
      <c r="AO290" s="356">
        <f t="shared" si="303"/>
        <v>2.4139963766175256</v>
      </c>
      <c r="AP290" s="356">
        <f t="shared" si="303"/>
        <v>10.523420885477611</v>
      </c>
      <c r="AQ290" s="356">
        <f t="shared" si="303"/>
        <v>11.493206432808458</v>
      </c>
      <c r="AR290" s="356">
        <f t="shared" si="303"/>
        <v>12.994842754414432</v>
      </c>
      <c r="AS290" s="356">
        <f t="shared" si="303"/>
        <v>11.639150147673048</v>
      </c>
      <c r="AT290" s="356">
        <f t="shared" si="303"/>
        <v>13.763443509392626</v>
      </c>
      <c r="AU290" s="356">
        <f t="shared" si="303"/>
        <v>2.3165372596855347</v>
      </c>
      <c r="AV290" s="356">
        <f t="shared" si="303"/>
        <v>9.0327128532358731</v>
      </c>
      <c r="AW290" s="356">
        <f t="shared" si="303"/>
        <v>25.88415834622981</v>
      </c>
      <c r="AX290" s="356">
        <f t="shared" si="303"/>
        <v>156.50101958041427</v>
      </c>
      <c r="AY290" s="356">
        <f t="shared" si="303"/>
        <v>32.281894699963672</v>
      </c>
      <c r="AZ290" s="356">
        <f t="shared" si="303"/>
        <v>111.98479748373316</v>
      </c>
      <c r="BA290" s="356">
        <f t="shared" si="303"/>
        <v>56.180960439108993</v>
      </c>
      <c r="BB290" s="356">
        <f t="shared" si="303"/>
        <v>38.728301500154124</v>
      </c>
      <c r="BC290" s="356">
        <f t="shared" si="303"/>
        <v>28.04696554640325</v>
      </c>
      <c r="BD290" s="356">
        <f t="shared" si="303"/>
        <v>29.015291365706737</v>
      </c>
      <c r="BF290" s="353"/>
      <c r="BG290" s="354"/>
    </row>
    <row r="291" spans="1:59">
      <c r="A291" s="350"/>
      <c r="C291" s="23"/>
      <c r="D291" s="9" t="s">
        <v>218</v>
      </c>
      <c r="F291" s="356">
        <f t="shared" si="301"/>
        <v>44.890600792442939</v>
      </c>
      <c r="G291" s="356">
        <f t="shared" si="303"/>
        <v>42.881931896244758</v>
      </c>
      <c r="H291" s="356">
        <f t="shared" si="303"/>
        <v>51.752990529715163</v>
      </c>
      <c r="I291" s="356">
        <f t="shared" si="303"/>
        <v>290.72322160326735</v>
      </c>
      <c r="J291" s="356">
        <f t="shared" si="303"/>
        <v>35.91424913156478</v>
      </c>
      <c r="K291" s="356">
        <f t="shared" si="303"/>
        <v>8.7787857167591969</v>
      </c>
      <c r="L291" s="356">
        <f t="shared" si="303"/>
        <v>19.248705549713357</v>
      </c>
      <c r="M291" s="356">
        <f t="shared" si="303"/>
        <v>31.08067928290329</v>
      </c>
      <c r="N291" s="356">
        <f t="shared" si="303"/>
        <v>126.68330838527386</v>
      </c>
      <c r="O291" s="356">
        <f t="shared" si="303"/>
        <v>13.911441360704092</v>
      </c>
      <c r="P291" s="356">
        <f t="shared" si="303"/>
        <v>54.305028527774788</v>
      </c>
      <c r="Q291" s="356">
        <f t="shared" si="303"/>
        <v>16.691625202685362</v>
      </c>
      <c r="R291" s="356">
        <f t="shared" si="303"/>
        <v>18.018377303363611</v>
      </c>
      <c r="S291" s="356">
        <f t="shared" si="303"/>
        <v>30.488185572282006</v>
      </c>
      <c r="T291" s="356">
        <f t="shared" si="303"/>
        <v>18.134598359315284</v>
      </c>
      <c r="U291" s="356">
        <f t="shared" si="303"/>
        <v>23.289063774398095</v>
      </c>
      <c r="V291" s="356">
        <f t="shared" si="303"/>
        <v>16.554886282986136</v>
      </c>
      <c r="W291" s="356">
        <f t="shared" si="303"/>
        <v>19.133983410171499</v>
      </c>
      <c r="X291" s="356">
        <f t="shared" si="303"/>
        <v>13.212452077596724</v>
      </c>
      <c r="Y291" s="356">
        <f t="shared" si="303"/>
        <v>21.242984709983311</v>
      </c>
      <c r="Z291" s="356">
        <f t="shared" si="303"/>
        <v>37.391539708258215</v>
      </c>
      <c r="AA291" s="356">
        <f t="shared" si="303"/>
        <v>38.871735805068603</v>
      </c>
      <c r="AB291" s="356">
        <f t="shared" si="303"/>
        <v>22.444911563398655</v>
      </c>
      <c r="AC291" s="356">
        <f t="shared" si="303"/>
        <v>29.097661596194182</v>
      </c>
      <c r="AD291" s="356">
        <f t="shared" si="303"/>
        <v>17.637407647601655</v>
      </c>
      <c r="AE291" s="356">
        <f t="shared" si="303"/>
        <v>28.154783471371289</v>
      </c>
      <c r="AF291" s="356">
        <f t="shared" si="303"/>
        <v>18.454727633990256</v>
      </c>
      <c r="AG291" s="356">
        <f t="shared" si="303"/>
        <v>28.308730379101373</v>
      </c>
      <c r="AH291" s="356">
        <f t="shared" si="303"/>
        <v>23.259743049378049</v>
      </c>
      <c r="AI291" s="356">
        <f t="shared" si="303"/>
        <v>26.505998291777882</v>
      </c>
      <c r="AJ291" s="356">
        <f t="shared" si="303"/>
        <v>19.713397576218114</v>
      </c>
      <c r="AK291" s="356">
        <f t="shared" si="303"/>
        <v>38.226431074377814</v>
      </c>
      <c r="AL291" s="356">
        <f t="shared" si="303"/>
        <v>112.06378232025421</v>
      </c>
      <c r="AM291" s="356">
        <f t="shared" si="303"/>
        <v>10.584908379628805</v>
      </c>
      <c r="AN291" s="356">
        <f t="shared" si="303"/>
        <v>30.147171824608748</v>
      </c>
      <c r="AO291" s="356">
        <f t="shared" si="303"/>
        <v>2.4139963766175256</v>
      </c>
      <c r="AP291" s="356">
        <f t="shared" si="303"/>
        <v>10.523420885477611</v>
      </c>
      <c r="AQ291" s="356">
        <f t="shared" si="303"/>
        <v>11.493206432808458</v>
      </c>
      <c r="AR291" s="356">
        <f t="shared" si="303"/>
        <v>12.994842754414432</v>
      </c>
      <c r="AS291" s="356">
        <f t="shared" si="303"/>
        <v>11.639150147673048</v>
      </c>
      <c r="AT291" s="356">
        <f t="shared" si="303"/>
        <v>13.763443509392626</v>
      </c>
      <c r="AU291" s="356">
        <f t="shared" si="303"/>
        <v>2.3165372596855347</v>
      </c>
      <c r="AV291" s="356">
        <f t="shared" si="303"/>
        <v>9.0327128532358731</v>
      </c>
      <c r="AW291" s="356">
        <f t="shared" si="303"/>
        <v>25.88415834622981</v>
      </c>
      <c r="AX291" s="356">
        <f t="shared" si="303"/>
        <v>156.50101958041427</v>
      </c>
      <c r="AY291" s="356">
        <f t="shared" si="303"/>
        <v>32.281894699963672</v>
      </c>
      <c r="AZ291" s="356">
        <f t="shared" si="303"/>
        <v>111.98479748373316</v>
      </c>
      <c r="BA291" s="356">
        <f t="shared" si="303"/>
        <v>56.180960439108993</v>
      </c>
      <c r="BB291" s="356">
        <f t="shared" si="303"/>
        <v>38.728301500154124</v>
      </c>
      <c r="BC291" s="356">
        <f t="shared" si="303"/>
        <v>28.04696554640325</v>
      </c>
      <c r="BD291" s="356">
        <f t="shared" si="303"/>
        <v>29.015291365706737</v>
      </c>
      <c r="BF291" s="350"/>
    </row>
    <row r="292" spans="1:59">
      <c r="A292" s="350"/>
      <c r="BF292" s="350"/>
    </row>
    <row r="293" spans="1:59" ht="17">
      <c r="A293" s="350"/>
      <c r="B293" s="56" t="s">
        <v>858</v>
      </c>
      <c r="D293" s="171" t="s">
        <v>854</v>
      </c>
      <c r="BF293" s="350"/>
    </row>
    <row r="294" spans="1:59">
      <c r="A294" s="350"/>
      <c r="B294" s="202" t="s">
        <v>610</v>
      </c>
      <c r="C294" s="23" t="s">
        <v>611</v>
      </c>
      <c r="D294" s="23"/>
      <c r="F294" s="357">
        <f t="shared" ref="F294:AK294" si="304">F279*F111</f>
        <v>132989.32663296</v>
      </c>
      <c r="G294" s="357">
        <f t="shared" si="304"/>
        <v>502639.75910694007</v>
      </c>
      <c r="H294" s="357">
        <f t="shared" si="304"/>
        <v>603464.71380229993</v>
      </c>
      <c r="I294" s="357">
        <f t="shared" si="304"/>
        <v>887537.45674286003</v>
      </c>
      <c r="J294" s="357">
        <f t="shared" si="304"/>
        <v>301790.6823174</v>
      </c>
      <c r="K294" s="357">
        <f t="shared" si="304"/>
        <v>98791.490875999982</v>
      </c>
      <c r="L294" s="357">
        <f t="shared" si="304"/>
        <v>481585.82966199995</v>
      </c>
      <c r="M294" s="357">
        <f t="shared" si="304"/>
        <v>582890.06838720001</v>
      </c>
      <c r="N294" s="357">
        <f t="shared" si="304"/>
        <v>714280.34211502236</v>
      </c>
      <c r="O294" s="357">
        <f t="shared" si="304"/>
        <v>386468.09234800003</v>
      </c>
      <c r="P294" s="357">
        <f t="shared" si="304"/>
        <v>1196704.3217200001</v>
      </c>
      <c r="Q294" s="357">
        <f t="shared" si="304"/>
        <v>320437.95602350001</v>
      </c>
      <c r="R294" s="357">
        <f t="shared" si="304"/>
        <v>239033.99454559997</v>
      </c>
      <c r="S294" s="357">
        <f t="shared" si="304"/>
        <v>269188.279094</v>
      </c>
      <c r="T294" s="357">
        <f t="shared" si="304"/>
        <v>226619.18417180004</v>
      </c>
      <c r="U294" s="357">
        <f t="shared" si="304"/>
        <v>331932.88215600001</v>
      </c>
      <c r="V294" s="357">
        <f t="shared" si="304"/>
        <v>237086.96390100004</v>
      </c>
      <c r="W294" s="357">
        <f t="shared" si="304"/>
        <v>216382.70865848</v>
      </c>
      <c r="X294" s="357">
        <f t="shared" si="304"/>
        <v>206036.55805249998</v>
      </c>
      <c r="Y294" s="357">
        <f t="shared" si="304"/>
        <v>206413.09298939997</v>
      </c>
      <c r="Z294" s="357">
        <f t="shared" si="304"/>
        <v>748065.56133119995</v>
      </c>
      <c r="AA294" s="357">
        <f t="shared" si="304"/>
        <v>677405.92395289999</v>
      </c>
      <c r="AB294" s="357">
        <f t="shared" si="304"/>
        <v>338482.48733459995</v>
      </c>
      <c r="AC294" s="357">
        <f t="shared" si="304"/>
        <v>344230.13523986749</v>
      </c>
      <c r="AD294" s="357">
        <f t="shared" si="304"/>
        <v>238606.6074672</v>
      </c>
      <c r="AE294" s="357">
        <f t="shared" si="304"/>
        <v>528392.80331039999</v>
      </c>
      <c r="AF294" s="357">
        <f t="shared" si="304"/>
        <v>237469.20268365002</v>
      </c>
      <c r="AG294" s="357">
        <f t="shared" si="304"/>
        <v>578873.61252959992</v>
      </c>
      <c r="AH294" s="357">
        <f t="shared" si="304"/>
        <v>247944.61435680001</v>
      </c>
      <c r="AI294" s="357">
        <f t="shared" si="304"/>
        <v>589187.21402003954</v>
      </c>
      <c r="AJ294" s="357">
        <f t="shared" si="304"/>
        <v>370400.80702160008</v>
      </c>
      <c r="AK294" s="357">
        <f t="shared" si="304"/>
        <v>680383.79820964276</v>
      </c>
      <c r="AL294" s="357">
        <f t="shared" ref="AL294:BC294" si="305">AL279*AL111</f>
        <v>555398.72144549992</v>
      </c>
      <c r="AM294" s="357">
        <f t="shared" si="305"/>
        <v>108219.77149042372</v>
      </c>
      <c r="AN294" s="357">
        <f t="shared" si="305"/>
        <v>111095.1780717966</v>
      </c>
      <c r="AO294" s="357">
        <f t="shared" si="305"/>
        <v>24112.876133898306</v>
      </c>
      <c r="AP294" s="357">
        <f t="shared" si="305"/>
        <v>101713.79234944067</v>
      </c>
      <c r="AQ294" s="357">
        <f t="shared" si="305"/>
        <v>110481.39614105085</v>
      </c>
      <c r="AR294" s="357">
        <f t="shared" si="305"/>
        <v>129967.93120393222</v>
      </c>
      <c r="AS294" s="357">
        <f t="shared" si="305"/>
        <v>151091.59881569489</v>
      </c>
      <c r="AT294" s="357">
        <f t="shared" si="305"/>
        <v>123043.44157596609</v>
      </c>
      <c r="AU294" s="357">
        <f t="shared" si="305"/>
        <v>46901.0303690644</v>
      </c>
      <c r="AV294" s="357">
        <f t="shared" si="305"/>
        <v>234442.91006694912</v>
      </c>
      <c r="AW294" s="357">
        <f t="shared" si="305"/>
        <v>616955.495338568</v>
      </c>
      <c r="AX294" s="357">
        <f t="shared" si="305"/>
        <v>474107.17938797129</v>
      </c>
      <c r="AY294" s="357">
        <f t="shared" si="305"/>
        <v>455275.68800280005</v>
      </c>
      <c r="AZ294" s="357">
        <f t="shared" si="305"/>
        <v>1216119.7370539582</v>
      </c>
      <c r="BA294" s="357">
        <f t="shared" si="305"/>
        <v>944220.1797683998</v>
      </c>
      <c r="BB294" s="357">
        <f t="shared" si="305"/>
        <v>351109.39665680547</v>
      </c>
      <c r="BC294" s="357">
        <f t="shared" si="305"/>
        <v>485065.91765999998</v>
      </c>
      <c r="BD294" s="357">
        <f>SUM(F294:BC294)</f>
        <v>19961038.712292679</v>
      </c>
      <c r="BF294" s="350"/>
    </row>
    <row r="295" spans="1:59">
      <c r="A295" s="350"/>
      <c r="B295" s="355" t="s">
        <v>742</v>
      </c>
      <c r="C295" s="17" t="s">
        <v>743</v>
      </c>
      <c r="D295" s="23"/>
      <c r="F295" s="357">
        <f t="shared" ref="F295:AK295" si="306">F280*F123</f>
        <v>728949.79799039988</v>
      </c>
      <c r="G295" s="357">
        <f t="shared" si="306"/>
        <v>2755101.9329106002</v>
      </c>
      <c r="H295" s="357">
        <f t="shared" si="306"/>
        <v>3307750.2710770001</v>
      </c>
      <c r="I295" s="357">
        <f t="shared" si="306"/>
        <v>4864828.3751914008</v>
      </c>
      <c r="J295" s="357">
        <f t="shared" si="306"/>
        <v>1654194.8326259998</v>
      </c>
      <c r="K295" s="357">
        <f t="shared" si="306"/>
        <v>541502.38324</v>
      </c>
      <c r="L295" s="357">
        <f t="shared" si="306"/>
        <v>2639699.7573799998</v>
      </c>
      <c r="M295" s="357">
        <f t="shared" si="306"/>
        <v>3194975.1785280001</v>
      </c>
      <c r="N295" s="357">
        <f t="shared" si="306"/>
        <v>3915160.1431164448</v>
      </c>
      <c r="O295" s="357">
        <f t="shared" si="306"/>
        <v>2118334.19252</v>
      </c>
      <c r="P295" s="357">
        <f t="shared" si="306"/>
        <v>6559454.0227999995</v>
      </c>
      <c r="Q295" s="357">
        <f t="shared" si="306"/>
        <v>1756405.489265</v>
      </c>
      <c r="R295" s="357">
        <f t="shared" si="306"/>
        <v>1310208.7697439999</v>
      </c>
      <c r="S295" s="357">
        <f t="shared" si="306"/>
        <v>1475492.4070599999</v>
      </c>
      <c r="T295" s="357">
        <f t="shared" si="306"/>
        <v>1242159.898882</v>
      </c>
      <c r="U295" s="357">
        <f t="shared" si="306"/>
        <v>1819412.2304400003</v>
      </c>
      <c r="V295" s="357">
        <f t="shared" si="306"/>
        <v>1299536.5779900004</v>
      </c>
      <c r="W295" s="357">
        <f t="shared" si="306"/>
        <v>1186051.0595751998</v>
      </c>
      <c r="X295" s="357">
        <f t="shared" si="306"/>
        <v>1129341.0619749997</v>
      </c>
      <c r="Y295" s="357">
        <f t="shared" si="306"/>
        <v>1131404.9499059999</v>
      </c>
      <c r="Z295" s="357">
        <f t="shared" si="306"/>
        <v>4100345.8970879996</v>
      </c>
      <c r="AA295" s="357">
        <f t="shared" si="306"/>
        <v>3713041.6697709998</v>
      </c>
      <c r="AB295" s="357">
        <f t="shared" si="306"/>
        <v>1855312.3548539998</v>
      </c>
      <c r="AC295" s="357">
        <f t="shared" si="306"/>
        <v>1886816.7385932158</v>
      </c>
      <c r="AD295" s="357">
        <f t="shared" si="306"/>
        <v>1307866.1477279998</v>
      </c>
      <c r="AE295" s="357">
        <f t="shared" si="306"/>
        <v>2896261.2036960004</v>
      </c>
      <c r="AF295" s="357">
        <f t="shared" si="306"/>
        <v>1301631.7302135001</v>
      </c>
      <c r="AG295" s="357">
        <f t="shared" si="306"/>
        <v>3172959.9179039993</v>
      </c>
      <c r="AH295" s="357">
        <f t="shared" si="306"/>
        <v>1359050.2420320001</v>
      </c>
      <c r="AI295" s="357">
        <f t="shared" si="306"/>
        <v>3229491.5051625683</v>
      </c>
      <c r="AJ295" s="357">
        <f t="shared" si="306"/>
        <v>2030265.1369840004</v>
      </c>
      <c r="AK295" s="357">
        <f t="shared" si="306"/>
        <v>3729364.1889749998</v>
      </c>
      <c r="AL295" s="357">
        <f t="shared" ref="AL295:BC295" si="307">AL280*AL123</f>
        <v>3044287.8090449995</v>
      </c>
      <c r="AM295" s="357">
        <f t="shared" si="307"/>
        <v>593181.29179067793</v>
      </c>
      <c r="AN295" s="357">
        <f t="shared" si="307"/>
        <v>608942.15846847452</v>
      </c>
      <c r="AO295" s="357">
        <f t="shared" si="307"/>
        <v>132169.07425423729</v>
      </c>
      <c r="AP295" s="357">
        <f t="shared" si="307"/>
        <v>557520.29326830513</v>
      </c>
      <c r="AQ295" s="357">
        <f t="shared" si="307"/>
        <v>605577.85679288139</v>
      </c>
      <c r="AR295" s="357">
        <f t="shared" si="307"/>
        <v>712388.72768949158</v>
      </c>
      <c r="AS295" s="357">
        <f t="shared" si="307"/>
        <v>828173.1566227118</v>
      </c>
      <c r="AT295" s="357">
        <f t="shared" si="307"/>
        <v>674433.76210474572</v>
      </c>
      <c r="AU295" s="357">
        <f t="shared" si="307"/>
        <v>257076.99616698304</v>
      </c>
      <c r="AV295" s="357">
        <f t="shared" si="307"/>
        <v>1285043.8171271181</v>
      </c>
      <c r="AW295" s="357">
        <f t="shared" si="307"/>
        <v>3381696.8254703199</v>
      </c>
      <c r="AX295" s="357">
        <f t="shared" si="307"/>
        <v>2598707.2902059993</v>
      </c>
      <c r="AY295" s="357">
        <f t="shared" si="307"/>
        <v>2495486.8875719998</v>
      </c>
      <c r="AZ295" s="357">
        <f t="shared" si="307"/>
        <v>6665875.0675854161</v>
      </c>
      <c r="BA295" s="357">
        <f t="shared" si="307"/>
        <v>5175521.4251159988</v>
      </c>
      <c r="BB295" s="357">
        <f t="shared" si="307"/>
        <v>1924523.7963486107</v>
      </c>
      <c r="BC295" s="357">
        <f t="shared" si="307"/>
        <v>2658775.0433999994</v>
      </c>
      <c r="BD295" s="357">
        <f t="shared" ref="BD295:BD306" si="308">SUM(F295:BC295)</f>
        <v>109411751.34424734</v>
      </c>
      <c r="BF295" s="350"/>
    </row>
    <row r="296" spans="1:59">
      <c r="A296" s="350"/>
      <c r="B296" s="355" t="s">
        <v>744</v>
      </c>
      <c r="C296" s="17" t="s">
        <v>745</v>
      </c>
      <c r="D296" s="23"/>
      <c r="F296" s="357">
        <f t="shared" ref="F296:AK296" si="309">F281*F131</f>
        <v>1368239.0430864743</v>
      </c>
      <c r="G296" s="357">
        <f t="shared" si="309"/>
        <v>5201018.9514017282</v>
      </c>
      <c r="H296" s="357">
        <f t="shared" si="309"/>
        <v>6244295.9517657598</v>
      </c>
      <c r="I296" s="357">
        <f t="shared" si="309"/>
        <v>9183712.6867960319</v>
      </c>
      <c r="J296" s="357">
        <f t="shared" si="309"/>
        <v>3122751.4927948797</v>
      </c>
      <c r="K296" s="357">
        <f t="shared" si="309"/>
        <v>1022235.9194111999</v>
      </c>
      <c r="L296" s="357">
        <f t="shared" si="309"/>
        <v>4983165.3414143994</v>
      </c>
      <c r="M296" s="357">
        <f t="shared" si="309"/>
        <v>6031401.6894566398</v>
      </c>
      <c r="N296" s="357">
        <f t="shared" si="309"/>
        <v>7390950.533946028</v>
      </c>
      <c r="O296" s="357">
        <f t="shared" si="309"/>
        <v>3998943.2510976004</v>
      </c>
      <c r="P296" s="357">
        <f t="shared" si="309"/>
        <v>12382788.555264</v>
      </c>
      <c r="Q296" s="357">
        <f t="shared" si="309"/>
        <v>3315702.4525632001</v>
      </c>
      <c r="R296" s="357">
        <f t="shared" si="309"/>
        <v>2473382.4038707195</v>
      </c>
      <c r="S296" s="357">
        <f t="shared" si="309"/>
        <v>2785401.1062527997</v>
      </c>
      <c r="T296" s="357">
        <f t="shared" si="309"/>
        <v>2344921.2886041598</v>
      </c>
      <c r="U296" s="357">
        <f t="shared" si="309"/>
        <v>3434645.1497472008</v>
      </c>
      <c r="V296" s="357">
        <f t="shared" si="309"/>
        <v>2453235.6822912004</v>
      </c>
      <c r="W296" s="357">
        <f t="shared" si="309"/>
        <v>2239000.2941429759</v>
      </c>
      <c r="X296" s="357">
        <f t="shared" si="309"/>
        <v>2131944.4466879996</v>
      </c>
      <c r="Y296" s="357">
        <f t="shared" si="309"/>
        <v>2135840.6075212802</v>
      </c>
      <c r="Z296" s="357">
        <f t="shared" si="309"/>
        <v>7740540.0008294396</v>
      </c>
      <c r="AA296" s="357">
        <f t="shared" si="309"/>
        <v>7009395.8634124799</v>
      </c>
      <c r="AB296" s="357">
        <f t="shared" si="309"/>
        <v>3502416.5905075199</v>
      </c>
      <c r="AC296" s="357">
        <f t="shared" si="309"/>
        <v>3561889.8517043539</v>
      </c>
      <c r="AD296" s="357">
        <f t="shared" si="309"/>
        <v>2468960.0551526397</v>
      </c>
      <c r="AE296" s="357">
        <f t="shared" si="309"/>
        <v>5467496.2217164803</v>
      </c>
      <c r="AF296" s="357">
        <f t="shared" si="309"/>
        <v>2457190.8631468802</v>
      </c>
      <c r="AG296" s="357">
        <f t="shared" si="309"/>
        <v>5989841.7796915192</v>
      </c>
      <c r="AH296" s="357">
        <f t="shared" si="309"/>
        <v>2565584.2276761602</v>
      </c>
      <c r="AI296" s="357">
        <f t="shared" si="309"/>
        <v>6096560.8281493811</v>
      </c>
      <c r="AJ296" s="357">
        <f t="shared" si="309"/>
        <v>3832688.4852019204</v>
      </c>
      <c r="AK296" s="357">
        <f t="shared" si="309"/>
        <v>7040209.1450194279</v>
      </c>
      <c r="AL296" s="357">
        <f t="shared" ref="AL296:BC296" si="310">AL281*AL131</f>
        <v>5692362.4284996353</v>
      </c>
      <c r="AM296" s="357">
        <f t="shared" si="310"/>
        <v>1119794.191048678</v>
      </c>
      <c r="AN296" s="357">
        <f t="shared" si="310"/>
        <v>1149547.1977532746</v>
      </c>
      <c r="AO296" s="357">
        <f t="shared" si="310"/>
        <v>249505.78117423729</v>
      </c>
      <c r="AP296" s="357">
        <f t="shared" si="310"/>
        <v>1052474.1667239051</v>
      </c>
      <c r="AQ296" s="357">
        <f t="shared" si="310"/>
        <v>1143196.1453424813</v>
      </c>
      <c r="AR296" s="357">
        <f t="shared" si="310"/>
        <v>1344831.2852670916</v>
      </c>
      <c r="AS296" s="357">
        <f t="shared" si="310"/>
        <v>1563406.5045595118</v>
      </c>
      <c r="AT296" s="357">
        <f t="shared" si="310"/>
        <v>1273180.7619423456</v>
      </c>
      <c r="AU296" s="357">
        <f t="shared" si="310"/>
        <v>485304.12361962296</v>
      </c>
      <c r="AV296" s="357">
        <f t="shared" si="310"/>
        <v>2425876.576987118</v>
      </c>
      <c r="AW296" s="357">
        <f t="shared" si="310"/>
        <v>6383890.5802607611</v>
      </c>
      <c r="AX296" s="357">
        <f t="shared" si="310"/>
        <v>4905780.6914709928</v>
      </c>
      <c r="AY296" s="357">
        <f t="shared" si="310"/>
        <v>4710923.5561113609</v>
      </c>
      <c r="AZ296" s="357">
        <f t="shared" si="310"/>
        <v>12583687.790295998</v>
      </c>
      <c r="BA296" s="357">
        <f t="shared" si="310"/>
        <v>9770231.9808460791</v>
      </c>
      <c r="BB296" s="357">
        <f t="shared" si="310"/>
        <v>3633072.3802506663</v>
      </c>
      <c r="BC296" s="357">
        <f t="shared" si="310"/>
        <v>5019175.2337919995</v>
      </c>
      <c r="BD296" s="357">
        <f t="shared" si="308"/>
        <v>206482592.13627023</v>
      </c>
      <c r="BF296" s="350"/>
    </row>
    <row r="297" spans="1:59">
      <c r="A297" s="350"/>
      <c r="B297" s="355" t="s">
        <v>746</v>
      </c>
      <c r="C297" s="17" t="s">
        <v>747</v>
      </c>
      <c r="D297" s="23"/>
      <c r="F297" s="357">
        <f t="shared" ref="F297:AK297" si="311">F282*F139</f>
        <v>0</v>
      </c>
      <c r="G297" s="357">
        <f t="shared" si="311"/>
        <v>1179872.5716484259</v>
      </c>
      <c r="H297" s="357">
        <f t="shared" si="311"/>
        <v>1343680.9485843612</v>
      </c>
      <c r="I297" s="357">
        <f t="shared" si="311"/>
        <v>3455362.3400049601</v>
      </c>
      <c r="J297" s="357">
        <f t="shared" si="311"/>
        <v>1006848.8809874281</v>
      </c>
      <c r="K297" s="357">
        <f t="shared" si="311"/>
        <v>384615.20073599997</v>
      </c>
      <c r="L297" s="357">
        <f t="shared" si="311"/>
        <v>1874910.7732319999</v>
      </c>
      <c r="M297" s="357">
        <f t="shared" si="311"/>
        <v>2269308.6081792</v>
      </c>
      <c r="N297" s="357">
        <f t="shared" si="311"/>
        <v>2780837.4459008006</v>
      </c>
      <c r="O297" s="357">
        <f t="shared" si="311"/>
        <v>1504598.2361280001</v>
      </c>
      <c r="P297" s="357">
        <f t="shared" si="311"/>
        <v>4659011.3059200002</v>
      </c>
      <c r="Q297" s="357">
        <f t="shared" si="311"/>
        <v>1247529.5967960001</v>
      </c>
      <c r="R297" s="357">
        <f t="shared" si="311"/>
        <v>930607.55516160012</v>
      </c>
      <c r="S297" s="357">
        <f t="shared" si="311"/>
        <v>1048004.267184</v>
      </c>
      <c r="T297" s="357">
        <f t="shared" si="311"/>
        <v>882274.19424480002</v>
      </c>
      <c r="U297" s="357">
        <f t="shared" si="311"/>
        <v>1292281.6628160002</v>
      </c>
      <c r="V297" s="357">
        <f t="shared" si="311"/>
        <v>923027.37213600031</v>
      </c>
      <c r="W297" s="357">
        <f t="shared" si="311"/>
        <v>842421.53032128001</v>
      </c>
      <c r="X297" s="357">
        <f t="shared" si="311"/>
        <v>749559.93406165089</v>
      </c>
      <c r="Y297" s="357">
        <f t="shared" si="311"/>
        <v>662673.47964051878</v>
      </c>
      <c r="Z297" s="357">
        <f t="shared" si="311"/>
        <v>2912370.1189632001</v>
      </c>
      <c r="AA297" s="357">
        <f t="shared" si="311"/>
        <v>2637277.8982344004</v>
      </c>
      <c r="AB297" s="357">
        <f t="shared" si="311"/>
        <v>1317780.5968656</v>
      </c>
      <c r="AC297" s="357">
        <f t="shared" si="311"/>
        <v>1340157.3494911783</v>
      </c>
      <c r="AD297" s="357">
        <f t="shared" si="311"/>
        <v>928943.65105919994</v>
      </c>
      <c r="AE297" s="357">
        <f t="shared" si="311"/>
        <v>2057139.7628544003</v>
      </c>
      <c r="AF297" s="357">
        <f t="shared" si="311"/>
        <v>924515.5048164</v>
      </c>
      <c r="AG297" s="357">
        <f t="shared" si="311"/>
        <v>2253671.7353855995</v>
      </c>
      <c r="AH297" s="357">
        <f t="shared" si="311"/>
        <v>965298.39540480007</v>
      </c>
      <c r="AI297" s="357">
        <f t="shared" si="311"/>
        <v>2293824.6662947559</v>
      </c>
      <c r="AJ297" s="357">
        <f t="shared" si="311"/>
        <v>1442045.0534976001</v>
      </c>
      <c r="AK297" s="357">
        <f t="shared" si="311"/>
        <v>2073482.9529109481</v>
      </c>
      <c r="AL297" s="357">
        <f t="shared" ref="AL297:BC297" si="312">AL282*AL139</f>
        <v>0</v>
      </c>
      <c r="AM297" s="357">
        <f t="shared" si="312"/>
        <v>368760.70623655181</v>
      </c>
      <c r="AN297" s="357">
        <f t="shared" si="312"/>
        <v>273167.41894592397</v>
      </c>
      <c r="AO297" s="357">
        <f t="shared" si="312"/>
        <v>93876.290481355943</v>
      </c>
      <c r="AP297" s="357">
        <f t="shared" si="312"/>
        <v>395992.30981545773</v>
      </c>
      <c r="AQ297" s="357">
        <f t="shared" si="312"/>
        <v>430126.35984732205</v>
      </c>
      <c r="AR297" s="357">
        <f t="shared" si="312"/>
        <v>505991.37138223735</v>
      </c>
      <c r="AS297" s="357">
        <f t="shared" si="312"/>
        <v>588230.07014806778</v>
      </c>
      <c r="AT297" s="357">
        <f t="shared" si="312"/>
        <v>479032.93655511871</v>
      </c>
      <c r="AU297" s="357">
        <f t="shared" si="312"/>
        <v>182595.17140767456</v>
      </c>
      <c r="AV297" s="357">
        <f t="shared" si="312"/>
        <v>912733.53724067786</v>
      </c>
      <c r="AW297" s="357">
        <f t="shared" si="312"/>
        <v>2401932.1864740481</v>
      </c>
      <c r="AX297" s="357">
        <f t="shared" si="312"/>
        <v>1845794.8792326853</v>
      </c>
      <c r="AY297" s="357">
        <f t="shared" si="312"/>
        <v>1772480.0848608003</v>
      </c>
      <c r="AZ297" s="357">
        <f t="shared" si="312"/>
        <v>4734599.4340049997</v>
      </c>
      <c r="BA297" s="357">
        <f t="shared" si="312"/>
        <v>3676039.6139424001</v>
      </c>
      <c r="BB297" s="357">
        <f t="shared" si="312"/>
        <v>1366939.7017699999</v>
      </c>
      <c r="BC297" s="357">
        <f t="shared" si="312"/>
        <v>1888459.4577599999</v>
      </c>
      <c r="BD297" s="357">
        <f t="shared" si="308"/>
        <v>72100685.119566411</v>
      </c>
      <c r="BF297" s="350"/>
    </row>
    <row r="298" spans="1:59">
      <c r="A298" s="350"/>
      <c r="B298" s="355" t="s">
        <v>748</v>
      </c>
      <c r="C298" s="17" t="s">
        <v>843</v>
      </c>
      <c r="D298" s="23"/>
      <c r="F298" s="357">
        <f t="shared" ref="F298:AK298" si="313">F283*F147</f>
        <v>0</v>
      </c>
      <c r="G298" s="357">
        <f t="shared" si="313"/>
        <v>0</v>
      </c>
      <c r="H298" s="357">
        <f t="shared" si="313"/>
        <v>0</v>
      </c>
      <c r="I298" s="357">
        <f t="shared" si="313"/>
        <v>1406559.2736386429</v>
      </c>
      <c r="J298" s="357">
        <f t="shared" si="313"/>
        <v>0</v>
      </c>
      <c r="K298" s="357">
        <f t="shared" si="313"/>
        <v>124524.74055421021</v>
      </c>
      <c r="L298" s="357">
        <f t="shared" si="313"/>
        <v>775675.99227544689</v>
      </c>
      <c r="M298" s="357">
        <f t="shared" si="313"/>
        <v>947124.62182254216</v>
      </c>
      <c r="N298" s="357">
        <f t="shared" si="313"/>
        <v>1131124.1419643196</v>
      </c>
      <c r="O298" s="357">
        <f t="shared" si="313"/>
        <v>657747.01604486792</v>
      </c>
      <c r="P298" s="357">
        <f t="shared" si="313"/>
        <v>1886569.1622988146</v>
      </c>
      <c r="Q298" s="357">
        <f t="shared" si="313"/>
        <v>492995.66221541003</v>
      </c>
      <c r="R298" s="357">
        <f t="shared" si="313"/>
        <v>302819.59282051004</v>
      </c>
      <c r="S298" s="357">
        <f t="shared" si="313"/>
        <v>248774.27562589929</v>
      </c>
      <c r="T298" s="357">
        <f t="shared" si="313"/>
        <v>134964.88511645712</v>
      </c>
      <c r="U298" s="357">
        <f t="shared" si="313"/>
        <v>485903.6835229781</v>
      </c>
      <c r="V298" s="357">
        <f t="shared" si="313"/>
        <v>148638.85311007607</v>
      </c>
      <c r="W298" s="357">
        <f t="shared" si="313"/>
        <v>160011.85387132832</v>
      </c>
      <c r="X298" s="357">
        <f t="shared" si="313"/>
        <v>0</v>
      </c>
      <c r="Y298" s="357">
        <f t="shared" si="313"/>
        <v>0</v>
      </c>
      <c r="Z298" s="357">
        <f t="shared" si="313"/>
        <v>1134548.263085556</v>
      </c>
      <c r="AA298" s="357">
        <f t="shared" si="313"/>
        <v>268636.02276725898</v>
      </c>
      <c r="AB298" s="357">
        <f t="shared" si="313"/>
        <v>320999.39528407488</v>
      </c>
      <c r="AC298" s="357">
        <f t="shared" si="313"/>
        <v>473702.04055580386</v>
      </c>
      <c r="AD298" s="357">
        <f t="shared" si="313"/>
        <v>155914.37628088781</v>
      </c>
      <c r="AE298" s="357">
        <f t="shared" si="313"/>
        <v>830339.6274881399</v>
      </c>
      <c r="AF298" s="357">
        <f t="shared" si="313"/>
        <v>314207.62888603908</v>
      </c>
      <c r="AG298" s="357">
        <f t="shared" si="313"/>
        <v>781628.60137419903</v>
      </c>
      <c r="AH298" s="357">
        <f t="shared" si="313"/>
        <v>268621.68221783638</v>
      </c>
      <c r="AI298" s="357">
        <f t="shared" si="313"/>
        <v>56511.411291054006</v>
      </c>
      <c r="AJ298" s="357">
        <f t="shared" si="313"/>
        <v>423117.62173102185</v>
      </c>
      <c r="AK298" s="357">
        <f t="shared" si="313"/>
        <v>0</v>
      </c>
      <c r="AL298" s="357">
        <f t="shared" ref="AL298:BC298" si="314">AL283*AL147</f>
        <v>0</v>
      </c>
      <c r="AM298" s="357">
        <f t="shared" si="314"/>
        <v>0</v>
      </c>
      <c r="AN298" s="357">
        <f t="shared" si="314"/>
        <v>0</v>
      </c>
      <c r="AO298" s="357">
        <f t="shared" si="314"/>
        <v>29677.825452952569</v>
      </c>
      <c r="AP298" s="357">
        <f t="shared" si="314"/>
        <v>125056.55654966521</v>
      </c>
      <c r="AQ298" s="357">
        <f t="shared" si="314"/>
        <v>99097.290250310762</v>
      </c>
      <c r="AR298" s="357">
        <f t="shared" si="314"/>
        <v>149880.95415638637</v>
      </c>
      <c r="AS298" s="357">
        <f t="shared" si="314"/>
        <v>219360.43898353912</v>
      </c>
      <c r="AT298" s="357">
        <f t="shared" si="314"/>
        <v>123738.42733041685</v>
      </c>
      <c r="AU298" s="357">
        <f t="shared" si="314"/>
        <v>59066.532143104079</v>
      </c>
      <c r="AV298" s="357">
        <f t="shared" si="314"/>
        <v>340770.01839630335</v>
      </c>
      <c r="AW298" s="357">
        <f t="shared" si="314"/>
        <v>959950.85677465971</v>
      </c>
      <c r="AX298" s="357">
        <f t="shared" si="314"/>
        <v>803153.93634131935</v>
      </c>
      <c r="AY298" s="357">
        <f t="shared" si="314"/>
        <v>717093.06838357169</v>
      </c>
      <c r="AZ298" s="357">
        <f t="shared" si="314"/>
        <v>1664936.4281237903</v>
      </c>
      <c r="BA298" s="357">
        <f t="shared" si="314"/>
        <v>1366700.424538244</v>
      </c>
      <c r="BB298" s="357">
        <f t="shared" si="314"/>
        <v>202997.99162021725</v>
      </c>
      <c r="BC298" s="357">
        <f t="shared" si="314"/>
        <v>748169.82908062544</v>
      </c>
      <c r="BD298" s="357">
        <f t="shared" si="308"/>
        <v>21541311.003968481</v>
      </c>
      <c r="BF298" s="350"/>
    </row>
    <row r="299" spans="1:59">
      <c r="A299" s="350"/>
      <c r="B299" s="202" t="s">
        <v>844</v>
      </c>
      <c r="C299" s="23" t="s">
        <v>845</v>
      </c>
      <c r="D299" s="23"/>
      <c r="F299" s="357">
        <f t="shared" ref="F299:AK299" si="315">F284*F158</f>
        <v>0</v>
      </c>
      <c r="G299" s="357">
        <f t="shared" si="315"/>
        <v>0</v>
      </c>
      <c r="H299" s="357">
        <f t="shared" si="315"/>
        <v>22.641933356750386</v>
      </c>
      <c r="I299" s="357">
        <f t="shared" si="315"/>
        <v>0</v>
      </c>
      <c r="J299" s="357">
        <f t="shared" si="315"/>
        <v>0</v>
      </c>
      <c r="K299" s="357">
        <f t="shared" si="315"/>
        <v>0</v>
      </c>
      <c r="L299" s="357">
        <f t="shared" si="315"/>
        <v>0</v>
      </c>
      <c r="M299" s="357">
        <f t="shared" si="315"/>
        <v>0</v>
      </c>
      <c r="N299" s="357">
        <f t="shared" si="315"/>
        <v>0</v>
      </c>
      <c r="O299" s="357">
        <f t="shared" si="315"/>
        <v>0</v>
      </c>
      <c r="P299" s="357">
        <f t="shared" si="315"/>
        <v>84.228207512467009</v>
      </c>
      <c r="Q299" s="357">
        <f t="shared" si="315"/>
        <v>0</v>
      </c>
      <c r="R299" s="357">
        <f t="shared" si="315"/>
        <v>0</v>
      </c>
      <c r="S299" s="357">
        <f t="shared" si="315"/>
        <v>0</v>
      </c>
      <c r="T299" s="357">
        <f t="shared" si="315"/>
        <v>0</v>
      </c>
      <c r="U299" s="357">
        <f t="shared" si="315"/>
        <v>0</v>
      </c>
      <c r="V299" s="357">
        <f t="shared" si="315"/>
        <v>0</v>
      </c>
      <c r="W299" s="357">
        <f t="shared" si="315"/>
        <v>0</v>
      </c>
      <c r="X299" s="357">
        <f t="shared" si="315"/>
        <v>0</v>
      </c>
      <c r="Y299" s="357">
        <f t="shared" si="315"/>
        <v>0</v>
      </c>
      <c r="Z299" s="357">
        <f t="shared" si="315"/>
        <v>0</v>
      </c>
      <c r="AA299" s="357">
        <f t="shared" si="315"/>
        <v>0</v>
      </c>
      <c r="AB299" s="357">
        <f t="shared" si="315"/>
        <v>0</v>
      </c>
      <c r="AC299" s="357">
        <f t="shared" si="315"/>
        <v>0</v>
      </c>
      <c r="AD299" s="357">
        <f t="shared" si="315"/>
        <v>0</v>
      </c>
      <c r="AE299" s="357">
        <f t="shared" si="315"/>
        <v>0</v>
      </c>
      <c r="AF299" s="357">
        <f t="shared" si="315"/>
        <v>0</v>
      </c>
      <c r="AG299" s="357">
        <f t="shared" si="315"/>
        <v>0</v>
      </c>
      <c r="AH299" s="357">
        <f t="shared" si="315"/>
        <v>0</v>
      </c>
      <c r="AI299" s="357">
        <f t="shared" si="315"/>
        <v>0</v>
      </c>
      <c r="AJ299" s="357">
        <f t="shared" si="315"/>
        <v>0</v>
      </c>
      <c r="AK299" s="357">
        <f t="shared" si="315"/>
        <v>0</v>
      </c>
      <c r="AL299" s="357">
        <f t="shared" ref="AL299:BC299" si="316">AL284*AL158</f>
        <v>0</v>
      </c>
      <c r="AM299" s="357">
        <f t="shared" si="316"/>
        <v>0</v>
      </c>
      <c r="AN299" s="357">
        <f t="shared" si="316"/>
        <v>0</v>
      </c>
      <c r="AO299" s="357">
        <f t="shared" si="316"/>
        <v>0</v>
      </c>
      <c r="AP299" s="357">
        <f t="shared" si="316"/>
        <v>0</v>
      </c>
      <c r="AQ299" s="357">
        <f t="shared" si="316"/>
        <v>0</v>
      </c>
      <c r="AR299" s="357">
        <f t="shared" si="316"/>
        <v>0</v>
      </c>
      <c r="AS299" s="357">
        <f t="shared" si="316"/>
        <v>0</v>
      </c>
      <c r="AT299" s="357">
        <f t="shared" si="316"/>
        <v>0</v>
      </c>
      <c r="AU299" s="357">
        <f t="shared" si="316"/>
        <v>0</v>
      </c>
      <c r="AV299" s="357">
        <f t="shared" si="316"/>
        <v>0</v>
      </c>
      <c r="AW299" s="357">
        <f t="shared" si="316"/>
        <v>0</v>
      </c>
      <c r="AX299" s="357">
        <f t="shared" si="316"/>
        <v>0</v>
      </c>
      <c r="AY299" s="357">
        <f t="shared" si="316"/>
        <v>0</v>
      </c>
      <c r="AZ299" s="357">
        <f t="shared" si="316"/>
        <v>89.587837986986528</v>
      </c>
      <c r="BA299" s="357">
        <f t="shared" si="316"/>
        <v>53.440425783542707</v>
      </c>
      <c r="BB299" s="357">
        <f t="shared" si="316"/>
        <v>153.45176066098804</v>
      </c>
      <c r="BC299" s="357">
        <f t="shared" si="316"/>
        <v>0</v>
      </c>
      <c r="BD299" s="357">
        <f t="shared" si="308"/>
        <v>403.35016530073466</v>
      </c>
      <c r="BF299" s="350"/>
    </row>
    <row r="300" spans="1:59">
      <c r="A300" s="350"/>
      <c r="B300" s="202" t="s">
        <v>846</v>
      </c>
      <c r="C300" s="23" t="s">
        <v>892</v>
      </c>
      <c r="D300" s="23"/>
      <c r="F300" s="357">
        <f t="shared" ref="F300:AK300" si="317">F285*F159</f>
        <v>0</v>
      </c>
      <c r="G300" s="357">
        <f t="shared" si="317"/>
        <v>0</v>
      </c>
      <c r="H300" s="357">
        <f t="shared" si="317"/>
        <v>74.394923886465548</v>
      </c>
      <c r="I300" s="357">
        <f t="shared" si="317"/>
        <v>0</v>
      </c>
      <c r="J300" s="357">
        <f t="shared" si="317"/>
        <v>0</v>
      </c>
      <c r="K300" s="357">
        <f t="shared" si="317"/>
        <v>0</v>
      </c>
      <c r="L300" s="357">
        <f t="shared" si="317"/>
        <v>0</v>
      </c>
      <c r="M300" s="357">
        <f t="shared" si="317"/>
        <v>0</v>
      </c>
      <c r="N300" s="357">
        <f t="shared" si="317"/>
        <v>0</v>
      </c>
      <c r="O300" s="357">
        <f t="shared" si="317"/>
        <v>0</v>
      </c>
      <c r="P300" s="357">
        <f t="shared" si="317"/>
        <v>239.38543187753783</v>
      </c>
      <c r="Q300" s="357">
        <f t="shared" si="317"/>
        <v>0</v>
      </c>
      <c r="R300" s="357">
        <f t="shared" si="317"/>
        <v>0</v>
      </c>
      <c r="S300" s="357">
        <f t="shared" si="317"/>
        <v>0</v>
      </c>
      <c r="T300" s="357">
        <f t="shared" si="317"/>
        <v>0</v>
      </c>
      <c r="U300" s="357">
        <f t="shared" si="317"/>
        <v>35.785634580172683</v>
      </c>
      <c r="V300" s="357">
        <f t="shared" si="317"/>
        <v>28.971050995225738</v>
      </c>
      <c r="W300" s="357">
        <f t="shared" si="317"/>
        <v>0</v>
      </c>
      <c r="X300" s="357">
        <f t="shared" si="317"/>
        <v>19.818678116395088</v>
      </c>
      <c r="Y300" s="357">
        <f t="shared" si="317"/>
        <v>0</v>
      </c>
      <c r="Z300" s="357">
        <f t="shared" si="317"/>
        <v>35.234335494320241</v>
      </c>
      <c r="AA300" s="357">
        <f t="shared" si="317"/>
        <v>0</v>
      </c>
      <c r="AB300" s="357">
        <f t="shared" si="317"/>
        <v>27.432669688598352</v>
      </c>
      <c r="AC300" s="357">
        <f t="shared" si="317"/>
        <v>0</v>
      </c>
      <c r="AD300" s="357">
        <f t="shared" si="317"/>
        <v>0</v>
      </c>
      <c r="AE300" s="357">
        <f t="shared" si="317"/>
        <v>24.937093931785999</v>
      </c>
      <c r="AF300" s="357">
        <f t="shared" si="317"/>
        <v>0</v>
      </c>
      <c r="AG300" s="357">
        <f t="shared" si="317"/>
        <v>73.345346891308097</v>
      </c>
      <c r="AH300" s="357">
        <f t="shared" si="317"/>
        <v>0</v>
      </c>
      <c r="AI300" s="357">
        <f t="shared" si="317"/>
        <v>38.48816190312953</v>
      </c>
      <c r="AJ300" s="357">
        <f t="shared" si="317"/>
        <v>0</v>
      </c>
      <c r="AK300" s="357">
        <f t="shared" si="317"/>
        <v>0</v>
      </c>
      <c r="AL300" s="357">
        <f t="shared" ref="AL300:BC300" si="318">AL285*AL159</f>
        <v>0</v>
      </c>
      <c r="AM300" s="357">
        <f t="shared" si="318"/>
        <v>0</v>
      </c>
      <c r="AN300" s="357">
        <f t="shared" si="318"/>
        <v>0</v>
      </c>
      <c r="AO300" s="357">
        <f t="shared" si="318"/>
        <v>0</v>
      </c>
      <c r="AP300" s="357">
        <f t="shared" si="318"/>
        <v>0</v>
      </c>
      <c r="AQ300" s="357">
        <f t="shared" si="318"/>
        <v>0</v>
      </c>
      <c r="AR300" s="357">
        <f t="shared" si="318"/>
        <v>0</v>
      </c>
      <c r="AS300" s="357">
        <f t="shared" si="318"/>
        <v>0</v>
      </c>
      <c r="AT300" s="357">
        <f t="shared" si="318"/>
        <v>0</v>
      </c>
      <c r="AU300" s="357">
        <f t="shared" si="318"/>
        <v>0</v>
      </c>
      <c r="AV300" s="357">
        <f t="shared" si="318"/>
        <v>0</v>
      </c>
      <c r="AW300" s="357">
        <f t="shared" si="318"/>
        <v>0</v>
      </c>
      <c r="AX300" s="357">
        <f t="shared" si="318"/>
        <v>0</v>
      </c>
      <c r="AY300" s="357">
        <f t="shared" si="318"/>
        <v>55.524858883937519</v>
      </c>
      <c r="AZ300" s="357">
        <f t="shared" si="318"/>
        <v>453.53842980911929</v>
      </c>
      <c r="BA300" s="357">
        <f t="shared" si="318"/>
        <v>580.22959142030595</v>
      </c>
      <c r="BB300" s="357">
        <f t="shared" si="318"/>
        <v>1161.8490450046238</v>
      </c>
      <c r="BC300" s="357">
        <f t="shared" si="318"/>
        <v>500.13819680649158</v>
      </c>
      <c r="BD300" s="357">
        <f t="shared" si="308"/>
        <v>3349.0734492894171</v>
      </c>
      <c r="BF300" s="350"/>
    </row>
    <row r="301" spans="1:59">
      <c r="A301" s="350"/>
      <c r="B301" s="202" t="s">
        <v>192</v>
      </c>
      <c r="C301" s="23" t="s">
        <v>893</v>
      </c>
      <c r="D301" s="23"/>
      <c r="F301" s="357">
        <f t="shared" ref="F301:AK301" si="319">F286*F160</f>
        <v>0</v>
      </c>
      <c r="G301" s="357">
        <f t="shared" si="319"/>
        <v>0</v>
      </c>
      <c r="H301" s="357">
        <f t="shared" si="319"/>
        <v>210.52063944290913</v>
      </c>
      <c r="I301" s="357">
        <f t="shared" si="319"/>
        <v>0</v>
      </c>
      <c r="J301" s="357">
        <f t="shared" si="319"/>
        <v>49.967650965655345</v>
      </c>
      <c r="K301" s="357">
        <f t="shared" si="319"/>
        <v>27.172431980445129</v>
      </c>
      <c r="L301" s="357">
        <f t="shared" si="319"/>
        <v>48.121763874283388</v>
      </c>
      <c r="M301" s="357">
        <f t="shared" si="319"/>
        <v>31.898591895611268</v>
      </c>
      <c r="N301" s="357">
        <f t="shared" si="319"/>
        <v>56.303692615677271</v>
      </c>
      <c r="O301" s="357">
        <f t="shared" si="319"/>
        <v>0</v>
      </c>
      <c r="P301" s="357">
        <f t="shared" si="319"/>
        <v>1012.9812014354211</v>
      </c>
      <c r="Q301" s="357">
        <f t="shared" si="319"/>
        <v>0</v>
      </c>
      <c r="R301" s="357">
        <f t="shared" si="319"/>
        <v>34.034712684131264</v>
      </c>
      <c r="S301" s="357">
        <f t="shared" si="319"/>
        <v>30.488185572282006</v>
      </c>
      <c r="T301" s="357">
        <f t="shared" si="319"/>
        <v>11.657956088131252</v>
      </c>
      <c r="U301" s="357">
        <f t="shared" si="319"/>
        <v>112.2652305022267</v>
      </c>
      <c r="V301" s="357">
        <f t="shared" si="319"/>
        <v>55.872741205078206</v>
      </c>
      <c r="W301" s="357">
        <f t="shared" si="319"/>
        <v>0</v>
      </c>
      <c r="X301" s="357">
        <f t="shared" si="319"/>
        <v>0</v>
      </c>
      <c r="Y301" s="357">
        <f t="shared" si="319"/>
        <v>0</v>
      </c>
      <c r="Z301" s="357">
        <f t="shared" si="319"/>
        <v>83.847695103366917</v>
      </c>
      <c r="AA301" s="357">
        <f t="shared" si="319"/>
        <v>99.56620048315817</v>
      </c>
      <c r="AB301" s="357">
        <f t="shared" si="319"/>
        <v>61.213395172905422</v>
      </c>
      <c r="AC301" s="357">
        <f t="shared" si="319"/>
        <v>28.173926307426111</v>
      </c>
      <c r="AD301" s="357">
        <f t="shared" si="319"/>
        <v>157.56084165190813</v>
      </c>
      <c r="AE301" s="357">
        <f t="shared" si="319"/>
        <v>252.73058574889757</v>
      </c>
      <c r="AF301" s="357">
        <f t="shared" si="319"/>
        <v>15.970437375568491</v>
      </c>
      <c r="AG301" s="357">
        <f t="shared" si="319"/>
        <v>0</v>
      </c>
      <c r="AH301" s="357">
        <f t="shared" si="319"/>
        <v>0</v>
      </c>
      <c r="AI301" s="357">
        <f t="shared" si="319"/>
        <v>144.16212020564086</v>
      </c>
      <c r="AJ301" s="357">
        <f t="shared" si="319"/>
        <v>54.7147361299115</v>
      </c>
      <c r="AK301" s="357">
        <f t="shared" si="319"/>
        <v>0</v>
      </c>
      <c r="AL301" s="357">
        <f t="shared" ref="AL301:BC301" si="320">AL286*AL160</f>
        <v>0</v>
      </c>
      <c r="AM301" s="357">
        <f t="shared" si="320"/>
        <v>0</v>
      </c>
      <c r="AN301" s="357">
        <f t="shared" si="320"/>
        <v>0</v>
      </c>
      <c r="AO301" s="357">
        <f t="shared" si="320"/>
        <v>3.3319949987115143</v>
      </c>
      <c r="AP301" s="357">
        <f t="shared" si="320"/>
        <v>0</v>
      </c>
      <c r="AQ301" s="357">
        <f t="shared" si="320"/>
        <v>0</v>
      </c>
      <c r="AR301" s="357">
        <f t="shared" si="320"/>
        <v>0</v>
      </c>
      <c r="AS301" s="357">
        <f t="shared" si="320"/>
        <v>0</v>
      </c>
      <c r="AT301" s="357">
        <f t="shared" si="320"/>
        <v>0</v>
      </c>
      <c r="AU301" s="357">
        <f t="shared" si="320"/>
        <v>0</v>
      </c>
      <c r="AV301" s="357">
        <f t="shared" si="320"/>
        <v>19.044876497786479</v>
      </c>
      <c r="AW301" s="357">
        <f t="shared" si="320"/>
        <v>113.79262065418011</v>
      </c>
      <c r="AX301" s="357">
        <f t="shared" si="320"/>
        <v>0</v>
      </c>
      <c r="AY301" s="357">
        <f t="shared" si="320"/>
        <v>151.59039719524608</v>
      </c>
      <c r="AZ301" s="357">
        <f t="shared" si="320"/>
        <v>1915.989894448247</v>
      </c>
      <c r="BA301" s="357">
        <f t="shared" si="320"/>
        <v>2453.2352725077594</v>
      </c>
      <c r="BB301" s="357">
        <f t="shared" si="320"/>
        <v>2730.9567552582371</v>
      </c>
      <c r="BC301" s="357">
        <f t="shared" si="320"/>
        <v>1450.1082529363234</v>
      </c>
      <c r="BD301" s="357">
        <f t="shared" si="308"/>
        <v>11417.274800937128</v>
      </c>
      <c r="BF301" s="350"/>
    </row>
    <row r="302" spans="1:59">
      <c r="A302" s="350"/>
      <c r="B302" s="202" t="s">
        <v>894</v>
      </c>
      <c r="C302" s="23" t="s">
        <v>895</v>
      </c>
      <c r="D302" s="23"/>
      <c r="F302" s="357">
        <f t="shared" ref="F302:AK302" si="321">F287*F161</f>
        <v>0</v>
      </c>
      <c r="G302" s="357">
        <f t="shared" si="321"/>
        <v>57.175909194993011</v>
      </c>
      <c r="H302" s="357">
        <f t="shared" si="321"/>
        <v>508.12027065538524</v>
      </c>
      <c r="I302" s="357">
        <f t="shared" si="321"/>
        <v>0</v>
      </c>
      <c r="J302" s="357">
        <f t="shared" si="321"/>
        <v>75.93298387816553</v>
      </c>
      <c r="K302" s="357">
        <f t="shared" si="321"/>
        <v>100.9847245849424</v>
      </c>
      <c r="L302" s="357">
        <f t="shared" si="321"/>
        <v>53.621394031344352</v>
      </c>
      <c r="M302" s="357">
        <f t="shared" si="321"/>
        <v>25.659630570768996</v>
      </c>
      <c r="N302" s="357">
        <f t="shared" si="321"/>
        <v>237.53120322238848</v>
      </c>
      <c r="O302" s="357">
        <f t="shared" si="321"/>
        <v>0</v>
      </c>
      <c r="P302" s="357">
        <f t="shared" si="321"/>
        <v>1982.7506438606865</v>
      </c>
      <c r="Q302" s="357">
        <f t="shared" si="321"/>
        <v>54.002316832217346</v>
      </c>
      <c r="R302" s="357">
        <f t="shared" si="321"/>
        <v>204.70058149558986</v>
      </c>
      <c r="S302" s="357">
        <f t="shared" si="321"/>
        <v>166.62849936534323</v>
      </c>
      <c r="T302" s="357">
        <f t="shared" si="321"/>
        <v>99.519137337705814</v>
      </c>
      <c r="U302" s="357">
        <f t="shared" si="321"/>
        <v>505.66814217620345</v>
      </c>
      <c r="V302" s="357">
        <f t="shared" si="321"/>
        <v>28.240688365093995</v>
      </c>
      <c r="W302" s="357">
        <f t="shared" si="321"/>
        <v>85.763670320768711</v>
      </c>
      <c r="X302" s="357">
        <f t="shared" si="321"/>
        <v>59.66913841495294</v>
      </c>
      <c r="Y302" s="357">
        <f t="shared" si="321"/>
        <v>19.472735984151367</v>
      </c>
      <c r="Z302" s="357">
        <f t="shared" si="321"/>
        <v>331.68874448101474</v>
      </c>
      <c r="AA302" s="357">
        <f t="shared" si="321"/>
        <v>302.08072179141874</v>
      </c>
      <c r="AB302" s="357">
        <f t="shared" si="321"/>
        <v>161.6610993633858</v>
      </c>
      <c r="AC302" s="357">
        <f t="shared" si="321"/>
        <v>171.94072761387471</v>
      </c>
      <c r="AD302" s="357">
        <f t="shared" si="321"/>
        <v>235.16543530135539</v>
      </c>
      <c r="AE302" s="357">
        <f t="shared" si="321"/>
        <v>648.90072381636685</v>
      </c>
      <c r="AF302" s="357">
        <f t="shared" si="321"/>
        <v>108.78576289510045</v>
      </c>
      <c r="AG302" s="357">
        <f t="shared" si="321"/>
        <v>174.9636808152793</v>
      </c>
      <c r="AH302" s="357">
        <f t="shared" si="321"/>
        <v>94.111467554255853</v>
      </c>
      <c r="AI302" s="357">
        <f t="shared" si="321"/>
        <v>574.77958996704194</v>
      </c>
      <c r="AJ302" s="357">
        <f t="shared" si="321"/>
        <v>497.82266650305024</v>
      </c>
      <c r="AK302" s="357">
        <f t="shared" si="321"/>
        <v>278.78931628382441</v>
      </c>
      <c r="AL302" s="357">
        <f t="shared" ref="AL302:BC302" si="322">AL287*AL161</f>
        <v>0</v>
      </c>
      <c r="AM302" s="357">
        <f t="shared" si="322"/>
        <v>0</v>
      </c>
      <c r="AN302" s="357">
        <f t="shared" si="322"/>
        <v>0</v>
      </c>
      <c r="AO302" s="357">
        <f t="shared" si="322"/>
        <v>8.9107248801318057</v>
      </c>
      <c r="AP302" s="357">
        <f t="shared" si="322"/>
        <v>33.031848890526945</v>
      </c>
      <c r="AQ302" s="357">
        <f t="shared" si="322"/>
        <v>7.7685561999538653</v>
      </c>
      <c r="AR302" s="357">
        <f t="shared" si="322"/>
        <v>0</v>
      </c>
      <c r="AS302" s="357">
        <f t="shared" si="322"/>
        <v>41.551766027192777</v>
      </c>
      <c r="AT302" s="357">
        <f t="shared" si="322"/>
        <v>0</v>
      </c>
      <c r="AU302" s="357">
        <f t="shared" si="322"/>
        <v>10.433610276758261</v>
      </c>
      <c r="AV302" s="357">
        <f t="shared" si="322"/>
        <v>38.361822659827055</v>
      </c>
      <c r="AW302" s="357">
        <f t="shared" si="322"/>
        <v>205.17001983261571</v>
      </c>
      <c r="AX302" s="357">
        <f t="shared" si="322"/>
        <v>964.04628061535186</v>
      </c>
      <c r="AY302" s="357">
        <f t="shared" si="322"/>
        <v>229.73948394807482</v>
      </c>
      <c r="AZ302" s="357">
        <f t="shared" si="322"/>
        <v>3651.7969325792983</v>
      </c>
      <c r="BA302" s="357">
        <f t="shared" si="322"/>
        <v>6150.4206052346553</v>
      </c>
      <c r="BB302" s="357">
        <f t="shared" si="322"/>
        <v>5283.7201271832791</v>
      </c>
      <c r="BC302" s="357">
        <f t="shared" si="322"/>
        <v>4553.0321989409185</v>
      </c>
      <c r="BD302" s="357">
        <f t="shared" si="308"/>
        <v>29024.115583945255</v>
      </c>
      <c r="BF302" s="350"/>
    </row>
    <row r="303" spans="1:59">
      <c r="A303" s="350"/>
      <c r="B303" s="202" t="s">
        <v>896</v>
      </c>
      <c r="C303" s="23" t="s">
        <v>897</v>
      </c>
      <c r="D303" s="23"/>
      <c r="F303" s="357">
        <f t="shared" ref="F303:AK303" si="323">F288*F162</f>
        <v>0</v>
      </c>
      <c r="G303" s="357">
        <f t="shared" si="323"/>
        <v>360.20822792845598</v>
      </c>
      <c r="H303" s="357">
        <f t="shared" si="323"/>
        <v>2385.5771122699507</v>
      </c>
      <c r="I303" s="357">
        <f t="shared" si="323"/>
        <v>2907.2322160326735</v>
      </c>
      <c r="J303" s="357">
        <f t="shared" si="323"/>
        <v>226.00814103175799</v>
      </c>
      <c r="K303" s="357">
        <f t="shared" si="323"/>
        <v>323.41898430367843</v>
      </c>
      <c r="L303" s="357">
        <f t="shared" si="323"/>
        <v>142.92163870662168</v>
      </c>
      <c r="M303" s="357">
        <f t="shared" si="323"/>
        <v>397.38868511712059</v>
      </c>
      <c r="N303" s="357">
        <f t="shared" si="323"/>
        <v>1520.1997006232864</v>
      </c>
      <c r="O303" s="357">
        <f t="shared" si="323"/>
        <v>0</v>
      </c>
      <c r="P303" s="357">
        <f t="shared" si="323"/>
        <v>6917.2237939311135</v>
      </c>
      <c r="Q303" s="357">
        <f t="shared" si="323"/>
        <v>50.756166432655483</v>
      </c>
      <c r="R303" s="357">
        <f t="shared" si="323"/>
        <v>603.22393580826008</v>
      </c>
      <c r="S303" s="357">
        <f t="shared" si="323"/>
        <v>1285.7657143884207</v>
      </c>
      <c r="T303" s="357">
        <f t="shared" si="323"/>
        <v>230.61164246929269</v>
      </c>
      <c r="U303" s="357">
        <f t="shared" si="323"/>
        <v>2117.3868805711586</v>
      </c>
      <c r="V303" s="357">
        <f t="shared" si="323"/>
        <v>336.0289683823143</v>
      </c>
      <c r="W303" s="357">
        <f t="shared" si="323"/>
        <v>388.69934837741653</v>
      </c>
      <c r="X303" s="357">
        <f t="shared" si="323"/>
        <v>371.71031844972117</v>
      </c>
      <c r="Y303" s="357">
        <f t="shared" si="323"/>
        <v>463.01838895648802</v>
      </c>
      <c r="Z303" s="357">
        <f t="shared" si="323"/>
        <v>2525.2689001604558</v>
      </c>
      <c r="AA303" s="357">
        <f t="shared" si="323"/>
        <v>2285.7004323525352</v>
      </c>
      <c r="AB303" s="357">
        <f t="shared" si="323"/>
        <v>993.33899148825128</v>
      </c>
      <c r="AC303" s="357">
        <f t="shared" si="323"/>
        <v>854.99293320324</v>
      </c>
      <c r="AD303" s="357">
        <f t="shared" si="323"/>
        <v>729.01284943420171</v>
      </c>
      <c r="AE303" s="357">
        <f t="shared" si="323"/>
        <v>2531.988803218494</v>
      </c>
      <c r="AF303" s="357">
        <f t="shared" si="323"/>
        <v>537.65431096245413</v>
      </c>
      <c r="AG303" s="357">
        <f t="shared" si="323"/>
        <v>1727.5390938168421</v>
      </c>
      <c r="AH303" s="357">
        <f t="shared" si="323"/>
        <v>699.49422389958852</v>
      </c>
      <c r="AI303" s="357">
        <f t="shared" si="323"/>
        <v>3015.272129865416</v>
      </c>
      <c r="AJ303" s="357">
        <f t="shared" si="323"/>
        <v>2045.6756943154674</v>
      </c>
      <c r="AK303" s="357">
        <f t="shared" si="323"/>
        <v>1528.6631560568201</v>
      </c>
      <c r="AL303" s="357">
        <f t="shared" ref="AL303:BC303" si="324">AL288*AL162</f>
        <v>0</v>
      </c>
      <c r="AM303" s="357">
        <f t="shared" si="324"/>
        <v>0</v>
      </c>
      <c r="AN303" s="357">
        <f t="shared" si="324"/>
        <v>0</v>
      </c>
      <c r="AO303" s="357">
        <f t="shared" si="324"/>
        <v>35.71561192026271</v>
      </c>
      <c r="AP303" s="357">
        <f t="shared" si="324"/>
        <v>185.08968958657087</v>
      </c>
      <c r="AQ303" s="357">
        <f t="shared" si="324"/>
        <v>103.98615343969557</v>
      </c>
      <c r="AR303" s="357">
        <f t="shared" si="324"/>
        <v>155.39826795338328</v>
      </c>
      <c r="AS303" s="357">
        <f t="shared" si="324"/>
        <v>100.5912043850707</v>
      </c>
      <c r="AT303" s="357">
        <f t="shared" si="324"/>
        <v>187.33575887784409</v>
      </c>
      <c r="AU303" s="357">
        <f t="shared" si="324"/>
        <v>39.226697597341719</v>
      </c>
      <c r="AV303" s="357">
        <f t="shared" si="324"/>
        <v>154.12433688406375</v>
      </c>
      <c r="AW303" s="357">
        <f t="shared" si="324"/>
        <v>726.89722874562653</v>
      </c>
      <c r="AX303" s="357">
        <f t="shared" si="324"/>
        <v>1215.1843873302755</v>
      </c>
      <c r="AY303" s="357">
        <f t="shared" si="324"/>
        <v>744.13160275351697</v>
      </c>
      <c r="AZ303" s="357">
        <f t="shared" si="324"/>
        <v>26234.152863587206</v>
      </c>
      <c r="BA303" s="357">
        <f t="shared" si="324"/>
        <v>17834.367737564902</v>
      </c>
      <c r="BB303" s="357">
        <f t="shared" si="324"/>
        <v>10628.309408145135</v>
      </c>
      <c r="BC303" s="357">
        <f t="shared" si="324"/>
        <v>10597.589397642023</v>
      </c>
      <c r="BD303" s="357">
        <f t="shared" si="308"/>
        <v>109444.08172896707</v>
      </c>
      <c r="BF303" s="350"/>
    </row>
    <row r="304" spans="1:59">
      <c r="A304" s="350"/>
      <c r="B304" s="202" t="s">
        <v>898</v>
      </c>
      <c r="C304" s="23" t="s">
        <v>899</v>
      </c>
      <c r="D304" s="23"/>
      <c r="F304" s="357">
        <f t="shared" ref="F304:AK304" si="325">F289*F163</f>
        <v>0</v>
      </c>
      <c r="G304" s="357">
        <f t="shared" si="325"/>
        <v>848.9870200861792</v>
      </c>
      <c r="H304" s="357">
        <f t="shared" si="325"/>
        <v>7888.3597035195899</v>
      </c>
      <c r="I304" s="357">
        <f t="shared" si="325"/>
        <v>3425.2481381621315</v>
      </c>
      <c r="J304" s="357">
        <f t="shared" si="325"/>
        <v>1653.9108087156033</v>
      </c>
      <c r="K304" s="357">
        <f t="shared" si="325"/>
        <v>678.51255173244169</v>
      </c>
      <c r="L304" s="357">
        <f t="shared" si="325"/>
        <v>72.18264581142509</v>
      </c>
      <c r="M304" s="357">
        <f t="shared" si="325"/>
        <v>784.51921500293815</v>
      </c>
      <c r="N304" s="357">
        <f t="shared" si="325"/>
        <v>5218.4885556433828</v>
      </c>
      <c r="O304" s="357">
        <f t="shared" si="325"/>
        <v>0</v>
      </c>
      <c r="P304" s="357">
        <f t="shared" si="325"/>
        <v>9228.109675340489</v>
      </c>
      <c r="Q304" s="357">
        <f t="shared" si="325"/>
        <v>405.11309218341393</v>
      </c>
      <c r="R304" s="357">
        <f t="shared" si="325"/>
        <v>1279.8634979125643</v>
      </c>
      <c r="S304" s="357">
        <f t="shared" si="325"/>
        <v>2017.6203692003894</v>
      </c>
      <c r="T304" s="357">
        <f t="shared" si="325"/>
        <v>489.39396234576014</v>
      </c>
      <c r="U304" s="357">
        <f t="shared" si="325"/>
        <v>2656.911019950684</v>
      </c>
      <c r="V304" s="357">
        <f t="shared" si="325"/>
        <v>557.38980241765103</v>
      </c>
      <c r="W304" s="357">
        <f t="shared" si="325"/>
        <v>1474.9112212007196</v>
      </c>
      <c r="X304" s="357">
        <f t="shared" si="325"/>
        <v>1153.797600817069</v>
      </c>
      <c r="Y304" s="357">
        <f t="shared" si="325"/>
        <v>810.25645911117113</v>
      </c>
      <c r="Z304" s="357">
        <f t="shared" si="325"/>
        <v>4458.1889815374998</v>
      </c>
      <c r="AA304" s="357">
        <f t="shared" si="325"/>
        <v>5601.1085194457173</v>
      </c>
      <c r="AB304" s="357">
        <f t="shared" si="325"/>
        <v>1867.8696586384333</v>
      </c>
      <c r="AC304" s="357">
        <f t="shared" si="325"/>
        <v>1899.1012991622661</v>
      </c>
      <c r="AD304" s="357">
        <f t="shared" si="325"/>
        <v>1788.1617907337679</v>
      </c>
      <c r="AE304" s="357">
        <f t="shared" si="325"/>
        <v>2633.3571191966016</v>
      </c>
      <c r="AF304" s="357">
        <f t="shared" si="325"/>
        <v>892.74744929427868</v>
      </c>
      <c r="AG304" s="357">
        <f t="shared" si="325"/>
        <v>3290.0509100286158</v>
      </c>
      <c r="AH304" s="357">
        <f t="shared" si="325"/>
        <v>1259.9027485079778</v>
      </c>
      <c r="AI304" s="357">
        <f t="shared" si="325"/>
        <v>7472.5180763856197</v>
      </c>
      <c r="AJ304" s="357">
        <f t="shared" si="325"/>
        <v>3940.2388088770435</v>
      </c>
      <c r="AK304" s="357">
        <f t="shared" si="325"/>
        <v>3284.3114878715432</v>
      </c>
      <c r="AL304" s="357">
        <f t="shared" ref="AL304:BC304" si="326">AL289*AL163</f>
        <v>0</v>
      </c>
      <c r="AM304" s="357">
        <f t="shared" si="326"/>
        <v>0</v>
      </c>
      <c r="AN304" s="357">
        <f t="shared" si="326"/>
        <v>0</v>
      </c>
      <c r="AO304" s="357">
        <f t="shared" si="326"/>
        <v>59.397598918240412</v>
      </c>
      <c r="AP304" s="357">
        <f t="shared" si="326"/>
        <v>286.79893209607081</v>
      </c>
      <c r="AQ304" s="357">
        <f t="shared" si="326"/>
        <v>136.57946285201507</v>
      </c>
      <c r="AR304" s="357">
        <f t="shared" si="326"/>
        <v>480.67658147706447</v>
      </c>
      <c r="AS304" s="357">
        <f t="shared" si="326"/>
        <v>76.826202484808348</v>
      </c>
      <c r="AT304" s="357">
        <f t="shared" si="326"/>
        <v>418.6164327762437</v>
      </c>
      <c r="AU304" s="357">
        <f t="shared" si="326"/>
        <v>82.315973851659564</v>
      </c>
      <c r="AV304" s="357">
        <f t="shared" si="326"/>
        <v>234.65766487054049</v>
      </c>
      <c r="AW304" s="357">
        <f t="shared" si="326"/>
        <v>538.9354232509744</v>
      </c>
      <c r="AX304" s="357">
        <f t="shared" si="326"/>
        <v>997.69399982514096</v>
      </c>
      <c r="AY304" s="357">
        <f t="shared" si="326"/>
        <v>531.05888209334853</v>
      </c>
      <c r="AZ304" s="357">
        <f t="shared" si="326"/>
        <v>85019.836178659127</v>
      </c>
      <c r="BA304" s="357">
        <f t="shared" si="326"/>
        <v>20972.575275815401</v>
      </c>
      <c r="BB304" s="357">
        <f t="shared" si="326"/>
        <v>16919.392221174221</v>
      </c>
      <c r="BC304" s="357">
        <f t="shared" si="326"/>
        <v>9664.966742986142</v>
      </c>
      <c r="BD304" s="357">
        <f t="shared" si="308"/>
        <v>215451.45976196398</v>
      </c>
      <c r="BF304" s="350"/>
    </row>
    <row r="305" spans="1:59">
      <c r="A305" s="350"/>
      <c r="B305" s="202" t="s">
        <v>900</v>
      </c>
      <c r="C305" s="23" t="s">
        <v>874</v>
      </c>
      <c r="D305" s="23"/>
      <c r="F305" s="357">
        <f t="shared" ref="F305:AK305" si="327">F290*F164</f>
        <v>753668.29670432454</v>
      </c>
      <c r="G305" s="357">
        <f t="shared" si="327"/>
        <v>1637681.0659172651</v>
      </c>
      <c r="H305" s="357">
        <f t="shared" si="327"/>
        <v>2029479.0490130079</v>
      </c>
      <c r="I305" s="357">
        <f t="shared" si="327"/>
        <v>109084.63862230234</v>
      </c>
      <c r="J305" s="357">
        <f t="shared" si="327"/>
        <v>683597.19633698044</v>
      </c>
      <c r="K305" s="357">
        <f t="shared" si="327"/>
        <v>43755.842677188266</v>
      </c>
      <c r="L305" s="357">
        <f t="shared" si="327"/>
        <v>49845.279220129334</v>
      </c>
      <c r="M305" s="357">
        <f t="shared" si="327"/>
        <v>51193.63982767141</v>
      </c>
      <c r="N305" s="357">
        <f t="shared" si="327"/>
        <v>86713.12505299793</v>
      </c>
      <c r="O305" s="357">
        <f t="shared" si="327"/>
        <v>4980.2960071320649</v>
      </c>
      <c r="P305" s="357">
        <f t="shared" si="327"/>
        <v>146111.35302722763</v>
      </c>
      <c r="Q305" s="357">
        <f t="shared" si="327"/>
        <v>55991.279735641663</v>
      </c>
      <c r="R305" s="357">
        <f t="shared" si="327"/>
        <v>104961.3935859894</v>
      </c>
      <c r="S305" s="357">
        <f t="shared" si="327"/>
        <v>209337.52071157424</v>
      </c>
      <c r="T305" s="357">
        <f t="shared" si="327"/>
        <v>252817.44455350199</v>
      </c>
      <c r="U305" s="357">
        <f t="shared" si="327"/>
        <v>77876.964213241532</v>
      </c>
      <c r="V305" s="357">
        <f t="shared" si="327"/>
        <v>256918.62503755864</v>
      </c>
      <c r="W305" s="357">
        <f t="shared" si="327"/>
        <v>209098.46277429274</v>
      </c>
      <c r="X305" s="357">
        <f t="shared" si="327"/>
        <v>404294.7445400508</v>
      </c>
      <c r="Y305" s="357">
        <f t="shared" si="327"/>
        <v>493605.06720442942</v>
      </c>
      <c r="Z305" s="357">
        <f t="shared" si="327"/>
        <v>140823.22628646716</v>
      </c>
      <c r="AA305" s="357">
        <f t="shared" si="327"/>
        <v>884711.93077576824</v>
      </c>
      <c r="AB305" s="357">
        <f t="shared" si="327"/>
        <v>256329.21694697347</v>
      </c>
      <c r="AC305" s="357">
        <f t="shared" si="327"/>
        <v>113640.12112966328</v>
      </c>
      <c r="AD305" s="357">
        <f t="shared" si="327"/>
        <v>250345.63549479094</v>
      </c>
      <c r="AE305" s="357">
        <f t="shared" si="327"/>
        <v>69672.607995547995</v>
      </c>
      <c r="AF305" s="357">
        <f t="shared" si="327"/>
        <v>91456.669314783489</v>
      </c>
      <c r="AG305" s="357">
        <f t="shared" si="327"/>
        <v>205775.68594464869</v>
      </c>
      <c r="AH305" s="357">
        <f t="shared" si="327"/>
        <v>154507.82202540181</v>
      </c>
      <c r="AI305" s="357">
        <f t="shared" si="327"/>
        <v>942599.63444959209</v>
      </c>
      <c r="AJ305" s="357">
        <f t="shared" si="327"/>
        <v>205518.56582155277</v>
      </c>
      <c r="AK305" s="357">
        <f t="shared" si="327"/>
        <v>1737039.6058234824</v>
      </c>
      <c r="AL305" s="357">
        <f t="shared" ref="AL305:BC305" si="328">AL290*AL164</f>
        <v>3169275.8277991093</v>
      </c>
      <c r="AM305" s="357">
        <f t="shared" si="328"/>
        <v>238139.26872488885</v>
      </c>
      <c r="AN305" s="357">
        <f t="shared" si="328"/>
        <v>349857.92902458453</v>
      </c>
      <c r="AO305" s="357">
        <f t="shared" si="328"/>
        <v>11564.31655022839</v>
      </c>
      <c r="AP305" s="357">
        <f t="shared" si="328"/>
        <v>48860.446903202304</v>
      </c>
      <c r="AQ305" s="357">
        <f t="shared" si="328"/>
        <v>90111.254802248426</v>
      </c>
      <c r="AR305" s="357">
        <f t="shared" si="328"/>
        <v>72355.956902115417</v>
      </c>
      <c r="AS305" s="357">
        <f t="shared" si="328"/>
        <v>39517.089431258712</v>
      </c>
      <c r="AT305" s="357">
        <f t="shared" si="328"/>
        <v>86654.279657895167</v>
      </c>
      <c r="AU305" s="357">
        <f t="shared" si="328"/>
        <v>21228.813789834556</v>
      </c>
      <c r="AV305" s="357">
        <f t="shared" si="328"/>
        <v>60813.669869733472</v>
      </c>
      <c r="AW305" s="357">
        <f t="shared" si="328"/>
        <v>96438.512364688897</v>
      </c>
      <c r="AX305" s="357">
        <f t="shared" si="328"/>
        <v>6682.6395657953308</v>
      </c>
      <c r="AY305" s="357">
        <f t="shared" si="328"/>
        <v>61915.56922875427</v>
      </c>
      <c r="AZ305" s="357">
        <f t="shared" si="328"/>
        <v>303138.01241434808</v>
      </c>
      <c r="BA305" s="357">
        <f t="shared" si="328"/>
        <v>204432.96730502925</v>
      </c>
      <c r="BB305" s="357">
        <f t="shared" si="328"/>
        <v>362217.46764166176</v>
      </c>
      <c r="BC305" s="357">
        <f t="shared" si="328"/>
        <v>56870.216470062594</v>
      </c>
      <c r="BD305" s="357">
        <f t="shared" si="308"/>
        <v>17993506.245216615</v>
      </c>
      <c r="BF305" s="350"/>
    </row>
    <row r="306" spans="1:59">
      <c r="A306" s="350"/>
      <c r="C306" s="23"/>
      <c r="D306" s="9" t="s">
        <v>218</v>
      </c>
      <c r="F306" s="357">
        <f>SUM(F294:F305)</f>
        <v>2983846.4644141584</v>
      </c>
      <c r="G306" s="357">
        <f t="shared" ref="G306:BC306" si="329">SUM(G294:G305)</f>
        <v>11277580.652142171</v>
      </c>
      <c r="H306" s="357">
        <f t="shared" si="329"/>
        <v>13539760.548825562</v>
      </c>
      <c r="I306" s="357">
        <f t="shared" si="329"/>
        <v>19913417.251350399</v>
      </c>
      <c r="J306" s="357">
        <f t="shared" si="329"/>
        <v>6771188.9046472795</v>
      </c>
      <c r="K306" s="357">
        <f t="shared" si="329"/>
        <v>2216555.6661871993</v>
      </c>
      <c r="L306" s="357">
        <f t="shared" si="329"/>
        <v>10805199.820626397</v>
      </c>
      <c r="M306" s="357">
        <f t="shared" si="329"/>
        <v>13078133.272323839</v>
      </c>
      <c r="N306" s="357">
        <f t="shared" si="329"/>
        <v>16026098.255247721</v>
      </c>
      <c r="O306" s="357">
        <f t="shared" si="329"/>
        <v>8671071.0841456018</v>
      </c>
      <c r="P306" s="357">
        <f t="shared" si="329"/>
        <v>26850103.399984002</v>
      </c>
      <c r="Q306" s="357">
        <f t="shared" si="329"/>
        <v>7189572.3081742004</v>
      </c>
      <c r="R306" s="357">
        <f t="shared" si="329"/>
        <v>5363135.5324563198</v>
      </c>
      <c r="S306" s="357">
        <f t="shared" si="329"/>
        <v>6039698.3586967997</v>
      </c>
      <c r="T306" s="357">
        <f t="shared" si="329"/>
        <v>5084588.0782709606</v>
      </c>
      <c r="U306" s="357">
        <f t="shared" si="329"/>
        <v>7447480.5898032021</v>
      </c>
      <c r="V306" s="357">
        <f t="shared" si="329"/>
        <v>5319450.5777172009</v>
      </c>
      <c r="W306" s="357">
        <f t="shared" si="329"/>
        <v>4854915.2835834548</v>
      </c>
      <c r="X306" s="357">
        <f t="shared" si="329"/>
        <v>4622781.7410529992</v>
      </c>
      <c r="Y306" s="357">
        <f t="shared" si="329"/>
        <v>4631229.9448456801</v>
      </c>
      <c r="Z306" s="357">
        <f t="shared" si="329"/>
        <v>16784127.296240639</v>
      </c>
      <c r="AA306" s="357">
        <f t="shared" si="329"/>
        <v>15198757.764787883</v>
      </c>
      <c r="AB306" s="357">
        <f t="shared" si="329"/>
        <v>7594432.1576071195</v>
      </c>
      <c r="AC306" s="357">
        <f t="shared" si="329"/>
        <v>7723390.4456003709</v>
      </c>
      <c r="AD306" s="357">
        <f t="shared" si="329"/>
        <v>5353546.3740998395</v>
      </c>
      <c r="AE306" s="357">
        <f t="shared" si="329"/>
        <v>11855394.141386883</v>
      </c>
      <c r="AF306" s="357">
        <f t="shared" si="329"/>
        <v>5328026.7570217801</v>
      </c>
      <c r="AG306" s="357">
        <f t="shared" si="329"/>
        <v>12988017.231861115</v>
      </c>
      <c r="AH306" s="357">
        <f t="shared" si="329"/>
        <v>5563060.49215296</v>
      </c>
      <c r="AI306" s="357">
        <f t="shared" si="329"/>
        <v>13219420.479445718</v>
      </c>
      <c r="AJ306" s="357">
        <f t="shared" si="329"/>
        <v>8310574.1221635211</v>
      </c>
      <c r="AK306" s="357">
        <f t="shared" si="329"/>
        <v>15265571.454898715</v>
      </c>
      <c r="AL306" s="357">
        <f t="shared" si="329"/>
        <v>12461324.786789244</v>
      </c>
      <c r="AM306" s="357">
        <f t="shared" si="329"/>
        <v>2428095.2292912207</v>
      </c>
      <c r="AN306" s="357">
        <f t="shared" si="329"/>
        <v>2492609.8822640544</v>
      </c>
      <c r="AO306" s="357">
        <f t="shared" si="329"/>
        <v>541013.51997762721</v>
      </c>
      <c r="AP306" s="357">
        <f t="shared" si="329"/>
        <v>2282122.4860805492</v>
      </c>
      <c r="AQ306" s="357">
        <f t="shared" si="329"/>
        <v>2478838.637348786</v>
      </c>
      <c r="AR306" s="357">
        <f t="shared" si="329"/>
        <v>2916052.3014506851</v>
      </c>
      <c r="AS306" s="357">
        <f t="shared" si="329"/>
        <v>3389997.8277336811</v>
      </c>
      <c r="AT306" s="357">
        <f t="shared" si="329"/>
        <v>2760689.5613581422</v>
      </c>
      <c r="AU306" s="357">
        <f t="shared" si="329"/>
        <v>1052304.6437780096</v>
      </c>
      <c r="AV306" s="357">
        <f t="shared" si="329"/>
        <v>5260126.7183888126</v>
      </c>
      <c r="AW306" s="357">
        <f t="shared" si="329"/>
        <v>13842449.251975529</v>
      </c>
      <c r="AX306" s="357">
        <f t="shared" si="329"/>
        <v>10637403.540872535</v>
      </c>
      <c r="AY306" s="357">
        <f t="shared" si="329"/>
        <v>10214886.89938416</v>
      </c>
      <c r="AZ306" s="357">
        <f t="shared" si="329"/>
        <v>27285721.371615581</v>
      </c>
      <c r="BA306" s="357">
        <f t="shared" si="329"/>
        <v>21185190.860424481</v>
      </c>
      <c r="BB306" s="357">
        <f t="shared" si="329"/>
        <v>7877738.4136053883</v>
      </c>
      <c r="BC306" s="357">
        <f t="shared" si="329"/>
        <v>10883281.532952001</v>
      </c>
      <c r="BD306" s="358">
        <f t="shared" si="308"/>
        <v>447859973.91705209</v>
      </c>
      <c r="BE306" s="359">
        <f>BD306-SUM(BD294:BD305)</f>
        <v>0</v>
      </c>
      <c r="BF306" s="350"/>
    </row>
    <row r="307" spans="1:59">
      <c r="A307" s="350"/>
      <c r="BD307" s="6" t="s">
        <v>855</v>
      </c>
      <c r="BF307" s="350"/>
    </row>
    <row r="308" spans="1:59">
      <c r="A308" s="350"/>
      <c r="BB308" s="6" t="s">
        <v>78</v>
      </c>
      <c r="BD308" s="6" t="s">
        <v>856</v>
      </c>
      <c r="BF308" s="350"/>
    </row>
    <row r="309" spans="1:59">
      <c r="A309" s="350"/>
      <c r="BB309" s="6" t="s">
        <v>79</v>
      </c>
      <c r="BC309" s="371">
        <f>BD100</f>
        <v>447858171.69155675</v>
      </c>
      <c r="BD309" s="335">
        <f>BD126+BD134+BD142+BD150+SUM(BD207:BD213)</f>
        <v>489999345.18734664</v>
      </c>
      <c r="BF309" s="350"/>
    </row>
    <row r="310" spans="1:59">
      <c r="A310" s="350"/>
      <c r="BE310" s="9" t="s">
        <v>890</v>
      </c>
      <c r="BF310" s="350"/>
    </row>
    <row r="311" spans="1:59" ht="17">
      <c r="A311" s="350"/>
      <c r="B311" s="56" t="s">
        <v>858</v>
      </c>
      <c r="D311" s="171" t="s">
        <v>857</v>
      </c>
      <c r="BE311" s="9" t="s">
        <v>891</v>
      </c>
      <c r="BF311" s="350"/>
    </row>
    <row r="312" spans="1:59">
      <c r="A312" s="350"/>
      <c r="B312" s="202" t="s">
        <v>610</v>
      </c>
      <c r="C312" s="23" t="s">
        <v>611</v>
      </c>
      <c r="D312" s="23"/>
      <c r="F312" s="361">
        <f>F$116+F294</f>
        <v>739549.6940306609</v>
      </c>
      <c r="G312" s="361">
        <f t="shared" ref="G312:AL312" si="330">G116+G294</f>
        <v>2562590.1191940187</v>
      </c>
      <c r="H312" s="361">
        <f t="shared" si="330"/>
        <v>3214094.7205701331</v>
      </c>
      <c r="I312" s="361">
        <f t="shared" si="330"/>
        <v>1573827.9341673309</v>
      </c>
      <c r="J312" s="361">
        <f t="shared" si="330"/>
        <v>1926891.328681713</v>
      </c>
      <c r="K312" s="361">
        <f t="shared" si="330"/>
        <v>4024791.5499656843</v>
      </c>
      <c r="L312" s="361">
        <f t="shared" si="330"/>
        <v>5136098.4961081808</v>
      </c>
      <c r="M312" s="361">
        <f t="shared" si="330"/>
        <v>3380520.9237303478</v>
      </c>
      <c r="N312" s="361">
        <f t="shared" si="330"/>
        <v>2088062.7685478181</v>
      </c>
      <c r="O312" s="361">
        <f t="shared" si="330"/>
        <v>6517413.9604536258</v>
      </c>
      <c r="P312" s="361">
        <f t="shared" si="330"/>
        <v>5542481.6864772858</v>
      </c>
      <c r="Q312" s="361">
        <f t="shared" si="330"/>
        <v>4009119.9185647988</v>
      </c>
      <c r="R312" s="361">
        <f t="shared" si="330"/>
        <v>3714538.2844389128</v>
      </c>
      <c r="S312" s="361">
        <f t="shared" si="330"/>
        <v>2171184.8821591008</v>
      </c>
      <c r="T312" s="361">
        <f t="shared" si="330"/>
        <v>3027019.2830897686</v>
      </c>
      <c r="U312" s="361">
        <f t="shared" si="330"/>
        <v>4300326.9062285004</v>
      </c>
      <c r="V312" s="361">
        <f t="shared" si="330"/>
        <v>3376670.8810603241</v>
      </c>
      <c r="W312" s="361">
        <f t="shared" si="330"/>
        <v>2433837.3011561874</v>
      </c>
      <c r="X312" s="361">
        <f t="shared" si="330"/>
        <v>4213479.5205438528</v>
      </c>
      <c r="Y312" s="361">
        <f t="shared" si="330"/>
        <v>2643753.0929476898</v>
      </c>
      <c r="Z312" s="361">
        <f t="shared" si="330"/>
        <v>4089314.1531973151</v>
      </c>
      <c r="AA312" s="361">
        <f t="shared" si="330"/>
        <v>3833918.9194218325</v>
      </c>
      <c r="AB312" s="361">
        <f t="shared" si="330"/>
        <v>3946640.0377867967</v>
      </c>
      <c r="AC312" s="361">
        <f t="shared" si="330"/>
        <v>2182146.1087455004</v>
      </c>
      <c r="AD312" s="361">
        <f t="shared" si="330"/>
        <v>2638376.9674130669</v>
      </c>
      <c r="AE312" s="361">
        <f t="shared" si="330"/>
        <v>4697729.8136099242</v>
      </c>
      <c r="AF312" s="361">
        <f t="shared" si="330"/>
        <v>2466030.0959113264</v>
      </c>
      <c r="AG312" s="361">
        <f t="shared" si="330"/>
        <v>3991002.7821999593</v>
      </c>
      <c r="AH312" s="361">
        <f t="shared" si="330"/>
        <v>3108139.5655242726</v>
      </c>
      <c r="AI312" s="361">
        <f t="shared" si="330"/>
        <v>5062880.7600818342</v>
      </c>
      <c r="AJ312" s="361">
        <f t="shared" si="330"/>
        <v>5246527.6406262303</v>
      </c>
      <c r="AK312" s="361">
        <f t="shared" si="330"/>
        <v>3434708.9306347826</v>
      </c>
      <c r="AL312" s="361">
        <f t="shared" si="330"/>
        <v>2318035.9568530265</v>
      </c>
      <c r="AM312" s="361">
        <f t="shared" ref="AM312:BC312" si="331">AM116+AM294</f>
        <v>3824344.4193399115</v>
      </c>
      <c r="AN312" s="361">
        <f t="shared" si="331"/>
        <v>1317129.09469744</v>
      </c>
      <c r="AO312" s="361">
        <f t="shared" si="331"/>
        <v>2175478.5029871706</v>
      </c>
      <c r="AP312" s="361">
        <f t="shared" si="331"/>
        <v>2143305.9674619506</v>
      </c>
      <c r="AQ312" s="361">
        <f t="shared" si="331"/>
        <v>2136143.150658763</v>
      </c>
      <c r="AR312" s="361">
        <f t="shared" si="331"/>
        <v>2418813.052248721</v>
      </c>
      <c r="AS312" s="361">
        <f t="shared" si="331"/>
        <v>2419682.8186794505</v>
      </c>
      <c r="AT312" s="361">
        <f t="shared" si="331"/>
        <v>1819820.0415729438</v>
      </c>
      <c r="AU312" s="361">
        <f t="shared" si="331"/>
        <v>3781740.3034675326</v>
      </c>
      <c r="AV312" s="361">
        <f t="shared" si="331"/>
        <v>4238817.6650979957</v>
      </c>
      <c r="AW312" s="361">
        <f t="shared" si="331"/>
        <v>4166637.5526455012</v>
      </c>
      <c r="AX312" s="361">
        <f t="shared" si="331"/>
        <v>1327728.9405744723</v>
      </c>
      <c r="AY312" s="361">
        <f t="shared" si="331"/>
        <v>4693124.6667188033</v>
      </c>
      <c r="AZ312" s="361">
        <f t="shared" si="331"/>
        <v>5164308.032687081</v>
      </c>
      <c r="BA312" s="361">
        <f t="shared" si="331"/>
        <v>6522667.6840510722</v>
      </c>
      <c r="BB312" s="361">
        <f t="shared" si="331"/>
        <v>3938582.9450793071</v>
      </c>
      <c r="BC312" s="361">
        <f t="shared" si="331"/>
        <v>6357030.7091763113</v>
      </c>
      <c r="BD312" s="361">
        <f>SUM(F312:BC312)</f>
        <v>172057060.53126621</v>
      </c>
      <c r="BE312" s="365">
        <f>BD312/'peasant income summary'!$DB$9</f>
        <v>1.1312397160265668</v>
      </c>
      <c r="BF312" s="350"/>
      <c r="BG312" s="29" t="s">
        <v>132</v>
      </c>
    </row>
    <row r="313" spans="1:59">
      <c r="A313" s="350"/>
      <c r="B313" s="355" t="s">
        <v>742</v>
      </c>
      <c r="C313" s="17" t="s">
        <v>743</v>
      </c>
      <c r="D313" s="23"/>
      <c r="F313" s="361">
        <f>(F$129-F$126)+F295</f>
        <v>5295533.913778631</v>
      </c>
      <c r="G313" s="361">
        <f t="shared" ref="G313:AL313" si="332">(G129-G126)+G295</f>
        <v>20873776.231426485</v>
      </c>
      <c r="H313" s="361">
        <f t="shared" si="332"/>
        <v>20937766.426693499</v>
      </c>
      <c r="I313" s="361">
        <f t="shared" si="332"/>
        <v>11776819.9771522</v>
      </c>
      <c r="J313" s="361">
        <f t="shared" si="332"/>
        <v>14726658.062259493</v>
      </c>
      <c r="K313" s="361">
        <f t="shared" si="332"/>
        <v>19005743.85076572</v>
      </c>
      <c r="L313" s="361">
        <f t="shared" si="332"/>
        <v>39149438.176405616</v>
      </c>
      <c r="M313" s="361">
        <f t="shared" si="332"/>
        <v>29876027.065659508</v>
      </c>
      <c r="N313" s="361">
        <f t="shared" si="332"/>
        <v>10287648.570650253</v>
      </c>
      <c r="O313" s="361">
        <f t="shared" si="332"/>
        <v>43083892.55671449</v>
      </c>
      <c r="P313" s="361">
        <f t="shared" si="332"/>
        <v>36322513.22482875</v>
      </c>
      <c r="Q313" s="361">
        <f t="shared" si="332"/>
        <v>29661314.210389752</v>
      </c>
      <c r="R313" s="361">
        <f t="shared" si="332"/>
        <v>24726197.135676343</v>
      </c>
      <c r="S313" s="361">
        <f t="shared" si="332"/>
        <v>16702473.407852814</v>
      </c>
      <c r="T313" s="361">
        <f t="shared" si="332"/>
        <v>23293111.798221119</v>
      </c>
      <c r="U313" s="361">
        <f t="shared" si="332"/>
        <v>26696221.59575402</v>
      </c>
      <c r="V313" s="361">
        <f t="shared" si="332"/>
        <v>26620727.153608598</v>
      </c>
      <c r="W313" s="361">
        <f t="shared" si="332"/>
        <v>20830070.640982773</v>
      </c>
      <c r="X313" s="361">
        <f t="shared" si="332"/>
        <v>28715263.095649909</v>
      </c>
      <c r="Y313" s="361">
        <f t="shared" si="332"/>
        <v>18174818.085837964</v>
      </c>
      <c r="Z313" s="361">
        <f t="shared" si="332"/>
        <v>35893881.830047846</v>
      </c>
      <c r="AA313" s="361">
        <f t="shared" si="332"/>
        <v>31344337.605559859</v>
      </c>
      <c r="AB313" s="361">
        <f t="shared" si="332"/>
        <v>28162203.871696588</v>
      </c>
      <c r="AC313" s="361">
        <f t="shared" si="332"/>
        <v>20974576.71655054</v>
      </c>
      <c r="AD313" s="361">
        <f t="shared" si="332"/>
        <v>25093753.740013745</v>
      </c>
      <c r="AE313" s="361">
        <f t="shared" si="332"/>
        <v>32963990.03330553</v>
      </c>
      <c r="AF313" s="361">
        <f t="shared" si="332"/>
        <v>22506017.020615593</v>
      </c>
      <c r="AG313" s="361">
        <f t="shared" si="332"/>
        <v>36241206.397120915</v>
      </c>
      <c r="AH313" s="361">
        <f t="shared" si="332"/>
        <v>17010340.355810951</v>
      </c>
      <c r="AI313" s="361">
        <f t="shared" si="332"/>
        <v>35662915.705184184</v>
      </c>
      <c r="AJ313" s="361">
        <f t="shared" si="332"/>
        <v>29748292.754319355</v>
      </c>
      <c r="AK313" s="361">
        <f t="shared" si="332"/>
        <v>29046911.486316472</v>
      </c>
      <c r="AL313" s="361">
        <f t="shared" si="332"/>
        <v>10453848.740708217</v>
      </c>
      <c r="AM313" s="361">
        <f t="shared" ref="AM313:BC313" si="333">(AM129-AM126)+AM295</f>
        <v>18902496.659299798</v>
      </c>
      <c r="AN313" s="361">
        <f t="shared" si="333"/>
        <v>6998128.2830861602</v>
      </c>
      <c r="AO313" s="361">
        <f t="shared" si="333"/>
        <v>18251226.951876085</v>
      </c>
      <c r="AP313" s="361">
        <f t="shared" si="333"/>
        <v>17789360.492373928</v>
      </c>
      <c r="AQ313" s="361">
        <f t="shared" si="333"/>
        <v>17729605.039003331</v>
      </c>
      <c r="AR313" s="361">
        <f t="shared" si="333"/>
        <v>18551011.722141534</v>
      </c>
      <c r="AS313" s="361">
        <f t="shared" si="333"/>
        <v>23944808.44313959</v>
      </c>
      <c r="AT313" s="361">
        <f t="shared" si="333"/>
        <v>16388812.052007727</v>
      </c>
      <c r="AU313" s="361">
        <f t="shared" si="333"/>
        <v>36928666.319473095</v>
      </c>
      <c r="AV313" s="361">
        <f t="shared" si="333"/>
        <v>44704625.858357199</v>
      </c>
      <c r="AW313" s="361">
        <f t="shared" si="333"/>
        <v>42048273.607510388</v>
      </c>
      <c r="AX313" s="361">
        <f t="shared" si="333"/>
        <v>6388404.2685276279</v>
      </c>
      <c r="AY313" s="361">
        <f t="shared" si="333"/>
        <v>24982315.777285948</v>
      </c>
      <c r="AZ313" s="361">
        <f t="shared" si="333"/>
        <v>21390009.371802401</v>
      </c>
      <c r="BA313" s="361">
        <f t="shared" si="333"/>
        <v>30420759.017078247</v>
      </c>
      <c r="BB313" s="361">
        <f t="shared" si="333"/>
        <v>16110450.428774033</v>
      </c>
      <c r="BC313" s="361">
        <f t="shared" si="333"/>
        <v>30283430.945845183</v>
      </c>
      <c r="BD313" s="361">
        <f t="shared" ref="BD313:BD324" si="334">SUM(F313:BC313)</f>
        <v>1213670676.6751401</v>
      </c>
      <c r="BE313" s="392">
        <f>BD313/'peasant income summary'!$DB$10</f>
        <v>1.0121947493548864</v>
      </c>
      <c r="BF313" s="350"/>
    </row>
    <row r="314" spans="1:59">
      <c r="A314" s="350"/>
      <c r="B314" s="355" t="s">
        <v>744</v>
      </c>
      <c r="C314" s="17" t="s">
        <v>745</v>
      </c>
      <c r="D314" s="23"/>
      <c r="F314" s="361">
        <f>(F$137-F$134)+F296</f>
        <v>12292018.17814366</v>
      </c>
      <c r="G314" s="361">
        <f t="shared" ref="G314:AL314" si="335">(G137-G134)+G296</f>
        <v>48822025.929456159</v>
      </c>
      <c r="H314" s="361">
        <f t="shared" si="335"/>
        <v>48453499.957901701</v>
      </c>
      <c r="I314" s="361">
        <f t="shared" si="335"/>
        <v>28137229.993360206</v>
      </c>
      <c r="J314" s="361">
        <f t="shared" si="335"/>
        <v>34644602.416785575</v>
      </c>
      <c r="K314" s="361">
        <f t="shared" si="335"/>
        <v>46113198.166120037</v>
      </c>
      <c r="L314" s="361">
        <f t="shared" si="335"/>
        <v>93752649.006881773</v>
      </c>
      <c r="M314" s="361">
        <f t="shared" si="335"/>
        <v>70510311.679942802</v>
      </c>
      <c r="N314" s="361">
        <f t="shared" si="335"/>
        <v>21822020.774688415</v>
      </c>
      <c r="O314" s="361">
        <f t="shared" si="335"/>
        <v>103846381.32765006</v>
      </c>
      <c r="P314" s="361">
        <f t="shared" si="335"/>
        <v>83376609.336054832</v>
      </c>
      <c r="Q314" s="361">
        <f t="shared" si="335"/>
        <v>71100723.610322088</v>
      </c>
      <c r="R314" s="361">
        <f t="shared" si="335"/>
        <v>59491180.366845608</v>
      </c>
      <c r="S314" s="361">
        <f t="shared" si="335"/>
        <v>39659471.167883135</v>
      </c>
      <c r="T314" s="361">
        <f t="shared" si="335"/>
        <v>56035108.087252885</v>
      </c>
      <c r="U314" s="361">
        <f t="shared" si="335"/>
        <v>63849759.197994754</v>
      </c>
      <c r="V314" s="361">
        <f t="shared" si="335"/>
        <v>64134538.064926028</v>
      </c>
      <c r="W314" s="361">
        <f t="shared" si="335"/>
        <v>49891528.829900771</v>
      </c>
      <c r="X314" s="361">
        <f t="shared" si="335"/>
        <v>69338116.949066997</v>
      </c>
      <c r="Y314" s="361">
        <f t="shared" si="335"/>
        <v>43575187.342115618</v>
      </c>
      <c r="Z314" s="361">
        <f t="shared" si="335"/>
        <v>84418953.909075677</v>
      </c>
      <c r="AA314" s="361">
        <f t="shared" si="335"/>
        <v>73612255.274136603</v>
      </c>
      <c r="AB314" s="361">
        <f t="shared" si="335"/>
        <v>67382033.974533811</v>
      </c>
      <c r="AC314" s="361">
        <f t="shared" si="335"/>
        <v>49767376.120906018</v>
      </c>
      <c r="AD314" s="361">
        <f t="shared" si="335"/>
        <v>60334448.588974059</v>
      </c>
      <c r="AE314" s="361">
        <f t="shared" si="335"/>
        <v>78127633.531404734</v>
      </c>
      <c r="AF314" s="361">
        <f t="shared" si="335"/>
        <v>54044695.662227802</v>
      </c>
      <c r="AG314" s="361">
        <f t="shared" si="335"/>
        <v>86081366.706456125</v>
      </c>
      <c r="AH314" s="361">
        <f t="shared" si="335"/>
        <v>40489564.356104881</v>
      </c>
      <c r="AI314" s="361">
        <f t="shared" si="335"/>
        <v>84566325.37358515</v>
      </c>
      <c r="AJ314" s="361">
        <f t="shared" si="335"/>
        <v>71070995.30377388</v>
      </c>
      <c r="AK314" s="361">
        <f t="shared" si="335"/>
        <v>67912066.929565787</v>
      </c>
      <c r="AL314" s="361">
        <f t="shared" si="335"/>
        <v>22808527.352330584</v>
      </c>
      <c r="AM314" s="361">
        <f t="shared" ref="AM314:BC314" si="336">(AM137-AM134)+AM296</f>
        <v>45852612.650379762</v>
      </c>
      <c r="AN314" s="361">
        <f t="shared" si="336"/>
        <v>16641502.610182954</v>
      </c>
      <c r="AO314" s="361">
        <f t="shared" si="336"/>
        <v>44647071.118082769</v>
      </c>
      <c r="AP314" s="361">
        <f t="shared" si="336"/>
        <v>43109459.439036615</v>
      </c>
      <c r="AQ314" s="361">
        <f t="shared" si="336"/>
        <v>42929247.796780184</v>
      </c>
      <c r="AR314" s="361">
        <f t="shared" si="336"/>
        <v>44887101.95573888</v>
      </c>
      <c r="AS314" s="361">
        <f t="shared" si="336"/>
        <v>57968044.267163701</v>
      </c>
      <c r="AT314" s="361">
        <f t="shared" si="336"/>
        <v>39500390.860763252</v>
      </c>
      <c r="AU314" s="361">
        <f t="shared" si="336"/>
        <v>90312786.484032482</v>
      </c>
      <c r="AV314" s="361">
        <f t="shared" si="336"/>
        <v>108430930.09283884</v>
      </c>
      <c r="AW314" s="361">
        <f t="shared" si="336"/>
        <v>100105427.68846175</v>
      </c>
      <c r="AX314" s="361">
        <f t="shared" si="336"/>
        <v>13438515.354910411</v>
      </c>
      <c r="AY314" s="361">
        <f t="shared" si="336"/>
        <v>58987897.629752837</v>
      </c>
      <c r="AZ314" s="361">
        <f t="shared" si="336"/>
        <v>46593383.525222421</v>
      </c>
      <c r="BA314" s="361">
        <f t="shared" si="336"/>
        <v>69788413.959152192</v>
      </c>
      <c r="BB314" s="361">
        <f t="shared" si="336"/>
        <v>37714889.238741711</v>
      </c>
      <c r="BC314" s="361">
        <f t="shared" si="336"/>
        <v>71726310.839498833</v>
      </c>
      <c r="BD314" s="361">
        <f t="shared" si="334"/>
        <v>2882096388.9771075</v>
      </c>
      <c r="BE314" s="392">
        <f>BD314/'peasant income summary'!$DB$11</f>
        <v>0.99563156578854595</v>
      </c>
      <c r="BF314" s="350"/>
    </row>
    <row r="315" spans="1:59">
      <c r="A315" s="350"/>
      <c r="B315" s="355" t="s">
        <v>746</v>
      </c>
      <c r="C315" s="17" t="s">
        <v>747</v>
      </c>
      <c r="D315" s="23"/>
      <c r="F315" s="361">
        <f>(F$145-F$142)+F297</f>
        <v>0</v>
      </c>
      <c r="G315" s="361">
        <f t="shared" ref="G315:AL315" si="337">(G145-G142)+G297</f>
        <v>14766990.435899932</v>
      </c>
      <c r="H315" s="361">
        <f t="shared" si="337"/>
        <v>13684104.549145218</v>
      </c>
      <c r="I315" s="361">
        <f t="shared" si="337"/>
        <v>10586603.499791542</v>
      </c>
      <c r="J315" s="361">
        <f t="shared" si="337"/>
        <v>15002979.243906191</v>
      </c>
      <c r="K315" s="361">
        <f t="shared" si="337"/>
        <v>24298320.169423215</v>
      </c>
      <c r="L315" s="361">
        <f t="shared" si="337"/>
        <v>48580123.659042299</v>
      </c>
      <c r="M315" s="361">
        <f t="shared" si="337"/>
        <v>35816294.971853167</v>
      </c>
      <c r="N315" s="361">
        <f t="shared" si="337"/>
        <v>9351780.3381849006</v>
      </c>
      <c r="O315" s="361">
        <f t="shared" si="337"/>
        <v>54273036.911589861</v>
      </c>
      <c r="P315" s="361">
        <f t="shared" si="337"/>
        <v>40692958.178884193</v>
      </c>
      <c r="Q315" s="361">
        <f t="shared" si="337"/>
        <v>36851647.201888219</v>
      </c>
      <c r="R315" s="361">
        <f t="shared" si="337"/>
        <v>31011064.797582377</v>
      </c>
      <c r="S315" s="361">
        <f t="shared" si="337"/>
        <v>20306006.029500034</v>
      </c>
      <c r="T315" s="361">
        <f t="shared" si="337"/>
        <v>29203603.715300839</v>
      </c>
      <c r="U315" s="361">
        <f t="shared" si="337"/>
        <v>33011669.229796361</v>
      </c>
      <c r="V315" s="361">
        <f t="shared" si="337"/>
        <v>33487146.476056177</v>
      </c>
      <c r="W315" s="361">
        <f t="shared" si="337"/>
        <v>25808807.266823661</v>
      </c>
      <c r="X315" s="361">
        <f t="shared" si="337"/>
        <v>33911892.601422377</v>
      </c>
      <c r="Y315" s="361">
        <f t="shared" si="337"/>
        <v>18641961.302913025</v>
      </c>
      <c r="Z315" s="361">
        <f t="shared" si="337"/>
        <v>42655994.253587782</v>
      </c>
      <c r="AA315" s="361">
        <f t="shared" si="337"/>
        <v>37122507.087187871</v>
      </c>
      <c r="AB315" s="361">
        <f t="shared" si="337"/>
        <v>34847883.431176983</v>
      </c>
      <c r="AC315" s="361">
        <f t="shared" si="337"/>
        <v>25454296.485677853</v>
      </c>
      <c r="AD315" s="361">
        <f t="shared" si="337"/>
        <v>31405724.967250112</v>
      </c>
      <c r="AE315" s="361">
        <f t="shared" si="337"/>
        <v>39857543.398277014</v>
      </c>
      <c r="AF315" s="361">
        <f t="shared" si="337"/>
        <v>28096907.843211714</v>
      </c>
      <c r="AG315" s="361">
        <f t="shared" si="337"/>
        <v>44094722.536410078</v>
      </c>
      <c r="AH315" s="361">
        <f t="shared" si="337"/>
        <v>20793242.644398842</v>
      </c>
      <c r="AI315" s="361">
        <f t="shared" si="337"/>
        <v>43206370.634140931</v>
      </c>
      <c r="AJ315" s="361">
        <f t="shared" si="337"/>
        <v>36669752.950950064</v>
      </c>
      <c r="AK315" s="361">
        <f t="shared" si="337"/>
        <v>26628206.190369301</v>
      </c>
      <c r="AL315" s="361">
        <f t="shared" si="337"/>
        <v>0</v>
      </c>
      <c r="AM315" s="361">
        <f t="shared" ref="AM315:BC315" si="338">(AM145-AM142)+AM297</f>
        <v>21149857.699653123</v>
      </c>
      <c r="AN315" s="361">
        <f t="shared" si="338"/>
        <v>5395220.8094791546</v>
      </c>
      <c r="AO315" s="361">
        <f t="shared" si="338"/>
        <v>23782993.416339245</v>
      </c>
      <c r="AP315" s="361">
        <f t="shared" si="338"/>
        <v>22677324.632732086</v>
      </c>
      <c r="AQ315" s="361">
        <f t="shared" si="338"/>
        <v>22560451.984419655</v>
      </c>
      <c r="AR315" s="361">
        <f t="shared" si="338"/>
        <v>23578365.718701243</v>
      </c>
      <c r="AS315" s="361">
        <f t="shared" si="338"/>
        <v>30456326.816303603</v>
      </c>
      <c r="AT315" s="361">
        <f t="shared" si="338"/>
        <v>20610560.097675089</v>
      </c>
      <c r="AU315" s="361">
        <f t="shared" si="338"/>
        <v>48083234.224215895</v>
      </c>
      <c r="AV315" s="361">
        <f t="shared" si="338"/>
        <v>57104478.734196633</v>
      </c>
      <c r="AW315" s="361">
        <f t="shared" si="338"/>
        <v>51431853.202928692</v>
      </c>
      <c r="AX315" s="361">
        <f t="shared" si="338"/>
        <v>5680071.5688120173</v>
      </c>
      <c r="AY315" s="361">
        <f t="shared" si="338"/>
        <v>29947839.728314981</v>
      </c>
      <c r="AZ315" s="361">
        <f t="shared" si="338"/>
        <v>20907292.972681727</v>
      </c>
      <c r="BA315" s="361">
        <f t="shared" si="338"/>
        <v>33943869.10847266</v>
      </c>
      <c r="BB315" s="361">
        <f t="shared" si="338"/>
        <v>18904880.68108882</v>
      </c>
      <c r="BC315" s="361">
        <f t="shared" si="338"/>
        <v>36544314.778872184</v>
      </c>
      <c r="BD315" s="361">
        <f t="shared" si="334"/>
        <v>1412879079.1765292</v>
      </c>
      <c r="BE315" s="392">
        <f>BD315/'peasant income summary'!$DB$12</f>
        <v>0.9791593041618879</v>
      </c>
      <c r="BF315" s="350"/>
    </row>
    <row r="316" spans="1:59">
      <c r="A316" s="350"/>
      <c r="B316" s="355" t="s">
        <v>748</v>
      </c>
      <c r="C316" s="17" t="s">
        <v>843</v>
      </c>
      <c r="D316" s="23"/>
      <c r="F316" s="361">
        <f>(F$153-F$150)+F298</f>
        <v>0</v>
      </c>
      <c r="G316" s="361">
        <f t="shared" ref="G316:AL316" si="339">(G153-G150)+G298</f>
        <v>0</v>
      </c>
      <c r="H316" s="361">
        <f t="shared" si="339"/>
        <v>0</v>
      </c>
      <c r="I316" s="361">
        <f t="shared" si="339"/>
        <v>4309442.5023297938</v>
      </c>
      <c r="J316" s="361">
        <f t="shared" si="339"/>
        <v>0</v>
      </c>
      <c r="K316" s="361">
        <f t="shared" si="339"/>
        <v>14146115.758656666</v>
      </c>
      <c r="L316" s="361">
        <f t="shared" si="339"/>
        <v>35326685.58314535</v>
      </c>
      <c r="M316" s="361">
        <f t="shared" si="339"/>
        <v>25527268.361432549</v>
      </c>
      <c r="N316" s="361">
        <f t="shared" si="339"/>
        <v>4709634.1377044786</v>
      </c>
      <c r="O316" s="361">
        <f t="shared" si="339"/>
        <v>42202612.796573356</v>
      </c>
      <c r="P316" s="361">
        <f t="shared" si="339"/>
        <v>26434621.600040641</v>
      </c>
      <c r="Q316" s="361">
        <f t="shared" si="339"/>
        <v>25582826.165013511</v>
      </c>
      <c r="R316" s="361">
        <f t="shared" si="339"/>
        <v>17881441.734873164</v>
      </c>
      <c r="S316" s="361">
        <f t="shared" si="339"/>
        <v>8325029.5849338463</v>
      </c>
      <c r="T316" s="361">
        <f t="shared" si="339"/>
        <v>7913989.8791507045</v>
      </c>
      <c r="U316" s="361">
        <f t="shared" si="339"/>
        <v>21738840.384810071</v>
      </c>
      <c r="V316" s="361">
        <f t="shared" si="339"/>
        <v>9577079.0832144134</v>
      </c>
      <c r="W316" s="361">
        <f t="shared" si="339"/>
        <v>8581675.8429459129</v>
      </c>
      <c r="X316" s="361">
        <f t="shared" si="339"/>
        <v>0</v>
      </c>
      <c r="Y316" s="361">
        <f t="shared" si="339"/>
        <v>0</v>
      </c>
      <c r="Z316" s="361">
        <f t="shared" si="339"/>
        <v>28144002.358013984</v>
      </c>
      <c r="AA316" s="361">
        <f t="shared" si="339"/>
        <v>6385783.9684964549</v>
      </c>
      <c r="AB316" s="361">
        <f t="shared" si="339"/>
        <v>14869688.814532628</v>
      </c>
      <c r="AC316" s="361">
        <f t="shared" si="339"/>
        <v>15514236.883409206</v>
      </c>
      <c r="AD316" s="361">
        <f t="shared" si="339"/>
        <v>9317782.6528644562</v>
      </c>
      <c r="AE316" s="361">
        <f t="shared" si="339"/>
        <v>27612554.591485165</v>
      </c>
      <c r="AF316" s="361">
        <f t="shared" si="339"/>
        <v>16856783.686066724</v>
      </c>
      <c r="AG316" s="361">
        <f t="shared" si="339"/>
        <v>26430959.811672296</v>
      </c>
      <c r="AH316" s="361">
        <f t="shared" si="339"/>
        <v>10034081.144326115</v>
      </c>
      <c r="AI316" s="361">
        <f t="shared" si="339"/>
        <v>1832228.1274758757</v>
      </c>
      <c r="AJ316" s="361">
        <f t="shared" si="339"/>
        <v>18779316.786060285</v>
      </c>
      <c r="AK316" s="361">
        <f t="shared" si="339"/>
        <v>0</v>
      </c>
      <c r="AL316" s="361">
        <f t="shared" si="339"/>
        <v>0</v>
      </c>
      <c r="AM316" s="361">
        <f t="shared" ref="AM316:BC316" si="340">(AM153-AM150)+AM298</f>
        <v>0</v>
      </c>
      <c r="AN316" s="361">
        <f t="shared" si="340"/>
        <v>0</v>
      </c>
      <c r="AO316" s="361">
        <f t="shared" si="340"/>
        <v>13722082.393035971</v>
      </c>
      <c r="AP316" s="361">
        <f t="shared" si="340"/>
        <v>12847253.277998574</v>
      </c>
      <c r="AQ316" s="361">
        <f t="shared" si="340"/>
        <v>9312543.6247998551</v>
      </c>
      <c r="AR316" s="361">
        <f t="shared" si="340"/>
        <v>12509950.727376359</v>
      </c>
      <c r="AS316" s="361">
        <f t="shared" si="340"/>
        <v>20342047.835217111</v>
      </c>
      <c r="AT316" s="361">
        <f t="shared" si="340"/>
        <v>9436125.1033117585</v>
      </c>
      <c r="AU316" s="361">
        <f t="shared" si="340"/>
        <v>28362977.972872362</v>
      </c>
      <c r="AV316" s="361">
        <f t="shared" si="340"/>
        <v>38305152.389032669</v>
      </c>
      <c r="AW316" s="361">
        <f t="shared" si="340"/>
        <v>35674253.35809806</v>
      </c>
      <c r="AX316" s="361">
        <f t="shared" si="340"/>
        <v>2962906.4960298068</v>
      </c>
      <c r="AY316" s="361">
        <f t="shared" si="340"/>
        <v>20653271.518943358</v>
      </c>
      <c r="AZ316" s="361">
        <f t="shared" si="340"/>
        <v>10085744.792474452</v>
      </c>
      <c r="BA316" s="361">
        <f t="shared" si="340"/>
        <v>20081474.938400015</v>
      </c>
      <c r="BB316" s="361">
        <f t="shared" si="340"/>
        <v>4691128.817146102</v>
      </c>
      <c r="BC316" s="361">
        <f t="shared" si="340"/>
        <v>24793656.795724329</v>
      </c>
      <c r="BD316" s="361">
        <f t="shared" si="334"/>
        <v>691815252.27968824</v>
      </c>
      <c r="BE316" s="392">
        <f>BD316/'peasant income summary'!$DB$13</f>
        <v>0.97126429792437741</v>
      </c>
      <c r="BF316" s="350"/>
    </row>
    <row r="317" spans="1:59">
      <c r="A317" s="350"/>
      <c r="B317" s="202" t="s">
        <v>844</v>
      </c>
      <c r="C317" s="23" t="s">
        <v>845</v>
      </c>
      <c r="D317" s="23"/>
      <c r="F317" s="361">
        <f>(F$253-F$207)+F299</f>
        <v>0</v>
      </c>
      <c r="G317" s="361">
        <f t="shared" ref="G317:AL317" si="341">(G253-G207)+G299</f>
        <v>0</v>
      </c>
      <c r="H317" s="361">
        <f t="shared" si="341"/>
        <v>53316.606097339543</v>
      </c>
      <c r="I317" s="361">
        <f t="shared" si="341"/>
        <v>0</v>
      </c>
      <c r="J317" s="361">
        <f t="shared" si="341"/>
        <v>0</v>
      </c>
      <c r="K317" s="361">
        <f t="shared" si="341"/>
        <v>0</v>
      </c>
      <c r="L317" s="361">
        <f t="shared" si="341"/>
        <v>0</v>
      </c>
      <c r="M317" s="361">
        <f t="shared" si="341"/>
        <v>0</v>
      </c>
      <c r="N317" s="361">
        <f t="shared" si="341"/>
        <v>0</v>
      </c>
      <c r="O317" s="361">
        <f t="shared" si="341"/>
        <v>0</v>
      </c>
      <c r="P317" s="361">
        <f t="shared" si="341"/>
        <v>186419.34482476013</v>
      </c>
      <c r="Q317" s="361">
        <f t="shared" si="341"/>
        <v>0</v>
      </c>
      <c r="R317" s="361">
        <f t="shared" si="341"/>
        <v>0</v>
      </c>
      <c r="S317" s="361">
        <f t="shared" si="341"/>
        <v>0</v>
      </c>
      <c r="T317" s="361">
        <f t="shared" si="341"/>
        <v>0</v>
      </c>
      <c r="U317" s="361">
        <f t="shared" si="341"/>
        <v>0</v>
      </c>
      <c r="V317" s="361">
        <f t="shared" si="341"/>
        <v>0</v>
      </c>
      <c r="W317" s="361">
        <f t="shared" si="341"/>
        <v>0</v>
      </c>
      <c r="X317" s="361">
        <f t="shared" si="341"/>
        <v>0</v>
      </c>
      <c r="Y317" s="361">
        <f t="shared" si="341"/>
        <v>0</v>
      </c>
      <c r="Z317" s="361">
        <f t="shared" si="341"/>
        <v>0</v>
      </c>
      <c r="AA317" s="361">
        <f t="shared" si="341"/>
        <v>0</v>
      </c>
      <c r="AB317" s="361">
        <f t="shared" si="341"/>
        <v>0</v>
      </c>
      <c r="AC317" s="361">
        <f t="shared" si="341"/>
        <v>0</v>
      </c>
      <c r="AD317" s="361">
        <f t="shared" si="341"/>
        <v>0</v>
      </c>
      <c r="AE317" s="361">
        <f t="shared" si="341"/>
        <v>0</v>
      </c>
      <c r="AF317" s="361">
        <f t="shared" si="341"/>
        <v>0</v>
      </c>
      <c r="AG317" s="361">
        <f t="shared" si="341"/>
        <v>0</v>
      </c>
      <c r="AH317" s="361">
        <f t="shared" si="341"/>
        <v>0</v>
      </c>
      <c r="AI317" s="361">
        <f t="shared" si="341"/>
        <v>0</v>
      </c>
      <c r="AJ317" s="361">
        <f t="shared" si="341"/>
        <v>0</v>
      </c>
      <c r="AK317" s="361">
        <f t="shared" si="341"/>
        <v>0</v>
      </c>
      <c r="AL317" s="361">
        <f t="shared" si="341"/>
        <v>0</v>
      </c>
      <c r="AM317" s="361">
        <f t="shared" ref="AM317:BC317" si="342">(AM253-AM207)+AM299</f>
        <v>0</v>
      </c>
      <c r="AN317" s="361">
        <f t="shared" si="342"/>
        <v>0</v>
      </c>
      <c r="AO317" s="361">
        <f t="shared" si="342"/>
        <v>0</v>
      </c>
      <c r="AP317" s="361">
        <f t="shared" si="342"/>
        <v>0</v>
      </c>
      <c r="AQ317" s="361">
        <f t="shared" si="342"/>
        <v>0</v>
      </c>
      <c r="AR317" s="361">
        <f t="shared" si="342"/>
        <v>0</v>
      </c>
      <c r="AS317" s="361">
        <f t="shared" si="342"/>
        <v>0</v>
      </c>
      <c r="AT317" s="361">
        <f t="shared" si="342"/>
        <v>0</v>
      </c>
      <c r="AU317" s="361">
        <f t="shared" si="342"/>
        <v>0</v>
      </c>
      <c r="AV317" s="361">
        <f t="shared" si="342"/>
        <v>0</v>
      </c>
      <c r="AW317" s="361">
        <f t="shared" si="342"/>
        <v>0</v>
      </c>
      <c r="AX317" s="361">
        <f t="shared" si="342"/>
        <v>0</v>
      </c>
      <c r="AY317" s="361">
        <f t="shared" si="342"/>
        <v>0</v>
      </c>
      <c r="AZ317" s="361">
        <f t="shared" si="342"/>
        <v>60012.307040656029</v>
      </c>
      <c r="BA317" s="361">
        <f t="shared" si="342"/>
        <v>96380.177021938041</v>
      </c>
      <c r="BB317" s="361">
        <f t="shared" si="342"/>
        <v>500515.01802261773</v>
      </c>
      <c r="BC317" s="361">
        <f t="shared" si="342"/>
        <v>0</v>
      </c>
      <c r="BD317" s="361">
        <f t="shared" si="334"/>
        <v>896643.45300731144</v>
      </c>
      <c r="BE317" s="365">
        <f>BD317/'peasant income summary'!DB$20</f>
        <v>0.99966848338940084</v>
      </c>
      <c r="BF317" s="350"/>
    </row>
    <row r="318" spans="1:59">
      <c r="A318" s="350"/>
      <c r="B318" s="202" t="s">
        <v>846</v>
      </c>
      <c r="C318" s="23" t="s">
        <v>892</v>
      </c>
      <c r="D318" s="23"/>
      <c r="F318" s="361">
        <f>(F$254-F$208)+F300</f>
        <v>0</v>
      </c>
      <c r="G318" s="361">
        <f t="shared" ref="G318:AL318" si="343">(G254-G208)+G300</f>
        <v>0</v>
      </c>
      <c r="H318" s="361">
        <f t="shared" si="343"/>
        <v>45112.604676972776</v>
      </c>
      <c r="I318" s="361">
        <f t="shared" si="343"/>
        <v>0</v>
      </c>
      <c r="J318" s="361">
        <f t="shared" si="343"/>
        <v>0</v>
      </c>
      <c r="K318" s="361">
        <f t="shared" si="343"/>
        <v>0</v>
      </c>
      <c r="L318" s="361">
        <f t="shared" si="343"/>
        <v>0</v>
      </c>
      <c r="M318" s="361">
        <f t="shared" si="343"/>
        <v>0</v>
      </c>
      <c r="N318" s="361">
        <f t="shared" si="343"/>
        <v>0</v>
      </c>
      <c r="O318" s="361">
        <f t="shared" si="343"/>
        <v>0</v>
      </c>
      <c r="P318" s="361">
        <f t="shared" si="343"/>
        <v>144591.65457176723</v>
      </c>
      <c r="Q318" s="361">
        <f t="shared" si="343"/>
        <v>0</v>
      </c>
      <c r="R318" s="361">
        <f t="shared" si="343"/>
        <v>0</v>
      </c>
      <c r="S318" s="361">
        <f t="shared" si="343"/>
        <v>0</v>
      </c>
      <c r="T318" s="361">
        <f t="shared" si="343"/>
        <v>0</v>
      </c>
      <c r="U318" s="361">
        <f t="shared" si="343"/>
        <v>47106.689228976233</v>
      </c>
      <c r="V318" s="361">
        <f t="shared" si="343"/>
        <v>55570.531116017177</v>
      </c>
      <c r="W318" s="361">
        <f t="shared" si="343"/>
        <v>0</v>
      </c>
      <c r="X318" s="361">
        <f t="shared" si="343"/>
        <v>46389.614273475789</v>
      </c>
      <c r="Y318" s="361">
        <f t="shared" si="343"/>
        <v>0</v>
      </c>
      <c r="Z318" s="361">
        <f t="shared" si="343"/>
        <v>29900.55347673134</v>
      </c>
      <c r="AA318" s="361">
        <f t="shared" si="343"/>
        <v>0</v>
      </c>
      <c r="AB318" s="361">
        <f t="shared" si="343"/>
        <v>38141.575177059458</v>
      </c>
      <c r="AC318" s="361">
        <f t="shared" si="343"/>
        <v>0</v>
      </c>
      <c r="AD318" s="361">
        <f t="shared" si="343"/>
        <v>0</v>
      </c>
      <c r="AE318" s="361">
        <f t="shared" si="343"/>
        <v>28660.640875432589</v>
      </c>
      <c r="AF318" s="361">
        <f t="shared" si="343"/>
        <v>0</v>
      </c>
      <c r="AG318" s="361">
        <f t="shared" si="343"/>
        <v>81011.519547432443</v>
      </c>
      <c r="AH318" s="361">
        <f t="shared" si="343"/>
        <v>0</v>
      </c>
      <c r="AI318" s="361">
        <f t="shared" si="343"/>
        <v>44329.517991536442</v>
      </c>
      <c r="AJ318" s="361">
        <f t="shared" si="343"/>
        <v>0</v>
      </c>
      <c r="AK318" s="361">
        <f t="shared" si="343"/>
        <v>0</v>
      </c>
      <c r="AL318" s="361">
        <f t="shared" si="343"/>
        <v>0</v>
      </c>
      <c r="AM318" s="361">
        <f t="shared" ref="AM318:BC318" si="344">(AM254-AM208)+AM300</f>
        <v>0</v>
      </c>
      <c r="AN318" s="361">
        <f t="shared" si="344"/>
        <v>0</v>
      </c>
      <c r="AO318" s="361">
        <f t="shared" si="344"/>
        <v>0</v>
      </c>
      <c r="AP318" s="361">
        <f t="shared" si="344"/>
        <v>0</v>
      </c>
      <c r="AQ318" s="361">
        <f t="shared" si="344"/>
        <v>0</v>
      </c>
      <c r="AR318" s="361">
        <f t="shared" si="344"/>
        <v>0</v>
      </c>
      <c r="AS318" s="361">
        <f t="shared" si="344"/>
        <v>0</v>
      </c>
      <c r="AT318" s="361">
        <f t="shared" si="344"/>
        <v>0</v>
      </c>
      <c r="AU318" s="361">
        <f t="shared" si="344"/>
        <v>0</v>
      </c>
      <c r="AV318" s="361">
        <f t="shared" si="344"/>
        <v>0</v>
      </c>
      <c r="AW318" s="361">
        <f t="shared" si="344"/>
        <v>0</v>
      </c>
      <c r="AX318" s="361">
        <f t="shared" si="344"/>
        <v>0</v>
      </c>
      <c r="AY318" s="361">
        <f t="shared" si="344"/>
        <v>53272.914469502561</v>
      </c>
      <c r="AZ318" s="361">
        <f t="shared" si="344"/>
        <v>117035.70039332111</v>
      </c>
      <c r="BA318" s="361">
        <f t="shared" si="344"/>
        <v>292188.97094437142</v>
      </c>
      <c r="BB318" s="361">
        <f t="shared" si="344"/>
        <v>884375.31502839178</v>
      </c>
      <c r="BC318" s="361">
        <f t="shared" si="344"/>
        <v>534525.48591503652</v>
      </c>
      <c r="BD318" s="361">
        <f t="shared" si="334"/>
        <v>2442213.2876860248</v>
      </c>
      <c r="BE318" s="365">
        <f>BD318/'peasant income summary'!DB$19</f>
        <v>0.99899007507271831</v>
      </c>
      <c r="BF318" s="350"/>
    </row>
    <row r="319" spans="1:59">
      <c r="A319" s="350"/>
      <c r="B319" s="202" t="s">
        <v>192</v>
      </c>
      <c r="C319" s="23" t="s">
        <v>893</v>
      </c>
      <c r="D319" s="23"/>
      <c r="F319" s="361">
        <f>(F$255-F$209)+F301</f>
        <v>0</v>
      </c>
      <c r="G319" s="361">
        <f t="shared" ref="G319:AL319" si="345">(G255-G209)+G301</f>
        <v>0</v>
      </c>
      <c r="H319" s="361">
        <f t="shared" si="345"/>
        <v>60776.217996896288</v>
      </c>
      <c r="I319" s="361">
        <f t="shared" si="345"/>
        <v>0</v>
      </c>
      <c r="J319" s="361">
        <f t="shared" si="345"/>
        <v>20863.000153008099</v>
      </c>
      <c r="K319" s="361">
        <f t="shared" si="345"/>
        <v>51781.829061102522</v>
      </c>
      <c r="L319" s="361">
        <f t="shared" si="345"/>
        <v>37138.563259951421</v>
      </c>
      <c r="M319" s="361">
        <f t="shared" si="345"/>
        <v>15210.077742988055</v>
      </c>
      <c r="N319" s="361">
        <f t="shared" si="345"/>
        <v>5830.7154702702474</v>
      </c>
      <c r="O319" s="361">
        <f t="shared" si="345"/>
        <v>0</v>
      </c>
      <c r="P319" s="361">
        <f t="shared" si="345"/>
        <v>282540.54910076433</v>
      </c>
      <c r="Q319" s="361">
        <f t="shared" si="345"/>
        <v>0</v>
      </c>
      <c r="R319" s="361">
        <f t="shared" si="345"/>
        <v>27780.193117929008</v>
      </c>
      <c r="S319" s="361">
        <f t="shared" si="345"/>
        <v>14608.212044818865</v>
      </c>
      <c r="T319" s="361">
        <f t="shared" si="345"/>
        <v>10085.709872902002</v>
      </c>
      <c r="U319" s="361">
        <f t="shared" si="345"/>
        <v>69909.137572479667</v>
      </c>
      <c r="V319" s="361">
        <f t="shared" si="345"/>
        <v>50182.086585477424</v>
      </c>
      <c r="W319" s="361">
        <f t="shared" si="345"/>
        <v>0</v>
      </c>
      <c r="X319" s="361">
        <f t="shared" si="345"/>
        <v>0</v>
      </c>
      <c r="Y319" s="361">
        <f t="shared" si="345"/>
        <v>0</v>
      </c>
      <c r="Z319" s="361">
        <f t="shared" si="345"/>
        <v>32440.373983177182</v>
      </c>
      <c r="AA319" s="361">
        <f t="shared" si="345"/>
        <v>36628.846006015243</v>
      </c>
      <c r="AB319" s="361">
        <f t="shared" si="345"/>
        <v>37544.94427863256</v>
      </c>
      <c r="AC319" s="361">
        <f t="shared" si="345"/>
        <v>14252.735337938713</v>
      </c>
      <c r="AD319" s="361">
        <f t="shared" si="345"/>
        <v>130740.46003303173</v>
      </c>
      <c r="AE319" s="361">
        <f t="shared" si="345"/>
        <v>132655.59259978199</v>
      </c>
      <c r="AF319" s="361">
        <f t="shared" si="345"/>
        <v>13185.079515601587</v>
      </c>
      <c r="AG319" s="361">
        <f t="shared" si="345"/>
        <v>0</v>
      </c>
      <c r="AH319" s="361">
        <f t="shared" si="345"/>
        <v>0</v>
      </c>
      <c r="AI319" s="361">
        <f t="shared" si="345"/>
        <v>76863.844977418179</v>
      </c>
      <c r="AJ319" s="361">
        <f t="shared" si="345"/>
        <v>41391.41093197545</v>
      </c>
      <c r="AK319" s="361">
        <f t="shared" si="345"/>
        <v>0</v>
      </c>
      <c r="AL319" s="361">
        <f t="shared" si="345"/>
        <v>0</v>
      </c>
      <c r="AM319" s="361">
        <f t="shared" ref="AM319:BC319" si="346">(AM255-AM209)+AM301</f>
        <v>0</v>
      </c>
      <c r="AN319" s="361">
        <f t="shared" si="346"/>
        <v>0</v>
      </c>
      <c r="AO319" s="361">
        <f t="shared" si="346"/>
        <v>20295.810351688422</v>
      </c>
      <c r="AP319" s="361">
        <f t="shared" si="346"/>
        <v>0</v>
      </c>
      <c r="AQ319" s="361">
        <f t="shared" si="346"/>
        <v>0</v>
      </c>
      <c r="AR319" s="361">
        <f t="shared" si="346"/>
        <v>0</v>
      </c>
      <c r="AS319" s="361">
        <f t="shared" si="346"/>
        <v>0</v>
      </c>
      <c r="AT319" s="361">
        <f t="shared" si="346"/>
        <v>0</v>
      </c>
      <c r="AU319" s="361">
        <f t="shared" si="346"/>
        <v>0</v>
      </c>
      <c r="AV319" s="361">
        <f t="shared" si="346"/>
        <v>30644.469566645555</v>
      </c>
      <c r="AW319" s="361">
        <f t="shared" si="346"/>
        <v>65841.51092160336</v>
      </c>
      <c r="AX319" s="361">
        <f t="shared" si="346"/>
        <v>0</v>
      </c>
      <c r="AY319" s="361">
        <f t="shared" si="346"/>
        <v>69717.975897718396</v>
      </c>
      <c r="AZ319" s="361">
        <f t="shared" si="346"/>
        <v>257241.83858140119</v>
      </c>
      <c r="BA319" s="361">
        <f t="shared" si="346"/>
        <v>627876.72821897524</v>
      </c>
      <c r="BB319" s="361">
        <f t="shared" si="346"/>
        <v>1033914.0854022757</v>
      </c>
      <c r="BC319" s="361">
        <f t="shared" si="346"/>
        <v>776704.08573761629</v>
      </c>
      <c r="BD319" s="361">
        <f t="shared" si="334"/>
        <v>4044646.0843200847</v>
      </c>
      <c r="BE319" s="365">
        <f>BD319/'peasant income summary'!DB$18</f>
        <v>0.99792333739178318</v>
      </c>
      <c r="BF319" s="350"/>
    </row>
    <row r="320" spans="1:59">
      <c r="A320" s="350"/>
      <c r="B320" s="202" t="s">
        <v>894</v>
      </c>
      <c r="C320" s="23" t="s">
        <v>895</v>
      </c>
      <c r="D320" s="23"/>
      <c r="F320" s="361">
        <f>(F$256-F$210)+F302</f>
        <v>0</v>
      </c>
      <c r="G320" s="361">
        <f t="shared" ref="G320:AL320" si="347">(G256-G210)+G302</f>
        <v>10697.426703491295</v>
      </c>
      <c r="H320" s="361">
        <f t="shared" si="347"/>
        <v>75724.48644419125</v>
      </c>
      <c r="I320" s="361">
        <f t="shared" si="347"/>
        <v>0</v>
      </c>
      <c r="J320" s="361">
        <f t="shared" si="347"/>
        <v>16421.551007361657</v>
      </c>
      <c r="K320" s="361">
        <f t="shared" si="347"/>
        <v>91491.864876028107</v>
      </c>
      <c r="L320" s="361">
        <f t="shared" si="347"/>
        <v>22558.19477249675</v>
      </c>
      <c r="M320" s="361">
        <f t="shared" si="347"/>
        <v>6301.1176753278241</v>
      </c>
      <c r="N320" s="361">
        <f t="shared" si="347"/>
        <v>14143.894513909356</v>
      </c>
      <c r="O320" s="361">
        <f t="shared" si="347"/>
        <v>0</v>
      </c>
      <c r="P320" s="361">
        <f t="shared" si="347"/>
        <v>291497.86052269157</v>
      </c>
      <c r="Q320" s="361">
        <f t="shared" si="347"/>
        <v>25987.435236575722</v>
      </c>
      <c r="R320" s="361">
        <f t="shared" si="347"/>
        <v>88463.311618090578</v>
      </c>
      <c r="S320" s="361">
        <f t="shared" si="347"/>
        <v>43392.863108087884</v>
      </c>
      <c r="T320" s="361">
        <f t="shared" si="347"/>
        <v>43394.740913377042</v>
      </c>
      <c r="U320" s="361">
        <f t="shared" si="347"/>
        <v>174862.46357023946</v>
      </c>
      <c r="V320" s="361">
        <f t="shared" si="347"/>
        <v>14069.011003848678</v>
      </c>
      <c r="W320" s="361">
        <f t="shared" si="347"/>
        <v>35438.876956825377</v>
      </c>
      <c r="X320" s="361">
        <f t="shared" si="347"/>
        <v>35625.720393260424</v>
      </c>
      <c r="Y320" s="361">
        <f t="shared" si="347"/>
        <v>6921.0058276341451</v>
      </c>
      <c r="Z320" s="361">
        <f t="shared" si="347"/>
        <v>68919.745660263972</v>
      </c>
      <c r="AA320" s="361">
        <f t="shared" si="347"/>
        <v>59786.436081836961</v>
      </c>
      <c r="AB320" s="361">
        <f t="shared" si="347"/>
        <v>55748.827702285496</v>
      </c>
      <c r="AC320" s="361">
        <f t="shared" si="347"/>
        <v>47373.157446267847</v>
      </c>
      <c r="AD320" s="361">
        <f t="shared" si="347"/>
        <v>106333.32520462759</v>
      </c>
      <c r="AE320" s="361">
        <f t="shared" si="347"/>
        <v>185088.05245749335</v>
      </c>
      <c r="AF320" s="361">
        <f t="shared" si="347"/>
        <v>47383.065315978667</v>
      </c>
      <c r="AG320" s="361">
        <f t="shared" si="347"/>
        <v>48906.583959396601</v>
      </c>
      <c r="AH320" s="361">
        <f t="shared" si="347"/>
        <v>31065.441601173592</v>
      </c>
      <c r="AI320" s="361">
        <f t="shared" si="347"/>
        <v>170933.56995720722</v>
      </c>
      <c r="AJ320" s="361">
        <f t="shared" si="347"/>
        <v>205393.52872442012</v>
      </c>
      <c r="AK320" s="361">
        <f t="shared" si="347"/>
        <v>56774.13433160141</v>
      </c>
      <c r="AL320" s="361">
        <f t="shared" si="347"/>
        <v>0</v>
      </c>
      <c r="AM320" s="361">
        <f t="shared" ref="AM320:BC320" si="348">(AM256-AM210)+AM302</f>
        <v>0</v>
      </c>
      <c r="AN320" s="361">
        <f t="shared" si="348"/>
        <v>0</v>
      </c>
      <c r="AO320" s="361">
        <f t="shared" si="348"/>
        <v>28697.399597052685</v>
      </c>
      <c r="AP320" s="361">
        <f t="shared" si="348"/>
        <v>25065.963528242781</v>
      </c>
      <c r="AQ320" s="361">
        <f t="shared" si="348"/>
        <v>5208.5299022014988</v>
      </c>
      <c r="AR320" s="361">
        <f t="shared" si="348"/>
        <v>0</v>
      </c>
      <c r="AS320" s="361">
        <f t="shared" si="348"/>
        <v>28848.6940756646</v>
      </c>
      <c r="AT320" s="361">
        <f t="shared" si="348"/>
        <v>0</v>
      </c>
      <c r="AU320" s="361">
        <f t="shared" si="348"/>
        <v>32865.592957286433</v>
      </c>
      <c r="AV320" s="361">
        <f t="shared" si="348"/>
        <v>33354.060651203785</v>
      </c>
      <c r="AW320" s="361">
        <f t="shared" si="348"/>
        <v>64237.000962031489</v>
      </c>
      <c r="AX320" s="361">
        <f t="shared" si="348"/>
        <v>53809.586280615353</v>
      </c>
      <c r="AY320" s="361">
        <f t="shared" si="348"/>
        <v>57410.273628658848</v>
      </c>
      <c r="AZ320" s="361">
        <f t="shared" si="348"/>
        <v>260075.41613893598</v>
      </c>
      <c r="BA320" s="361">
        <f t="shared" si="348"/>
        <v>885583.9254366362</v>
      </c>
      <c r="BB320" s="361">
        <f t="shared" si="348"/>
        <v>1108430.485728455</v>
      </c>
      <c r="BC320" s="361">
        <f t="shared" si="348"/>
        <v>1331223.5633623612</v>
      </c>
      <c r="BD320" s="361">
        <f t="shared" si="334"/>
        <v>5995508.1858353354</v>
      </c>
      <c r="BE320" s="365">
        <f>BD320/'peasant income summary'!DB$17</f>
        <v>0.99644391045911729</v>
      </c>
      <c r="BF320" s="350"/>
    </row>
    <row r="321" spans="1:58">
      <c r="A321" s="350"/>
      <c r="B321" s="202" t="s">
        <v>896</v>
      </c>
      <c r="C321" s="23" t="s">
        <v>897</v>
      </c>
      <c r="D321" s="23"/>
      <c r="F321" s="361">
        <f>(F$257-F$211)+F303</f>
        <v>0</v>
      </c>
      <c r="G321" s="361">
        <f t="shared" ref="G321:AL321" si="349">(G257-G211)+G303</f>
        <v>33879.709125419213</v>
      </c>
      <c r="H321" s="361">
        <f t="shared" si="349"/>
        <v>187636.45186251408</v>
      </c>
      <c r="I321" s="361">
        <f t="shared" si="349"/>
        <v>37272.717375564971</v>
      </c>
      <c r="J321" s="361">
        <f t="shared" si="349"/>
        <v>25393.032087225049</v>
      </c>
      <c r="K321" s="361">
        <f t="shared" si="349"/>
        <v>154903.39308231478</v>
      </c>
      <c r="L321" s="361">
        <f t="shared" si="349"/>
        <v>30617.395061048555</v>
      </c>
      <c r="M321" s="361">
        <f t="shared" si="349"/>
        <v>54884.66306786715</v>
      </c>
      <c r="N321" s="361">
        <f t="shared" si="349"/>
        <v>49287.747098715656</v>
      </c>
      <c r="O321" s="361">
        <f t="shared" si="349"/>
        <v>0</v>
      </c>
      <c r="P321" s="361">
        <f t="shared" si="349"/>
        <v>525032.10091247945</v>
      </c>
      <c r="Q321" s="361">
        <f t="shared" si="349"/>
        <v>12504.396961674347</v>
      </c>
      <c r="R321" s="361">
        <f t="shared" si="349"/>
        <v>134422.83010371565</v>
      </c>
      <c r="S321" s="361">
        <f t="shared" si="349"/>
        <v>169661.91107272357</v>
      </c>
      <c r="T321" s="361">
        <f t="shared" si="349"/>
        <v>51898.05061654895</v>
      </c>
      <c r="U321" s="361">
        <f t="shared" si="349"/>
        <v>366699.20543498604</v>
      </c>
      <c r="V321" s="361">
        <f t="shared" si="349"/>
        <v>84173.297972010434</v>
      </c>
      <c r="W321" s="361">
        <f t="shared" si="349"/>
        <v>81852.259544553614</v>
      </c>
      <c r="X321" s="361">
        <f t="shared" si="349"/>
        <v>115546.84420564798</v>
      </c>
      <c r="Y321" s="361">
        <f t="shared" si="349"/>
        <v>84868.927231560694</v>
      </c>
      <c r="Z321" s="361">
        <f t="shared" si="349"/>
        <v>274201.48742309789</v>
      </c>
      <c r="AA321" s="361">
        <f t="shared" si="349"/>
        <v>242840.70731586762</v>
      </c>
      <c r="AB321" s="361">
        <f t="shared" si="349"/>
        <v>180410.92791576136</v>
      </c>
      <c r="AC321" s="361">
        <f t="shared" si="349"/>
        <v>123825.34348810745</v>
      </c>
      <c r="AD321" s="361">
        <f t="shared" si="349"/>
        <v>164985.08704482831</v>
      </c>
      <c r="AE321" s="361">
        <f t="shared" si="349"/>
        <v>367653.24750130816</v>
      </c>
      <c r="AF321" s="361">
        <f t="shared" si="349"/>
        <v>121508.75639024716</v>
      </c>
      <c r="AG321" s="361">
        <f t="shared" si="349"/>
        <v>249178.22637627611</v>
      </c>
      <c r="AH321" s="361">
        <f t="shared" si="349"/>
        <v>122299.5437847979</v>
      </c>
      <c r="AI321" s="361">
        <f t="shared" si="349"/>
        <v>466367.6873442303</v>
      </c>
      <c r="AJ321" s="361">
        <f t="shared" si="349"/>
        <v>427719.67195761879</v>
      </c>
      <c r="AK321" s="361">
        <f t="shared" si="349"/>
        <v>165418.94583140619</v>
      </c>
      <c r="AL321" s="361">
        <f t="shared" si="349"/>
        <v>0</v>
      </c>
      <c r="AM321" s="361">
        <f t="shared" ref="AM321:BC321" si="350">(AM257-AM211)+AM303</f>
        <v>0</v>
      </c>
      <c r="AN321" s="361">
        <f t="shared" si="350"/>
        <v>0</v>
      </c>
      <c r="AO321" s="361">
        <f t="shared" si="350"/>
        <v>59586.351479194018</v>
      </c>
      <c r="AP321" s="361">
        <f t="shared" si="350"/>
        <v>72419.46890523484</v>
      </c>
      <c r="AQ321" s="361">
        <f t="shared" si="350"/>
        <v>35482.373371492671</v>
      </c>
      <c r="AR321" s="361">
        <f t="shared" si="350"/>
        <v>48422.411408514061</v>
      </c>
      <c r="AS321" s="361">
        <f t="shared" si="350"/>
        <v>36063.912214546646</v>
      </c>
      <c r="AT321" s="361">
        <f t="shared" si="350"/>
        <v>57672.879299060471</v>
      </c>
      <c r="AU321" s="361">
        <f t="shared" si="350"/>
        <v>70367.608792662257</v>
      </c>
      <c r="AV321" s="361">
        <f t="shared" si="350"/>
        <v>74232.343838506247</v>
      </c>
      <c r="AW321" s="361">
        <f t="shared" si="350"/>
        <v>120632.33734180078</v>
      </c>
      <c r="AX321" s="361">
        <f t="shared" si="350"/>
        <v>33715.268821815174</v>
      </c>
      <c r="AY321" s="361">
        <f t="shared" si="350"/>
        <v>96345.587607390727</v>
      </c>
      <c r="AZ321" s="361">
        <f t="shared" si="350"/>
        <v>851853.45630623878</v>
      </c>
      <c r="BA321" s="361">
        <f t="shared" si="350"/>
        <v>1342801.3841634546</v>
      </c>
      <c r="BB321" s="361">
        <f t="shared" si="350"/>
        <v>1138468.5953419295</v>
      </c>
      <c r="BC321" s="361">
        <f t="shared" si="350"/>
        <v>1614436.6543747694</v>
      </c>
      <c r="BD321" s="361">
        <f t="shared" si="334"/>
        <v>10759445.198456727</v>
      </c>
      <c r="BE321" s="365">
        <f>BD321/'peasant income summary'!DB$16</f>
        <v>0.9925570565227666</v>
      </c>
      <c r="BF321" s="350"/>
    </row>
    <row r="322" spans="1:58">
      <c r="A322" s="350"/>
      <c r="B322" s="202" t="s">
        <v>898</v>
      </c>
      <c r="C322" s="23" t="s">
        <v>899</v>
      </c>
      <c r="D322" s="23"/>
      <c r="F322" s="361">
        <f>(F$258-F$212)+F304</f>
        <v>0</v>
      </c>
      <c r="G322" s="361">
        <f t="shared" ref="G322:AL322" si="351">(G258-G212)+G304</f>
        <v>48006.425564102457</v>
      </c>
      <c r="H322" s="361">
        <f t="shared" si="351"/>
        <v>362012.16969108157</v>
      </c>
      <c r="I322" s="361">
        <f t="shared" si="351"/>
        <v>30192.190217029271</v>
      </c>
      <c r="J322" s="361">
        <f t="shared" si="351"/>
        <v>108238.53737956351</v>
      </c>
      <c r="K322" s="361">
        <f t="shared" si="351"/>
        <v>176394.77667915268</v>
      </c>
      <c r="L322" s="361">
        <f t="shared" si="351"/>
        <v>8711.7253848911751</v>
      </c>
      <c r="M322" s="361">
        <f t="shared" si="351"/>
        <v>60716.013479514178</v>
      </c>
      <c r="N322" s="361">
        <f t="shared" si="351"/>
        <v>99949.871099938187</v>
      </c>
      <c r="O322" s="361">
        <f t="shared" si="351"/>
        <v>0</v>
      </c>
      <c r="P322" s="361">
        <f t="shared" si="351"/>
        <v>413894.01969394484</v>
      </c>
      <c r="Q322" s="361">
        <f t="shared" si="351"/>
        <v>58533.023498784678</v>
      </c>
      <c r="R322" s="361">
        <f t="shared" si="351"/>
        <v>168643.60621336914</v>
      </c>
      <c r="S322" s="361">
        <f t="shared" si="351"/>
        <v>157465.5845246808</v>
      </c>
      <c r="T322" s="361">
        <f t="shared" si="351"/>
        <v>64096.072274483195</v>
      </c>
      <c r="U322" s="361">
        <f t="shared" si="351"/>
        <v>273371.42464007583</v>
      </c>
      <c r="V322" s="361">
        <f t="shared" si="351"/>
        <v>78608.660267474406</v>
      </c>
      <c r="W322" s="361">
        <f t="shared" si="351"/>
        <v>182635.7315408639</v>
      </c>
      <c r="X322" s="361">
        <f t="shared" si="351"/>
        <v>204383.63248507134</v>
      </c>
      <c r="Y322" s="361">
        <f t="shared" si="351"/>
        <v>90450.122083629714</v>
      </c>
      <c r="Z322" s="361">
        <f t="shared" si="351"/>
        <v>290470.19777765672</v>
      </c>
      <c r="AA322" s="361">
        <f t="shared" si="351"/>
        <v>350841.84590123931</v>
      </c>
      <c r="AB322" s="361">
        <f t="shared" si="351"/>
        <v>201520.12122381944</v>
      </c>
      <c r="AC322" s="361">
        <f t="shared" si="351"/>
        <v>155007.98705989105</v>
      </c>
      <c r="AD322" s="361">
        <f t="shared" si="351"/>
        <v>244224.308295597</v>
      </c>
      <c r="AE322" s="361">
        <f t="shared" si="351"/>
        <v>229021.60474516317</v>
      </c>
      <c r="AF322" s="361">
        <f t="shared" si="351"/>
        <v>115578.55468813924</v>
      </c>
      <c r="AG322" s="361">
        <f t="shared" si="351"/>
        <v>279498.46625082853</v>
      </c>
      <c r="AH322" s="361">
        <f t="shared" si="351"/>
        <v>131053.48308681289</v>
      </c>
      <c r="AI322" s="361">
        <f t="shared" si="351"/>
        <v>678409.89840563864</v>
      </c>
      <c r="AJ322" s="361">
        <f t="shared" si="351"/>
        <v>477936.36687330023</v>
      </c>
      <c r="AK322" s="361">
        <f t="shared" si="351"/>
        <v>206275.3300601361</v>
      </c>
      <c r="AL322" s="361">
        <f t="shared" si="351"/>
        <v>0</v>
      </c>
      <c r="AM322" s="361">
        <f t="shared" ref="AM322:BC322" si="352">(AM258-AM212)+AM304</f>
        <v>0</v>
      </c>
      <c r="AN322" s="361">
        <f t="shared" si="352"/>
        <v>0</v>
      </c>
      <c r="AO322" s="361">
        <f t="shared" si="352"/>
        <v>57373.861630028929</v>
      </c>
      <c r="AP322" s="361">
        <f t="shared" si="352"/>
        <v>64662.627615698992</v>
      </c>
      <c r="AQ322" s="361">
        <f t="shared" si="352"/>
        <v>28119.751064350756</v>
      </c>
      <c r="AR322" s="361">
        <f t="shared" si="352"/>
        <v>87285.392023261142</v>
      </c>
      <c r="AS322" s="361">
        <f t="shared" si="352"/>
        <v>15762.963434177909</v>
      </c>
      <c r="AT322" s="361">
        <f t="shared" si="352"/>
        <v>72817.922848405549</v>
      </c>
      <c r="AU322" s="361">
        <f t="shared" si="352"/>
        <v>84758.162375723856</v>
      </c>
      <c r="AV322" s="361">
        <f t="shared" si="352"/>
        <v>62557.557124376865</v>
      </c>
      <c r="AW322" s="361">
        <f t="shared" si="352"/>
        <v>49313.939730390302</v>
      </c>
      <c r="AX322" s="361">
        <f t="shared" si="352"/>
        <v>16172.813440301328</v>
      </c>
      <c r="AY322" s="361">
        <f t="shared" si="352"/>
        <v>40014.659792390143</v>
      </c>
      <c r="AZ322" s="361">
        <f t="shared" si="352"/>
        <v>1649759.6371937112</v>
      </c>
      <c r="BA322" s="361">
        <f t="shared" si="352"/>
        <v>935181.44189138024</v>
      </c>
      <c r="BB322" s="361">
        <f t="shared" si="352"/>
        <v>1073040.1996428187</v>
      </c>
      <c r="BC322" s="361">
        <f t="shared" si="352"/>
        <v>844187.58375316206</v>
      </c>
      <c r="BD322" s="361">
        <f t="shared" si="334"/>
        <v>11027150.26464605</v>
      </c>
      <c r="BE322" s="365">
        <f>BD322/'peasant income summary'!DB$15</f>
        <v>0.98580085563311293</v>
      </c>
      <c r="BF322" s="350"/>
    </row>
    <row r="323" spans="1:58">
      <c r="A323" s="350"/>
      <c r="B323" s="202" t="s">
        <v>900</v>
      </c>
      <c r="C323" s="23" t="s">
        <v>874</v>
      </c>
      <c r="D323" s="23"/>
      <c r="F323" s="361">
        <f>(F$259-F$213)+F305</f>
        <v>16762857.675810695</v>
      </c>
      <c r="G323" s="361">
        <f t="shared" ref="G323:AL323" si="353">(G259-G213)+G305</f>
        <v>38326980.991471447</v>
      </c>
      <c r="H323" s="361">
        <f t="shared" si="353"/>
        <v>40599760.605440006</v>
      </c>
      <c r="I323" s="361">
        <f t="shared" si="353"/>
        <v>517902.14621733502</v>
      </c>
      <c r="J323" s="361">
        <f t="shared" si="353"/>
        <v>20104268.046245139</v>
      </c>
      <c r="K323" s="361">
        <f t="shared" si="353"/>
        <v>5284439.0971439304</v>
      </c>
      <c r="L323" s="361">
        <f t="shared" si="353"/>
        <v>2592594.2123683658</v>
      </c>
      <c r="M323" s="361">
        <f t="shared" si="353"/>
        <v>1804305.3897356661</v>
      </c>
      <c r="N323" s="361">
        <f t="shared" si="353"/>
        <v>1060556.084109491</v>
      </c>
      <c r="O323" s="361">
        <f t="shared" si="353"/>
        <v>361452.50545670168</v>
      </c>
      <c r="P323" s="361">
        <f t="shared" si="353"/>
        <v>3629612.7824217984</v>
      </c>
      <c r="Q323" s="361">
        <f t="shared" si="353"/>
        <v>3644873.0501535414</v>
      </c>
      <c r="R323" s="361">
        <f t="shared" si="353"/>
        <v>6126174.7287146775</v>
      </c>
      <c r="S323" s="361">
        <f t="shared" si="353"/>
        <v>7490382.1052652821</v>
      </c>
      <c r="T323" s="361">
        <f t="shared" si="353"/>
        <v>13981512.074682435</v>
      </c>
      <c r="U323" s="361">
        <f t="shared" si="353"/>
        <v>3668440.0191844585</v>
      </c>
      <c r="V323" s="361">
        <f t="shared" si="353"/>
        <v>15432057.04269813</v>
      </c>
      <c r="W323" s="361">
        <f t="shared" si="353"/>
        <v>11847684.641566599</v>
      </c>
      <c r="X323" s="361">
        <f t="shared" si="353"/>
        <v>31049690.036630552</v>
      </c>
      <c r="Y323" s="361">
        <f t="shared" si="353"/>
        <v>23700949.707014322</v>
      </c>
      <c r="Z323" s="361">
        <f t="shared" si="353"/>
        <v>4343491.8043120764</v>
      </c>
      <c r="AA323" s="361">
        <f t="shared" si="353"/>
        <v>24495012.171062797</v>
      </c>
      <c r="AB323" s="361">
        <f t="shared" si="353"/>
        <v>12210987.206656501</v>
      </c>
      <c r="AC323" s="361">
        <f t="shared" si="353"/>
        <v>4257109.1533315238</v>
      </c>
      <c r="AD323" s="361">
        <f t="shared" si="353"/>
        <v>14715977.19564428</v>
      </c>
      <c r="AE323" s="361">
        <f t="shared" si="353"/>
        <v>3082169.3077260195</v>
      </c>
      <c r="AF323" s="361">
        <f t="shared" si="353"/>
        <v>5220061.9390790369</v>
      </c>
      <c r="AG323" s="361">
        <f t="shared" si="353"/>
        <v>8173361.4422301725</v>
      </c>
      <c r="AH323" s="361">
        <f t="shared" si="353"/>
        <v>7210535.2449938254</v>
      </c>
      <c r="AI323" s="361">
        <f t="shared" si="353"/>
        <v>37104456.041865095</v>
      </c>
      <c r="AJ323" s="361">
        <f t="shared" si="353"/>
        <v>11507694.073415602</v>
      </c>
      <c r="AK323" s="361">
        <f t="shared" si="353"/>
        <v>47224231.49238611</v>
      </c>
      <c r="AL323" s="361">
        <f t="shared" si="353"/>
        <v>34133917.475604929</v>
      </c>
      <c r="AM323" s="361">
        <f t="shared" ref="AM323:BC323" si="354">(AM259-AM213)+AM305</f>
        <v>24322234.637060966</v>
      </c>
      <c r="AN323" s="361">
        <f t="shared" si="354"/>
        <v>12140919.112701911</v>
      </c>
      <c r="AO323" s="361">
        <f t="shared" si="354"/>
        <v>5102206.9159680838</v>
      </c>
      <c r="AP323" s="361">
        <f t="shared" si="354"/>
        <v>4950618.6913118111</v>
      </c>
      <c r="AQ323" s="361">
        <f t="shared" si="354"/>
        <v>7942555.1636839462</v>
      </c>
      <c r="AR323" s="361">
        <f t="shared" si="354"/>
        <v>6185289.5109426184</v>
      </c>
      <c r="AS323" s="361">
        <f t="shared" si="354"/>
        <v>3494721.0701509011</v>
      </c>
      <c r="AT323" s="361">
        <f t="shared" si="354"/>
        <v>6880593.6868776614</v>
      </c>
      <c r="AU323" s="361">
        <f t="shared" si="354"/>
        <v>9282625.4227626752</v>
      </c>
      <c r="AV323" s="361">
        <f t="shared" si="354"/>
        <v>7198856.7391044311</v>
      </c>
      <c r="AW323" s="361">
        <f t="shared" si="354"/>
        <v>4104702.8005046048</v>
      </c>
      <c r="AX323" s="361">
        <f t="shared" si="354"/>
        <v>67515.056948344718</v>
      </c>
      <c r="AY323" s="361">
        <f t="shared" si="354"/>
        <v>2486775.8519889186</v>
      </c>
      <c r="AZ323" s="361">
        <f t="shared" si="354"/>
        <v>3571656.8818029817</v>
      </c>
      <c r="BA323" s="361">
        <f t="shared" si="354"/>
        <v>5021722.6293883333</v>
      </c>
      <c r="BB323" s="361">
        <f t="shared" si="354"/>
        <v>10936374.985136816</v>
      </c>
      <c r="BC323" s="361">
        <f t="shared" si="354"/>
        <v>2413195.321640193</v>
      </c>
      <c r="BD323" s="361">
        <f t="shared" si="334"/>
        <v>577768061.96861362</v>
      </c>
      <c r="BE323" s="365">
        <f>BD323/'peasant income summary'!DB$14</f>
        <v>0.97755648047330268</v>
      </c>
      <c r="BF323" s="350"/>
    </row>
    <row r="324" spans="1:58">
      <c r="A324" s="350"/>
      <c r="C324" s="23"/>
      <c r="D324" s="9" t="s">
        <v>218</v>
      </c>
      <c r="F324" s="361">
        <f>F$116+(F$129-F$126)+(F$137-F$134)+(F$145-F$142)+(F$153-F$150)+(F$260-SUM(F$207:F$213))+F306</f>
        <v>35089959.461763643</v>
      </c>
      <c r="G324" s="361">
        <f t="shared" ref="G324:AL324" si="355">G116+(G129-G126)+(G137-G134)+(G145-G142)+(G153-G150)+(G260-SUM(G207:G213))+G306</f>
        <v>125444947.26884106</v>
      </c>
      <c r="H324" s="361">
        <f t="shared" si="355"/>
        <v>127673804.79651955</v>
      </c>
      <c r="I324" s="361">
        <f t="shared" si="355"/>
        <v>56969290.960611016</v>
      </c>
      <c r="J324" s="361">
        <f t="shared" si="355"/>
        <v>86576315.218505263</v>
      </c>
      <c r="K324" s="361">
        <f t="shared" si="355"/>
        <v>113347180.45577385</v>
      </c>
      <c r="L324" s="361">
        <f t="shared" si="355"/>
        <v>224636615.01242995</v>
      </c>
      <c r="M324" s="361">
        <f t="shared" si="355"/>
        <v>167051840.26431975</v>
      </c>
      <c r="N324" s="361">
        <f t="shared" si="355"/>
        <v>49488914.90206819</v>
      </c>
      <c r="O324" s="361">
        <f t="shared" si="355"/>
        <v>250284790.05843806</v>
      </c>
      <c r="P324" s="361">
        <f t="shared" si="355"/>
        <v>197842772.3383339</v>
      </c>
      <c r="Q324" s="361">
        <f t="shared" si="355"/>
        <v>170947529.01202896</v>
      </c>
      <c r="R324" s="361">
        <f t="shared" si="355"/>
        <v>143369906.98918417</v>
      </c>
      <c r="S324" s="361">
        <f t="shared" si="355"/>
        <v>95039675.748344541</v>
      </c>
      <c r="T324" s="361">
        <f t="shared" si="355"/>
        <v>133623819.41137506</v>
      </c>
      <c r="U324" s="361">
        <f t="shared" si="355"/>
        <v>154197206.25421491</v>
      </c>
      <c r="V324" s="361">
        <f t="shared" si="355"/>
        <v>152910822.2885085</v>
      </c>
      <c r="W324" s="361">
        <f t="shared" si="355"/>
        <v>119693531.39141816</v>
      </c>
      <c r="X324" s="361">
        <f t="shared" si="355"/>
        <v>167630388.01467112</v>
      </c>
      <c r="Y324" s="361">
        <f t="shared" si="355"/>
        <v>106918909.58597144</v>
      </c>
      <c r="Z324" s="361">
        <f t="shared" si="355"/>
        <v>200241570.66655558</v>
      </c>
      <c r="AA324" s="361">
        <f t="shared" si="355"/>
        <v>177483912.86117038</v>
      </c>
      <c r="AB324" s="361">
        <f t="shared" si="355"/>
        <v>161932803.73268086</v>
      </c>
      <c r="AC324" s="361">
        <f t="shared" si="355"/>
        <v>118490200.69195284</v>
      </c>
      <c r="AD324" s="361">
        <f t="shared" si="355"/>
        <v>144152347.29273781</v>
      </c>
      <c r="AE324" s="361">
        <f t="shared" si="355"/>
        <v>187284699.81398761</v>
      </c>
      <c r="AF324" s="361">
        <f t="shared" si="355"/>
        <v>129488151.70302217</v>
      </c>
      <c r="AG324" s="361">
        <f t="shared" si="355"/>
        <v>205671214.47222349</v>
      </c>
      <c r="AH324" s="361">
        <f t="shared" si="355"/>
        <v>98930321.779631674</v>
      </c>
      <c r="AI324" s="361">
        <f t="shared" si="355"/>
        <v>208872081.1610091</v>
      </c>
      <c r="AJ324" s="361">
        <f t="shared" si="355"/>
        <v>174175020.48763275</v>
      </c>
      <c r="AK324" s="361">
        <f t="shared" si="355"/>
        <v>174674593.43949559</v>
      </c>
      <c r="AL324" s="361">
        <f t="shared" si="355"/>
        <v>69714329.525496751</v>
      </c>
      <c r="AM324" s="361">
        <f t="shared" ref="AM324:BC324" si="356">AM116+(AM129-AM126)+(AM137-AM134)+(AM145-AM142)+(AM153-AM150)+(AM260-SUM(AM207:AM213))+AM306</f>
        <v>114051546.06573357</v>
      </c>
      <c r="AN324" s="361">
        <f t="shared" si="356"/>
        <v>42492899.910147622</v>
      </c>
      <c r="AO324" s="361">
        <f t="shared" si="356"/>
        <v>107847012.7213473</v>
      </c>
      <c r="AP324" s="361">
        <f t="shared" si="356"/>
        <v>103679470.56096414</v>
      </c>
      <c r="AQ324" s="361">
        <f t="shared" si="356"/>
        <v>102679357.41368379</v>
      </c>
      <c r="AR324" s="361">
        <f t="shared" si="356"/>
        <v>108266240.49058113</v>
      </c>
      <c r="AS324" s="361">
        <f t="shared" si="356"/>
        <v>138706306.82037875</v>
      </c>
      <c r="AT324" s="361">
        <f t="shared" si="356"/>
        <v>94766792.644355893</v>
      </c>
      <c r="AU324" s="361">
        <f t="shared" si="356"/>
        <v>216940022.09094971</v>
      </c>
      <c r="AV324" s="361">
        <f t="shared" si="356"/>
        <v>260183649.90980855</v>
      </c>
      <c r="AW324" s="361">
        <f t="shared" si="356"/>
        <v>237831172.99910483</v>
      </c>
      <c r="AX324" s="361">
        <f t="shared" si="356"/>
        <v>29968839.354345411</v>
      </c>
      <c r="AY324" s="361">
        <f t="shared" si="356"/>
        <v>142067986.5844005</v>
      </c>
      <c r="AZ324" s="361">
        <f t="shared" si="356"/>
        <v>110908373.93232533</v>
      </c>
      <c r="BA324" s="361">
        <f t="shared" si="356"/>
        <v>169958919.96421927</v>
      </c>
      <c r="BB324" s="361">
        <f t="shared" si="356"/>
        <v>98035050.795133263</v>
      </c>
      <c r="BC324" s="361">
        <f t="shared" si="356"/>
        <v>177219016.76389998</v>
      </c>
      <c r="BD324" s="363">
        <f t="shared" si="334"/>
        <v>6985452126.0822954</v>
      </c>
      <c r="BE324" s="23" t="s">
        <v>218</v>
      </c>
      <c r="BF324" s="350"/>
    </row>
    <row r="325" spans="1:58">
      <c r="A325" s="350"/>
      <c r="F325" s="362">
        <f>F324-SUM(F312:F323)</f>
        <v>0</v>
      </c>
      <c r="G325" s="362">
        <f t="shared" ref="G325:BC325" si="357">G324-SUM(G312:G323)</f>
        <v>0</v>
      </c>
      <c r="H325" s="362">
        <f t="shared" si="357"/>
        <v>0</v>
      </c>
      <c r="I325" s="362">
        <f t="shared" si="357"/>
        <v>0</v>
      </c>
      <c r="J325" s="362">
        <f t="shared" si="357"/>
        <v>0</v>
      </c>
      <c r="K325" s="362">
        <f t="shared" si="357"/>
        <v>0</v>
      </c>
      <c r="L325" s="362">
        <f t="shared" si="357"/>
        <v>0</v>
      </c>
      <c r="M325" s="362">
        <f t="shared" si="357"/>
        <v>0</v>
      </c>
      <c r="N325" s="362">
        <f t="shared" si="357"/>
        <v>0</v>
      </c>
      <c r="O325" s="362">
        <f t="shared" si="357"/>
        <v>0</v>
      </c>
      <c r="P325" s="362">
        <f t="shared" si="357"/>
        <v>0</v>
      </c>
      <c r="Q325" s="362">
        <f t="shared" si="357"/>
        <v>0</v>
      </c>
      <c r="R325" s="362">
        <f t="shared" si="357"/>
        <v>0</v>
      </c>
      <c r="S325" s="362">
        <f t="shared" si="357"/>
        <v>0</v>
      </c>
      <c r="T325" s="362">
        <f t="shared" si="357"/>
        <v>0</v>
      </c>
      <c r="U325" s="362">
        <f t="shared" si="357"/>
        <v>0</v>
      </c>
      <c r="V325" s="362">
        <f t="shared" si="357"/>
        <v>0</v>
      </c>
      <c r="W325" s="362">
        <f t="shared" si="357"/>
        <v>0</v>
      </c>
      <c r="X325" s="362">
        <f t="shared" si="357"/>
        <v>0</v>
      </c>
      <c r="Y325" s="362">
        <f t="shared" si="357"/>
        <v>0</v>
      </c>
      <c r="Z325" s="362">
        <f t="shared" si="357"/>
        <v>0</v>
      </c>
      <c r="AA325" s="362">
        <f t="shared" si="357"/>
        <v>0</v>
      </c>
      <c r="AB325" s="362">
        <f t="shared" si="357"/>
        <v>0</v>
      </c>
      <c r="AC325" s="362">
        <f t="shared" si="357"/>
        <v>0</v>
      </c>
      <c r="AD325" s="362">
        <f t="shared" si="357"/>
        <v>0</v>
      </c>
      <c r="AE325" s="362">
        <f t="shared" si="357"/>
        <v>0</v>
      </c>
      <c r="AF325" s="362">
        <f t="shared" si="357"/>
        <v>0</v>
      </c>
      <c r="AG325" s="362">
        <f t="shared" si="357"/>
        <v>0</v>
      </c>
      <c r="AH325" s="362">
        <f t="shared" si="357"/>
        <v>0</v>
      </c>
      <c r="AI325" s="362">
        <f t="shared" si="357"/>
        <v>0</v>
      </c>
      <c r="AJ325" s="362">
        <f t="shared" si="357"/>
        <v>0</v>
      </c>
      <c r="AK325" s="362">
        <f t="shared" si="357"/>
        <v>0</v>
      </c>
      <c r="AL325" s="362">
        <f t="shared" si="357"/>
        <v>0</v>
      </c>
      <c r="AM325" s="362">
        <f t="shared" si="357"/>
        <v>0</v>
      </c>
      <c r="AN325" s="362">
        <f t="shared" si="357"/>
        <v>0</v>
      </c>
      <c r="AO325" s="362">
        <f t="shared" si="357"/>
        <v>0</v>
      </c>
      <c r="AP325" s="362">
        <f t="shared" si="357"/>
        <v>0</v>
      </c>
      <c r="AQ325" s="362">
        <f t="shared" si="357"/>
        <v>0</v>
      </c>
      <c r="AR325" s="362">
        <f t="shared" si="357"/>
        <v>0</v>
      </c>
      <c r="AS325" s="362">
        <f t="shared" si="357"/>
        <v>0</v>
      </c>
      <c r="AT325" s="362">
        <f t="shared" si="357"/>
        <v>0</v>
      </c>
      <c r="AU325" s="362">
        <f t="shared" si="357"/>
        <v>0</v>
      </c>
      <c r="AV325" s="362">
        <f t="shared" si="357"/>
        <v>0</v>
      </c>
      <c r="AW325" s="362">
        <f t="shared" si="357"/>
        <v>0</v>
      </c>
      <c r="AX325" s="362">
        <f t="shared" si="357"/>
        <v>0</v>
      </c>
      <c r="AY325" s="362">
        <f t="shared" si="357"/>
        <v>0</v>
      </c>
      <c r="AZ325" s="362">
        <f t="shared" si="357"/>
        <v>0</v>
      </c>
      <c r="BA325" s="362">
        <f t="shared" si="357"/>
        <v>0</v>
      </c>
      <c r="BB325" s="362">
        <f t="shared" si="357"/>
        <v>0</v>
      </c>
      <c r="BC325" s="362">
        <f t="shared" si="357"/>
        <v>0</v>
      </c>
      <c r="BD325" s="362">
        <f>BD324-SUM(BD312:BD323)</f>
        <v>0</v>
      </c>
      <c r="BF325" s="350"/>
    </row>
    <row r="326" spans="1:58">
      <c r="A326" s="350"/>
      <c r="BD326" s="6" t="s">
        <v>888</v>
      </c>
      <c r="BF326" s="350"/>
    </row>
    <row r="327" spans="1:58">
      <c r="A327" s="350"/>
      <c r="BD327" s="6" t="s">
        <v>856</v>
      </c>
      <c r="BF327" s="350"/>
    </row>
    <row r="328" spans="1:58" ht="17">
      <c r="A328" s="350"/>
      <c r="AZ328" s="56" t="s">
        <v>889</v>
      </c>
      <c r="BD328" s="394">
        <f>'peasant income summary'!DB22</f>
        <v>7027591497.3525906</v>
      </c>
      <c r="BF328" s="350"/>
    </row>
    <row r="329" spans="1:58">
      <c r="A329" s="350"/>
      <c r="B329" s="350"/>
      <c r="C329" s="350"/>
      <c r="D329" s="350"/>
      <c r="E329" s="352"/>
      <c r="F329" s="350"/>
      <c r="G329" s="350"/>
      <c r="H329" s="350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  <c r="W329" s="350"/>
      <c r="X329" s="350"/>
      <c r="Y329" s="350"/>
      <c r="Z329" s="350"/>
      <c r="AA329" s="350"/>
      <c r="AB329" s="350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0"/>
      <c r="BA329" s="350"/>
      <c r="BB329" s="350"/>
      <c r="BC329" s="350"/>
      <c r="BD329" s="350"/>
      <c r="BE329" s="350"/>
      <c r="BF329" s="350"/>
    </row>
    <row r="332" spans="1:58" ht="18">
      <c r="A332" s="366"/>
      <c r="B332" s="367" t="s">
        <v>880</v>
      </c>
      <c r="C332" s="366"/>
      <c r="D332" s="366"/>
      <c r="E332" s="368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  <c r="AL332" s="366"/>
      <c r="AM332" s="366"/>
      <c r="AN332" s="366"/>
      <c r="AO332" s="366"/>
      <c r="AP332" s="366"/>
      <c r="AQ332" s="366"/>
      <c r="AR332" s="366"/>
      <c r="AS332" s="366"/>
      <c r="AT332" s="366"/>
      <c r="AU332" s="366"/>
      <c r="AV332" s="366"/>
      <c r="AW332" s="366"/>
      <c r="AX332" s="366"/>
      <c r="AY332" s="366"/>
      <c r="AZ332" s="366"/>
      <c r="BA332" s="366"/>
      <c r="BB332" s="366"/>
      <c r="BC332" s="366"/>
      <c r="BD332" s="366"/>
      <c r="BE332" s="366"/>
      <c r="BF332" s="366"/>
    </row>
    <row r="333" spans="1:58">
      <c r="A333" s="366"/>
      <c r="B333" s="6" t="s">
        <v>850</v>
      </c>
      <c r="BF333" s="366"/>
    </row>
    <row r="334" spans="1:58">
      <c r="A334" s="366"/>
      <c r="D334" s="171" t="s">
        <v>881</v>
      </c>
      <c r="BF334" s="366"/>
    </row>
    <row r="335" spans="1:58">
      <c r="A335" s="366"/>
      <c r="B335" s="23" t="s">
        <v>124</v>
      </c>
      <c r="F335" s="369">
        <f>F101/0.25</f>
        <v>179.56240316977176</v>
      </c>
      <c r="G335" s="369">
        <f t="shared" ref="G335:BD335" si="358">G101/0.25</f>
        <v>171.52772758497903</v>
      </c>
      <c r="H335" s="369">
        <f t="shared" si="358"/>
        <v>207.01196211886065</v>
      </c>
      <c r="I335" s="369">
        <f t="shared" si="358"/>
        <v>1162.8928864130694</v>
      </c>
      <c r="J335" s="369">
        <f t="shared" si="358"/>
        <v>143.65699652625912</v>
      </c>
      <c r="K335" s="369">
        <f t="shared" si="358"/>
        <v>35.115142867036788</v>
      </c>
      <c r="L335" s="369">
        <f t="shared" si="358"/>
        <v>76.994822198853427</v>
      </c>
      <c r="M335" s="369">
        <f t="shared" si="358"/>
        <v>124.32271713161316</v>
      </c>
      <c r="N335" s="369">
        <f t="shared" si="358"/>
        <v>506.73323354109544</v>
      </c>
      <c r="O335" s="369">
        <f t="shared" si="358"/>
        <v>55.645765442816369</v>
      </c>
      <c r="P335" s="369">
        <f t="shared" si="358"/>
        <v>217.22011411109915</v>
      </c>
      <c r="Q335" s="369">
        <f t="shared" si="358"/>
        <v>66.766500810741448</v>
      </c>
      <c r="R335" s="369">
        <f t="shared" si="358"/>
        <v>72.073509213454443</v>
      </c>
      <c r="S335" s="369">
        <f t="shared" si="358"/>
        <v>121.95274228912803</v>
      </c>
      <c r="T335" s="369">
        <f t="shared" si="358"/>
        <v>72.538393437261135</v>
      </c>
      <c r="U335" s="369">
        <f t="shared" si="358"/>
        <v>93.156255097592378</v>
      </c>
      <c r="V335" s="369">
        <f t="shared" si="358"/>
        <v>66.219545131944543</v>
      </c>
      <c r="W335" s="369">
        <f t="shared" si="358"/>
        <v>76.535933640685997</v>
      </c>
      <c r="X335" s="369">
        <f t="shared" si="358"/>
        <v>52.849808310386898</v>
      </c>
      <c r="Y335" s="369">
        <f t="shared" si="358"/>
        <v>84.971938839933244</v>
      </c>
      <c r="Z335" s="369">
        <f t="shared" si="358"/>
        <v>149.56615883303286</v>
      </c>
      <c r="AA335" s="369">
        <f t="shared" si="358"/>
        <v>155.48694322027441</v>
      </c>
      <c r="AB335" s="369">
        <f t="shared" si="358"/>
        <v>89.77964625359462</v>
      </c>
      <c r="AC335" s="369">
        <f t="shared" si="358"/>
        <v>116.39064638477673</v>
      </c>
      <c r="AD335" s="369">
        <f t="shared" si="358"/>
        <v>70.549630590406622</v>
      </c>
      <c r="AE335" s="369">
        <f t="shared" si="358"/>
        <v>112.61913388548516</v>
      </c>
      <c r="AF335" s="369">
        <f t="shared" si="358"/>
        <v>73.818910535961024</v>
      </c>
      <c r="AG335" s="369">
        <f t="shared" si="358"/>
        <v>113.23492151640549</v>
      </c>
      <c r="AH335" s="369">
        <f t="shared" si="358"/>
        <v>93.038972197512194</v>
      </c>
      <c r="AI335" s="369">
        <f t="shared" si="358"/>
        <v>106.02399316711153</v>
      </c>
      <c r="AJ335" s="369">
        <f t="shared" si="358"/>
        <v>78.853590304872455</v>
      </c>
      <c r="AK335" s="369">
        <f t="shared" si="358"/>
        <v>152.90572429751126</v>
      </c>
      <c r="AL335" s="369">
        <f t="shared" si="358"/>
        <v>448.25512928101682</v>
      </c>
      <c r="AM335" s="369">
        <f t="shared" si="358"/>
        <v>42.339633518515221</v>
      </c>
      <c r="AN335" s="369">
        <f t="shared" si="358"/>
        <v>120.58868729843499</v>
      </c>
      <c r="AO335" s="369">
        <f t="shared" si="358"/>
        <v>9.6559855064701026</v>
      </c>
      <c r="AP335" s="369">
        <f t="shared" si="358"/>
        <v>42.093683541910444</v>
      </c>
      <c r="AQ335" s="369">
        <f t="shared" si="358"/>
        <v>45.972825731233833</v>
      </c>
      <c r="AR335" s="369">
        <f t="shared" si="358"/>
        <v>51.979371017657726</v>
      </c>
      <c r="AS335" s="369">
        <f t="shared" si="358"/>
        <v>46.556600590692192</v>
      </c>
      <c r="AT335" s="369">
        <f t="shared" si="358"/>
        <v>55.053774037570506</v>
      </c>
      <c r="AU335" s="369">
        <f t="shared" si="358"/>
        <v>9.2661490387421388</v>
      </c>
      <c r="AV335" s="369">
        <f t="shared" si="358"/>
        <v>36.130851412943493</v>
      </c>
      <c r="AW335" s="369">
        <f t="shared" si="358"/>
        <v>103.53663338491924</v>
      </c>
      <c r="AX335" s="369">
        <f t="shared" si="358"/>
        <v>626.00407832165706</v>
      </c>
      <c r="AY335" s="369">
        <f t="shared" si="358"/>
        <v>129.12757879985469</v>
      </c>
      <c r="AZ335" s="369">
        <f t="shared" si="358"/>
        <v>447.93918993493264</v>
      </c>
      <c r="BA335" s="369">
        <f t="shared" si="358"/>
        <v>224.72384175643597</v>
      </c>
      <c r="BB335" s="369">
        <f t="shared" si="358"/>
        <v>154.9132060006165</v>
      </c>
      <c r="BC335" s="369">
        <f t="shared" si="358"/>
        <v>112.187862185613</v>
      </c>
      <c r="BD335" s="369">
        <f t="shared" si="358"/>
        <v>116.06116546282695</v>
      </c>
      <c r="BF335" s="366"/>
    </row>
    <row r="336" spans="1:58">
      <c r="A336" s="366"/>
      <c r="B336" s="202" t="s">
        <v>610</v>
      </c>
      <c r="C336" s="23" t="s">
        <v>611</v>
      </c>
      <c r="D336" s="23"/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F336" s="366"/>
    </row>
    <row r="337" spans="1:58">
      <c r="A337" s="366"/>
      <c r="B337" s="355" t="s">
        <v>742</v>
      </c>
      <c r="C337" s="17" t="s">
        <v>743</v>
      </c>
      <c r="D337" s="23"/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F337" s="366"/>
    </row>
    <row r="338" spans="1:58">
      <c r="A338" s="366"/>
      <c r="B338" s="355" t="s">
        <v>744</v>
      </c>
      <c r="C338" s="17" t="s">
        <v>745</v>
      </c>
      <c r="D338" s="23"/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F338" s="366"/>
    </row>
    <row r="339" spans="1:58">
      <c r="A339" s="366"/>
      <c r="B339" s="355" t="s">
        <v>746</v>
      </c>
      <c r="C339" s="17" t="s">
        <v>747</v>
      </c>
      <c r="D339" s="23"/>
      <c r="F339" s="369">
        <f>F$335</f>
        <v>179.56240316977176</v>
      </c>
      <c r="G339" s="369">
        <f t="shared" ref="G339:BD344" si="359">G$335</f>
        <v>171.52772758497903</v>
      </c>
      <c r="H339" s="369">
        <f t="shared" si="359"/>
        <v>207.01196211886065</v>
      </c>
      <c r="I339" s="369">
        <f t="shared" si="359"/>
        <v>1162.8928864130694</v>
      </c>
      <c r="J339" s="369">
        <f t="shared" si="359"/>
        <v>143.65699652625912</v>
      </c>
      <c r="K339" s="369">
        <f t="shared" si="359"/>
        <v>35.115142867036788</v>
      </c>
      <c r="L339" s="369">
        <f t="shared" si="359"/>
        <v>76.994822198853427</v>
      </c>
      <c r="M339" s="369">
        <f t="shared" si="359"/>
        <v>124.32271713161316</v>
      </c>
      <c r="N339" s="369">
        <f t="shared" si="359"/>
        <v>506.73323354109544</v>
      </c>
      <c r="O339" s="369">
        <f t="shared" si="359"/>
        <v>55.645765442816369</v>
      </c>
      <c r="P339" s="369">
        <f t="shared" si="359"/>
        <v>217.22011411109915</v>
      </c>
      <c r="Q339" s="369">
        <f t="shared" si="359"/>
        <v>66.766500810741448</v>
      </c>
      <c r="R339" s="369">
        <f t="shared" si="359"/>
        <v>72.073509213454443</v>
      </c>
      <c r="S339" s="369">
        <f t="shared" si="359"/>
        <v>121.95274228912803</v>
      </c>
      <c r="T339" s="369">
        <f t="shared" si="359"/>
        <v>72.538393437261135</v>
      </c>
      <c r="U339" s="369">
        <f t="shared" si="359"/>
        <v>93.156255097592378</v>
      </c>
      <c r="V339" s="369">
        <f t="shared" si="359"/>
        <v>66.219545131944543</v>
      </c>
      <c r="W339" s="369">
        <f t="shared" si="359"/>
        <v>76.535933640685997</v>
      </c>
      <c r="X339" s="369">
        <f t="shared" si="359"/>
        <v>52.849808310386898</v>
      </c>
      <c r="Y339" s="369">
        <f t="shared" si="359"/>
        <v>84.971938839933244</v>
      </c>
      <c r="Z339" s="369">
        <f t="shared" si="359"/>
        <v>149.56615883303286</v>
      </c>
      <c r="AA339" s="369">
        <f t="shared" si="359"/>
        <v>155.48694322027441</v>
      </c>
      <c r="AB339" s="369">
        <f t="shared" si="359"/>
        <v>89.77964625359462</v>
      </c>
      <c r="AC339" s="369">
        <f t="shared" si="359"/>
        <v>116.39064638477673</v>
      </c>
      <c r="AD339" s="369">
        <f t="shared" si="359"/>
        <v>70.549630590406622</v>
      </c>
      <c r="AE339" s="369">
        <f t="shared" si="359"/>
        <v>112.61913388548516</v>
      </c>
      <c r="AF339" s="369">
        <f t="shared" si="359"/>
        <v>73.818910535961024</v>
      </c>
      <c r="AG339" s="369">
        <f t="shared" si="359"/>
        <v>113.23492151640549</v>
      </c>
      <c r="AH339" s="369">
        <f t="shared" si="359"/>
        <v>93.038972197512194</v>
      </c>
      <c r="AI339" s="369">
        <f t="shared" si="359"/>
        <v>106.02399316711153</v>
      </c>
      <c r="AJ339" s="369">
        <f t="shared" si="359"/>
        <v>78.853590304872455</v>
      </c>
      <c r="AK339" s="369">
        <f t="shared" si="359"/>
        <v>152.90572429751126</v>
      </c>
      <c r="AL339" s="369">
        <f t="shared" si="359"/>
        <v>448.25512928101682</v>
      </c>
      <c r="AM339" s="369">
        <f t="shared" si="359"/>
        <v>42.339633518515221</v>
      </c>
      <c r="AN339" s="369">
        <f t="shared" si="359"/>
        <v>120.58868729843499</v>
      </c>
      <c r="AO339" s="369">
        <f t="shared" si="359"/>
        <v>9.6559855064701026</v>
      </c>
      <c r="AP339" s="369">
        <f t="shared" si="359"/>
        <v>42.093683541910444</v>
      </c>
      <c r="AQ339" s="369">
        <f t="shared" si="359"/>
        <v>45.972825731233833</v>
      </c>
      <c r="AR339" s="369">
        <f t="shared" si="359"/>
        <v>51.979371017657726</v>
      </c>
      <c r="AS339" s="369">
        <f t="shared" si="359"/>
        <v>46.556600590692192</v>
      </c>
      <c r="AT339" s="369">
        <f t="shared" si="359"/>
        <v>55.053774037570506</v>
      </c>
      <c r="AU339" s="369">
        <f t="shared" si="359"/>
        <v>9.2661490387421388</v>
      </c>
      <c r="AV339" s="369">
        <f t="shared" si="359"/>
        <v>36.130851412943493</v>
      </c>
      <c r="AW339" s="369">
        <f t="shared" si="359"/>
        <v>103.53663338491924</v>
      </c>
      <c r="AX339" s="369">
        <f t="shared" si="359"/>
        <v>626.00407832165706</v>
      </c>
      <c r="AY339" s="369">
        <f t="shared" si="359"/>
        <v>129.12757879985469</v>
      </c>
      <c r="AZ339" s="369">
        <f t="shared" si="359"/>
        <v>447.93918993493264</v>
      </c>
      <c r="BA339" s="369">
        <f t="shared" si="359"/>
        <v>224.72384175643597</v>
      </c>
      <c r="BB339" s="369">
        <f t="shared" si="359"/>
        <v>154.9132060006165</v>
      </c>
      <c r="BC339" s="369">
        <f t="shared" si="359"/>
        <v>112.187862185613</v>
      </c>
      <c r="BD339" s="369">
        <f t="shared" si="359"/>
        <v>116.06116546282695</v>
      </c>
      <c r="BF339" s="366"/>
    </row>
    <row r="340" spans="1:58">
      <c r="A340" s="366"/>
      <c r="B340" s="355" t="s">
        <v>748</v>
      </c>
      <c r="C340" s="17" t="s">
        <v>843</v>
      </c>
      <c r="D340" s="23"/>
      <c r="F340" s="369">
        <f t="shared" ref="F340:U347" si="360">F$335</f>
        <v>179.56240316977176</v>
      </c>
      <c r="G340" s="369">
        <f t="shared" si="359"/>
        <v>171.52772758497903</v>
      </c>
      <c r="H340" s="369">
        <f t="shared" si="359"/>
        <v>207.01196211886065</v>
      </c>
      <c r="I340" s="369">
        <f t="shared" si="359"/>
        <v>1162.8928864130694</v>
      </c>
      <c r="J340" s="369">
        <f t="shared" si="359"/>
        <v>143.65699652625912</v>
      </c>
      <c r="K340" s="369">
        <f t="shared" si="359"/>
        <v>35.115142867036788</v>
      </c>
      <c r="L340" s="369">
        <f t="shared" si="359"/>
        <v>76.994822198853427</v>
      </c>
      <c r="M340" s="369">
        <f t="shared" si="359"/>
        <v>124.32271713161316</v>
      </c>
      <c r="N340" s="369">
        <f t="shared" si="359"/>
        <v>506.73323354109544</v>
      </c>
      <c r="O340" s="369">
        <f t="shared" si="359"/>
        <v>55.645765442816369</v>
      </c>
      <c r="P340" s="369">
        <f t="shared" si="359"/>
        <v>217.22011411109915</v>
      </c>
      <c r="Q340" s="369">
        <f t="shared" si="359"/>
        <v>66.766500810741448</v>
      </c>
      <c r="R340" s="369">
        <f t="shared" si="359"/>
        <v>72.073509213454443</v>
      </c>
      <c r="S340" s="369">
        <f t="shared" si="359"/>
        <v>121.95274228912803</v>
      </c>
      <c r="T340" s="369">
        <f t="shared" si="359"/>
        <v>72.538393437261135</v>
      </c>
      <c r="U340" s="369">
        <f t="shared" si="359"/>
        <v>93.156255097592378</v>
      </c>
      <c r="V340" s="369">
        <f t="shared" si="359"/>
        <v>66.219545131944543</v>
      </c>
      <c r="W340" s="369">
        <f t="shared" si="359"/>
        <v>76.535933640685997</v>
      </c>
      <c r="X340" s="369">
        <f t="shared" si="359"/>
        <v>52.849808310386898</v>
      </c>
      <c r="Y340" s="369">
        <f t="shared" si="359"/>
        <v>84.971938839933244</v>
      </c>
      <c r="Z340" s="369">
        <f t="shared" si="359"/>
        <v>149.56615883303286</v>
      </c>
      <c r="AA340" s="369">
        <f t="shared" si="359"/>
        <v>155.48694322027441</v>
      </c>
      <c r="AB340" s="369">
        <f t="shared" si="359"/>
        <v>89.77964625359462</v>
      </c>
      <c r="AC340" s="369">
        <f t="shared" si="359"/>
        <v>116.39064638477673</v>
      </c>
      <c r="AD340" s="369">
        <f t="shared" si="359"/>
        <v>70.549630590406622</v>
      </c>
      <c r="AE340" s="369">
        <f t="shared" si="359"/>
        <v>112.61913388548516</v>
      </c>
      <c r="AF340" s="369">
        <f t="shared" si="359"/>
        <v>73.818910535961024</v>
      </c>
      <c r="AG340" s="369">
        <f t="shared" si="359"/>
        <v>113.23492151640549</v>
      </c>
      <c r="AH340" s="369">
        <f t="shared" si="359"/>
        <v>93.038972197512194</v>
      </c>
      <c r="AI340" s="369">
        <f t="shared" si="359"/>
        <v>106.02399316711153</v>
      </c>
      <c r="AJ340" s="369">
        <f t="shared" si="359"/>
        <v>78.853590304872455</v>
      </c>
      <c r="AK340" s="369">
        <f t="shared" si="359"/>
        <v>152.90572429751126</v>
      </c>
      <c r="AL340" s="369">
        <f t="shared" si="359"/>
        <v>448.25512928101682</v>
      </c>
      <c r="AM340" s="369">
        <f t="shared" si="359"/>
        <v>42.339633518515221</v>
      </c>
      <c r="AN340" s="369">
        <f t="shared" si="359"/>
        <v>120.58868729843499</v>
      </c>
      <c r="AO340" s="369">
        <f t="shared" si="359"/>
        <v>9.6559855064701026</v>
      </c>
      <c r="AP340" s="369">
        <f t="shared" si="359"/>
        <v>42.093683541910444</v>
      </c>
      <c r="AQ340" s="369">
        <f t="shared" si="359"/>
        <v>45.972825731233833</v>
      </c>
      <c r="AR340" s="369">
        <f t="shared" si="359"/>
        <v>51.979371017657726</v>
      </c>
      <c r="AS340" s="369">
        <f t="shared" si="359"/>
        <v>46.556600590692192</v>
      </c>
      <c r="AT340" s="369">
        <f t="shared" si="359"/>
        <v>55.053774037570506</v>
      </c>
      <c r="AU340" s="369">
        <f t="shared" si="359"/>
        <v>9.2661490387421388</v>
      </c>
      <c r="AV340" s="369">
        <f t="shared" si="359"/>
        <v>36.130851412943493</v>
      </c>
      <c r="AW340" s="369">
        <f t="shared" si="359"/>
        <v>103.53663338491924</v>
      </c>
      <c r="AX340" s="369">
        <f t="shared" si="359"/>
        <v>626.00407832165706</v>
      </c>
      <c r="AY340" s="369">
        <f t="shared" si="359"/>
        <v>129.12757879985469</v>
      </c>
      <c r="AZ340" s="369">
        <f t="shared" si="359"/>
        <v>447.93918993493264</v>
      </c>
      <c r="BA340" s="369">
        <f t="shared" si="359"/>
        <v>224.72384175643597</v>
      </c>
      <c r="BB340" s="369">
        <f t="shared" si="359"/>
        <v>154.9132060006165</v>
      </c>
      <c r="BC340" s="369">
        <f t="shared" si="359"/>
        <v>112.187862185613</v>
      </c>
      <c r="BD340" s="369">
        <f t="shared" si="359"/>
        <v>116.06116546282695</v>
      </c>
      <c r="BF340" s="366"/>
    </row>
    <row r="341" spans="1:58">
      <c r="A341" s="366"/>
      <c r="B341" s="202" t="s">
        <v>844</v>
      </c>
      <c r="C341" s="23" t="s">
        <v>845</v>
      </c>
      <c r="D341" s="23"/>
      <c r="F341" s="369">
        <f t="shared" si="360"/>
        <v>179.56240316977176</v>
      </c>
      <c r="G341" s="369">
        <f t="shared" si="359"/>
        <v>171.52772758497903</v>
      </c>
      <c r="H341" s="369">
        <f t="shared" si="359"/>
        <v>207.01196211886065</v>
      </c>
      <c r="I341" s="369">
        <f t="shared" si="359"/>
        <v>1162.8928864130694</v>
      </c>
      <c r="J341" s="369">
        <f t="shared" si="359"/>
        <v>143.65699652625912</v>
      </c>
      <c r="K341" s="369">
        <f t="shared" si="359"/>
        <v>35.115142867036788</v>
      </c>
      <c r="L341" s="369">
        <f t="shared" si="359"/>
        <v>76.994822198853427</v>
      </c>
      <c r="M341" s="369">
        <f t="shared" si="359"/>
        <v>124.32271713161316</v>
      </c>
      <c r="N341" s="369">
        <f t="shared" si="359"/>
        <v>506.73323354109544</v>
      </c>
      <c r="O341" s="369">
        <f t="shared" si="359"/>
        <v>55.645765442816369</v>
      </c>
      <c r="P341" s="369">
        <f t="shared" si="359"/>
        <v>217.22011411109915</v>
      </c>
      <c r="Q341" s="369">
        <f t="shared" si="359"/>
        <v>66.766500810741448</v>
      </c>
      <c r="R341" s="369">
        <f t="shared" si="359"/>
        <v>72.073509213454443</v>
      </c>
      <c r="S341" s="369">
        <f t="shared" si="359"/>
        <v>121.95274228912803</v>
      </c>
      <c r="T341" s="369">
        <f t="shared" si="359"/>
        <v>72.538393437261135</v>
      </c>
      <c r="U341" s="369">
        <f t="shared" si="359"/>
        <v>93.156255097592378</v>
      </c>
      <c r="V341" s="369">
        <f t="shared" si="359"/>
        <v>66.219545131944543</v>
      </c>
      <c r="W341" s="369">
        <f t="shared" si="359"/>
        <v>76.535933640685997</v>
      </c>
      <c r="X341" s="369">
        <f t="shared" si="359"/>
        <v>52.849808310386898</v>
      </c>
      <c r="Y341" s="369">
        <f t="shared" si="359"/>
        <v>84.971938839933244</v>
      </c>
      <c r="Z341" s="369">
        <f t="shared" si="359"/>
        <v>149.56615883303286</v>
      </c>
      <c r="AA341" s="369">
        <f t="shared" si="359"/>
        <v>155.48694322027441</v>
      </c>
      <c r="AB341" s="369">
        <f t="shared" si="359"/>
        <v>89.77964625359462</v>
      </c>
      <c r="AC341" s="369">
        <f t="shared" si="359"/>
        <v>116.39064638477673</v>
      </c>
      <c r="AD341" s="369">
        <f t="shared" si="359"/>
        <v>70.549630590406622</v>
      </c>
      <c r="AE341" s="369">
        <f t="shared" si="359"/>
        <v>112.61913388548516</v>
      </c>
      <c r="AF341" s="369">
        <f t="shared" si="359"/>
        <v>73.818910535961024</v>
      </c>
      <c r="AG341" s="369">
        <f t="shared" si="359"/>
        <v>113.23492151640549</v>
      </c>
      <c r="AH341" s="369">
        <f t="shared" si="359"/>
        <v>93.038972197512194</v>
      </c>
      <c r="AI341" s="369">
        <f t="shared" si="359"/>
        <v>106.02399316711153</v>
      </c>
      <c r="AJ341" s="369">
        <f t="shared" si="359"/>
        <v>78.853590304872455</v>
      </c>
      <c r="AK341" s="369">
        <f t="shared" si="359"/>
        <v>152.90572429751126</v>
      </c>
      <c r="AL341" s="369">
        <f t="shared" si="359"/>
        <v>448.25512928101682</v>
      </c>
      <c r="AM341" s="369">
        <f t="shared" si="359"/>
        <v>42.339633518515221</v>
      </c>
      <c r="AN341" s="369">
        <f t="shared" si="359"/>
        <v>120.58868729843499</v>
      </c>
      <c r="AO341" s="369">
        <f t="shared" si="359"/>
        <v>9.6559855064701026</v>
      </c>
      <c r="AP341" s="369">
        <f t="shared" si="359"/>
        <v>42.093683541910444</v>
      </c>
      <c r="AQ341" s="369">
        <f t="shared" si="359"/>
        <v>45.972825731233833</v>
      </c>
      <c r="AR341" s="369">
        <f t="shared" si="359"/>
        <v>51.979371017657726</v>
      </c>
      <c r="AS341" s="369">
        <f t="shared" si="359"/>
        <v>46.556600590692192</v>
      </c>
      <c r="AT341" s="369">
        <f t="shared" si="359"/>
        <v>55.053774037570506</v>
      </c>
      <c r="AU341" s="369">
        <f t="shared" si="359"/>
        <v>9.2661490387421388</v>
      </c>
      <c r="AV341" s="369">
        <f t="shared" si="359"/>
        <v>36.130851412943493</v>
      </c>
      <c r="AW341" s="369">
        <f t="shared" si="359"/>
        <v>103.53663338491924</v>
      </c>
      <c r="AX341" s="369">
        <f t="shared" si="359"/>
        <v>626.00407832165706</v>
      </c>
      <c r="AY341" s="369">
        <f t="shared" si="359"/>
        <v>129.12757879985469</v>
      </c>
      <c r="AZ341" s="369">
        <f t="shared" si="359"/>
        <v>447.93918993493264</v>
      </c>
      <c r="BA341" s="369">
        <f t="shared" si="359"/>
        <v>224.72384175643597</v>
      </c>
      <c r="BB341" s="369">
        <f t="shared" si="359"/>
        <v>154.9132060006165</v>
      </c>
      <c r="BC341" s="369">
        <f t="shared" si="359"/>
        <v>112.187862185613</v>
      </c>
      <c r="BD341" s="369">
        <f t="shared" si="359"/>
        <v>116.06116546282695</v>
      </c>
      <c r="BF341" s="366"/>
    </row>
    <row r="342" spans="1:58">
      <c r="A342" s="366"/>
      <c r="B342" s="202" t="s">
        <v>846</v>
      </c>
      <c r="C342" s="23" t="s">
        <v>892</v>
      </c>
      <c r="D342" s="23"/>
      <c r="F342" s="369">
        <f t="shared" si="360"/>
        <v>179.56240316977176</v>
      </c>
      <c r="G342" s="369">
        <f t="shared" si="359"/>
        <v>171.52772758497903</v>
      </c>
      <c r="H342" s="369">
        <f t="shared" si="359"/>
        <v>207.01196211886065</v>
      </c>
      <c r="I342" s="369">
        <f t="shared" si="359"/>
        <v>1162.8928864130694</v>
      </c>
      <c r="J342" s="369">
        <f t="shared" si="359"/>
        <v>143.65699652625912</v>
      </c>
      <c r="K342" s="369">
        <f t="shared" si="359"/>
        <v>35.115142867036788</v>
      </c>
      <c r="L342" s="369">
        <f t="shared" si="359"/>
        <v>76.994822198853427</v>
      </c>
      <c r="M342" s="369">
        <f t="shared" si="359"/>
        <v>124.32271713161316</v>
      </c>
      <c r="N342" s="369">
        <f t="shared" si="359"/>
        <v>506.73323354109544</v>
      </c>
      <c r="O342" s="369">
        <f t="shared" si="359"/>
        <v>55.645765442816369</v>
      </c>
      <c r="P342" s="369">
        <f t="shared" si="359"/>
        <v>217.22011411109915</v>
      </c>
      <c r="Q342" s="369">
        <f t="shared" si="359"/>
        <v>66.766500810741448</v>
      </c>
      <c r="R342" s="369">
        <f t="shared" si="359"/>
        <v>72.073509213454443</v>
      </c>
      <c r="S342" s="369">
        <f t="shared" si="359"/>
        <v>121.95274228912803</v>
      </c>
      <c r="T342" s="369">
        <f t="shared" si="359"/>
        <v>72.538393437261135</v>
      </c>
      <c r="U342" s="369">
        <f t="shared" si="359"/>
        <v>93.156255097592378</v>
      </c>
      <c r="V342" s="369">
        <f t="shared" si="359"/>
        <v>66.219545131944543</v>
      </c>
      <c r="W342" s="369">
        <f t="shared" si="359"/>
        <v>76.535933640685997</v>
      </c>
      <c r="X342" s="369">
        <f t="shared" si="359"/>
        <v>52.849808310386898</v>
      </c>
      <c r="Y342" s="369">
        <f t="shared" si="359"/>
        <v>84.971938839933244</v>
      </c>
      <c r="Z342" s="369">
        <f t="shared" si="359"/>
        <v>149.56615883303286</v>
      </c>
      <c r="AA342" s="369">
        <f t="shared" si="359"/>
        <v>155.48694322027441</v>
      </c>
      <c r="AB342" s="369">
        <f t="shared" si="359"/>
        <v>89.77964625359462</v>
      </c>
      <c r="AC342" s="369">
        <f t="shared" si="359"/>
        <v>116.39064638477673</v>
      </c>
      <c r="AD342" s="369">
        <f t="shared" si="359"/>
        <v>70.549630590406622</v>
      </c>
      <c r="AE342" s="369">
        <f t="shared" si="359"/>
        <v>112.61913388548516</v>
      </c>
      <c r="AF342" s="369">
        <f t="shared" si="359"/>
        <v>73.818910535961024</v>
      </c>
      <c r="AG342" s="369">
        <f t="shared" si="359"/>
        <v>113.23492151640549</v>
      </c>
      <c r="AH342" s="369">
        <f t="shared" si="359"/>
        <v>93.038972197512194</v>
      </c>
      <c r="AI342" s="369">
        <f t="shared" si="359"/>
        <v>106.02399316711153</v>
      </c>
      <c r="AJ342" s="369">
        <f t="shared" si="359"/>
        <v>78.853590304872455</v>
      </c>
      <c r="AK342" s="369">
        <f t="shared" si="359"/>
        <v>152.90572429751126</v>
      </c>
      <c r="AL342" s="369">
        <f t="shared" si="359"/>
        <v>448.25512928101682</v>
      </c>
      <c r="AM342" s="369">
        <f t="shared" si="359"/>
        <v>42.339633518515221</v>
      </c>
      <c r="AN342" s="369">
        <f t="shared" si="359"/>
        <v>120.58868729843499</v>
      </c>
      <c r="AO342" s="369">
        <f t="shared" si="359"/>
        <v>9.6559855064701026</v>
      </c>
      <c r="AP342" s="369">
        <f t="shared" si="359"/>
        <v>42.093683541910444</v>
      </c>
      <c r="AQ342" s="369">
        <f t="shared" si="359"/>
        <v>45.972825731233833</v>
      </c>
      <c r="AR342" s="369">
        <f t="shared" si="359"/>
        <v>51.979371017657726</v>
      </c>
      <c r="AS342" s="369">
        <f t="shared" si="359"/>
        <v>46.556600590692192</v>
      </c>
      <c r="AT342" s="369">
        <f t="shared" si="359"/>
        <v>55.053774037570506</v>
      </c>
      <c r="AU342" s="369">
        <f t="shared" si="359"/>
        <v>9.2661490387421388</v>
      </c>
      <c r="AV342" s="369">
        <f t="shared" si="359"/>
        <v>36.130851412943493</v>
      </c>
      <c r="AW342" s="369">
        <f t="shared" si="359"/>
        <v>103.53663338491924</v>
      </c>
      <c r="AX342" s="369">
        <f t="shared" si="359"/>
        <v>626.00407832165706</v>
      </c>
      <c r="AY342" s="369">
        <f t="shared" si="359"/>
        <v>129.12757879985469</v>
      </c>
      <c r="AZ342" s="369">
        <f t="shared" si="359"/>
        <v>447.93918993493264</v>
      </c>
      <c r="BA342" s="369">
        <f t="shared" si="359"/>
        <v>224.72384175643597</v>
      </c>
      <c r="BB342" s="369">
        <f t="shared" si="359"/>
        <v>154.9132060006165</v>
      </c>
      <c r="BC342" s="369">
        <f t="shared" si="359"/>
        <v>112.187862185613</v>
      </c>
      <c r="BD342" s="369">
        <f t="shared" si="359"/>
        <v>116.06116546282695</v>
      </c>
      <c r="BF342" s="366"/>
    </row>
    <row r="343" spans="1:58">
      <c r="A343" s="366"/>
      <c r="B343" s="202" t="s">
        <v>192</v>
      </c>
      <c r="C343" s="23" t="s">
        <v>893</v>
      </c>
      <c r="D343" s="23"/>
      <c r="F343" s="369">
        <f t="shared" si="360"/>
        <v>179.56240316977176</v>
      </c>
      <c r="G343" s="369">
        <f t="shared" si="359"/>
        <v>171.52772758497903</v>
      </c>
      <c r="H343" s="369">
        <f t="shared" si="359"/>
        <v>207.01196211886065</v>
      </c>
      <c r="I343" s="369">
        <f t="shared" si="359"/>
        <v>1162.8928864130694</v>
      </c>
      <c r="J343" s="369">
        <f t="shared" si="359"/>
        <v>143.65699652625912</v>
      </c>
      <c r="K343" s="369">
        <f t="shared" si="359"/>
        <v>35.115142867036788</v>
      </c>
      <c r="L343" s="369">
        <f t="shared" si="359"/>
        <v>76.994822198853427</v>
      </c>
      <c r="M343" s="369">
        <f t="shared" si="359"/>
        <v>124.32271713161316</v>
      </c>
      <c r="N343" s="369">
        <f t="shared" si="359"/>
        <v>506.73323354109544</v>
      </c>
      <c r="O343" s="369">
        <f t="shared" si="359"/>
        <v>55.645765442816369</v>
      </c>
      <c r="P343" s="369">
        <f t="shared" si="359"/>
        <v>217.22011411109915</v>
      </c>
      <c r="Q343" s="369">
        <f t="shared" si="359"/>
        <v>66.766500810741448</v>
      </c>
      <c r="R343" s="369">
        <f t="shared" si="359"/>
        <v>72.073509213454443</v>
      </c>
      <c r="S343" s="369">
        <f t="shared" si="359"/>
        <v>121.95274228912803</v>
      </c>
      <c r="T343" s="369">
        <f t="shared" si="359"/>
        <v>72.538393437261135</v>
      </c>
      <c r="U343" s="369">
        <f t="shared" si="359"/>
        <v>93.156255097592378</v>
      </c>
      <c r="V343" s="369">
        <f t="shared" si="359"/>
        <v>66.219545131944543</v>
      </c>
      <c r="W343" s="369">
        <f t="shared" si="359"/>
        <v>76.535933640685997</v>
      </c>
      <c r="X343" s="369">
        <f t="shared" si="359"/>
        <v>52.849808310386898</v>
      </c>
      <c r="Y343" s="369">
        <f t="shared" si="359"/>
        <v>84.971938839933244</v>
      </c>
      <c r="Z343" s="369">
        <f t="shared" si="359"/>
        <v>149.56615883303286</v>
      </c>
      <c r="AA343" s="369">
        <f t="shared" si="359"/>
        <v>155.48694322027441</v>
      </c>
      <c r="AB343" s="369">
        <f t="shared" si="359"/>
        <v>89.77964625359462</v>
      </c>
      <c r="AC343" s="369">
        <f t="shared" si="359"/>
        <v>116.39064638477673</v>
      </c>
      <c r="AD343" s="369">
        <f t="shared" si="359"/>
        <v>70.549630590406622</v>
      </c>
      <c r="AE343" s="369">
        <f t="shared" si="359"/>
        <v>112.61913388548516</v>
      </c>
      <c r="AF343" s="369">
        <f t="shared" si="359"/>
        <v>73.818910535961024</v>
      </c>
      <c r="AG343" s="369">
        <f t="shared" si="359"/>
        <v>113.23492151640549</v>
      </c>
      <c r="AH343" s="369">
        <f t="shared" si="359"/>
        <v>93.038972197512194</v>
      </c>
      <c r="AI343" s="369">
        <f t="shared" si="359"/>
        <v>106.02399316711153</v>
      </c>
      <c r="AJ343" s="369">
        <f t="shared" si="359"/>
        <v>78.853590304872455</v>
      </c>
      <c r="AK343" s="369">
        <f t="shared" si="359"/>
        <v>152.90572429751126</v>
      </c>
      <c r="AL343" s="369">
        <f t="shared" si="359"/>
        <v>448.25512928101682</v>
      </c>
      <c r="AM343" s="369">
        <f t="shared" si="359"/>
        <v>42.339633518515221</v>
      </c>
      <c r="AN343" s="369">
        <f t="shared" si="359"/>
        <v>120.58868729843499</v>
      </c>
      <c r="AO343" s="369">
        <f t="shared" si="359"/>
        <v>9.6559855064701026</v>
      </c>
      <c r="AP343" s="369">
        <f t="shared" si="359"/>
        <v>42.093683541910444</v>
      </c>
      <c r="AQ343" s="369">
        <f t="shared" si="359"/>
        <v>45.972825731233833</v>
      </c>
      <c r="AR343" s="369">
        <f t="shared" si="359"/>
        <v>51.979371017657726</v>
      </c>
      <c r="AS343" s="369">
        <f t="shared" si="359"/>
        <v>46.556600590692192</v>
      </c>
      <c r="AT343" s="369">
        <f t="shared" si="359"/>
        <v>55.053774037570506</v>
      </c>
      <c r="AU343" s="369">
        <f t="shared" si="359"/>
        <v>9.2661490387421388</v>
      </c>
      <c r="AV343" s="369">
        <f t="shared" si="359"/>
        <v>36.130851412943493</v>
      </c>
      <c r="AW343" s="369">
        <f t="shared" si="359"/>
        <v>103.53663338491924</v>
      </c>
      <c r="AX343" s="369">
        <f t="shared" si="359"/>
        <v>626.00407832165706</v>
      </c>
      <c r="AY343" s="369">
        <f t="shared" si="359"/>
        <v>129.12757879985469</v>
      </c>
      <c r="AZ343" s="369">
        <f t="shared" si="359"/>
        <v>447.93918993493264</v>
      </c>
      <c r="BA343" s="369">
        <f t="shared" si="359"/>
        <v>224.72384175643597</v>
      </c>
      <c r="BB343" s="369">
        <f t="shared" si="359"/>
        <v>154.9132060006165</v>
      </c>
      <c r="BC343" s="369">
        <f t="shared" si="359"/>
        <v>112.187862185613</v>
      </c>
      <c r="BD343" s="369">
        <f t="shared" si="359"/>
        <v>116.06116546282695</v>
      </c>
      <c r="BF343" s="366"/>
    </row>
    <row r="344" spans="1:58">
      <c r="A344" s="366"/>
      <c r="B344" s="202" t="s">
        <v>894</v>
      </c>
      <c r="C344" s="23" t="s">
        <v>895</v>
      </c>
      <c r="D344" s="23"/>
      <c r="F344" s="369">
        <f t="shared" si="360"/>
        <v>179.56240316977176</v>
      </c>
      <c r="G344" s="369">
        <f t="shared" si="359"/>
        <v>171.52772758497903</v>
      </c>
      <c r="H344" s="369">
        <f t="shared" si="359"/>
        <v>207.01196211886065</v>
      </c>
      <c r="I344" s="369">
        <f t="shared" si="359"/>
        <v>1162.8928864130694</v>
      </c>
      <c r="J344" s="369">
        <f t="shared" si="359"/>
        <v>143.65699652625912</v>
      </c>
      <c r="K344" s="369">
        <f t="shared" si="359"/>
        <v>35.115142867036788</v>
      </c>
      <c r="L344" s="369">
        <f t="shared" ref="L344:AA347" si="361">L$335</f>
        <v>76.994822198853427</v>
      </c>
      <c r="M344" s="369">
        <f t="shared" si="361"/>
        <v>124.32271713161316</v>
      </c>
      <c r="N344" s="369">
        <f t="shared" si="361"/>
        <v>506.73323354109544</v>
      </c>
      <c r="O344" s="369">
        <f t="shared" si="361"/>
        <v>55.645765442816369</v>
      </c>
      <c r="P344" s="369">
        <f t="shared" si="361"/>
        <v>217.22011411109915</v>
      </c>
      <c r="Q344" s="369">
        <f t="shared" si="361"/>
        <v>66.766500810741448</v>
      </c>
      <c r="R344" s="369">
        <f t="shared" si="361"/>
        <v>72.073509213454443</v>
      </c>
      <c r="S344" s="369">
        <f t="shared" si="361"/>
        <v>121.95274228912803</v>
      </c>
      <c r="T344" s="369">
        <f t="shared" si="361"/>
        <v>72.538393437261135</v>
      </c>
      <c r="U344" s="369">
        <f t="shared" si="361"/>
        <v>93.156255097592378</v>
      </c>
      <c r="V344" s="369">
        <f t="shared" si="361"/>
        <v>66.219545131944543</v>
      </c>
      <c r="W344" s="369">
        <f t="shared" si="361"/>
        <v>76.535933640685997</v>
      </c>
      <c r="X344" s="369">
        <f t="shared" si="361"/>
        <v>52.849808310386898</v>
      </c>
      <c r="Y344" s="369">
        <f t="shared" si="361"/>
        <v>84.971938839933244</v>
      </c>
      <c r="Z344" s="369">
        <f t="shared" si="361"/>
        <v>149.56615883303286</v>
      </c>
      <c r="AA344" s="369">
        <f t="shared" si="361"/>
        <v>155.48694322027441</v>
      </c>
      <c r="AB344" s="369">
        <f t="shared" ref="AB344:AQ347" si="362">AB$335</f>
        <v>89.77964625359462</v>
      </c>
      <c r="AC344" s="369">
        <f t="shared" si="362"/>
        <v>116.39064638477673</v>
      </c>
      <c r="AD344" s="369">
        <f t="shared" si="362"/>
        <v>70.549630590406622</v>
      </c>
      <c r="AE344" s="369">
        <f t="shared" si="362"/>
        <v>112.61913388548516</v>
      </c>
      <c r="AF344" s="369">
        <f t="shared" si="362"/>
        <v>73.818910535961024</v>
      </c>
      <c r="AG344" s="369">
        <f t="shared" si="362"/>
        <v>113.23492151640549</v>
      </c>
      <c r="AH344" s="369">
        <f t="shared" si="362"/>
        <v>93.038972197512194</v>
      </c>
      <c r="AI344" s="369">
        <f t="shared" si="362"/>
        <v>106.02399316711153</v>
      </c>
      <c r="AJ344" s="369">
        <f t="shared" si="362"/>
        <v>78.853590304872455</v>
      </c>
      <c r="AK344" s="369">
        <f t="shared" si="362"/>
        <v>152.90572429751126</v>
      </c>
      <c r="AL344" s="369">
        <f t="shared" si="362"/>
        <v>448.25512928101682</v>
      </c>
      <c r="AM344" s="369">
        <f t="shared" si="362"/>
        <v>42.339633518515221</v>
      </c>
      <c r="AN344" s="369">
        <f t="shared" si="362"/>
        <v>120.58868729843499</v>
      </c>
      <c r="AO344" s="369">
        <f t="shared" si="362"/>
        <v>9.6559855064701026</v>
      </c>
      <c r="AP344" s="369">
        <f t="shared" si="362"/>
        <v>42.093683541910444</v>
      </c>
      <c r="AQ344" s="369">
        <f t="shared" si="362"/>
        <v>45.972825731233833</v>
      </c>
      <c r="AR344" s="369">
        <f t="shared" ref="AR344:BD347" si="363">AR$335</f>
        <v>51.979371017657726</v>
      </c>
      <c r="AS344" s="369">
        <f t="shared" si="363"/>
        <v>46.556600590692192</v>
      </c>
      <c r="AT344" s="369">
        <f t="shared" si="363"/>
        <v>55.053774037570506</v>
      </c>
      <c r="AU344" s="369">
        <f t="shared" si="363"/>
        <v>9.2661490387421388</v>
      </c>
      <c r="AV344" s="369">
        <f t="shared" si="363"/>
        <v>36.130851412943493</v>
      </c>
      <c r="AW344" s="369">
        <f t="shared" si="363"/>
        <v>103.53663338491924</v>
      </c>
      <c r="AX344" s="369">
        <f t="shared" si="363"/>
        <v>626.00407832165706</v>
      </c>
      <c r="AY344" s="369">
        <f t="shared" si="363"/>
        <v>129.12757879985469</v>
      </c>
      <c r="AZ344" s="369">
        <f t="shared" si="363"/>
        <v>447.93918993493264</v>
      </c>
      <c r="BA344" s="369">
        <f t="shared" si="363"/>
        <v>224.72384175643597</v>
      </c>
      <c r="BB344" s="369">
        <f t="shared" si="363"/>
        <v>154.9132060006165</v>
      </c>
      <c r="BC344" s="369">
        <f t="shared" si="363"/>
        <v>112.187862185613</v>
      </c>
      <c r="BD344" s="369">
        <f t="shared" si="363"/>
        <v>116.06116546282695</v>
      </c>
      <c r="BF344" s="366"/>
    </row>
    <row r="345" spans="1:58">
      <c r="A345" s="366"/>
      <c r="B345" s="202" t="s">
        <v>896</v>
      </c>
      <c r="C345" s="23" t="s">
        <v>897</v>
      </c>
      <c r="D345" s="23"/>
      <c r="F345" s="369">
        <f t="shared" si="360"/>
        <v>179.56240316977176</v>
      </c>
      <c r="G345" s="369">
        <f t="shared" si="360"/>
        <v>171.52772758497903</v>
      </c>
      <c r="H345" s="369">
        <f t="shared" si="360"/>
        <v>207.01196211886065</v>
      </c>
      <c r="I345" s="369">
        <f t="shared" si="360"/>
        <v>1162.8928864130694</v>
      </c>
      <c r="J345" s="369">
        <f t="shared" si="360"/>
        <v>143.65699652625912</v>
      </c>
      <c r="K345" s="369">
        <f t="shared" si="360"/>
        <v>35.115142867036788</v>
      </c>
      <c r="L345" s="369">
        <f t="shared" si="360"/>
        <v>76.994822198853427</v>
      </c>
      <c r="M345" s="369">
        <f t="shared" si="360"/>
        <v>124.32271713161316</v>
      </c>
      <c r="N345" s="369">
        <f t="shared" si="360"/>
        <v>506.73323354109544</v>
      </c>
      <c r="O345" s="369">
        <f t="shared" si="360"/>
        <v>55.645765442816369</v>
      </c>
      <c r="P345" s="369">
        <f t="shared" si="360"/>
        <v>217.22011411109915</v>
      </c>
      <c r="Q345" s="369">
        <f t="shared" si="360"/>
        <v>66.766500810741448</v>
      </c>
      <c r="R345" s="369">
        <f t="shared" si="360"/>
        <v>72.073509213454443</v>
      </c>
      <c r="S345" s="369">
        <f t="shared" si="360"/>
        <v>121.95274228912803</v>
      </c>
      <c r="T345" s="369">
        <f t="shared" si="360"/>
        <v>72.538393437261135</v>
      </c>
      <c r="U345" s="369">
        <f t="shared" si="360"/>
        <v>93.156255097592378</v>
      </c>
      <c r="V345" s="369">
        <f t="shared" si="361"/>
        <v>66.219545131944543</v>
      </c>
      <c r="W345" s="369">
        <f t="shared" si="361"/>
        <v>76.535933640685997</v>
      </c>
      <c r="X345" s="369">
        <f t="shared" si="361"/>
        <v>52.849808310386898</v>
      </c>
      <c r="Y345" s="369">
        <f t="shared" si="361"/>
        <v>84.971938839933244</v>
      </c>
      <c r="Z345" s="369">
        <f t="shared" si="361"/>
        <v>149.56615883303286</v>
      </c>
      <c r="AA345" s="369">
        <f t="shared" si="361"/>
        <v>155.48694322027441</v>
      </c>
      <c r="AB345" s="369">
        <f t="shared" si="362"/>
        <v>89.77964625359462</v>
      </c>
      <c r="AC345" s="369">
        <f t="shared" si="362"/>
        <v>116.39064638477673</v>
      </c>
      <c r="AD345" s="369">
        <f t="shared" si="362"/>
        <v>70.549630590406622</v>
      </c>
      <c r="AE345" s="369">
        <f t="shared" si="362"/>
        <v>112.61913388548516</v>
      </c>
      <c r="AF345" s="369">
        <f t="shared" si="362"/>
        <v>73.818910535961024</v>
      </c>
      <c r="AG345" s="369">
        <f t="shared" si="362"/>
        <v>113.23492151640549</v>
      </c>
      <c r="AH345" s="369">
        <f t="shared" si="362"/>
        <v>93.038972197512194</v>
      </c>
      <c r="AI345" s="369">
        <f t="shared" si="362"/>
        <v>106.02399316711153</v>
      </c>
      <c r="AJ345" s="369">
        <f t="shared" si="362"/>
        <v>78.853590304872455</v>
      </c>
      <c r="AK345" s="369">
        <f t="shared" si="362"/>
        <v>152.90572429751126</v>
      </c>
      <c r="AL345" s="369">
        <f t="shared" si="362"/>
        <v>448.25512928101682</v>
      </c>
      <c r="AM345" s="369">
        <f t="shared" si="362"/>
        <v>42.339633518515221</v>
      </c>
      <c r="AN345" s="369">
        <f t="shared" si="362"/>
        <v>120.58868729843499</v>
      </c>
      <c r="AO345" s="369">
        <f t="shared" si="362"/>
        <v>9.6559855064701026</v>
      </c>
      <c r="AP345" s="369">
        <f t="shared" si="362"/>
        <v>42.093683541910444</v>
      </c>
      <c r="AQ345" s="369">
        <f t="shared" si="362"/>
        <v>45.972825731233833</v>
      </c>
      <c r="AR345" s="369">
        <f t="shared" si="363"/>
        <v>51.979371017657726</v>
      </c>
      <c r="AS345" s="369">
        <f t="shared" si="363"/>
        <v>46.556600590692192</v>
      </c>
      <c r="AT345" s="369">
        <f t="shared" si="363"/>
        <v>55.053774037570506</v>
      </c>
      <c r="AU345" s="369">
        <f t="shared" si="363"/>
        <v>9.2661490387421388</v>
      </c>
      <c r="AV345" s="369">
        <f t="shared" si="363"/>
        <v>36.130851412943493</v>
      </c>
      <c r="AW345" s="369">
        <f t="shared" si="363"/>
        <v>103.53663338491924</v>
      </c>
      <c r="AX345" s="369">
        <f t="shared" si="363"/>
        <v>626.00407832165706</v>
      </c>
      <c r="AY345" s="369">
        <f t="shared" si="363"/>
        <v>129.12757879985469</v>
      </c>
      <c r="AZ345" s="369">
        <f t="shared" si="363"/>
        <v>447.93918993493264</v>
      </c>
      <c r="BA345" s="369">
        <f t="shared" si="363"/>
        <v>224.72384175643597</v>
      </c>
      <c r="BB345" s="369">
        <f t="shared" si="363"/>
        <v>154.9132060006165</v>
      </c>
      <c r="BC345" s="369">
        <f t="shared" si="363"/>
        <v>112.187862185613</v>
      </c>
      <c r="BD345" s="369">
        <f t="shared" si="363"/>
        <v>116.06116546282695</v>
      </c>
      <c r="BF345" s="366"/>
    </row>
    <row r="346" spans="1:58">
      <c r="A346" s="366"/>
      <c r="B346" s="202" t="s">
        <v>898</v>
      </c>
      <c r="C346" s="23" t="s">
        <v>899</v>
      </c>
      <c r="D346" s="23"/>
      <c r="F346" s="369">
        <f t="shared" si="360"/>
        <v>179.56240316977176</v>
      </c>
      <c r="G346" s="369">
        <f t="shared" si="360"/>
        <v>171.52772758497903</v>
      </c>
      <c r="H346" s="369">
        <f t="shared" si="360"/>
        <v>207.01196211886065</v>
      </c>
      <c r="I346" s="369">
        <f t="shared" si="360"/>
        <v>1162.8928864130694</v>
      </c>
      <c r="J346" s="369">
        <f t="shared" si="360"/>
        <v>143.65699652625912</v>
      </c>
      <c r="K346" s="369">
        <f t="shared" si="360"/>
        <v>35.115142867036788</v>
      </c>
      <c r="L346" s="369">
        <f t="shared" si="360"/>
        <v>76.994822198853427</v>
      </c>
      <c r="M346" s="369">
        <f t="shared" si="360"/>
        <v>124.32271713161316</v>
      </c>
      <c r="N346" s="369">
        <f t="shared" si="360"/>
        <v>506.73323354109544</v>
      </c>
      <c r="O346" s="369">
        <f t="shared" si="360"/>
        <v>55.645765442816369</v>
      </c>
      <c r="P346" s="369">
        <f t="shared" si="360"/>
        <v>217.22011411109915</v>
      </c>
      <c r="Q346" s="369">
        <f t="shared" si="360"/>
        <v>66.766500810741448</v>
      </c>
      <c r="R346" s="369">
        <f t="shared" si="360"/>
        <v>72.073509213454443</v>
      </c>
      <c r="S346" s="369">
        <f t="shared" si="360"/>
        <v>121.95274228912803</v>
      </c>
      <c r="T346" s="369">
        <f t="shared" si="360"/>
        <v>72.538393437261135</v>
      </c>
      <c r="U346" s="369">
        <f t="shared" si="360"/>
        <v>93.156255097592378</v>
      </c>
      <c r="V346" s="369">
        <f t="shared" si="361"/>
        <v>66.219545131944543</v>
      </c>
      <c r="W346" s="369">
        <f t="shared" si="361"/>
        <v>76.535933640685997</v>
      </c>
      <c r="X346" s="369">
        <f t="shared" si="361"/>
        <v>52.849808310386898</v>
      </c>
      <c r="Y346" s="369">
        <f t="shared" si="361"/>
        <v>84.971938839933244</v>
      </c>
      <c r="Z346" s="369">
        <f t="shared" si="361"/>
        <v>149.56615883303286</v>
      </c>
      <c r="AA346" s="369">
        <f t="shared" si="361"/>
        <v>155.48694322027441</v>
      </c>
      <c r="AB346" s="369">
        <f t="shared" si="362"/>
        <v>89.77964625359462</v>
      </c>
      <c r="AC346" s="369">
        <f t="shared" si="362"/>
        <v>116.39064638477673</v>
      </c>
      <c r="AD346" s="369">
        <f t="shared" si="362"/>
        <v>70.549630590406622</v>
      </c>
      <c r="AE346" s="369">
        <f t="shared" si="362"/>
        <v>112.61913388548516</v>
      </c>
      <c r="AF346" s="369">
        <f t="shared" si="362"/>
        <v>73.818910535961024</v>
      </c>
      <c r="AG346" s="369">
        <f t="shared" si="362"/>
        <v>113.23492151640549</v>
      </c>
      <c r="AH346" s="369">
        <f t="shared" si="362"/>
        <v>93.038972197512194</v>
      </c>
      <c r="AI346" s="369">
        <f t="shared" si="362"/>
        <v>106.02399316711153</v>
      </c>
      <c r="AJ346" s="369">
        <f t="shared" si="362"/>
        <v>78.853590304872455</v>
      </c>
      <c r="AK346" s="369">
        <f t="shared" si="362"/>
        <v>152.90572429751126</v>
      </c>
      <c r="AL346" s="369">
        <f t="shared" si="362"/>
        <v>448.25512928101682</v>
      </c>
      <c r="AM346" s="369">
        <f t="shared" si="362"/>
        <v>42.339633518515221</v>
      </c>
      <c r="AN346" s="369">
        <f t="shared" si="362"/>
        <v>120.58868729843499</v>
      </c>
      <c r="AO346" s="369">
        <f t="shared" si="362"/>
        <v>9.6559855064701026</v>
      </c>
      <c r="AP346" s="369">
        <f t="shared" si="362"/>
        <v>42.093683541910444</v>
      </c>
      <c r="AQ346" s="369">
        <f t="shared" si="362"/>
        <v>45.972825731233833</v>
      </c>
      <c r="AR346" s="369">
        <f t="shared" si="363"/>
        <v>51.979371017657726</v>
      </c>
      <c r="AS346" s="369">
        <f t="shared" si="363"/>
        <v>46.556600590692192</v>
      </c>
      <c r="AT346" s="369">
        <f t="shared" si="363"/>
        <v>55.053774037570506</v>
      </c>
      <c r="AU346" s="369">
        <f t="shared" si="363"/>
        <v>9.2661490387421388</v>
      </c>
      <c r="AV346" s="369">
        <f t="shared" si="363"/>
        <v>36.130851412943493</v>
      </c>
      <c r="AW346" s="369">
        <f t="shared" si="363"/>
        <v>103.53663338491924</v>
      </c>
      <c r="AX346" s="369">
        <f t="shared" si="363"/>
        <v>626.00407832165706</v>
      </c>
      <c r="AY346" s="369">
        <f t="shared" si="363"/>
        <v>129.12757879985469</v>
      </c>
      <c r="AZ346" s="369">
        <f t="shared" si="363"/>
        <v>447.93918993493264</v>
      </c>
      <c r="BA346" s="369">
        <f t="shared" si="363"/>
        <v>224.72384175643597</v>
      </c>
      <c r="BB346" s="369">
        <f t="shared" si="363"/>
        <v>154.9132060006165</v>
      </c>
      <c r="BC346" s="369">
        <f t="shared" si="363"/>
        <v>112.187862185613</v>
      </c>
      <c r="BD346" s="369">
        <f t="shared" si="363"/>
        <v>116.06116546282695</v>
      </c>
      <c r="BF346" s="366"/>
    </row>
    <row r="347" spans="1:58">
      <c r="A347" s="366"/>
      <c r="B347" s="202" t="s">
        <v>900</v>
      </c>
      <c r="C347" s="23" t="s">
        <v>874</v>
      </c>
      <c r="D347" s="23"/>
      <c r="F347" s="369">
        <f t="shared" si="360"/>
        <v>179.56240316977176</v>
      </c>
      <c r="G347" s="369">
        <f t="shared" si="360"/>
        <v>171.52772758497903</v>
      </c>
      <c r="H347" s="369">
        <f t="shared" si="360"/>
        <v>207.01196211886065</v>
      </c>
      <c r="I347" s="369">
        <f t="shared" si="360"/>
        <v>1162.8928864130694</v>
      </c>
      <c r="J347" s="369">
        <f t="shared" si="360"/>
        <v>143.65699652625912</v>
      </c>
      <c r="K347" s="369">
        <f t="shared" si="360"/>
        <v>35.115142867036788</v>
      </c>
      <c r="L347" s="369">
        <f t="shared" si="360"/>
        <v>76.994822198853427</v>
      </c>
      <c r="M347" s="369">
        <f t="shared" si="360"/>
        <v>124.32271713161316</v>
      </c>
      <c r="N347" s="369">
        <f t="shared" si="360"/>
        <v>506.73323354109544</v>
      </c>
      <c r="O347" s="369">
        <f t="shared" si="360"/>
        <v>55.645765442816369</v>
      </c>
      <c r="P347" s="369">
        <f t="shared" si="360"/>
        <v>217.22011411109915</v>
      </c>
      <c r="Q347" s="369">
        <f t="shared" si="360"/>
        <v>66.766500810741448</v>
      </c>
      <c r="R347" s="369">
        <f t="shared" si="360"/>
        <v>72.073509213454443</v>
      </c>
      <c r="S347" s="369">
        <f t="shared" si="360"/>
        <v>121.95274228912803</v>
      </c>
      <c r="T347" s="369">
        <f t="shared" si="360"/>
        <v>72.538393437261135</v>
      </c>
      <c r="U347" s="369">
        <f t="shared" si="360"/>
        <v>93.156255097592378</v>
      </c>
      <c r="V347" s="369">
        <f t="shared" si="361"/>
        <v>66.219545131944543</v>
      </c>
      <c r="W347" s="369">
        <f t="shared" si="361"/>
        <v>76.535933640685997</v>
      </c>
      <c r="X347" s="369">
        <f t="shared" si="361"/>
        <v>52.849808310386898</v>
      </c>
      <c r="Y347" s="369">
        <f t="shared" si="361"/>
        <v>84.971938839933244</v>
      </c>
      <c r="Z347" s="369">
        <f t="shared" si="361"/>
        <v>149.56615883303286</v>
      </c>
      <c r="AA347" s="369">
        <f t="shared" si="361"/>
        <v>155.48694322027441</v>
      </c>
      <c r="AB347" s="369">
        <f t="shared" si="362"/>
        <v>89.77964625359462</v>
      </c>
      <c r="AC347" s="369">
        <f t="shared" si="362"/>
        <v>116.39064638477673</v>
      </c>
      <c r="AD347" s="369">
        <f t="shared" si="362"/>
        <v>70.549630590406622</v>
      </c>
      <c r="AE347" s="369">
        <f t="shared" si="362"/>
        <v>112.61913388548516</v>
      </c>
      <c r="AF347" s="369">
        <f t="shared" si="362"/>
        <v>73.818910535961024</v>
      </c>
      <c r="AG347" s="369">
        <f t="shared" si="362"/>
        <v>113.23492151640549</v>
      </c>
      <c r="AH347" s="369">
        <f t="shared" si="362"/>
        <v>93.038972197512194</v>
      </c>
      <c r="AI347" s="369">
        <f t="shared" si="362"/>
        <v>106.02399316711153</v>
      </c>
      <c r="AJ347" s="369">
        <f t="shared" si="362"/>
        <v>78.853590304872455</v>
      </c>
      <c r="AK347" s="369">
        <f t="shared" si="362"/>
        <v>152.90572429751126</v>
      </c>
      <c r="AL347" s="369">
        <f t="shared" si="362"/>
        <v>448.25512928101682</v>
      </c>
      <c r="AM347" s="369">
        <f t="shared" si="362"/>
        <v>42.339633518515221</v>
      </c>
      <c r="AN347" s="369">
        <f t="shared" si="362"/>
        <v>120.58868729843499</v>
      </c>
      <c r="AO347" s="369">
        <f t="shared" si="362"/>
        <v>9.6559855064701026</v>
      </c>
      <c r="AP347" s="369">
        <f t="shared" si="362"/>
        <v>42.093683541910444</v>
      </c>
      <c r="AQ347" s="369">
        <f t="shared" si="362"/>
        <v>45.972825731233833</v>
      </c>
      <c r="AR347" s="369">
        <f t="shared" si="363"/>
        <v>51.979371017657726</v>
      </c>
      <c r="AS347" s="369">
        <f t="shared" si="363"/>
        <v>46.556600590692192</v>
      </c>
      <c r="AT347" s="369">
        <f t="shared" si="363"/>
        <v>55.053774037570506</v>
      </c>
      <c r="AU347" s="369">
        <f t="shared" si="363"/>
        <v>9.2661490387421388</v>
      </c>
      <c r="AV347" s="369">
        <f t="shared" si="363"/>
        <v>36.130851412943493</v>
      </c>
      <c r="AW347" s="369">
        <f t="shared" si="363"/>
        <v>103.53663338491924</v>
      </c>
      <c r="AX347" s="369">
        <f t="shared" si="363"/>
        <v>626.00407832165706</v>
      </c>
      <c r="AY347" s="369">
        <f t="shared" si="363"/>
        <v>129.12757879985469</v>
      </c>
      <c r="AZ347" s="369">
        <f t="shared" si="363"/>
        <v>447.93918993493264</v>
      </c>
      <c r="BA347" s="369">
        <f t="shared" si="363"/>
        <v>224.72384175643597</v>
      </c>
      <c r="BB347" s="369">
        <f t="shared" si="363"/>
        <v>154.9132060006165</v>
      </c>
      <c r="BC347" s="369">
        <f t="shared" si="363"/>
        <v>112.187862185613</v>
      </c>
      <c r="BD347" s="369">
        <f t="shared" si="363"/>
        <v>116.06116546282695</v>
      </c>
      <c r="BF347" s="366"/>
    </row>
    <row r="348" spans="1:58">
      <c r="A348" s="366"/>
      <c r="C348" s="23"/>
      <c r="D348" s="9" t="s">
        <v>218</v>
      </c>
      <c r="F348" s="370">
        <f>F347/4</f>
        <v>44.890600792442939</v>
      </c>
      <c r="G348" s="370">
        <f t="shared" ref="G348:BD348" si="364">G347/4</f>
        <v>42.881931896244758</v>
      </c>
      <c r="H348" s="370">
        <f t="shared" si="364"/>
        <v>51.752990529715163</v>
      </c>
      <c r="I348" s="370">
        <f t="shared" si="364"/>
        <v>290.72322160326735</v>
      </c>
      <c r="J348" s="370">
        <f t="shared" si="364"/>
        <v>35.91424913156478</v>
      </c>
      <c r="K348" s="370">
        <f t="shared" si="364"/>
        <v>8.7787857167591969</v>
      </c>
      <c r="L348" s="370">
        <f t="shared" si="364"/>
        <v>19.248705549713357</v>
      </c>
      <c r="M348" s="370">
        <f t="shared" si="364"/>
        <v>31.08067928290329</v>
      </c>
      <c r="N348" s="370">
        <f t="shared" si="364"/>
        <v>126.68330838527386</v>
      </c>
      <c r="O348" s="370">
        <f t="shared" si="364"/>
        <v>13.911441360704092</v>
      </c>
      <c r="P348" s="370">
        <f t="shared" si="364"/>
        <v>54.305028527774788</v>
      </c>
      <c r="Q348" s="370">
        <f t="shared" si="364"/>
        <v>16.691625202685362</v>
      </c>
      <c r="R348" s="370">
        <f t="shared" si="364"/>
        <v>18.018377303363611</v>
      </c>
      <c r="S348" s="370">
        <f t="shared" si="364"/>
        <v>30.488185572282006</v>
      </c>
      <c r="T348" s="370">
        <f t="shared" si="364"/>
        <v>18.134598359315284</v>
      </c>
      <c r="U348" s="370">
        <f t="shared" si="364"/>
        <v>23.289063774398095</v>
      </c>
      <c r="V348" s="370">
        <f t="shared" si="364"/>
        <v>16.554886282986136</v>
      </c>
      <c r="W348" s="370">
        <f t="shared" si="364"/>
        <v>19.133983410171499</v>
      </c>
      <c r="X348" s="370">
        <f t="shared" si="364"/>
        <v>13.212452077596724</v>
      </c>
      <c r="Y348" s="370">
        <f t="shared" si="364"/>
        <v>21.242984709983311</v>
      </c>
      <c r="Z348" s="370">
        <f t="shared" si="364"/>
        <v>37.391539708258215</v>
      </c>
      <c r="AA348" s="370">
        <f t="shared" si="364"/>
        <v>38.871735805068603</v>
      </c>
      <c r="AB348" s="370">
        <f t="shared" si="364"/>
        <v>22.444911563398655</v>
      </c>
      <c r="AC348" s="370">
        <f t="shared" si="364"/>
        <v>29.097661596194182</v>
      </c>
      <c r="AD348" s="370">
        <f t="shared" si="364"/>
        <v>17.637407647601655</v>
      </c>
      <c r="AE348" s="370">
        <f t="shared" si="364"/>
        <v>28.154783471371289</v>
      </c>
      <c r="AF348" s="370">
        <f t="shared" si="364"/>
        <v>18.454727633990256</v>
      </c>
      <c r="AG348" s="370">
        <f t="shared" si="364"/>
        <v>28.308730379101373</v>
      </c>
      <c r="AH348" s="370">
        <f t="shared" si="364"/>
        <v>23.259743049378049</v>
      </c>
      <c r="AI348" s="370">
        <f t="shared" si="364"/>
        <v>26.505998291777882</v>
      </c>
      <c r="AJ348" s="370">
        <f t="shared" si="364"/>
        <v>19.713397576218114</v>
      </c>
      <c r="AK348" s="370">
        <f t="shared" si="364"/>
        <v>38.226431074377814</v>
      </c>
      <c r="AL348" s="370">
        <f t="shared" si="364"/>
        <v>112.06378232025421</v>
      </c>
      <c r="AM348" s="370">
        <f t="shared" si="364"/>
        <v>10.584908379628805</v>
      </c>
      <c r="AN348" s="370">
        <f t="shared" si="364"/>
        <v>30.147171824608748</v>
      </c>
      <c r="AO348" s="370">
        <f t="shared" si="364"/>
        <v>2.4139963766175256</v>
      </c>
      <c r="AP348" s="370">
        <f t="shared" si="364"/>
        <v>10.523420885477611</v>
      </c>
      <c r="AQ348" s="370">
        <f t="shared" si="364"/>
        <v>11.493206432808458</v>
      </c>
      <c r="AR348" s="370">
        <f t="shared" si="364"/>
        <v>12.994842754414432</v>
      </c>
      <c r="AS348" s="370">
        <f t="shared" si="364"/>
        <v>11.639150147673048</v>
      </c>
      <c r="AT348" s="370">
        <f t="shared" si="364"/>
        <v>13.763443509392626</v>
      </c>
      <c r="AU348" s="370">
        <f t="shared" si="364"/>
        <v>2.3165372596855347</v>
      </c>
      <c r="AV348" s="370">
        <f t="shared" si="364"/>
        <v>9.0327128532358731</v>
      </c>
      <c r="AW348" s="370">
        <f t="shared" si="364"/>
        <v>25.88415834622981</v>
      </c>
      <c r="AX348" s="370">
        <f t="shared" si="364"/>
        <v>156.50101958041427</v>
      </c>
      <c r="AY348" s="370">
        <f t="shared" si="364"/>
        <v>32.281894699963672</v>
      </c>
      <c r="AZ348" s="370">
        <f t="shared" si="364"/>
        <v>111.98479748373316</v>
      </c>
      <c r="BA348" s="370">
        <f t="shared" si="364"/>
        <v>56.180960439108993</v>
      </c>
      <c r="BB348" s="370">
        <f t="shared" si="364"/>
        <v>38.728301500154124</v>
      </c>
      <c r="BC348" s="370">
        <f t="shared" si="364"/>
        <v>28.04696554640325</v>
      </c>
      <c r="BD348" s="370">
        <f t="shared" si="364"/>
        <v>29.015291365706737</v>
      </c>
      <c r="BF348" s="366"/>
    </row>
    <row r="349" spans="1:58">
      <c r="A349" s="366"/>
      <c r="BF349" s="366"/>
    </row>
    <row r="350" spans="1:58" ht="17">
      <c r="A350" s="366"/>
      <c r="B350" s="56" t="s">
        <v>851</v>
      </c>
      <c r="D350" s="171" t="s">
        <v>854</v>
      </c>
      <c r="BF350" s="366"/>
    </row>
    <row r="351" spans="1:58">
      <c r="A351" s="366"/>
      <c r="B351" s="202" t="s">
        <v>610</v>
      </c>
      <c r="C351" s="23" t="s">
        <v>611</v>
      </c>
      <c r="D351" s="23"/>
      <c r="F351" s="371">
        <f>F336*'peasant income summary'!D9</f>
        <v>0</v>
      </c>
      <c r="G351" s="371">
        <f>G336*'peasant income summary'!E9</f>
        <v>0</v>
      </c>
      <c r="H351" s="371">
        <f>H336*'peasant income summary'!F9</f>
        <v>0</v>
      </c>
      <c r="I351" s="371">
        <f>I336*'peasant income summary'!G9</f>
        <v>0</v>
      </c>
      <c r="J351" s="371">
        <f>J336*'peasant income summary'!H9</f>
        <v>0</v>
      </c>
      <c r="K351" s="371">
        <f>K336*'peasant income summary'!I9</f>
        <v>0</v>
      </c>
      <c r="L351" s="371">
        <f>L336*'peasant income summary'!J9</f>
        <v>0</v>
      </c>
      <c r="M351" s="371">
        <f>M336*'peasant income summary'!K9</f>
        <v>0</v>
      </c>
      <c r="N351" s="371">
        <f>N336*'peasant income summary'!L9</f>
        <v>0</v>
      </c>
      <c r="O351" s="371">
        <f>O336*'peasant income summary'!M9</f>
        <v>0</v>
      </c>
      <c r="P351" s="371">
        <f>P336*'peasant income summary'!N9</f>
        <v>0</v>
      </c>
      <c r="Q351" s="371">
        <f>Q336*'peasant income summary'!O9</f>
        <v>0</v>
      </c>
      <c r="R351" s="371">
        <f>R336*'peasant income summary'!P9</f>
        <v>0</v>
      </c>
      <c r="S351" s="371">
        <f>S336*'peasant income summary'!Q9</f>
        <v>0</v>
      </c>
      <c r="T351" s="371">
        <f>T336*'peasant income summary'!R9</f>
        <v>0</v>
      </c>
      <c r="U351" s="371">
        <f>U336*'peasant income summary'!S9</f>
        <v>0</v>
      </c>
      <c r="V351" s="371">
        <f>V336*'peasant income summary'!T9</f>
        <v>0</v>
      </c>
      <c r="W351" s="371">
        <f>W336*'peasant income summary'!U9</f>
        <v>0</v>
      </c>
      <c r="X351" s="371">
        <f>X336*'peasant income summary'!V9</f>
        <v>0</v>
      </c>
      <c r="Y351" s="371">
        <f>Y336*'peasant income summary'!W9</f>
        <v>0</v>
      </c>
      <c r="Z351" s="371">
        <f>Z336*'peasant income summary'!X9</f>
        <v>0</v>
      </c>
      <c r="AA351" s="371">
        <f>AA336*'peasant income summary'!Y9</f>
        <v>0</v>
      </c>
      <c r="AB351" s="371">
        <f>AB336*'peasant income summary'!Z9</f>
        <v>0</v>
      </c>
      <c r="AC351" s="371">
        <f>AC336*'peasant income summary'!AA9</f>
        <v>0</v>
      </c>
      <c r="AD351" s="371">
        <f>AD336*'peasant income summary'!AB9</f>
        <v>0</v>
      </c>
      <c r="AE351" s="371">
        <f>AE336*'peasant income summary'!AC9</f>
        <v>0</v>
      </c>
      <c r="AF351" s="371">
        <f>AF336*'peasant income summary'!AD9</f>
        <v>0</v>
      </c>
      <c r="AG351" s="371">
        <f>AG336*'peasant income summary'!AE9</f>
        <v>0</v>
      </c>
      <c r="AH351" s="371">
        <f>AH336*'peasant income summary'!AF9</f>
        <v>0</v>
      </c>
      <c r="AI351" s="371">
        <f>AI336*'peasant income summary'!AG9</f>
        <v>0</v>
      </c>
      <c r="AJ351" s="371">
        <f>AJ336*'peasant income summary'!AH9</f>
        <v>0</v>
      </c>
      <c r="AK351" s="371">
        <f>AK336*'peasant income summary'!AI9</f>
        <v>0</v>
      </c>
      <c r="AL351" s="371">
        <f>AL336*'peasant income summary'!AJ9</f>
        <v>0</v>
      </c>
      <c r="AM351" s="371">
        <f>AM336*'peasant income summary'!AK9</f>
        <v>0</v>
      </c>
      <c r="AN351" s="371">
        <f>AN336*'peasant income summary'!AL9</f>
        <v>0</v>
      </c>
      <c r="AO351" s="371">
        <f>AO336*'peasant income summary'!AM9</f>
        <v>0</v>
      </c>
      <c r="AP351" s="371">
        <f>AP336*'peasant income summary'!AN9</f>
        <v>0</v>
      </c>
      <c r="AQ351" s="371">
        <f>AQ336*'peasant income summary'!AO9</f>
        <v>0</v>
      </c>
      <c r="AR351" s="371">
        <f>AR336*'peasant income summary'!AP9</f>
        <v>0</v>
      </c>
      <c r="AS351" s="371">
        <f>AS336*'peasant income summary'!AQ9</f>
        <v>0</v>
      </c>
      <c r="AT351" s="371">
        <f>AT336*'peasant income summary'!AR9</f>
        <v>0</v>
      </c>
      <c r="AU351" s="371">
        <f>AU336*'peasant income summary'!AS9</f>
        <v>0</v>
      </c>
      <c r="AV351" s="371">
        <f>AV336*'peasant income summary'!AT9</f>
        <v>0</v>
      </c>
      <c r="AW351" s="371">
        <f>AW336*'peasant income summary'!AU9</f>
        <v>0</v>
      </c>
      <c r="AX351" s="371">
        <f>AX336*'peasant income summary'!AV9</f>
        <v>0</v>
      </c>
      <c r="AY351" s="371">
        <f>AY336*'peasant income summary'!AW9</f>
        <v>0</v>
      </c>
      <c r="AZ351" s="371">
        <f>AZ336*'peasant income summary'!AX9</f>
        <v>0</v>
      </c>
      <c r="BA351" s="371">
        <f>BA336*'peasant income summary'!AY9</f>
        <v>0</v>
      </c>
      <c r="BB351" s="371">
        <f>BB336*'peasant income summary'!AZ9</f>
        <v>0</v>
      </c>
      <c r="BC351" s="371">
        <f>BC336*'peasant income summary'!BA9</f>
        <v>0</v>
      </c>
      <c r="BD351" s="371">
        <f>SUM(F351:BC351)</f>
        <v>0</v>
      </c>
      <c r="BF351" s="366"/>
    </row>
    <row r="352" spans="1:58">
      <c r="A352" s="366"/>
      <c r="B352" s="355" t="s">
        <v>742</v>
      </c>
      <c r="C352" s="17" t="s">
        <v>743</v>
      </c>
      <c r="D352" s="23"/>
      <c r="F352" s="371">
        <f>F337*'peasant income summary'!D10</f>
        <v>0</v>
      </c>
      <c r="G352" s="371">
        <f>G337*'peasant income summary'!E10</f>
        <v>0</v>
      </c>
      <c r="H352" s="371">
        <f>H337*'peasant income summary'!F10</f>
        <v>0</v>
      </c>
      <c r="I352" s="371">
        <f>I337*'peasant income summary'!G10</f>
        <v>0</v>
      </c>
      <c r="J352" s="371">
        <f>J337*'peasant income summary'!H10</f>
        <v>0</v>
      </c>
      <c r="K352" s="371">
        <f>K337*'peasant income summary'!I10</f>
        <v>0</v>
      </c>
      <c r="L352" s="371">
        <f>L337*'peasant income summary'!J10</f>
        <v>0</v>
      </c>
      <c r="M352" s="371">
        <f>M337*'peasant income summary'!K10</f>
        <v>0</v>
      </c>
      <c r="N352" s="371">
        <f>N337*'peasant income summary'!L10</f>
        <v>0</v>
      </c>
      <c r="O352" s="371">
        <f>O337*'peasant income summary'!M10</f>
        <v>0</v>
      </c>
      <c r="P352" s="371">
        <f>P337*'peasant income summary'!N10</f>
        <v>0</v>
      </c>
      <c r="Q352" s="371">
        <f>Q337*'peasant income summary'!O10</f>
        <v>0</v>
      </c>
      <c r="R352" s="371">
        <f>R337*'peasant income summary'!P10</f>
        <v>0</v>
      </c>
      <c r="S352" s="371">
        <f>S337*'peasant income summary'!Q10</f>
        <v>0</v>
      </c>
      <c r="T352" s="371">
        <f>T337*'peasant income summary'!R10</f>
        <v>0</v>
      </c>
      <c r="U352" s="371">
        <f>U337*'peasant income summary'!S10</f>
        <v>0</v>
      </c>
      <c r="V352" s="371">
        <f>V337*'peasant income summary'!T10</f>
        <v>0</v>
      </c>
      <c r="W352" s="371">
        <f>W337*'peasant income summary'!U10</f>
        <v>0</v>
      </c>
      <c r="X352" s="371">
        <f>X337*'peasant income summary'!V10</f>
        <v>0</v>
      </c>
      <c r="Y352" s="371">
        <f>Y337*'peasant income summary'!W10</f>
        <v>0</v>
      </c>
      <c r="Z352" s="371">
        <f>Z337*'peasant income summary'!X10</f>
        <v>0</v>
      </c>
      <c r="AA352" s="371">
        <f>AA337*'peasant income summary'!Y10</f>
        <v>0</v>
      </c>
      <c r="AB352" s="371">
        <f>AB337*'peasant income summary'!Z10</f>
        <v>0</v>
      </c>
      <c r="AC352" s="371">
        <f>AC337*'peasant income summary'!AA10</f>
        <v>0</v>
      </c>
      <c r="AD352" s="371">
        <f>AD337*'peasant income summary'!AB10</f>
        <v>0</v>
      </c>
      <c r="AE352" s="371">
        <f>AE337*'peasant income summary'!AC10</f>
        <v>0</v>
      </c>
      <c r="AF352" s="371">
        <f>AF337*'peasant income summary'!AD10</f>
        <v>0</v>
      </c>
      <c r="AG352" s="371">
        <f>AG337*'peasant income summary'!AE10</f>
        <v>0</v>
      </c>
      <c r="AH352" s="371">
        <f>AH337*'peasant income summary'!AF10</f>
        <v>0</v>
      </c>
      <c r="AI352" s="371">
        <f>AI337*'peasant income summary'!AG10</f>
        <v>0</v>
      </c>
      <c r="AJ352" s="371">
        <f>AJ337*'peasant income summary'!AH10</f>
        <v>0</v>
      </c>
      <c r="AK352" s="371">
        <f>AK337*'peasant income summary'!AI10</f>
        <v>0</v>
      </c>
      <c r="AL352" s="371">
        <f>AL337*'peasant income summary'!AJ10</f>
        <v>0</v>
      </c>
      <c r="AM352" s="371">
        <f>AM337*'peasant income summary'!AK10</f>
        <v>0</v>
      </c>
      <c r="AN352" s="371">
        <f>AN337*'peasant income summary'!AL10</f>
        <v>0</v>
      </c>
      <c r="AO352" s="371">
        <f>AO337*'peasant income summary'!AM10</f>
        <v>0</v>
      </c>
      <c r="AP352" s="371">
        <f>AP337*'peasant income summary'!AN10</f>
        <v>0</v>
      </c>
      <c r="AQ352" s="371">
        <f>AQ337*'peasant income summary'!AO10</f>
        <v>0</v>
      </c>
      <c r="AR352" s="371">
        <f>AR337*'peasant income summary'!AP10</f>
        <v>0</v>
      </c>
      <c r="AS352" s="371">
        <f>AS337*'peasant income summary'!AQ10</f>
        <v>0</v>
      </c>
      <c r="AT352" s="371">
        <f>AT337*'peasant income summary'!AR10</f>
        <v>0</v>
      </c>
      <c r="AU352" s="371">
        <f>AU337*'peasant income summary'!AS10</f>
        <v>0</v>
      </c>
      <c r="AV352" s="371">
        <f>AV337*'peasant income summary'!AT10</f>
        <v>0</v>
      </c>
      <c r="AW352" s="371">
        <f>AW337*'peasant income summary'!AU10</f>
        <v>0</v>
      </c>
      <c r="AX352" s="371">
        <f>AX337*'peasant income summary'!AV10</f>
        <v>0</v>
      </c>
      <c r="AY352" s="371">
        <f>AY337*'peasant income summary'!AW10</f>
        <v>0</v>
      </c>
      <c r="AZ352" s="371">
        <f>AZ337*'peasant income summary'!AX10</f>
        <v>0</v>
      </c>
      <c r="BA352" s="371">
        <f>BA337*'peasant income summary'!AY10</f>
        <v>0</v>
      </c>
      <c r="BB352" s="371">
        <f>BB337*'peasant income summary'!AZ10</f>
        <v>0</v>
      </c>
      <c r="BC352" s="371">
        <f>BC337*'peasant income summary'!BA10</f>
        <v>0</v>
      </c>
      <c r="BD352" s="371">
        <f t="shared" ref="BD352:BD363" si="365">SUM(F352:BC352)</f>
        <v>0</v>
      </c>
      <c r="BF352" s="366"/>
    </row>
    <row r="353" spans="1:58">
      <c r="A353" s="366"/>
      <c r="B353" s="355" t="s">
        <v>744</v>
      </c>
      <c r="C353" s="17" t="s">
        <v>745</v>
      </c>
      <c r="D353" s="23"/>
      <c r="F353" s="371">
        <f>F338*'peasant income summary'!D11</f>
        <v>0</v>
      </c>
      <c r="G353" s="371">
        <f>G338*'peasant income summary'!E11</f>
        <v>0</v>
      </c>
      <c r="H353" s="371">
        <f>H338*'peasant income summary'!F11</f>
        <v>0</v>
      </c>
      <c r="I353" s="371">
        <f>I338*'peasant income summary'!G11</f>
        <v>0</v>
      </c>
      <c r="J353" s="371">
        <f>J338*'peasant income summary'!H11</f>
        <v>0</v>
      </c>
      <c r="K353" s="371">
        <f>K338*'peasant income summary'!I11</f>
        <v>0</v>
      </c>
      <c r="L353" s="371">
        <f>L338*'peasant income summary'!J11</f>
        <v>0</v>
      </c>
      <c r="M353" s="371">
        <f>M338*'peasant income summary'!K11</f>
        <v>0</v>
      </c>
      <c r="N353" s="371">
        <f>N338*'peasant income summary'!L11</f>
        <v>0</v>
      </c>
      <c r="O353" s="371">
        <f>O338*'peasant income summary'!M11</f>
        <v>0</v>
      </c>
      <c r="P353" s="371">
        <f>P338*'peasant income summary'!N11</f>
        <v>0</v>
      </c>
      <c r="Q353" s="371">
        <f>Q338*'peasant income summary'!O11</f>
        <v>0</v>
      </c>
      <c r="R353" s="371">
        <f>R338*'peasant income summary'!P11</f>
        <v>0</v>
      </c>
      <c r="S353" s="371">
        <f>S338*'peasant income summary'!Q11</f>
        <v>0</v>
      </c>
      <c r="T353" s="371">
        <f>T338*'peasant income summary'!R11</f>
        <v>0</v>
      </c>
      <c r="U353" s="371">
        <f>U338*'peasant income summary'!S11</f>
        <v>0</v>
      </c>
      <c r="V353" s="371">
        <f>V338*'peasant income summary'!T11</f>
        <v>0</v>
      </c>
      <c r="W353" s="371">
        <f>W338*'peasant income summary'!U11</f>
        <v>0</v>
      </c>
      <c r="X353" s="371">
        <f>X338*'peasant income summary'!V11</f>
        <v>0</v>
      </c>
      <c r="Y353" s="371">
        <f>Y338*'peasant income summary'!W11</f>
        <v>0</v>
      </c>
      <c r="Z353" s="371">
        <f>Z338*'peasant income summary'!X11</f>
        <v>0</v>
      </c>
      <c r="AA353" s="371">
        <f>AA338*'peasant income summary'!Y11</f>
        <v>0</v>
      </c>
      <c r="AB353" s="371">
        <f>AB338*'peasant income summary'!Z11</f>
        <v>0</v>
      </c>
      <c r="AC353" s="371">
        <f>AC338*'peasant income summary'!AA11</f>
        <v>0</v>
      </c>
      <c r="AD353" s="371">
        <f>AD338*'peasant income summary'!AB11</f>
        <v>0</v>
      </c>
      <c r="AE353" s="371">
        <f>AE338*'peasant income summary'!AC11</f>
        <v>0</v>
      </c>
      <c r="AF353" s="371">
        <f>AF338*'peasant income summary'!AD11</f>
        <v>0</v>
      </c>
      <c r="AG353" s="371">
        <f>AG338*'peasant income summary'!AE11</f>
        <v>0</v>
      </c>
      <c r="AH353" s="371">
        <f>AH338*'peasant income summary'!AF11</f>
        <v>0</v>
      </c>
      <c r="AI353" s="371">
        <f>AI338*'peasant income summary'!AG11</f>
        <v>0</v>
      </c>
      <c r="AJ353" s="371">
        <f>AJ338*'peasant income summary'!AH11</f>
        <v>0</v>
      </c>
      <c r="AK353" s="371">
        <f>AK338*'peasant income summary'!AI11</f>
        <v>0</v>
      </c>
      <c r="AL353" s="371">
        <f>AL338*'peasant income summary'!AJ11</f>
        <v>0</v>
      </c>
      <c r="AM353" s="371">
        <f>AM338*'peasant income summary'!AK11</f>
        <v>0</v>
      </c>
      <c r="AN353" s="371">
        <f>AN338*'peasant income summary'!AL11</f>
        <v>0</v>
      </c>
      <c r="AO353" s="371">
        <f>AO338*'peasant income summary'!AM11</f>
        <v>0</v>
      </c>
      <c r="AP353" s="371">
        <f>AP338*'peasant income summary'!AN11</f>
        <v>0</v>
      </c>
      <c r="AQ353" s="371">
        <f>AQ338*'peasant income summary'!AO11</f>
        <v>0</v>
      </c>
      <c r="AR353" s="371">
        <f>AR338*'peasant income summary'!AP11</f>
        <v>0</v>
      </c>
      <c r="AS353" s="371">
        <f>AS338*'peasant income summary'!AQ11</f>
        <v>0</v>
      </c>
      <c r="AT353" s="371">
        <f>AT338*'peasant income summary'!AR11</f>
        <v>0</v>
      </c>
      <c r="AU353" s="371">
        <f>AU338*'peasant income summary'!AS11</f>
        <v>0</v>
      </c>
      <c r="AV353" s="371">
        <f>AV338*'peasant income summary'!AT11</f>
        <v>0</v>
      </c>
      <c r="AW353" s="371">
        <f>AW338*'peasant income summary'!AU11</f>
        <v>0</v>
      </c>
      <c r="AX353" s="371">
        <f>AX338*'peasant income summary'!AV11</f>
        <v>0</v>
      </c>
      <c r="AY353" s="371">
        <f>AY338*'peasant income summary'!AW11</f>
        <v>0</v>
      </c>
      <c r="AZ353" s="371">
        <f>AZ338*'peasant income summary'!AX11</f>
        <v>0</v>
      </c>
      <c r="BA353" s="371">
        <f>BA338*'peasant income summary'!AY11</f>
        <v>0</v>
      </c>
      <c r="BB353" s="371">
        <f>BB338*'peasant income summary'!AZ11</f>
        <v>0</v>
      </c>
      <c r="BC353" s="371">
        <f>BC338*'peasant income summary'!BA11</f>
        <v>0</v>
      </c>
      <c r="BD353" s="371">
        <f t="shared" si="365"/>
        <v>0</v>
      </c>
      <c r="BF353" s="366"/>
    </row>
    <row r="354" spans="1:58">
      <c r="A354" s="366"/>
      <c r="B354" s="355" t="s">
        <v>746</v>
      </c>
      <c r="C354" s="17" t="s">
        <v>747</v>
      </c>
      <c r="D354" s="23"/>
      <c r="F354" s="371">
        <f>F297/0.25</f>
        <v>0</v>
      </c>
      <c r="G354" s="371">
        <f t="shared" ref="G354:BC354" si="366">G297/0.25</f>
        <v>4719490.2865937036</v>
      </c>
      <c r="H354" s="371">
        <f t="shared" si="366"/>
        <v>5374723.7943374449</v>
      </c>
      <c r="I354" s="371">
        <f t="shared" si="366"/>
        <v>13821449.36001984</v>
      </c>
      <c r="J354" s="371">
        <f t="shared" si="366"/>
        <v>4027395.5239497125</v>
      </c>
      <c r="K354" s="371">
        <f t="shared" si="366"/>
        <v>1538460.8029439999</v>
      </c>
      <c r="L354" s="371">
        <f t="shared" si="366"/>
        <v>7499643.0929279998</v>
      </c>
      <c r="M354" s="371">
        <f t="shared" si="366"/>
        <v>9077234.4327167999</v>
      </c>
      <c r="N354" s="371">
        <f t="shared" si="366"/>
        <v>11123349.783603203</v>
      </c>
      <c r="O354" s="371">
        <f t="shared" si="366"/>
        <v>6018392.9445120003</v>
      </c>
      <c r="P354" s="371">
        <f t="shared" si="366"/>
        <v>18636045.223680001</v>
      </c>
      <c r="Q354" s="371">
        <f t="shared" si="366"/>
        <v>4990118.3871840006</v>
      </c>
      <c r="R354" s="371">
        <f t="shared" si="366"/>
        <v>3722430.2206464005</v>
      </c>
      <c r="S354" s="371">
        <f t="shared" si="366"/>
        <v>4192017.068736</v>
      </c>
      <c r="T354" s="371">
        <f t="shared" si="366"/>
        <v>3529096.7769792001</v>
      </c>
      <c r="U354" s="371">
        <f t="shared" si="366"/>
        <v>5169126.6512640007</v>
      </c>
      <c r="V354" s="371">
        <f t="shared" si="366"/>
        <v>3692109.4885440012</v>
      </c>
      <c r="W354" s="371">
        <f t="shared" si="366"/>
        <v>3369686.12128512</v>
      </c>
      <c r="X354" s="371">
        <f t="shared" si="366"/>
        <v>2998239.7362466035</v>
      </c>
      <c r="Y354" s="371">
        <f t="shared" si="366"/>
        <v>2650693.9185620751</v>
      </c>
      <c r="Z354" s="371">
        <f t="shared" si="366"/>
        <v>11649480.475852801</v>
      </c>
      <c r="AA354" s="371">
        <f t="shared" si="366"/>
        <v>10549111.592937602</v>
      </c>
      <c r="AB354" s="371">
        <f t="shared" si="366"/>
        <v>5271122.3874623999</v>
      </c>
      <c r="AC354" s="371">
        <f t="shared" si="366"/>
        <v>5360629.3979647132</v>
      </c>
      <c r="AD354" s="371">
        <f t="shared" si="366"/>
        <v>3715774.6042367998</v>
      </c>
      <c r="AE354" s="371">
        <f t="shared" si="366"/>
        <v>8228559.0514176013</v>
      </c>
      <c r="AF354" s="371">
        <f t="shared" si="366"/>
        <v>3698062.0192656</v>
      </c>
      <c r="AG354" s="371">
        <f t="shared" si="366"/>
        <v>9014686.9415423982</v>
      </c>
      <c r="AH354" s="371">
        <f t="shared" si="366"/>
        <v>3861193.5816192003</v>
      </c>
      <c r="AI354" s="371">
        <f t="shared" si="366"/>
        <v>9175298.6651790235</v>
      </c>
      <c r="AJ354" s="371">
        <f t="shared" si="366"/>
        <v>5768180.2139904005</v>
      </c>
      <c r="AK354" s="371">
        <f t="shared" si="366"/>
        <v>8293931.8116437923</v>
      </c>
      <c r="AL354" s="371">
        <f t="shared" si="366"/>
        <v>0</v>
      </c>
      <c r="AM354" s="371">
        <f t="shared" si="366"/>
        <v>1475042.8249462072</v>
      </c>
      <c r="AN354" s="371">
        <f t="shared" si="366"/>
        <v>1092669.6757836959</v>
      </c>
      <c r="AO354" s="371">
        <f t="shared" si="366"/>
        <v>375505.16192542377</v>
      </c>
      <c r="AP354" s="371">
        <f t="shared" si="366"/>
        <v>1583969.2392618309</v>
      </c>
      <c r="AQ354" s="371">
        <f t="shared" si="366"/>
        <v>1720505.4393892882</v>
      </c>
      <c r="AR354" s="371">
        <f t="shared" si="366"/>
        <v>2023965.4855289494</v>
      </c>
      <c r="AS354" s="371">
        <f t="shared" si="366"/>
        <v>2352920.2805922711</v>
      </c>
      <c r="AT354" s="371">
        <f t="shared" si="366"/>
        <v>1916131.7462204748</v>
      </c>
      <c r="AU354" s="371">
        <f t="shared" si="366"/>
        <v>730380.68563069822</v>
      </c>
      <c r="AV354" s="371">
        <f t="shared" si="366"/>
        <v>3650934.1489627114</v>
      </c>
      <c r="AW354" s="371">
        <f t="shared" si="366"/>
        <v>9607728.7458961923</v>
      </c>
      <c r="AX354" s="371">
        <f t="shared" si="366"/>
        <v>7383179.5169307413</v>
      </c>
      <c r="AY354" s="371">
        <f t="shared" si="366"/>
        <v>7089920.3394432012</v>
      </c>
      <c r="AZ354" s="371">
        <f t="shared" si="366"/>
        <v>18938397.736019999</v>
      </c>
      <c r="BA354" s="371">
        <f t="shared" si="366"/>
        <v>14704158.4557696</v>
      </c>
      <c r="BB354" s="371">
        <f t="shared" si="366"/>
        <v>5467758.8070799997</v>
      </c>
      <c r="BC354" s="371">
        <f t="shared" si="366"/>
        <v>7553837.8310399996</v>
      </c>
      <c r="BD354" s="371">
        <f t="shared" si="365"/>
        <v>288402740.47826564</v>
      </c>
      <c r="BF354" s="366"/>
    </row>
    <row r="355" spans="1:58">
      <c r="A355" s="366"/>
      <c r="B355" s="355" t="s">
        <v>748</v>
      </c>
      <c r="C355" s="17" t="s">
        <v>843</v>
      </c>
      <c r="D355" s="23"/>
      <c r="F355" s="371">
        <f t="shared" ref="F355:U355" si="367">F298/0.25</f>
        <v>0</v>
      </c>
      <c r="G355" s="371">
        <f t="shared" si="367"/>
        <v>0</v>
      </c>
      <c r="H355" s="371">
        <f t="shared" si="367"/>
        <v>0</v>
      </c>
      <c r="I355" s="371">
        <f t="shared" si="367"/>
        <v>5626237.0945545714</v>
      </c>
      <c r="J355" s="371">
        <f t="shared" si="367"/>
        <v>0</v>
      </c>
      <c r="K355" s="371">
        <f t="shared" si="367"/>
        <v>498098.96221684082</v>
      </c>
      <c r="L355" s="371">
        <f t="shared" si="367"/>
        <v>3102703.9691017875</v>
      </c>
      <c r="M355" s="371">
        <f t="shared" si="367"/>
        <v>3788498.4872901686</v>
      </c>
      <c r="N355" s="371">
        <f t="shared" si="367"/>
        <v>4524496.5678572785</v>
      </c>
      <c r="O355" s="371">
        <f t="shared" si="367"/>
        <v>2630988.0641794717</v>
      </c>
      <c r="P355" s="371">
        <f t="shared" si="367"/>
        <v>7546276.6491952585</v>
      </c>
      <c r="Q355" s="371">
        <f t="shared" si="367"/>
        <v>1971982.6488616401</v>
      </c>
      <c r="R355" s="371">
        <f t="shared" si="367"/>
        <v>1211278.3712820401</v>
      </c>
      <c r="S355" s="371">
        <f t="shared" si="367"/>
        <v>995097.10250359715</v>
      </c>
      <c r="T355" s="371">
        <f t="shared" si="367"/>
        <v>539859.5404658285</v>
      </c>
      <c r="U355" s="371">
        <f t="shared" si="367"/>
        <v>1943614.7340919124</v>
      </c>
      <c r="V355" s="371">
        <f t="shared" ref="V355:BC355" si="368">V298/0.25</f>
        <v>594555.4124403043</v>
      </c>
      <c r="W355" s="371">
        <f t="shared" si="368"/>
        <v>640047.41548531328</v>
      </c>
      <c r="X355" s="371">
        <f t="shared" si="368"/>
        <v>0</v>
      </c>
      <c r="Y355" s="371">
        <f t="shared" si="368"/>
        <v>0</v>
      </c>
      <c r="Z355" s="371">
        <f t="shared" si="368"/>
        <v>4538193.0523422239</v>
      </c>
      <c r="AA355" s="371">
        <f t="shared" si="368"/>
        <v>1074544.0910690359</v>
      </c>
      <c r="AB355" s="371">
        <f t="shared" si="368"/>
        <v>1283997.5811362995</v>
      </c>
      <c r="AC355" s="371">
        <f t="shared" si="368"/>
        <v>1894808.1622232154</v>
      </c>
      <c r="AD355" s="371">
        <f t="shared" si="368"/>
        <v>623657.50512355124</v>
      </c>
      <c r="AE355" s="371">
        <f t="shared" si="368"/>
        <v>3321358.5099525596</v>
      </c>
      <c r="AF355" s="371">
        <f t="shared" si="368"/>
        <v>1256830.5155441563</v>
      </c>
      <c r="AG355" s="371">
        <f t="shared" si="368"/>
        <v>3126514.4054967961</v>
      </c>
      <c r="AH355" s="371">
        <f t="shared" si="368"/>
        <v>1074486.7288713455</v>
      </c>
      <c r="AI355" s="371">
        <f t="shared" si="368"/>
        <v>226045.64516421602</v>
      </c>
      <c r="AJ355" s="371">
        <f t="shared" si="368"/>
        <v>1692470.4869240874</v>
      </c>
      <c r="AK355" s="371">
        <f t="shared" si="368"/>
        <v>0</v>
      </c>
      <c r="AL355" s="371">
        <f t="shared" si="368"/>
        <v>0</v>
      </c>
      <c r="AM355" s="371">
        <f t="shared" si="368"/>
        <v>0</v>
      </c>
      <c r="AN355" s="371">
        <f t="shared" si="368"/>
        <v>0</v>
      </c>
      <c r="AO355" s="371">
        <f t="shared" si="368"/>
        <v>118711.30181181028</v>
      </c>
      <c r="AP355" s="371">
        <f t="shared" si="368"/>
        <v>500226.22619866085</v>
      </c>
      <c r="AQ355" s="371">
        <f t="shared" si="368"/>
        <v>396389.16100124305</v>
      </c>
      <c r="AR355" s="371">
        <f t="shared" si="368"/>
        <v>599523.8166255455</v>
      </c>
      <c r="AS355" s="371">
        <f t="shared" si="368"/>
        <v>877441.75593415648</v>
      </c>
      <c r="AT355" s="371">
        <f t="shared" si="368"/>
        <v>494953.70932166738</v>
      </c>
      <c r="AU355" s="371">
        <f t="shared" si="368"/>
        <v>236266.12857241632</v>
      </c>
      <c r="AV355" s="371">
        <f t="shared" si="368"/>
        <v>1363080.0735852134</v>
      </c>
      <c r="AW355" s="371">
        <f t="shared" si="368"/>
        <v>3839803.4270986388</v>
      </c>
      <c r="AX355" s="371">
        <f t="shared" si="368"/>
        <v>3212615.7453652774</v>
      </c>
      <c r="AY355" s="371">
        <f t="shared" si="368"/>
        <v>2868372.2735342868</v>
      </c>
      <c r="AZ355" s="371">
        <f t="shared" si="368"/>
        <v>6659745.7124951612</v>
      </c>
      <c r="BA355" s="371">
        <f t="shared" si="368"/>
        <v>5466801.6981529761</v>
      </c>
      <c r="BB355" s="371">
        <f t="shared" si="368"/>
        <v>811991.96648086898</v>
      </c>
      <c r="BC355" s="371">
        <f t="shared" si="368"/>
        <v>2992679.3163225017</v>
      </c>
      <c r="BD355" s="371">
        <f t="shared" si="365"/>
        <v>86165244.015873924</v>
      </c>
      <c r="BF355" s="366"/>
    </row>
    <row r="356" spans="1:58">
      <c r="A356" s="366"/>
      <c r="B356" s="202" t="s">
        <v>844</v>
      </c>
      <c r="C356" s="23" t="s">
        <v>845</v>
      </c>
      <c r="D356" s="23"/>
      <c r="F356" s="371">
        <f t="shared" ref="F356:U356" si="369">F299/0.25</f>
        <v>0</v>
      </c>
      <c r="G356" s="371">
        <f t="shared" si="369"/>
        <v>0</v>
      </c>
      <c r="H356" s="371">
        <f t="shared" si="369"/>
        <v>90.567733427001542</v>
      </c>
      <c r="I356" s="371">
        <f t="shared" si="369"/>
        <v>0</v>
      </c>
      <c r="J356" s="371">
        <f t="shared" si="369"/>
        <v>0</v>
      </c>
      <c r="K356" s="371">
        <f t="shared" si="369"/>
        <v>0</v>
      </c>
      <c r="L356" s="371">
        <f t="shared" si="369"/>
        <v>0</v>
      </c>
      <c r="M356" s="371">
        <f t="shared" si="369"/>
        <v>0</v>
      </c>
      <c r="N356" s="371">
        <f t="shared" si="369"/>
        <v>0</v>
      </c>
      <c r="O356" s="371">
        <f t="shared" si="369"/>
        <v>0</v>
      </c>
      <c r="P356" s="371">
        <f t="shared" si="369"/>
        <v>336.91283004986803</v>
      </c>
      <c r="Q356" s="371">
        <f t="shared" si="369"/>
        <v>0</v>
      </c>
      <c r="R356" s="371">
        <f t="shared" si="369"/>
        <v>0</v>
      </c>
      <c r="S356" s="371">
        <f t="shared" si="369"/>
        <v>0</v>
      </c>
      <c r="T356" s="371">
        <f t="shared" si="369"/>
        <v>0</v>
      </c>
      <c r="U356" s="371">
        <f t="shared" si="369"/>
        <v>0</v>
      </c>
      <c r="V356" s="371">
        <f t="shared" ref="V356:BC356" si="370">V299/0.25</f>
        <v>0</v>
      </c>
      <c r="W356" s="371">
        <f t="shared" si="370"/>
        <v>0</v>
      </c>
      <c r="X356" s="371">
        <f t="shared" si="370"/>
        <v>0</v>
      </c>
      <c r="Y356" s="371">
        <f t="shared" si="370"/>
        <v>0</v>
      </c>
      <c r="Z356" s="371">
        <f t="shared" si="370"/>
        <v>0</v>
      </c>
      <c r="AA356" s="371">
        <f t="shared" si="370"/>
        <v>0</v>
      </c>
      <c r="AB356" s="371">
        <f t="shared" si="370"/>
        <v>0</v>
      </c>
      <c r="AC356" s="371">
        <f t="shared" si="370"/>
        <v>0</v>
      </c>
      <c r="AD356" s="371">
        <f t="shared" si="370"/>
        <v>0</v>
      </c>
      <c r="AE356" s="371">
        <f t="shared" si="370"/>
        <v>0</v>
      </c>
      <c r="AF356" s="371">
        <f t="shared" si="370"/>
        <v>0</v>
      </c>
      <c r="AG356" s="371">
        <f t="shared" si="370"/>
        <v>0</v>
      </c>
      <c r="AH356" s="371">
        <f t="shared" si="370"/>
        <v>0</v>
      </c>
      <c r="AI356" s="371">
        <f t="shared" si="370"/>
        <v>0</v>
      </c>
      <c r="AJ356" s="371">
        <f t="shared" si="370"/>
        <v>0</v>
      </c>
      <c r="AK356" s="371">
        <f t="shared" si="370"/>
        <v>0</v>
      </c>
      <c r="AL356" s="371">
        <f t="shared" si="370"/>
        <v>0</v>
      </c>
      <c r="AM356" s="371">
        <f t="shared" si="370"/>
        <v>0</v>
      </c>
      <c r="AN356" s="371">
        <f t="shared" si="370"/>
        <v>0</v>
      </c>
      <c r="AO356" s="371">
        <f t="shared" si="370"/>
        <v>0</v>
      </c>
      <c r="AP356" s="371">
        <f t="shared" si="370"/>
        <v>0</v>
      </c>
      <c r="AQ356" s="371">
        <f t="shared" si="370"/>
        <v>0</v>
      </c>
      <c r="AR356" s="371">
        <f t="shared" si="370"/>
        <v>0</v>
      </c>
      <c r="AS356" s="371">
        <f t="shared" si="370"/>
        <v>0</v>
      </c>
      <c r="AT356" s="371">
        <f t="shared" si="370"/>
        <v>0</v>
      </c>
      <c r="AU356" s="371">
        <f t="shared" si="370"/>
        <v>0</v>
      </c>
      <c r="AV356" s="371">
        <f t="shared" si="370"/>
        <v>0</v>
      </c>
      <c r="AW356" s="371">
        <f t="shared" si="370"/>
        <v>0</v>
      </c>
      <c r="AX356" s="371">
        <f t="shared" si="370"/>
        <v>0</v>
      </c>
      <c r="AY356" s="371">
        <f t="shared" si="370"/>
        <v>0</v>
      </c>
      <c r="AZ356" s="371">
        <f t="shared" si="370"/>
        <v>358.35135194794611</v>
      </c>
      <c r="BA356" s="371">
        <f t="shared" si="370"/>
        <v>213.76170313417083</v>
      </c>
      <c r="BB356" s="371">
        <f t="shared" si="370"/>
        <v>613.80704264395217</v>
      </c>
      <c r="BC356" s="371">
        <f t="shared" si="370"/>
        <v>0</v>
      </c>
      <c r="BD356" s="371">
        <f t="shared" si="365"/>
        <v>1613.4006612029386</v>
      </c>
      <c r="BF356" s="366"/>
    </row>
    <row r="357" spans="1:58">
      <c r="A357" s="366"/>
      <c r="B357" s="202" t="s">
        <v>846</v>
      </c>
      <c r="C357" s="23" t="s">
        <v>892</v>
      </c>
      <c r="D357" s="23"/>
      <c r="F357" s="371">
        <f t="shared" ref="F357:U357" si="371">F300/0.25</f>
        <v>0</v>
      </c>
      <c r="G357" s="371">
        <f t="shared" si="371"/>
        <v>0</v>
      </c>
      <c r="H357" s="371">
        <f t="shared" si="371"/>
        <v>297.57969554586219</v>
      </c>
      <c r="I357" s="371">
        <f t="shared" si="371"/>
        <v>0</v>
      </c>
      <c r="J357" s="371">
        <f t="shared" si="371"/>
        <v>0</v>
      </c>
      <c r="K357" s="371">
        <f t="shared" si="371"/>
        <v>0</v>
      </c>
      <c r="L357" s="371">
        <f t="shared" si="371"/>
        <v>0</v>
      </c>
      <c r="M357" s="371">
        <f t="shared" si="371"/>
        <v>0</v>
      </c>
      <c r="N357" s="371">
        <f t="shared" si="371"/>
        <v>0</v>
      </c>
      <c r="O357" s="371">
        <f t="shared" si="371"/>
        <v>0</v>
      </c>
      <c r="P357" s="371">
        <f t="shared" si="371"/>
        <v>957.5417275101513</v>
      </c>
      <c r="Q357" s="371">
        <f t="shared" si="371"/>
        <v>0</v>
      </c>
      <c r="R357" s="371">
        <f t="shared" si="371"/>
        <v>0</v>
      </c>
      <c r="S357" s="371">
        <f t="shared" si="371"/>
        <v>0</v>
      </c>
      <c r="T357" s="371">
        <f t="shared" si="371"/>
        <v>0</v>
      </c>
      <c r="U357" s="371">
        <f t="shared" si="371"/>
        <v>143.14253832069073</v>
      </c>
      <c r="V357" s="371">
        <f t="shared" ref="V357:BC357" si="372">V300/0.25</f>
        <v>115.88420398090295</v>
      </c>
      <c r="W357" s="371">
        <f t="shared" si="372"/>
        <v>0</v>
      </c>
      <c r="X357" s="371">
        <f t="shared" si="372"/>
        <v>79.27471246558035</v>
      </c>
      <c r="Y357" s="371">
        <f t="shared" si="372"/>
        <v>0</v>
      </c>
      <c r="Z357" s="371">
        <f t="shared" si="372"/>
        <v>140.93734197728097</v>
      </c>
      <c r="AA357" s="371">
        <f t="shared" si="372"/>
        <v>0</v>
      </c>
      <c r="AB357" s="371">
        <f t="shared" si="372"/>
        <v>109.73067875439341</v>
      </c>
      <c r="AC357" s="371">
        <f t="shared" si="372"/>
        <v>0</v>
      </c>
      <c r="AD357" s="371">
        <f t="shared" si="372"/>
        <v>0</v>
      </c>
      <c r="AE357" s="371">
        <f t="shared" si="372"/>
        <v>99.748375727143994</v>
      </c>
      <c r="AF357" s="371">
        <f t="shared" si="372"/>
        <v>0</v>
      </c>
      <c r="AG357" s="371">
        <f t="shared" si="372"/>
        <v>293.38138756523239</v>
      </c>
      <c r="AH357" s="371">
        <f t="shared" si="372"/>
        <v>0</v>
      </c>
      <c r="AI357" s="371">
        <f t="shared" si="372"/>
        <v>153.95264761251812</v>
      </c>
      <c r="AJ357" s="371">
        <f t="shared" si="372"/>
        <v>0</v>
      </c>
      <c r="AK357" s="371">
        <f t="shared" si="372"/>
        <v>0</v>
      </c>
      <c r="AL357" s="371">
        <f t="shared" si="372"/>
        <v>0</v>
      </c>
      <c r="AM357" s="371">
        <f t="shared" si="372"/>
        <v>0</v>
      </c>
      <c r="AN357" s="371">
        <f t="shared" si="372"/>
        <v>0</v>
      </c>
      <c r="AO357" s="371">
        <f t="shared" si="372"/>
        <v>0</v>
      </c>
      <c r="AP357" s="371">
        <f t="shared" si="372"/>
        <v>0</v>
      </c>
      <c r="AQ357" s="371">
        <f t="shared" si="372"/>
        <v>0</v>
      </c>
      <c r="AR357" s="371">
        <f t="shared" si="372"/>
        <v>0</v>
      </c>
      <c r="AS357" s="371">
        <f t="shared" si="372"/>
        <v>0</v>
      </c>
      <c r="AT357" s="371">
        <f t="shared" si="372"/>
        <v>0</v>
      </c>
      <c r="AU357" s="371">
        <f t="shared" si="372"/>
        <v>0</v>
      </c>
      <c r="AV357" s="371">
        <f t="shared" si="372"/>
        <v>0</v>
      </c>
      <c r="AW357" s="371">
        <f t="shared" si="372"/>
        <v>0</v>
      </c>
      <c r="AX357" s="371">
        <f t="shared" si="372"/>
        <v>0</v>
      </c>
      <c r="AY357" s="371">
        <f t="shared" si="372"/>
        <v>222.09943553575008</v>
      </c>
      <c r="AZ357" s="371">
        <f t="shared" si="372"/>
        <v>1814.1537192364772</v>
      </c>
      <c r="BA357" s="371">
        <f t="shared" si="372"/>
        <v>2320.9183656812238</v>
      </c>
      <c r="BB357" s="371">
        <f t="shared" si="372"/>
        <v>4647.3961800184952</v>
      </c>
      <c r="BC357" s="371">
        <f t="shared" si="372"/>
        <v>2000.5527872259663</v>
      </c>
      <c r="BD357" s="371">
        <f t="shared" si="365"/>
        <v>13396.293797157668</v>
      </c>
      <c r="BF357" s="366"/>
    </row>
    <row r="358" spans="1:58">
      <c r="A358" s="366"/>
      <c r="B358" s="202" t="s">
        <v>192</v>
      </c>
      <c r="C358" s="23" t="s">
        <v>893</v>
      </c>
      <c r="D358" s="23"/>
      <c r="F358" s="371">
        <f t="shared" ref="F358:U358" si="373">F301/0.25</f>
        <v>0</v>
      </c>
      <c r="G358" s="371">
        <f t="shared" si="373"/>
        <v>0</v>
      </c>
      <c r="H358" s="371">
        <f t="shared" si="373"/>
        <v>842.08255777163652</v>
      </c>
      <c r="I358" s="371">
        <f t="shared" si="373"/>
        <v>0</v>
      </c>
      <c r="J358" s="371">
        <f t="shared" si="373"/>
        <v>199.87060386262138</v>
      </c>
      <c r="K358" s="371">
        <f t="shared" si="373"/>
        <v>108.68972792178052</v>
      </c>
      <c r="L358" s="371">
        <f t="shared" si="373"/>
        <v>192.48705549713355</v>
      </c>
      <c r="M358" s="371">
        <f t="shared" si="373"/>
        <v>127.59436758244507</v>
      </c>
      <c r="N358" s="371">
        <f t="shared" si="373"/>
        <v>225.21477046270908</v>
      </c>
      <c r="O358" s="371">
        <f t="shared" si="373"/>
        <v>0</v>
      </c>
      <c r="P358" s="371">
        <f t="shared" si="373"/>
        <v>4051.9248057416844</v>
      </c>
      <c r="Q358" s="371">
        <f t="shared" si="373"/>
        <v>0</v>
      </c>
      <c r="R358" s="371">
        <f t="shared" si="373"/>
        <v>136.13885073652506</v>
      </c>
      <c r="S358" s="371">
        <f t="shared" si="373"/>
        <v>121.95274228912803</v>
      </c>
      <c r="T358" s="371">
        <f t="shared" si="373"/>
        <v>46.631824352525008</v>
      </c>
      <c r="U358" s="371">
        <f t="shared" si="373"/>
        <v>449.0609220089068</v>
      </c>
      <c r="V358" s="371">
        <f t="shared" ref="V358:BC358" si="374">V301/0.25</f>
        <v>223.49096482031283</v>
      </c>
      <c r="W358" s="371">
        <f t="shared" si="374"/>
        <v>0</v>
      </c>
      <c r="X358" s="371">
        <f t="shared" si="374"/>
        <v>0</v>
      </c>
      <c r="Y358" s="371">
        <f t="shared" si="374"/>
        <v>0</v>
      </c>
      <c r="Z358" s="371">
        <f t="shared" si="374"/>
        <v>335.39078041346767</v>
      </c>
      <c r="AA358" s="371">
        <f t="shared" si="374"/>
        <v>398.26480193263268</v>
      </c>
      <c r="AB358" s="371">
        <f t="shared" si="374"/>
        <v>244.85358069162169</v>
      </c>
      <c r="AC358" s="371">
        <f t="shared" si="374"/>
        <v>112.69570522970444</v>
      </c>
      <c r="AD358" s="371">
        <f t="shared" si="374"/>
        <v>630.24336660763254</v>
      </c>
      <c r="AE358" s="371">
        <f t="shared" si="374"/>
        <v>1010.9223429955903</v>
      </c>
      <c r="AF358" s="371">
        <f t="shared" si="374"/>
        <v>63.881749502273962</v>
      </c>
      <c r="AG358" s="371">
        <f t="shared" si="374"/>
        <v>0</v>
      </c>
      <c r="AH358" s="371">
        <f t="shared" si="374"/>
        <v>0</v>
      </c>
      <c r="AI358" s="371">
        <f t="shared" si="374"/>
        <v>576.64848082256344</v>
      </c>
      <c r="AJ358" s="371">
        <f t="shared" si="374"/>
        <v>218.858944519646</v>
      </c>
      <c r="AK358" s="371">
        <f t="shared" si="374"/>
        <v>0</v>
      </c>
      <c r="AL358" s="371">
        <f t="shared" si="374"/>
        <v>0</v>
      </c>
      <c r="AM358" s="371">
        <f t="shared" si="374"/>
        <v>0</v>
      </c>
      <c r="AN358" s="371">
        <f t="shared" si="374"/>
        <v>0</v>
      </c>
      <c r="AO358" s="371">
        <f t="shared" si="374"/>
        <v>13.327979994846057</v>
      </c>
      <c r="AP358" s="371">
        <f t="shared" si="374"/>
        <v>0</v>
      </c>
      <c r="AQ358" s="371">
        <f t="shared" si="374"/>
        <v>0</v>
      </c>
      <c r="AR358" s="371">
        <f t="shared" si="374"/>
        <v>0</v>
      </c>
      <c r="AS358" s="371">
        <f t="shared" si="374"/>
        <v>0</v>
      </c>
      <c r="AT358" s="371">
        <f t="shared" si="374"/>
        <v>0</v>
      </c>
      <c r="AU358" s="371">
        <f t="shared" si="374"/>
        <v>0</v>
      </c>
      <c r="AV358" s="371">
        <f t="shared" si="374"/>
        <v>76.179505991145916</v>
      </c>
      <c r="AW358" s="371">
        <f t="shared" si="374"/>
        <v>455.17048261672045</v>
      </c>
      <c r="AX358" s="371">
        <f t="shared" si="374"/>
        <v>0</v>
      </c>
      <c r="AY358" s="371">
        <f t="shared" si="374"/>
        <v>606.36158878098433</v>
      </c>
      <c r="AZ358" s="371">
        <f t="shared" si="374"/>
        <v>7663.9595777929881</v>
      </c>
      <c r="BA358" s="371">
        <f t="shared" si="374"/>
        <v>9812.9410900310377</v>
      </c>
      <c r="BB358" s="371">
        <f t="shared" si="374"/>
        <v>10923.827021032948</v>
      </c>
      <c r="BC358" s="371">
        <f t="shared" si="374"/>
        <v>5800.4330117452937</v>
      </c>
      <c r="BD358" s="371">
        <f t="shared" si="365"/>
        <v>45669.099203748512</v>
      </c>
      <c r="BF358" s="366"/>
    </row>
    <row r="359" spans="1:58">
      <c r="A359" s="366"/>
      <c r="B359" s="202" t="s">
        <v>894</v>
      </c>
      <c r="C359" s="23" t="s">
        <v>895</v>
      </c>
      <c r="D359" s="23"/>
      <c r="F359" s="371">
        <f t="shared" ref="F359:U359" si="375">F302/0.25</f>
        <v>0</v>
      </c>
      <c r="G359" s="371">
        <f t="shared" si="375"/>
        <v>228.70363677997204</v>
      </c>
      <c r="H359" s="371">
        <f t="shared" si="375"/>
        <v>2032.481082621541</v>
      </c>
      <c r="I359" s="371">
        <f t="shared" si="375"/>
        <v>0</v>
      </c>
      <c r="J359" s="371">
        <f t="shared" si="375"/>
        <v>303.73193551266212</v>
      </c>
      <c r="K359" s="371">
        <f t="shared" si="375"/>
        <v>403.93889833976959</v>
      </c>
      <c r="L359" s="371">
        <f t="shared" si="375"/>
        <v>214.48557612537741</v>
      </c>
      <c r="M359" s="371">
        <f t="shared" si="375"/>
        <v>102.63852228307599</v>
      </c>
      <c r="N359" s="371">
        <f t="shared" si="375"/>
        <v>950.12481288955394</v>
      </c>
      <c r="O359" s="371">
        <f t="shared" si="375"/>
        <v>0</v>
      </c>
      <c r="P359" s="371">
        <f t="shared" si="375"/>
        <v>7931.0025754427461</v>
      </c>
      <c r="Q359" s="371">
        <f t="shared" si="375"/>
        <v>216.00926732886938</v>
      </c>
      <c r="R359" s="371">
        <f t="shared" si="375"/>
        <v>818.80232598235943</v>
      </c>
      <c r="S359" s="371">
        <f t="shared" si="375"/>
        <v>666.51399746137292</v>
      </c>
      <c r="T359" s="371">
        <f t="shared" si="375"/>
        <v>398.07654935082326</v>
      </c>
      <c r="U359" s="371">
        <f t="shared" si="375"/>
        <v>2022.6725687048138</v>
      </c>
      <c r="V359" s="371">
        <f t="shared" ref="V359:BC359" si="376">V302/0.25</f>
        <v>112.96275346037598</v>
      </c>
      <c r="W359" s="371">
        <f t="shared" si="376"/>
        <v>343.05468128307484</v>
      </c>
      <c r="X359" s="371">
        <f t="shared" si="376"/>
        <v>238.67655365981176</v>
      </c>
      <c r="Y359" s="371">
        <f t="shared" si="376"/>
        <v>77.890943936605467</v>
      </c>
      <c r="Z359" s="371">
        <f t="shared" si="376"/>
        <v>1326.7549779240589</v>
      </c>
      <c r="AA359" s="371">
        <f t="shared" si="376"/>
        <v>1208.322887165675</v>
      </c>
      <c r="AB359" s="371">
        <f t="shared" si="376"/>
        <v>646.64439745354321</v>
      </c>
      <c r="AC359" s="371">
        <f t="shared" si="376"/>
        <v>687.76291045549885</v>
      </c>
      <c r="AD359" s="371">
        <f t="shared" si="376"/>
        <v>940.66174120542155</v>
      </c>
      <c r="AE359" s="371">
        <f t="shared" si="376"/>
        <v>2595.6028952654674</v>
      </c>
      <c r="AF359" s="371">
        <f t="shared" si="376"/>
        <v>435.14305158040179</v>
      </c>
      <c r="AG359" s="371">
        <f t="shared" si="376"/>
        <v>699.85472326111721</v>
      </c>
      <c r="AH359" s="371">
        <f t="shared" si="376"/>
        <v>376.44587021702341</v>
      </c>
      <c r="AI359" s="371">
        <f t="shared" si="376"/>
        <v>2299.1183598681678</v>
      </c>
      <c r="AJ359" s="371">
        <f t="shared" si="376"/>
        <v>1991.290666012201</v>
      </c>
      <c r="AK359" s="371">
        <f t="shared" si="376"/>
        <v>1115.1572651352976</v>
      </c>
      <c r="AL359" s="371">
        <f t="shared" si="376"/>
        <v>0</v>
      </c>
      <c r="AM359" s="371">
        <f t="shared" si="376"/>
        <v>0</v>
      </c>
      <c r="AN359" s="371">
        <f t="shared" si="376"/>
        <v>0</v>
      </c>
      <c r="AO359" s="371">
        <f t="shared" si="376"/>
        <v>35.642899520527223</v>
      </c>
      <c r="AP359" s="371">
        <f t="shared" si="376"/>
        <v>132.12739556210778</v>
      </c>
      <c r="AQ359" s="371">
        <f t="shared" si="376"/>
        <v>31.074224799815461</v>
      </c>
      <c r="AR359" s="371">
        <f t="shared" si="376"/>
        <v>0</v>
      </c>
      <c r="AS359" s="371">
        <f t="shared" si="376"/>
        <v>166.20706410877111</v>
      </c>
      <c r="AT359" s="371">
        <f t="shared" si="376"/>
        <v>0</v>
      </c>
      <c r="AU359" s="371">
        <f t="shared" si="376"/>
        <v>41.734441107033042</v>
      </c>
      <c r="AV359" s="371">
        <f t="shared" si="376"/>
        <v>153.44729063930822</v>
      </c>
      <c r="AW359" s="371">
        <f t="shared" si="376"/>
        <v>820.68007933046283</v>
      </c>
      <c r="AX359" s="371">
        <f t="shared" si="376"/>
        <v>3856.1851224614074</v>
      </c>
      <c r="AY359" s="371">
        <f t="shared" si="376"/>
        <v>918.95793579229928</v>
      </c>
      <c r="AZ359" s="371">
        <f t="shared" si="376"/>
        <v>14607.187730317193</v>
      </c>
      <c r="BA359" s="371">
        <f t="shared" si="376"/>
        <v>24601.682420938621</v>
      </c>
      <c r="BB359" s="371">
        <f t="shared" si="376"/>
        <v>21134.880508733117</v>
      </c>
      <c r="BC359" s="371">
        <f t="shared" si="376"/>
        <v>18212.128795763674</v>
      </c>
      <c r="BD359" s="371">
        <f t="shared" si="365"/>
        <v>116096.46233578102</v>
      </c>
      <c r="BF359" s="366"/>
    </row>
    <row r="360" spans="1:58">
      <c r="A360" s="366"/>
      <c r="B360" s="202" t="s">
        <v>896</v>
      </c>
      <c r="C360" s="23" t="s">
        <v>897</v>
      </c>
      <c r="D360" s="23"/>
      <c r="F360" s="371">
        <f t="shared" ref="F360:U360" si="377">F303/0.25</f>
        <v>0</v>
      </c>
      <c r="G360" s="371">
        <f t="shared" si="377"/>
        <v>1440.8329117138239</v>
      </c>
      <c r="H360" s="371">
        <f t="shared" si="377"/>
        <v>9542.3084490798028</v>
      </c>
      <c r="I360" s="371">
        <f t="shared" si="377"/>
        <v>11628.928864130694</v>
      </c>
      <c r="J360" s="371">
        <f t="shared" si="377"/>
        <v>904.03256412703195</v>
      </c>
      <c r="K360" s="371">
        <f t="shared" si="377"/>
        <v>1293.6759372147137</v>
      </c>
      <c r="L360" s="371">
        <f t="shared" si="377"/>
        <v>571.68655482648671</v>
      </c>
      <c r="M360" s="371">
        <f t="shared" si="377"/>
        <v>1589.5547404684824</v>
      </c>
      <c r="N360" s="371">
        <f t="shared" si="377"/>
        <v>6080.7988024931456</v>
      </c>
      <c r="O360" s="371">
        <f t="shared" si="377"/>
        <v>0</v>
      </c>
      <c r="P360" s="371">
        <f t="shared" si="377"/>
        <v>27668.895175724454</v>
      </c>
      <c r="Q360" s="371">
        <f t="shared" si="377"/>
        <v>203.02466573062193</v>
      </c>
      <c r="R360" s="371">
        <f t="shared" si="377"/>
        <v>2412.8957432330403</v>
      </c>
      <c r="S360" s="371">
        <f t="shared" si="377"/>
        <v>5143.062857553683</v>
      </c>
      <c r="T360" s="371">
        <f t="shared" si="377"/>
        <v>922.44656987717076</v>
      </c>
      <c r="U360" s="371">
        <f t="shared" si="377"/>
        <v>8469.5475222846344</v>
      </c>
      <c r="V360" s="371">
        <f t="shared" ref="V360:BC360" si="378">V303/0.25</f>
        <v>1344.1158735292572</v>
      </c>
      <c r="W360" s="371">
        <f t="shared" si="378"/>
        <v>1554.7973935096661</v>
      </c>
      <c r="X360" s="371">
        <f t="shared" si="378"/>
        <v>1486.8412737988847</v>
      </c>
      <c r="Y360" s="371">
        <f t="shared" si="378"/>
        <v>1852.0735558259521</v>
      </c>
      <c r="Z360" s="371">
        <f t="shared" si="378"/>
        <v>10101.075600641823</v>
      </c>
      <c r="AA360" s="371">
        <f t="shared" si="378"/>
        <v>9142.801729410141</v>
      </c>
      <c r="AB360" s="371">
        <f t="shared" si="378"/>
        <v>3973.3559659530051</v>
      </c>
      <c r="AC360" s="371">
        <f t="shared" si="378"/>
        <v>3419.97173281296</v>
      </c>
      <c r="AD360" s="371">
        <f t="shared" si="378"/>
        <v>2916.0513977368068</v>
      </c>
      <c r="AE360" s="371">
        <f t="shared" si="378"/>
        <v>10127.955212873976</v>
      </c>
      <c r="AF360" s="371">
        <f t="shared" si="378"/>
        <v>2150.6172438498165</v>
      </c>
      <c r="AG360" s="371">
        <f t="shared" si="378"/>
        <v>6910.1563752673683</v>
      </c>
      <c r="AH360" s="371">
        <f t="shared" si="378"/>
        <v>2797.9768955983541</v>
      </c>
      <c r="AI360" s="371">
        <f t="shared" si="378"/>
        <v>12061.088519461664</v>
      </c>
      <c r="AJ360" s="371">
        <f t="shared" si="378"/>
        <v>8182.7027772618694</v>
      </c>
      <c r="AK360" s="371">
        <f t="shared" si="378"/>
        <v>6114.6526242272803</v>
      </c>
      <c r="AL360" s="371">
        <f t="shared" si="378"/>
        <v>0</v>
      </c>
      <c r="AM360" s="371">
        <f t="shared" si="378"/>
        <v>0</v>
      </c>
      <c r="AN360" s="371">
        <f t="shared" si="378"/>
        <v>0</v>
      </c>
      <c r="AO360" s="371">
        <f t="shared" si="378"/>
        <v>142.86244768105084</v>
      </c>
      <c r="AP360" s="371">
        <f t="shared" si="378"/>
        <v>740.35875834628348</v>
      </c>
      <c r="AQ360" s="371">
        <f t="shared" si="378"/>
        <v>415.94461375878228</v>
      </c>
      <c r="AR360" s="371">
        <f t="shared" si="378"/>
        <v>621.59307181353313</v>
      </c>
      <c r="AS360" s="371">
        <f t="shared" si="378"/>
        <v>402.36481754028279</v>
      </c>
      <c r="AT360" s="371">
        <f t="shared" si="378"/>
        <v>749.34303551137634</v>
      </c>
      <c r="AU360" s="371">
        <f t="shared" si="378"/>
        <v>156.90679038936688</v>
      </c>
      <c r="AV360" s="371">
        <f t="shared" si="378"/>
        <v>616.49734753625501</v>
      </c>
      <c r="AW360" s="371">
        <f t="shared" si="378"/>
        <v>2907.5889149825061</v>
      </c>
      <c r="AX360" s="371">
        <f t="shared" si="378"/>
        <v>4860.7375493211021</v>
      </c>
      <c r="AY360" s="371">
        <f t="shared" si="378"/>
        <v>2976.5264110140679</v>
      </c>
      <c r="AZ360" s="371">
        <f t="shared" si="378"/>
        <v>104936.61145434882</v>
      </c>
      <c r="BA360" s="371">
        <f t="shared" si="378"/>
        <v>71337.470950259609</v>
      </c>
      <c r="BB360" s="371">
        <f t="shared" si="378"/>
        <v>42513.237632580538</v>
      </c>
      <c r="BC360" s="371">
        <f t="shared" si="378"/>
        <v>42390.357590568092</v>
      </c>
      <c r="BD360" s="371">
        <f t="shared" si="365"/>
        <v>437776.32691586827</v>
      </c>
      <c r="BF360" s="366"/>
    </row>
    <row r="361" spans="1:58">
      <c r="A361" s="366"/>
      <c r="B361" s="202" t="s">
        <v>898</v>
      </c>
      <c r="C361" s="23" t="s">
        <v>899</v>
      </c>
      <c r="D361" s="23"/>
      <c r="F361" s="371">
        <f t="shared" ref="F361:U361" si="379">F304/0.25</f>
        <v>0</v>
      </c>
      <c r="G361" s="371">
        <f t="shared" si="379"/>
        <v>3395.9480803447168</v>
      </c>
      <c r="H361" s="371">
        <f t="shared" si="379"/>
        <v>31553.438814078359</v>
      </c>
      <c r="I361" s="371">
        <f t="shared" si="379"/>
        <v>13700.992552648526</v>
      </c>
      <c r="J361" s="371">
        <f t="shared" si="379"/>
        <v>6615.643234862413</v>
      </c>
      <c r="K361" s="371">
        <f t="shared" si="379"/>
        <v>2714.0502069297668</v>
      </c>
      <c r="L361" s="371">
        <f t="shared" si="379"/>
        <v>288.73058324570036</v>
      </c>
      <c r="M361" s="371">
        <f t="shared" si="379"/>
        <v>3138.0768600117526</v>
      </c>
      <c r="N361" s="371">
        <f t="shared" si="379"/>
        <v>20873.954222573531</v>
      </c>
      <c r="O361" s="371">
        <f t="shared" si="379"/>
        <v>0</v>
      </c>
      <c r="P361" s="371">
        <f t="shared" si="379"/>
        <v>36912.438701361956</v>
      </c>
      <c r="Q361" s="371">
        <f t="shared" si="379"/>
        <v>1620.4523687336557</v>
      </c>
      <c r="R361" s="371">
        <f t="shared" si="379"/>
        <v>5119.4539916502572</v>
      </c>
      <c r="S361" s="371">
        <f t="shared" si="379"/>
        <v>8070.4814768015576</v>
      </c>
      <c r="T361" s="371">
        <f t="shared" si="379"/>
        <v>1957.5758493830406</v>
      </c>
      <c r="U361" s="371">
        <f t="shared" si="379"/>
        <v>10627.644079802736</v>
      </c>
      <c r="V361" s="371">
        <f t="shared" ref="V361:BC361" si="380">V304/0.25</f>
        <v>2229.5592096706041</v>
      </c>
      <c r="W361" s="371">
        <f t="shared" si="380"/>
        <v>5899.6448848028786</v>
      </c>
      <c r="X361" s="371">
        <f t="shared" si="380"/>
        <v>4615.190403268276</v>
      </c>
      <c r="Y361" s="371">
        <f t="shared" si="380"/>
        <v>3241.0258364446845</v>
      </c>
      <c r="Z361" s="371">
        <f t="shared" si="380"/>
        <v>17832.755926149999</v>
      </c>
      <c r="AA361" s="371">
        <f t="shared" si="380"/>
        <v>22404.434077782869</v>
      </c>
      <c r="AB361" s="371">
        <f t="shared" si="380"/>
        <v>7471.4786345537332</v>
      </c>
      <c r="AC361" s="371">
        <f t="shared" si="380"/>
        <v>7596.4051966490642</v>
      </c>
      <c r="AD361" s="371">
        <f t="shared" si="380"/>
        <v>7152.6471629350717</v>
      </c>
      <c r="AE361" s="371">
        <f t="shared" si="380"/>
        <v>10533.428476786406</v>
      </c>
      <c r="AF361" s="371">
        <f t="shared" si="380"/>
        <v>3570.9897971771147</v>
      </c>
      <c r="AG361" s="371">
        <f t="shared" si="380"/>
        <v>13160.203640114463</v>
      </c>
      <c r="AH361" s="371">
        <f t="shared" si="380"/>
        <v>5039.6109940319111</v>
      </c>
      <c r="AI361" s="371">
        <f t="shared" si="380"/>
        <v>29890.072305542479</v>
      </c>
      <c r="AJ361" s="371">
        <f t="shared" si="380"/>
        <v>15760.955235508174</v>
      </c>
      <c r="AK361" s="371">
        <f t="shared" si="380"/>
        <v>13137.245951486173</v>
      </c>
      <c r="AL361" s="371">
        <f t="shared" si="380"/>
        <v>0</v>
      </c>
      <c r="AM361" s="371">
        <f t="shared" si="380"/>
        <v>0</v>
      </c>
      <c r="AN361" s="371">
        <f t="shared" si="380"/>
        <v>0</v>
      </c>
      <c r="AO361" s="371">
        <f t="shared" si="380"/>
        <v>237.59039567296165</v>
      </c>
      <c r="AP361" s="371">
        <f t="shared" si="380"/>
        <v>1147.1957283842833</v>
      </c>
      <c r="AQ361" s="371">
        <f t="shared" si="380"/>
        <v>546.31785140806028</v>
      </c>
      <c r="AR361" s="371">
        <f t="shared" si="380"/>
        <v>1922.7063259082579</v>
      </c>
      <c r="AS361" s="371">
        <f t="shared" si="380"/>
        <v>307.30480993923339</v>
      </c>
      <c r="AT361" s="371">
        <f t="shared" si="380"/>
        <v>1674.4657311049748</v>
      </c>
      <c r="AU361" s="371">
        <f t="shared" si="380"/>
        <v>329.26389540663826</v>
      </c>
      <c r="AV361" s="371">
        <f t="shared" si="380"/>
        <v>938.63065948216195</v>
      </c>
      <c r="AW361" s="371">
        <f t="shared" si="380"/>
        <v>2155.7416930038976</v>
      </c>
      <c r="AX361" s="371">
        <f t="shared" si="380"/>
        <v>3990.7759993005639</v>
      </c>
      <c r="AY361" s="371">
        <f t="shared" si="380"/>
        <v>2124.2355283733941</v>
      </c>
      <c r="AZ361" s="371">
        <f t="shared" si="380"/>
        <v>340079.34471463651</v>
      </c>
      <c r="BA361" s="371">
        <f t="shared" si="380"/>
        <v>83890.301103261605</v>
      </c>
      <c r="BB361" s="371">
        <f t="shared" si="380"/>
        <v>67677.568884696884</v>
      </c>
      <c r="BC361" s="371">
        <f t="shared" si="380"/>
        <v>38659.866971944568</v>
      </c>
      <c r="BD361" s="371">
        <f t="shared" si="365"/>
        <v>861805.83904785593</v>
      </c>
      <c r="BF361" s="366"/>
    </row>
    <row r="362" spans="1:58">
      <c r="A362" s="366"/>
      <c r="B362" s="202" t="s">
        <v>900</v>
      </c>
      <c r="C362" s="23" t="s">
        <v>874</v>
      </c>
      <c r="D362" s="23"/>
      <c r="F362" s="371">
        <f t="shared" ref="F362:BC362" si="381">F305/0.25</f>
        <v>3014673.1868172982</v>
      </c>
      <c r="G362" s="371">
        <f t="shared" si="381"/>
        <v>6550724.2636690605</v>
      </c>
      <c r="H362" s="371">
        <f t="shared" si="381"/>
        <v>8117916.1960520316</v>
      </c>
      <c r="I362" s="371">
        <f t="shared" si="381"/>
        <v>436338.55448920937</v>
      </c>
      <c r="J362" s="371">
        <f t="shared" si="381"/>
        <v>2734388.7853479218</v>
      </c>
      <c r="K362" s="371">
        <f t="shared" si="381"/>
        <v>175023.37070875306</v>
      </c>
      <c r="L362" s="371">
        <f t="shared" si="381"/>
        <v>199381.11688051734</v>
      </c>
      <c r="M362" s="371">
        <f t="shared" si="381"/>
        <v>204774.55931068564</v>
      </c>
      <c r="N362" s="371">
        <f t="shared" si="381"/>
        <v>346852.50021199172</v>
      </c>
      <c r="O362" s="371">
        <f t="shared" si="381"/>
        <v>19921.18402852826</v>
      </c>
      <c r="P362" s="371">
        <f t="shared" si="381"/>
        <v>584445.4121089105</v>
      </c>
      <c r="Q362" s="371">
        <f t="shared" si="381"/>
        <v>223965.11894256665</v>
      </c>
      <c r="R362" s="371">
        <f t="shared" si="381"/>
        <v>419845.57434395759</v>
      </c>
      <c r="S362" s="371">
        <f t="shared" si="381"/>
        <v>837350.08284629695</v>
      </c>
      <c r="T362" s="371">
        <f t="shared" si="381"/>
        <v>1011269.778214008</v>
      </c>
      <c r="U362" s="371">
        <f t="shared" si="381"/>
        <v>311507.85685296613</v>
      </c>
      <c r="V362" s="371">
        <f t="shared" si="381"/>
        <v>1027674.5001502346</v>
      </c>
      <c r="W362" s="371">
        <f t="shared" si="381"/>
        <v>836393.85109717096</v>
      </c>
      <c r="X362" s="371">
        <f t="shared" si="381"/>
        <v>1617178.9781602032</v>
      </c>
      <c r="Y362" s="371">
        <f t="shared" si="381"/>
        <v>1974420.2688177177</v>
      </c>
      <c r="Z362" s="371">
        <f t="shared" si="381"/>
        <v>563292.90514586866</v>
      </c>
      <c r="AA362" s="371">
        <f t="shared" si="381"/>
        <v>3538847.723103073</v>
      </c>
      <c r="AB362" s="371">
        <f t="shared" si="381"/>
        <v>1025316.8677878939</v>
      </c>
      <c r="AC362" s="371">
        <f t="shared" si="381"/>
        <v>454560.48451865313</v>
      </c>
      <c r="AD362" s="371">
        <f t="shared" si="381"/>
        <v>1001382.5419791638</v>
      </c>
      <c r="AE362" s="371">
        <f t="shared" si="381"/>
        <v>278690.43198219198</v>
      </c>
      <c r="AF362" s="371">
        <f t="shared" si="381"/>
        <v>365826.67725913395</v>
      </c>
      <c r="AG362" s="371">
        <f t="shared" si="381"/>
        <v>823102.74377859477</v>
      </c>
      <c r="AH362" s="371">
        <f t="shared" si="381"/>
        <v>618031.28810160724</v>
      </c>
      <c r="AI362" s="371">
        <f t="shared" si="381"/>
        <v>3770398.5377983684</v>
      </c>
      <c r="AJ362" s="371">
        <f t="shared" si="381"/>
        <v>822074.26328621106</v>
      </c>
      <c r="AK362" s="371">
        <f t="shared" si="381"/>
        <v>6948158.4232939295</v>
      </c>
      <c r="AL362" s="371">
        <f t="shared" si="381"/>
        <v>12677103.311196437</v>
      </c>
      <c r="AM362" s="371">
        <f t="shared" si="381"/>
        <v>952557.07489955542</v>
      </c>
      <c r="AN362" s="371">
        <f t="shared" si="381"/>
        <v>1399431.7160983381</v>
      </c>
      <c r="AO362" s="371">
        <f t="shared" si="381"/>
        <v>46257.26620091356</v>
      </c>
      <c r="AP362" s="371">
        <f t="shared" si="381"/>
        <v>195441.78761280922</v>
      </c>
      <c r="AQ362" s="371">
        <f t="shared" si="381"/>
        <v>360445.0192089937</v>
      </c>
      <c r="AR362" s="371">
        <f t="shared" si="381"/>
        <v>289423.82760846167</v>
      </c>
      <c r="AS362" s="371">
        <f t="shared" si="381"/>
        <v>158068.35772503485</v>
      </c>
      <c r="AT362" s="371">
        <f t="shared" si="381"/>
        <v>346617.11863158067</v>
      </c>
      <c r="AU362" s="371">
        <f t="shared" si="381"/>
        <v>84915.255159338223</v>
      </c>
      <c r="AV362" s="371">
        <f t="shared" si="381"/>
        <v>243254.67947893389</v>
      </c>
      <c r="AW362" s="371">
        <f t="shared" si="381"/>
        <v>385754.04945875559</v>
      </c>
      <c r="AX362" s="371">
        <f t="shared" si="381"/>
        <v>26730.558263181323</v>
      </c>
      <c r="AY362" s="371">
        <f t="shared" si="381"/>
        <v>247662.27691501708</v>
      </c>
      <c r="AZ362" s="371">
        <f t="shared" si="381"/>
        <v>1212552.0496573923</v>
      </c>
      <c r="BA362" s="371">
        <f t="shared" si="381"/>
        <v>817731.86922011699</v>
      </c>
      <c r="BB362" s="371">
        <f t="shared" si="381"/>
        <v>1448869.870566647</v>
      </c>
      <c r="BC362" s="371">
        <f t="shared" si="381"/>
        <v>227480.86588025038</v>
      </c>
      <c r="BD362" s="371">
        <f t="shared" si="365"/>
        <v>71974024.980866462</v>
      </c>
      <c r="BF362" s="366"/>
    </row>
    <row r="363" spans="1:58">
      <c r="A363" s="366"/>
      <c r="C363" s="23"/>
      <c r="D363" s="9" t="s">
        <v>218</v>
      </c>
      <c r="F363" s="371">
        <f>SUM(F351:F362)</f>
        <v>3014673.1868172982</v>
      </c>
      <c r="G363" s="371">
        <f t="shared" ref="G363:BC363" si="382">SUM(G351:G362)</f>
        <v>11275280.034891604</v>
      </c>
      <c r="H363" s="371">
        <f t="shared" si="382"/>
        <v>13536998.448722001</v>
      </c>
      <c r="I363" s="371">
        <f t="shared" si="382"/>
        <v>19909354.930480402</v>
      </c>
      <c r="J363" s="371">
        <f t="shared" si="382"/>
        <v>6769807.5876359995</v>
      </c>
      <c r="K363" s="371">
        <f t="shared" si="382"/>
        <v>2216103.4906399995</v>
      </c>
      <c r="L363" s="371">
        <f t="shared" si="382"/>
        <v>10802995.568679998</v>
      </c>
      <c r="M363" s="371">
        <f t="shared" si="382"/>
        <v>13075465.343807999</v>
      </c>
      <c r="N363" s="371">
        <f t="shared" si="382"/>
        <v>16022828.944280891</v>
      </c>
      <c r="O363" s="371">
        <f t="shared" si="382"/>
        <v>8669302.1927199997</v>
      </c>
      <c r="P363" s="371">
        <f t="shared" si="382"/>
        <v>26844626.000799999</v>
      </c>
      <c r="Q363" s="371">
        <f t="shared" si="382"/>
        <v>7188105.6412900006</v>
      </c>
      <c r="R363" s="371">
        <f t="shared" si="382"/>
        <v>5362041.4571840018</v>
      </c>
      <c r="S363" s="371">
        <f t="shared" si="382"/>
        <v>6038466.265159999</v>
      </c>
      <c r="T363" s="371">
        <f t="shared" si="382"/>
        <v>5083550.8264520001</v>
      </c>
      <c r="U363" s="371">
        <f t="shared" si="382"/>
        <v>7445961.3098400012</v>
      </c>
      <c r="V363" s="371">
        <f t="shared" si="382"/>
        <v>5318365.4141400028</v>
      </c>
      <c r="W363" s="371">
        <f t="shared" si="382"/>
        <v>4853924.8848271994</v>
      </c>
      <c r="X363" s="371">
        <f t="shared" si="382"/>
        <v>4621838.6973499991</v>
      </c>
      <c r="Y363" s="371">
        <f t="shared" si="382"/>
        <v>4630285.177716</v>
      </c>
      <c r="Z363" s="371">
        <f t="shared" si="382"/>
        <v>16780703.347968001</v>
      </c>
      <c r="AA363" s="371">
        <f t="shared" si="382"/>
        <v>15195657.230606001</v>
      </c>
      <c r="AB363" s="371">
        <f t="shared" si="382"/>
        <v>7592882.8996440005</v>
      </c>
      <c r="AC363" s="371">
        <f t="shared" si="382"/>
        <v>7721814.880251728</v>
      </c>
      <c r="AD363" s="371">
        <f t="shared" si="382"/>
        <v>5352454.2550079999</v>
      </c>
      <c r="AE363" s="371">
        <f t="shared" si="382"/>
        <v>11852975.650656</v>
      </c>
      <c r="AF363" s="371">
        <f t="shared" si="382"/>
        <v>5326939.8439109996</v>
      </c>
      <c r="AG363" s="371">
        <f t="shared" si="382"/>
        <v>12985367.686943997</v>
      </c>
      <c r="AH363" s="371">
        <f t="shared" si="382"/>
        <v>5561925.6323520001</v>
      </c>
      <c r="AI363" s="371">
        <f t="shared" si="382"/>
        <v>13216723.728454918</v>
      </c>
      <c r="AJ363" s="371">
        <f t="shared" si="382"/>
        <v>8308878.7718240004</v>
      </c>
      <c r="AK363" s="371">
        <f t="shared" si="382"/>
        <v>15262457.29077857</v>
      </c>
      <c r="AL363" s="371">
        <f t="shared" si="382"/>
        <v>12677103.311196437</v>
      </c>
      <c r="AM363" s="371">
        <f t="shared" si="382"/>
        <v>2427599.8998457626</v>
      </c>
      <c r="AN363" s="371">
        <f t="shared" si="382"/>
        <v>2492101.391882034</v>
      </c>
      <c r="AO363" s="371">
        <f t="shared" si="382"/>
        <v>540903.15366101696</v>
      </c>
      <c r="AP363" s="371">
        <f t="shared" si="382"/>
        <v>2281656.9349555937</v>
      </c>
      <c r="AQ363" s="371">
        <f t="shared" si="382"/>
        <v>2478332.9562894916</v>
      </c>
      <c r="AR363" s="371">
        <f t="shared" si="382"/>
        <v>2915457.4291606783</v>
      </c>
      <c r="AS363" s="371">
        <f t="shared" si="382"/>
        <v>3389306.2709430507</v>
      </c>
      <c r="AT363" s="371">
        <f t="shared" si="382"/>
        <v>2760126.3829403389</v>
      </c>
      <c r="AU363" s="371">
        <f t="shared" si="382"/>
        <v>1052089.9744893557</v>
      </c>
      <c r="AV363" s="371">
        <f t="shared" si="382"/>
        <v>5259053.6568305083</v>
      </c>
      <c r="AW363" s="371">
        <f t="shared" si="382"/>
        <v>13839625.403623519</v>
      </c>
      <c r="AX363" s="371">
        <f t="shared" si="382"/>
        <v>10635233.519230284</v>
      </c>
      <c r="AY363" s="371">
        <f t="shared" si="382"/>
        <v>10212803.070792003</v>
      </c>
      <c r="AZ363" s="371">
        <f t="shared" si="382"/>
        <v>27280155.106720831</v>
      </c>
      <c r="BA363" s="371">
        <f t="shared" si="382"/>
        <v>21180869.098775998</v>
      </c>
      <c r="BB363" s="371">
        <f t="shared" si="382"/>
        <v>7876131.3613972217</v>
      </c>
      <c r="BC363" s="371">
        <f t="shared" si="382"/>
        <v>10881061.352399999</v>
      </c>
      <c r="BD363" s="363">
        <f t="shared" si="365"/>
        <v>448018366.89696771</v>
      </c>
      <c r="BF363" s="366"/>
    </row>
    <row r="364" spans="1:58">
      <c r="A364" s="366"/>
      <c r="F364" s="373">
        <f>F363-SUM(F351:F362)</f>
        <v>0</v>
      </c>
      <c r="G364" s="373">
        <f t="shared" ref="G364:BC364" si="383">G363-SUM(G351:G362)</f>
        <v>0</v>
      </c>
      <c r="H364" s="373">
        <f t="shared" si="383"/>
        <v>0</v>
      </c>
      <c r="I364" s="373">
        <f t="shared" si="383"/>
        <v>0</v>
      </c>
      <c r="J364" s="373">
        <f t="shared" si="383"/>
        <v>0</v>
      </c>
      <c r="K364" s="373">
        <f t="shared" si="383"/>
        <v>0</v>
      </c>
      <c r="L364" s="373">
        <f t="shared" si="383"/>
        <v>0</v>
      </c>
      <c r="M364" s="373">
        <f t="shared" si="383"/>
        <v>0</v>
      </c>
      <c r="N364" s="373">
        <f t="shared" si="383"/>
        <v>0</v>
      </c>
      <c r="O364" s="373">
        <f t="shared" si="383"/>
        <v>0</v>
      </c>
      <c r="P364" s="373">
        <f t="shared" si="383"/>
        <v>0</v>
      </c>
      <c r="Q364" s="373">
        <f t="shared" si="383"/>
        <v>0</v>
      </c>
      <c r="R364" s="373">
        <f t="shared" si="383"/>
        <v>0</v>
      </c>
      <c r="S364" s="373">
        <f t="shared" si="383"/>
        <v>0</v>
      </c>
      <c r="T364" s="373">
        <f t="shared" si="383"/>
        <v>0</v>
      </c>
      <c r="U364" s="373">
        <f t="shared" si="383"/>
        <v>0</v>
      </c>
      <c r="V364" s="373">
        <f t="shared" si="383"/>
        <v>0</v>
      </c>
      <c r="W364" s="373">
        <f t="shared" si="383"/>
        <v>0</v>
      </c>
      <c r="X364" s="373">
        <f t="shared" si="383"/>
        <v>0</v>
      </c>
      <c r="Y364" s="373">
        <f t="shared" si="383"/>
        <v>0</v>
      </c>
      <c r="Z364" s="373">
        <f t="shared" si="383"/>
        <v>0</v>
      </c>
      <c r="AA364" s="373">
        <f t="shared" si="383"/>
        <v>0</v>
      </c>
      <c r="AB364" s="373">
        <f t="shared" si="383"/>
        <v>0</v>
      </c>
      <c r="AC364" s="373">
        <f t="shared" si="383"/>
        <v>0</v>
      </c>
      <c r="AD364" s="373">
        <f t="shared" si="383"/>
        <v>0</v>
      </c>
      <c r="AE364" s="373">
        <f t="shared" si="383"/>
        <v>0</v>
      </c>
      <c r="AF364" s="373">
        <f t="shared" si="383"/>
        <v>0</v>
      </c>
      <c r="AG364" s="373">
        <f t="shared" si="383"/>
        <v>0</v>
      </c>
      <c r="AH364" s="373">
        <f t="shared" si="383"/>
        <v>0</v>
      </c>
      <c r="AI364" s="373">
        <f t="shared" si="383"/>
        <v>0</v>
      </c>
      <c r="AJ364" s="373">
        <f t="shared" si="383"/>
        <v>0</v>
      </c>
      <c r="AK364" s="373">
        <f t="shared" si="383"/>
        <v>0</v>
      </c>
      <c r="AL364" s="373">
        <f t="shared" si="383"/>
        <v>0</v>
      </c>
      <c r="AM364" s="373">
        <f t="shared" si="383"/>
        <v>0</v>
      </c>
      <c r="AN364" s="373">
        <f t="shared" si="383"/>
        <v>0</v>
      </c>
      <c r="AO364" s="373">
        <f t="shared" si="383"/>
        <v>0</v>
      </c>
      <c r="AP364" s="373">
        <f t="shared" si="383"/>
        <v>0</v>
      </c>
      <c r="AQ364" s="373">
        <f t="shared" si="383"/>
        <v>0</v>
      </c>
      <c r="AR364" s="373">
        <f t="shared" si="383"/>
        <v>0</v>
      </c>
      <c r="AS364" s="373">
        <f t="shared" si="383"/>
        <v>0</v>
      </c>
      <c r="AT364" s="373">
        <f t="shared" si="383"/>
        <v>0</v>
      </c>
      <c r="AU364" s="373">
        <f t="shared" si="383"/>
        <v>0</v>
      </c>
      <c r="AV364" s="373">
        <f t="shared" si="383"/>
        <v>0</v>
      </c>
      <c r="AW364" s="373">
        <f t="shared" si="383"/>
        <v>0</v>
      </c>
      <c r="AX364" s="373">
        <f t="shared" si="383"/>
        <v>0</v>
      </c>
      <c r="AY364" s="373">
        <f t="shared" si="383"/>
        <v>0</v>
      </c>
      <c r="AZ364" s="373">
        <f t="shared" si="383"/>
        <v>0</v>
      </c>
      <c r="BA364" s="373">
        <f t="shared" si="383"/>
        <v>0</v>
      </c>
      <c r="BB364" s="373">
        <f t="shared" si="383"/>
        <v>0</v>
      </c>
      <c r="BC364" s="373">
        <f t="shared" si="383"/>
        <v>0</v>
      </c>
      <c r="BD364" s="373">
        <f>BD363-SUM(BD351:BD362)</f>
        <v>0</v>
      </c>
      <c r="BF364" s="366"/>
    </row>
    <row r="365" spans="1:58">
      <c r="A365" s="366"/>
      <c r="BD365" s="6" t="s">
        <v>855</v>
      </c>
      <c r="BF365" s="366"/>
    </row>
    <row r="366" spans="1:58">
      <c r="A366" s="366"/>
      <c r="BD366" s="6" t="s">
        <v>856</v>
      </c>
      <c r="BF366" s="366"/>
    </row>
    <row r="367" spans="1:58">
      <c r="A367" s="366"/>
      <c r="BD367" s="335">
        <f>BD126+BD134+BD142+BD150+SUM(BD207:BD213)</f>
        <v>489999345.18734664</v>
      </c>
      <c r="BF367" s="366"/>
    </row>
    <row r="368" spans="1:58">
      <c r="A368" s="366"/>
      <c r="BE368" s="9" t="s">
        <v>890</v>
      </c>
      <c r="BF368" s="366"/>
    </row>
    <row r="369" spans="1:58" ht="17">
      <c r="A369" s="366"/>
      <c r="B369" s="56" t="s">
        <v>851</v>
      </c>
      <c r="D369" s="171" t="s">
        <v>857</v>
      </c>
      <c r="BE369" s="9" t="s">
        <v>138</v>
      </c>
      <c r="BF369" s="366"/>
    </row>
    <row r="370" spans="1:58">
      <c r="A370" s="366"/>
      <c r="B370" s="202" t="s">
        <v>610</v>
      </c>
      <c r="C370" s="23" t="s">
        <v>611</v>
      </c>
      <c r="D370" s="23"/>
      <c r="F370" s="371">
        <f>F$116+F351</f>
        <v>606560.3673977009</v>
      </c>
      <c r="G370" s="371">
        <f t="shared" ref="G370:BC370" si="384">G$116+G351</f>
        <v>2059950.3600870788</v>
      </c>
      <c r="H370" s="371">
        <f t="shared" si="384"/>
        <v>2610630.0067678331</v>
      </c>
      <c r="I370" s="371">
        <f t="shared" si="384"/>
        <v>686290.47742447082</v>
      </c>
      <c r="J370" s="371">
        <f t="shared" si="384"/>
        <v>1625100.6463643129</v>
      </c>
      <c r="K370" s="371">
        <f t="shared" si="384"/>
        <v>3926000.0590896844</v>
      </c>
      <c r="L370" s="371">
        <f t="shared" si="384"/>
        <v>4654512.666446181</v>
      </c>
      <c r="M370" s="371">
        <f t="shared" si="384"/>
        <v>2797630.8553431476</v>
      </c>
      <c r="N370" s="371">
        <f t="shared" si="384"/>
        <v>1373782.4264327956</v>
      </c>
      <c r="O370" s="371">
        <f t="shared" si="384"/>
        <v>6130945.8681056257</v>
      </c>
      <c r="P370" s="371">
        <f t="shared" si="384"/>
        <v>4345777.3647572855</v>
      </c>
      <c r="Q370" s="371">
        <f t="shared" si="384"/>
        <v>3688681.9625412989</v>
      </c>
      <c r="R370" s="371">
        <f t="shared" si="384"/>
        <v>3475504.2898933128</v>
      </c>
      <c r="S370" s="371">
        <f t="shared" si="384"/>
        <v>1901996.603065101</v>
      </c>
      <c r="T370" s="371">
        <f t="shared" si="384"/>
        <v>2800400.0989179686</v>
      </c>
      <c r="U370" s="371">
        <f t="shared" si="384"/>
        <v>3968394.0240725004</v>
      </c>
      <c r="V370" s="371">
        <f t="shared" si="384"/>
        <v>3139583.917159324</v>
      </c>
      <c r="W370" s="371">
        <f t="shared" si="384"/>
        <v>2217454.5924977073</v>
      </c>
      <c r="X370" s="371">
        <f t="shared" si="384"/>
        <v>4007442.9624913526</v>
      </c>
      <c r="Y370" s="371">
        <f t="shared" si="384"/>
        <v>2437339.9999582898</v>
      </c>
      <c r="Z370" s="371">
        <f t="shared" si="384"/>
        <v>3341248.5918661151</v>
      </c>
      <c r="AA370" s="371">
        <f t="shared" si="384"/>
        <v>3156512.9954689327</v>
      </c>
      <c r="AB370" s="371">
        <f t="shared" si="384"/>
        <v>3608157.550452197</v>
      </c>
      <c r="AC370" s="371">
        <f t="shared" si="384"/>
        <v>1837915.9735056327</v>
      </c>
      <c r="AD370" s="371">
        <f t="shared" si="384"/>
        <v>2399770.3599458667</v>
      </c>
      <c r="AE370" s="371">
        <f t="shared" si="384"/>
        <v>4169337.0102995238</v>
      </c>
      <c r="AF370" s="371">
        <f t="shared" si="384"/>
        <v>2228560.8932276764</v>
      </c>
      <c r="AG370" s="371">
        <f t="shared" si="384"/>
        <v>3412129.1696703592</v>
      </c>
      <c r="AH370" s="371">
        <f t="shared" si="384"/>
        <v>2860194.9511674726</v>
      </c>
      <c r="AI370" s="371">
        <f t="shared" si="384"/>
        <v>4473693.5460617943</v>
      </c>
      <c r="AJ370" s="371">
        <f t="shared" si="384"/>
        <v>4876126.8336046301</v>
      </c>
      <c r="AK370" s="371">
        <f t="shared" si="384"/>
        <v>2754325.1324251397</v>
      </c>
      <c r="AL370" s="371">
        <f t="shared" si="384"/>
        <v>1762637.2354075264</v>
      </c>
      <c r="AM370" s="371">
        <f t="shared" si="384"/>
        <v>3716124.6478494876</v>
      </c>
      <c r="AN370" s="371">
        <f t="shared" si="384"/>
        <v>1206033.9166256434</v>
      </c>
      <c r="AO370" s="371">
        <f t="shared" si="384"/>
        <v>2151365.6268532723</v>
      </c>
      <c r="AP370" s="371">
        <f t="shared" si="384"/>
        <v>2041592.1751125099</v>
      </c>
      <c r="AQ370" s="371">
        <f t="shared" si="384"/>
        <v>2025661.7545177119</v>
      </c>
      <c r="AR370" s="371">
        <f t="shared" si="384"/>
        <v>2288845.121044789</v>
      </c>
      <c r="AS370" s="371">
        <f t="shared" si="384"/>
        <v>2268591.2198637556</v>
      </c>
      <c r="AT370" s="371">
        <f t="shared" si="384"/>
        <v>1696776.5999969777</v>
      </c>
      <c r="AU370" s="371">
        <f t="shared" si="384"/>
        <v>3734839.2730984683</v>
      </c>
      <c r="AV370" s="371">
        <f t="shared" si="384"/>
        <v>4004374.7550310465</v>
      </c>
      <c r="AW370" s="371">
        <f t="shared" si="384"/>
        <v>3549682.0573069332</v>
      </c>
      <c r="AX370" s="371">
        <f t="shared" si="384"/>
        <v>853621.76118650113</v>
      </c>
      <c r="AY370" s="371">
        <f t="shared" si="384"/>
        <v>4237848.9787160037</v>
      </c>
      <c r="AZ370" s="371">
        <f t="shared" si="384"/>
        <v>3948188.2956331223</v>
      </c>
      <c r="BA370" s="371">
        <f t="shared" si="384"/>
        <v>5578447.504282672</v>
      </c>
      <c r="BB370" s="371">
        <f t="shared" si="384"/>
        <v>3587473.5484225014</v>
      </c>
      <c r="BC370" s="371">
        <f t="shared" si="384"/>
        <v>5871964.7915163115</v>
      </c>
      <c r="BD370" s="371">
        <f>SUM(F370:BC370)</f>
        <v>152096021.8189736</v>
      </c>
      <c r="BE370" s="395">
        <f>BD370/'peasant income summary'!$DB$9</f>
        <v>1</v>
      </c>
      <c r="BF370" s="366"/>
    </row>
    <row r="371" spans="1:58">
      <c r="A371" s="366"/>
      <c r="B371" s="355" t="s">
        <v>742</v>
      </c>
      <c r="C371" s="17" t="s">
        <v>743</v>
      </c>
      <c r="D371" s="23"/>
      <c r="F371" s="371">
        <f>(F$129-F$126)+F352</f>
        <v>4566584.1157882307</v>
      </c>
      <c r="G371" s="371">
        <f t="shared" ref="G371:BC371" si="385">(G$129-G$126)+G352</f>
        <v>18118674.298515886</v>
      </c>
      <c r="H371" s="371">
        <f t="shared" si="385"/>
        <v>17630016.155616499</v>
      </c>
      <c r="I371" s="371">
        <f t="shared" si="385"/>
        <v>6911991.6019607997</v>
      </c>
      <c r="J371" s="371">
        <f t="shared" si="385"/>
        <v>13072463.229633493</v>
      </c>
      <c r="K371" s="371">
        <f t="shared" si="385"/>
        <v>18464241.467525721</v>
      </c>
      <c r="L371" s="371">
        <f t="shared" si="385"/>
        <v>36509738.419025615</v>
      </c>
      <c r="M371" s="371">
        <f t="shared" si="385"/>
        <v>26681051.887131508</v>
      </c>
      <c r="N371" s="371">
        <f t="shared" si="385"/>
        <v>6372488.4275338082</v>
      </c>
      <c r="O371" s="371">
        <f t="shared" si="385"/>
        <v>40965558.36419449</v>
      </c>
      <c r="P371" s="371">
        <f t="shared" si="385"/>
        <v>29763059.202028751</v>
      </c>
      <c r="Q371" s="371">
        <f t="shared" si="385"/>
        <v>27904908.721124753</v>
      </c>
      <c r="R371" s="371">
        <f t="shared" si="385"/>
        <v>23415988.365932342</v>
      </c>
      <c r="S371" s="371">
        <f t="shared" si="385"/>
        <v>15226981.000792814</v>
      </c>
      <c r="T371" s="371">
        <f t="shared" si="385"/>
        <v>22050951.899339117</v>
      </c>
      <c r="U371" s="371">
        <f t="shared" si="385"/>
        <v>24876809.365314018</v>
      </c>
      <c r="V371" s="371">
        <f t="shared" si="385"/>
        <v>25321190.575618599</v>
      </c>
      <c r="W371" s="371">
        <f t="shared" si="385"/>
        <v>19644019.581407573</v>
      </c>
      <c r="X371" s="371">
        <f t="shared" si="385"/>
        <v>27585922.033674911</v>
      </c>
      <c r="Y371" s="371">
        <f t="shared" si="385"/>
        <v>17043413.135931965</v>
      </c>
      <c r="Z371" s="371">
        <f t="shared" si="385"/>
        <v>31793535.932959847</v>
      </c>
      <c r="AA371" s="371">
        <f t="shared" si="385"/>
        <v>27631295.935788859</v>
      </c>
      <c r="AB371" s="371">
        <f t="shared" si="385"/>
        <v>26306891.516842589</v>
      </c>
      <c r="AC371" s="371">
        <f t="shared" si="385"/>
        <v>19087759.977957323</v>
      </c>
      <c r="AD371" s="371">
        <f t="shared" si="385"/>
        <v>23785887.592285745</v>
      </c>
      <c r="AE371" s="371">
        <f t="shared" si="385"/>
        <v>30067728.829609528</v>
      </c>
      <c r="AF371" s="371">
        <f t="shared" si="385"/>
        <v>21204385.290402092</v>
      </c>
      <c r="AG371" s="371">
        <f t="shared" si="385"/>
        <v>33068246.479216918</v>
      </c>
      <c r="AH371" s="371">
        <f t="shared" si="385"/>
        <v>15651290.113778951</v>
      </c>
      <c r="AI371" s="371">
        <f t="shared" si="385"/>
        <v>32433424.200021613</v>
      </c>
      <c r="AJ371" s="371">
        <f t="shared" si="385"/>
        <v>27718027.617335353</v>
      </c>
      <c r="AK371" s="371">
        <f t="shared" si="385"/>
        <v>25317547.297341473</v>
      </c>
      <c r="AL371" s="371">
        <f t="shared" si="385"/>
        <v>7409560.931663217</v>
      </c>
      <c r="AM371" s="371">
        <f t="shared" si="385"/>
        <v>18309315.367509119</v>
      </c>
      <c r="AN371" s="371">
        <f t="shared" si="385"/>
        <v>6389186.1246176856</v>
      </c>
      <c r="AO371" s="371">
        <f t="shared" si="385"/>
        <v>18119057.877621848</v>
      </c>
      <c r="AP371" s="371">
        <f t="shared" si="385"/>
        <v>17231840.199105624</v>
      </c>
      <c r="AQ371" s="371">
        <f t="shared" si="385"/>
        <v>17124027.182210449</v>
      </c>
      <c r="AR371" s="371">
        <f t="shared" si="385"/>
        <v>17838622.994452041</v>
      </c>
      <c r="AS371" s="371">
        <f t="shared" si="385"/>
        <v>23116635.286516879</v>
      </c>
      <c r="AT371" s="371">
        <f t="shared" si="385"/>
        <v>15714378.289902981</v>
      </c>
      <c r="AU371" s="371">
        <f t="shared" si="385"/>
        <v>36671589.323306113</v>
      </c>
      <c r="AV371" s="371">
        <f t="shared" si="385"/>
        <v>43419582.041230083</v>
      </c>
      <c r="AW371" s="371">
        <f t="shared" si="385"/>
        <v>38666576.782040067</v>
      </c>
      <c r="AX371" s="371">
        <f t="shared" si="385"/>
        <v>3789696.9783216286</v>
      </c>
      <c r="AY371" s="371">
        <f t="shared" si="385"/>
        <v>22486828.889713947</v>
      </c>
      <c r="AZ371" s="371">
        <f t="shared" si="385"/>
        <v>14724134.304216985</v>
      </c>
      <c r="BA371" s="371">
        <f t="shared" si="385"/>
        <v>25245237.591962248</v>
      </c>
      <c r="BB371" s="371">
        <f t="shared" si="385"/>
        <v>14185926.632425422</v>
      </c>
      <c r="BC371" s="371">
        <f t="shared" si="385"/>
        <v>27624655.902445182</v>
      </c>
      <c r="BD371" s="371">
        <f t="shared" ref="BD371:BD382" si="386">SUM(F371:BC371)</f>
        <v>1104258925.3308926</v>
      </c>
      <c r="BE371" s="392">
        <f>BD371/'peasant income summary'!$DB$10</f>
        <v>0.9209459432687418</v>
      </c>
      <c r="BF371" s="366"/>
    </row>
    <row r="372" spans="1:58">
      <c r="A372" s="366"/>
      <c r="B372" s="355" t="s">
        <v>744</v>
      </c>
      <c r="C372" s="17" t="s">
        <v>745</v>
      </c>
      <c r="D372" s="23"/>
      <c r="F372" s="371">
        <f>(F$137-F$134)+F353</f>
        <v>10923779.135057185</v>
      </c>
      <c r="G372" s="371">
        <f t="shared" ref="G372:BC372" si="387">(G$137-G$134)+G353</f>
        <v>43621006.978054434</v>
      </c>
      <c r="H372" s="371">
        <f t="shared" si="387"/>
        <v>42209204.006135941</v>
      </c>
      <c r="I372" s="371">
        <f t="shared" si="387"/>
        <v>18953517.306564175</v>
      </c>
      <c r="J372" s="371">
        <f t="shared" si="387"/>
        <v>31521850.923990697</v>
      </c>
      <c r="K372" s="371">
        <f t="shared" si="387"/>
        <v>45090962.24670884</v>
      </c>
      <c r="L372" s="371">
        <f t="shared" si="387"/>
        <v>88769483.665467367</v>
      </c>
      <c r="M372" s="371">
        <f t="shared" si="387"/>
        <v>64478909.990486167</v>
      </c>
      <c r="N372" s="371">
        <f t="shared" si="387"/>
        <v>14431070.240742385</v>
      </c>
      <c r="O372" s="371">
        <f t="shared" si="387"/>
        <v>99847438.076552451</v>
      </c>
      <c r="P372" s="371">
        <f t="shared" si="387"/>
        <v>70993820.780790836</v>
      </c>
      <c r="Q372" s="371">
        <f t="shared" si="387"/>
        <v>67785021.157758892</v>
      </c>
      <c r="R372" s="371">
        <f t="shared" si="387"/>
        <v>57017797.962974891</v>
      </c>
      <c r="S372" s="371">
        <f t="shared" si="387"/>
        <v>36874070.061630338</v>
      </c>
      <c r="T372" s="371">
        <f t="shared" si="387"/>
        <v>53690186.798648722</v>
      </c>
      <c r="U372" s="371">
        <f t="shared" si="387"/>
        <v>60415114.048247553</v>
      </c>
      <c r="V372" s="371">
        <f t="shared" si="387"/>
        <v>61681302.382634826</v>
      </c>
      <c r="W372" s="371">
        <f t="shared" si="387"/>
        <v>47652528.535757795</v>
      </c>
      <c r="X372" s="371">
        <f t="shared" si="387"/>
        <v>67206172.502379</v>
      </c>
      <c r="Y372" s="371">
        <f t="shared" si="387"/>
        <v>41439346.734594338</v>
      </c>
      <c r="Z372" s="371">
        <f t="shared" si="387"/>
        <v>76678413.908246234</v>
      </c>
      <c r="AA372" s="371">
        <f t="shared" si="387"/>
        <v>66602859.410724118</v>
      </c>
      <c r="AB372" s="371">
        <f t="shared" si="387"/>
        <v>63879617.384026289</v>
      </c>
      <c r="AC372" s="371">
        <f t="shared" si="387"/>
        <v>46205486.269201666</v>
      </c>
      <c r="AD372" s="371">
        <f t="shared" si="387"/>
        <v>57865488.533821419</v>
      </c>
      <c r="AE372" s="371">
        <f t="shared" si="387"/>
        <v>72660137.309688255</v>
      </c>
      <c r="AF372" s="371">
        <f t="shared" si="387"/>
        <v>51587504.799080923</v>
      </c>
      <c r="AG372" s="371">
        <f t="shared" si="387"/>
        <v>80091524.926764607</v>
      </c>
      <c r="AH372" s="371">
        <f t="shared" si="387"/>
        <v>37923980.12842872</v>
      </c>
      <c r="AI372" s="371">
        <f t="shared" si="387"/>
        <v>78469764.545435771</v>
      </c>
      <c r="AJ372" s="371">
        <f t="shared" si="387"/>
        <v>67238306.818571955</v>
      </c>
      <c r="AK372" s="371">
        <f t="shared" si="387"/>
        <v>60871857.78454636</v>
      </c>
      <c r="AL372" s="371">
        <f t="shared" si="387"/>
        <v>17116164.923830949</v>
      </c>
      <c r="AM372" s="371">
        <f t="shared" si="387"/>
        <v>44732818.45933108</v>
      </c>
      <c r="AN372" s="371">
        <f t="shared" si="387"/>
        <v>15491955.412429679</v>
      </c>
      <c r="AO372" s="371">
        <f t="shared" si="387"/>
        <v>44397565.336908534</v>
      </c>
      <c r="AP372" s="371">
        <f t="shared" si="387"/>
        <v>42056985.272312708</v>
      </c>
      <c r="AQ372" s="371">
        <f t="shared" si="387"/>
        <v>41786051.6514377</v>
      </c>
      <c r="AR372" s="371">
        <f t="shared" si="387"/>
        <v>43542270.670471787</v>
      </c>
      <c r="AS372" s="371">
        <f t="shared" si="387"/>
        <v>56404637.762604192</v>
      </c>
      <c r="AT372" s="371">
        <f t="shared" si="387"/>
        <v>38227210.098820902</v>
      </c>
      <c r="AU372" s="371">
        <f t="shared" si="387"/>
        <v>89827482.360412866</v>
      </c>
      <c r="AV372" s="371">
        <f t="shared" si="387"/>
        <v>106005053.51585172</v>
      </c>
      <c r="AW372" s="371">
        <f t="shared" si="387"/>
        <v>93721537.108200997</v>
      </c>
      <c r="AX372" s="371">
        <f t="shared" si="387"/>
        <v>8532734.6634394191</v>
      </c>
      <c r="AY372" s="371">
        <f t="shared" si="387"/>
        <v>54276974.073641479</v>
      </c>
      <c r="AZ372" s="371">
        <f t="shared" si="387"/>
        <v>34009695.734926425</v>
      </c>
      <c r="BA372" s="371">
        <f t="shared" si="387"/>
        <v>60018181.978306115</v>
      </c>
      <c r="BB372" s="371">
        <f t="shared" si="387"/>
        <v>34081816.858491041</v>
      </c>
      <c r="BC372" s="371">
        <f t="shared" si="387"/>
        <v>66707135.605706833</v>
      </c>
      <c r="BD372" s="371">
        <f t="shared" si="386"/>
        <v>2675613796.840837</v>
      </c>
      <c r="BE372" s="395">
        <f>BD372/'peasant income summary'!$DB$11</f>
        <v>0.9243013398797324</v>
      </c>
      <c r="BF372" s="366"/>
    </row>
    <row r="373" spans="1:58">
      <c r="A373" s="366"/>
      <c r="B373" s="355" t="s">
        <v>746</v>
      </c>
      <c r="C373" s="17" t="s">
        <v>747</v>
      </c>
      <c r="D373" s="23"/>
      <c r="F373" s="371">
        <f>(F$145-F$142)+F354</f>
        <v>0</v>
      </c>
      <c r="G373" s="371">
        <f t="shared" ref="G373:BC373" si="388">(G$145-G$142)+G354</f>
        <v>18306608.150845207</v>
      </c>
      <c r="H373" s="371">
        <f t="shared" si="388"/>
        <v>17715147.394898303</v>
      </c>
      <c r="I373" s="371">
        <f t="shared" si="388"/>
        <v>20952690.519806422</v>
      </c>
      <c r="J373" s="371">
        <f t="shared" si="388"/>
        <v>18023525.886868477</v>
      </c>
      <c r="K373" s="371">
        <f t="shared" si="388"/>
        <v>25452165.771631215</v>
      </c>
      <c r="L373" s="371">
        <f t="shared" si="388"/>
        <v>54204855.978738301</v>
      </c>
      <c r="M373" s="371">
        <f t="shared" si="388"/>
        <v>42624220.796390764</v>
      </c>
      <c r="N373" s="371">
        <f t="shared" si="388"/>
        <v>17694292.675887302</v>
      </c>
      <c r="O373" s="371">
        <f t="shared" si="388"/>
        <v>58786831.619973861</v>
      </c>
      <c r="P373" s="371">
        <f t="shared" si="388"/>
        <v>54669992.096644193</v>
      </c>
      <c r="Q373" s="371">
        <f t="shared" si="388"/>
        <v>40594235.992276222</v>
      </c>
      <c r="R373" s="371">
        <f t="shared" si="388"/>
        <v>33802887.463067181</v>
      </c>
      <c r="S373" s="371">
        <f t="shared" si="388"/>
        <v>23450018.831052035</v>
      </c>
      <c r="T373" s="371">
        <f t="shared" si="388"/>
        <v>31850426.298035242</v>
      </c>
      <c r="U373" s="371">
        <f t="shared" si="388"/>
        <v>36888514.218244359</v>
      </c>
      <c r="V373" s="371">
        <f t="shared" si="388"/>
        <v>36256228.592464179</v>
      </c>
      <c r="W373" s="371">
        <f t="shared" si="388"/>
        <v>28336071.857787497</v>
      </c>
      <c r="X373" s="371">
        <f t="shared" si="388"/>
        <v>36160572.403607324</v>
      </c>
      <c r="Y373" s="371">
        <f t="shared" si="388"/>
        <v>20629981.741834581</v>
      </c>
      <c r="Z373" s="371">
        <f t="shared" si="388"/>
        <v>51393104.610477388</v>
      </c>
      <c r="AA373" s="371">
        <f t="shared" si="388"/>
        <v>45034340.781891078</v>
      </c>
      <c r="AB373" s="371">
        <f t="shared" si="388"/>
        <v>38801225.221773788</v>
      </c>
      <c r="AC373" s="371">
        <f t="shared" si="388"/>
        <v>29474768.534151386</v>
      </c>
      <c r="AD373" s="371">
        <f t="shared" si="388"/>
        <v>34192555.92042771</v>
      </c>
      <c r="AE373" s="371">
        <f t="shared" si="388"/>
        <v>46028962.686840221</v>
      </c>
      <c r="AF373" s="371">
        <f t="shared" si="388"/>
        <v>30870454.357660912</v>
      </c>
      <c r="AG373" s="371">
        <f t="shared" si="388"/>
        <v>50855737.742566884</v>
      </c>
      <c r="AH373" s="371">
        <f t="shared" si="388"/>
        <v>23689137.830613241</v>
      </c>
      <c r="AI373" s="371">
        <f t="shared" si="388"/>
        <v>50087844.633025199</v>
      </c>
      <c r="AJ373" s="371">
        <f t="shared" si="388"/>
        <v>40995888.111442864</v>
      </c>
      <c r="AK373" s="371">
        <f t="shared" si="388"/>
        <v>32848655.049102142</v>
      </c>
      <c r="AL373" s="371">
        <f t="shared" si="388"/>
        <v>0</v>
      </c>
      <c r="AM373" s="371">
        <f t="shared" si="388"/>
        <v>22256139.818362776</v>
      </c>
      <c r="AN373" s="371">
        <f t="shared" si="388"/>
        <v>6214723.0663169259</v>
      </c>
      <c r="AO373" s="371">
        <f t="shared" si="388"/>
        <v>24064622.287783314</v>
      </c>
      <c r="AP373" s="371">
        <f t="shared" si="388"/>
        <v>23865301.562178459</v>
      </c>
      <c r="AQ373" s="371">
        <f t="shared" si="388"/>
        <v>23850831.063961621</v>
      </c>
      <c r="AR373" s="371">
        <f t="shared" si="388"/>
        <v>25096339.832847957</v>
      </c>
      <c r="AS373" s="371">
        <f t="shared" si="388"/>
        <v>32221017.026747804</v>
      </c>
      <c r="AT373" s="371">
        <f t="shared" si="388"/>
        <v>22047658.907340445</v>
      </c>
      <c r="AU373" s="371">
        <f t="shared" si="388"/>
        <v>48631019.738438919</v>
      </c>
      <c r="AV373" s="371">
        <f t="shared" si="388"/>
        <v>59842679.34591867</v>
      </c>
      <c r="AW373" s="371">
        <f t="shared" si="388"/>
        <v>58637649.762350835</v>
      </c>
      <c r="AX373" s="371">
        <f t="shared" si="388"/>
        <v>11217456.206510074</v>
      </c>
      <c r="AY373" s="371">
        <f t="shared" si="388"/>
        <v>35265279.982897379</v>
      </c>
      <c r="AZ373" s="371">
        <f t="shared" si="388"/>
        <v>35111091.274696723</v>
      </c>
      <c r="BA373" s="371">
        <f t="shared" si="388"/>
        <v>44971987.950299859</v>
      </c>
      <c r="BB373" s="371">
        <f t="shared" si="388"/>
        <v>23005699.786398821</v>
      </c>
      <c r="BC373" s="371">
        <f t="shared" si="388"/>
        <v>42209693.152152188</v>
      </c>
      <c r="BD373" s="371">
        <f t="shared" si="386"/>
        <v>1629181134.535228</v>
      </c>
      <c r="BE373" s="392">
        <f>BD373/'peasant income summary'!$DB$12</f>
        <v>1.1290618493515656</v>
      </c>
      <c r="BF373" s="366"/>
    </row>
    <row r="374" spans="1:58">
      <c r="A374" s="366"/>
      <c r="B374" s="355" t="s">
        <v>748</v>
      </c>
      <c r="C374" s="17" t="s">
        <v>843</v>
      </c>
      <c r="D374" s="23"/>
      <c r="F374" s="371">
        <f>(F$153-F$150)+F355</f>
        <v>0</v>
      </c>
      <c r="G374" s="371">
        <f t="shared" ref="G374:BC374" si="389">(G$153-G$150)+G355</f>
        <v>0</v>
      </c>
      <c r="H374" s="371">
        <f t="shared" si="389"/>
        <v>0</v>
      </c>
      <c r="I374" s="371">
        <f t="shared" si="389"/>
        <v>8529120.3232457228</v>
      </c>
      <c r="J374" s="371">
        <f t="shared" si="389"/>
        <v>0</v>
      </c>
      <c r="K374" s="371">
        <f t="shared" si="389"/>
        <v>14519689.980319297</v>
      </c>
      <c r="L374" s="371">
        <f t="shared" si="389"/>
        <v>37653713.55997169</v>
      </c>
      <c r="M374" s="371">
        <f t="shared" si="389"/>
        <v>28368642.226900175</v>
      </c>
      <c r="N374" s="371">
        <f t="shared" si="389"/>
        <v>8103006.563597437</v>
      </c>
      <c r="O374" s="371">
        <f t="shared" si="389"/>
        <v>44175853.844707958</v>
      </c>
      <c r="P374" s="371">
        <f t="shared" si="389"/>
        <v>32094329.086937085</v>
      </c>
      <c r="Q374" s="371">
        <f t="shared" si="389"/>
        <v>27061813.151659738</v>
      </c>
      <c r="R374" s="371">
        <f t="shared" si="389"/>
        <v>18789900.513334695</v>
      </c>
      <c r="S374" s="371">
        <f t="shared" si="389"/>
        <v>9071352.4118115436</v>
      </c>
      <c r="T374" s="371">
        <f t="shared" si="389"/>
        <v>8318884.5345000755</v>
      </c>
      <c r="U374" s="371">
        <f t="shared" si="389"/>
        <v>23196551.435379006</v>
      </c>
      <c r="V374" s="371">
        <f t="shared" si="389"/>
        <v>10022995.64254464</v>
      </c>
      <c r="W374" s="371">
        <f t="shared" si="389"/>
        <v>9061711.4045598973</v>
      </c>
      <c r="X374" s="371">
        <f t="shared" si="389"/>
        <v>0</v>
      </c>
      <c r="Y374" s="371">
        <f t="shared" si="389"/>
        <v>0</v>
      </c>
      <c r="Z374" s="371">
        <f t="shared" si="389"/>
        <v>31547647.147270653</v>
      </c>
      <c r="AA374" s="371">
        <f t="shared" si="389"/>
        <v>7191692.0367982322</v>
      </c>
      <c r="AB374" s="371">
        <f t="shared" si="389"/>
        <v>15832687.000384852</v>
      </c>
      <c r="AC374" s="371">
        <f t="shared" si="389"/>
        <v>16935343.005076617</v>
      </c>
      <c r="AD374" s="371">
        <f t="shared" si="389"/>
        <v>9785525.7817071211</v>
      </c>
      <c r="AE374" s="371">
        <f t="shared" si="389"/>
        <v>30103573.473949585</v>
      </c>
      <c r="AF374" s="371">
        <f t="shared" si="389"/>
        <v>17799406.572724842</v>
      </c>
      <c r="AG374" s="371">
        <f t="shared" si="389"/>
        <v>28775845.615794893</v>
      </c>
      <c r="AH374" s="371">
        <f t="shared" si="389"/>
        <v>10839946.190979624</v>
      </c>
      <c r="AI374" s="371">
        <f t="shared" si="389"/>
        <v>2001762.3613490376</v>
      </c>
      <c r="AJ374" s="371">
        <f t="shared" si="389"/>
        <v>20048669.65125335</v>
      </c>
      <c r="AK374" s="371">
        <f t="shared" si="389"/>
        <v>0</v>
      </c>
      <c r="AL374" s="371">
        <f t="shared" si="389"/>
        <v>0</v>
      </c>
      <c r="AM374" s="371">
        <f t="shared" si="389"/>
        <v>0</v>
      </c>
      <c r="AN374" s="371">
        <f t="shared" si="389"/>
        <v>0</v>
      </c>
      <c r="AO374" s="371">
        <f t="shared" si="389"/>
        <v>13811115.869394829</v>
      </c>
      <c r="AP374" s="371">
        <f t="shared" si="389"/>
        <v>13222422.94764757</v>
      </c>
      <c r="AQ374" s="371">
        <f t="shared" si="389"/>
        <v>9609835.4955507871</v>
      </c>
      <c r="AR374" s="371">
        <f t="shared" si="389"/>
        <v>12959593.589845518</v>
      </c>
      <c r="AS374" s="371">
        <f t="shared" si="389"/>
        <v>21000129.15216773</v>
      </c>
      <c r="AT374" s="371">
        <f t="shared" si="389"/>
        <v>9807340.3853030074</v>
      </c>
      <c r="AU374" s="371">
        <f t="shared" si="389"/>
        <v>28540177.569301672</v>
      </c>
      <c r="AV374" s="371">
        <f t="shared" si="389"/>
        <v>39327462.444221579</v>
      </c>
      <c r="AW374" s="371">
        <f t="shared" si="389"/>
        <v>38554105.928422041</v>
      </c>
      <c r="AX374" s="371">
        <f t="shared" si="389"/>
        <v>5372368.305053765</v>
      </c>
      <c r="AY374" s="371">
        <f t="shared" si="389"/>
        <v>22804550.724094074</v>
      </c>
      <c r="AZ374" s="371">
        <f t="shared" si="389"/>
        <v>15080554.076845823</v>
      </c>
      <c r="BA374" s="371">
        <f t="shared" si="389"/>
        <v>24181576.21201475</v>
      </c>
      <c r="BB374" s="371">
        <f t="shared" si="389"/>
        <v>5300122.7920067534</v>
      </c>
      <c r="BC374" s="371">
        <f t="shared" si="389"/>
        <v>27038166.282966204</v>
      </c>
      <c r="BD374" s="371">
        <f t="shared" si="386"/>
        <v>756439185.29159403</v>
      </c>
      <c r="BE374" s="392">
        <f>BD374/'peasant income summary'!$DB$13</f>
        <v>1.0619921601955393</v>
      </c>
      <c r="BF374" s="366"/>
    </row>
    <row r="375" spans="1:58">
      <c r="A375" s="366"/>
      <c r="B375" s="202" t="s">
        <v>844</v>
      </c>
      <c r="C375" s="23" t="s">
        <v>845</v>
      </c>
      <c r="D375" s="23"/>
      <c r="F375" s="371">
        <f t="shared" ref="F375:AK375" si="390">(F$253-F$207)+F356</f>
        <v>0</v>
      </c>
      <c r="G375" s="371">
        <f t="shared" si="390"/>
        <v>0</v>
      </c>
      <c r="H375" s="371">
        <f t="shared" si="390"/>
        <v>53384.53189740979</v>
      </c>
      <c r="I375" s="371">
        <f t="shared" si="390"/>
        <v>0</v>
      </c>
      <c r="J375" s="371">
        <f t="shared" si="390"/>
        <v>0</v>
      </c>
      <c r="K375" s="371">
        <f t="shared" si="390"/>
        <v>0</v>
      </c>
      <c r="L375" s="371">
        <f t="shared" si="390"/>
        <v>0</v>
      </c>
      <c r="M375" s="371">
        <f t="shared" si="390"/>
        <v>0</v>
      </c>
      <c r="N375" s="371">
        <f t="shared" si="390"/>
        <v>0</v>
      </c>
      <c r="O375" s="371">
        <f t="shared" si="390"/>
        <v>0</v>
      </c>
      <c r="P375" s="371">
        <f t="shared" si="390"/>
        <v>186672.02944729754</v>
      </c>
      <c r="Q375" s="371">
        <f t="shared" si="390"/>
        <v>0</v>
      </c>
      <c r="R375" s="371">
        <f t="shared" si="390"/>
        <v>0</v>
      </c>
      <c r="S375" s="371">
        <f t="shared" si="390"/>
        <v>0</v>
      </c>
      <c r="T375" s="371">
        <f t="shared" si="390"/>
        <v>0</v>
      </c>
      <c r="U375" s="371">
        <f t="shared" si="390"/>
        <v>0</v>
      </c>
      <c r="V375" s="371">
        <f t="shared" si="390"/>
        <v>0</v>
      </c>
      <c r="W375" s="371">
        <f t="shared" si="390"/>
        <v>0</v>
      </c>
      <c r="X375" s="371">
        <f t="shared" si="390"/>
        <v>0</v>
      </c>
      <c r="Y375" s="371">
        <f t="shared" si="390"/>
        <v>0</v>
      </c>
      <c r="Z375" s="371">
        <f t="shared" si="390"/>
        <v>0</v>
      </c>
      <c r="AA375" s="371">
        <f t="shared" si="390"/>
        <v>0</v>
      </c>
      <c r="AB375" s="371">
        <f t="shared" si="390"/>
        <v>0</v>
      </c>
      <c r="AC375" s="371">
        <f t="shared" si="390"/>
        <v>0</v>
      </c>
      <c r="AD375" s="371">
        <f t="shared" si="390"/>
        <v>0</v>
      </c>
      <c r="AE375" s="371">
        <f t="shared" si="390"/>
        <v>0</v>
      </c>
      <c r="AF375" s="371">
        <f t="shared" si="390"/>
        <v>0</v>
      </c>
      <c r="AG375" s="371">
        <f t="shared" si="390"/>
        <v>0</v>
      </c>
      <c r="AH375" s="371">
        <f t="shared" si="390"/>
        <v>0</v>
      </c>
      <c r="AI375" s="371">
        <f t="shared" si="390"/>
        <v>0</v>
      </c>
      <c r="AJ375" s="371">
        <f t="shared" si="390"/>
        <v>0</v>
      </c>
      <c r="AK375" s="371">
        <f t="shared" si="390"/>
        <v>0</v>
      </c>
      <c r="AL375" s="371">
        <f t="shared" ref="AL375:BC375" si="391">(AL$253-AL$207)+AL356</f>
        <v>0</v>
      </c>
      <c r="AM375" s="371">
        <f t="shared" si="391"/>
        <v>0</v>
      </c>
      <c r="AN375" s="371">
        <f t="shared" si="391"/>
        <v>0</v>
      </c>
      <c r="AO375" s="371">
        <f t="shared" si="391"/>
        <v>0</v>
      </c>
      <c r="AP375" s="371">
        <f t="shared" si="391"/>
        <v>0</v>
      </c>
      <c r="AQ375" s="371">
        <f t="shared" si="391"/>
        <v>0</v>
      </c>
      <c r="AR375" s="371">
        <f t="shared" si="391"/>
        <v>0</v>
      </c>
      <c r="AS375" s="371">
        <f t="shared" si="391"/>
        <v>0</v>
      </c>
      <c r="AT375" s="371">
        <f t="shared" si="391"/>
        <v>0</v>
      </c>
      <c r="AU375" s="371">
        <f t="shared" si="391"/>
        <v>0</v>
      </c>
      <c r="AV375" s="371">
        <f t="shared" si="391"/>
        <v>0</v>
      </c>
      <c r="AW375" s="371">
        <f t="shared" si="391"/>
        <v>0</v>
      </c>
      <c r="AX375" s="371">
        <f t="shared" si="391"/>
        <v>0</v>
      </c>
      <c r="AY375" s="371">
        <f t="shared" si="391"/>
        <v>0</v>
      </c>
      <c r="AZ375" s="371">
        <f t="shared" si="391"/>
        <v>60281.070554616985</v>
      </c>
      <c r="BA375" s="371">
        <f t="shared" si="391"/>
        <v>96540.498299288665</v>
      </c>
      <c r="BB375" s="371">
        <f t="shared" si="391"/>
        <v>500975.37330460071</v>
      </c>
      <c r="BC375" s="371">
        <f t="shared" si="391"/>
        <v>0</v>
      </c>
      <c r="BD375" s="371">
        <f t="shared" si="386"/>
        <v>897853.50350321364</v>
      </c>
      <c r="BE375" s="392">
        <f>BD375/'peasant income summary'!DB$20</f>
        <v>1.0010175696287595</v>
      </c>
      <c r="BF375" s="366"/>
    </row>
    <row r="376" spans="1:58">
      <c r="A376" s="366"/>
      <c r="B376" s="202" t="s">
        <v>846</v>
      </c>
      <c r="C376" s="23" t="s">
        <v>892</v>
      </c>
      <c r="D376" s="23"/>
      <c r="F376" s="371">
        <f t="shared" ref="F376:AK376" si="392">(F$254-F$208)+F357</f>
        <v>0</v>
      </c>
      <c r="G376" s="371">
        <f t="shared" si="392"/>
        <v>0</v>
      </c>
      <c r="H376" s="371">
        <f t="shared" si="392"/>
        <v>45335.789448632175</v>
      </c>
      <c r="I376" s="371">
        <f t="shared" si="392"/>
        <v>0</v>
      </c>
      <c r="J376" s="371">
        <f t="shared" si="392"/>
        <v>0</v>
      </c>
      <c r="K376" s="371">
        <f t="shared" si="392"/>
        <v>0</v>
      </c>
      <c r="L376" s="371">
        <f t="shared" si="392"/>
        <v>0</v>
      </c>
      <c r="M376" s="371">
        <f t="shared" si="392"/>
        <v>0</v>
      </c>
      <c r="N376" s="371">
        <f t="shared" si="392"/>
        <v>0</v>
      </c>
      <c r="O376" s="371">
        <f t="shared" si="392"/>
        <v>0</v>
      </c>
      <c r="P376" s="371">
        <f t="shared" si="392"/>
        <v>145309.81086739985</v>
      </c>
      <c r="Q376" s="371">
        <f t="shared" si="392"/>
        <v>0</v>
      </c>
      <c r="R376" s="371">
        <f t="shared" si="392"/>
        <v>0</v>
      </c>
      <c r="S376" s="371">
        <f t="shared" si="392"/>
        <v>0</v>
      </c>
      <c r="T376" s="371">
        <f t="shared" si="392"/>
        <v>0</v>
      </c>
      <c r="U376" s="371">
        <f t="shared" si="392"/>
        <v>47214.04613271675</v>
      </c>
      <c r="V376" s="371">
        <f t="shared" si="392"/>
        <v>55657.444269002852</v>
      </c>
      <c r="W376" s="371">
        <f t="shared" si="392"/>
        <v>0</v>
      </c>
      <c r="X376" s="371">
        <f t="shared" si="392"/>
        <v>46449.070307824972</v>
      </c>
      <c r="Y376" s="371">
        <f t="shared" si="392"/>
        <v>0</v>
      </c>
      <c r="Z376" s="371">
        <f t="shared" si="392"/>
        <v>30006.256483214303</v>
      </c>
      <c r="AA376" s="371">
        <f t="shared" si="392"/>
        <v>0</v>
      </c>
      <c r="AB376" s="371">
        <f t="shared" si="392"/>
        <v>38223.873186125253</v>
      </c>
      <c r="AC376" s="371">
        <f t="shared" si="392"/>
        <v>0</v>
      </c>
      <c r="AD376" s="371">
        <f t="shared" si="392"/>
        <v>0</v>
      </c>
      <c r="AE376" s="371">
        <f t="shared" si="392"/>
        <v>28735.452157227948</v>
      </c>
      <c r="AF376" s="371">
        <f t="shared" si="392"/>
        <v>0</v>
      </c>
      <c r="AG376" s="371">
        <f t="shared" si="392"/>
        <v>81231.555588106363</v>
      </c>
      <c r="AH376" s="371">
        <f t="shared" si="392"/>
        <v>0</v>
      </c>
      <c r="AI376" s="371">
        <f t="shared" si="392"/>
        <v>44444.982477245831</v>
      </c>
      <c r="AJ376" s="371">
        <f t="shared" si="392"/>
        <v>0</v>
      </c>
      <c r="AK376" s="371">
        <f t="shared" si="392"/>
        <v>0</v>
      </c>
      <c r="AL376" s="371">
        <f t="shared" ref="AL376:BC376" si="393">(AL$254-AL$208)+AL357</f>
        <v>0</v>
      </c>
      <c r="AM376" s="371">
        <f t="shared" si="393"/>
        <v>0</v>
      </c>
      <c r="AN376" s="371">
        <f t="shared" si="393"/>
        <v>0</v>
      </c>
      <c r="AO376" s="371">
        <f t="shared" si="393"/>
        <v>0</v>
      </c>
      <c r="AP376" s="371">
        <f t="shared" si="393"/>
        <v>0</v>
      </c>
      <c r="AQ376" s="371">
        <f t="shared" si="393"/>
        <v>0</v>
      </c>
      <c r="AR376" s="371">
        <f t="shared" si="393"/>
        <v>0</v>
      </c>
      <c r="AS376" s="371">
        <f t="shared" si="393"/>
        <v>0</v>
      </c>
      <c r="AT376" s="371">
        <f t="shared" si="393"/>
        <v>0</v>
      </c>
      <c r="AU376" s="371">
        <f t="shared" si="393"/>
        <v>0</v>
      </c>
      <c r="AV376" s="371">
        <f t="shared" si="393"/>
        <v>0</v>
      </c>
      <c r="AW376" s="371">
        <f t="shared" si="393"/>
        <v>0</v>
      </c>
      <c r="AX376" s="371">
        <f t="shared" si="393"/>
        <v>0</v>
      </c>
      <c r="AY376" s="371">
        <f t="shared" si="393"/>
        <v>53439.489046154369</v>
      </c>
      <c r="AZ376" s="371">
        <f t="shared" si="393"/>
        <v>118396.31568274846</v>
      </c>
      <c r="BA376" s="371">
        <f t="shared" si="393"/>
        <v>293929.65971863235</v>
      </c>
      <c r="BB376" s="371">
        <f t="shared" si="393"/>
        <v>887860.86216340575</v>
      </c>
      <c r="BC376" s="371">
        <f t="shared" si="393"/>
        <v>536025.90050545591</v>
      </c>
      <c r="BD376" s="371">
        <f t="shared" si="386"/>
        <v>2452260.5080338931</v>
      </c>
      <c r="BE376" s="392">
        <f>BD376/'peasant income summary'!DB$19</f>
        <v>1.0030999017861333</v>
      </c>
      <c r="BF376" s="366"/>
    </row>
    <row r="377" spans="1:58">
      <c r="A377" s="366"/>
      <c r="B377" s="202" t="s">
        <v>192</v>
      </c>
      <c r="C377" s="23" t="s">
        <v>893</v>
      </c>
      <c r="D377" s="23"/>
      <c r="F377" s="371">
        <f t="shared" ref="F377:AK377" si="394">(F$255-F$209)+F358</f>
        <v>0</v>
      </c>
      <c r="G377" s="371">
        <f t="shared" si="394"/>
        <v>0</v>
      </c>
      <c r="H377" s="371">
        <f t="shared" si="394"/>
        <v>61407.779915225015</v>
      </c>
      <c r="I377" s="371">
        <f t="shared" si="394"/>
        <v>0</v>
      </c>
      <c r="J377" s="371">
        <f t="shared" si="394"/>
        <v>21012.903105905065</v>
      </c>
      <c r="K377" s="371">
        <f t="shared" si="394"/>
        <v>51863.346357043862</v>
      </c>
      <c r="L377" s="371">
        <f t="shared" si="394"/>
        <v>37282.928551574274</v>
      </c>
      <c r="M377" s="371">
        <f t="shared" si="394"/>
        <v>15305.773518674889</v>
      </c>
      <c r="N377" s="371">
        <f t="shared" si="394"/>
        <v>5999.6265481172786</v>
      </c>
      <c r="O377" s="371">
        <f t="shared" si="394"/>
        <v>0</v>
      </c>
      <c r="P377" s="371">
        <f t="shared" si="394"/>
        <v>285579.49270507059</v>
      </c>
      <c r="Q377" s="371">
        <f t="shared" si="394"/>
        <v>0</v>
      </c>
      <c r="R377" s="371">
        <f t="shared" si="394"/>
        <v>27882.297255981404</v>
      </c>
      <c r="S377" s="371">
        <f t="shared" si="394"/>
        <v>14699.676601535712</v>
      </c>
      <c r="T377" s="371">
        <f t="shared" si="394"/>
        <v>10120.683741166396</v>
      </c>
      <c r="U377" s="371">
        <f t="shared" si="394"/>
        <v>70245.933263986357</v>
      </c>
      <c r="V377" s="371">
        <f t="shared" si="394"/>
        <v>50349.704809092655</v>
      </c>
      <c r="W377" s="371">
        <f t="shared" si="394"/>
        <v>0</v>
      </c>
      <c r="X377" s="371">
        <f t="shared" si="394"/>
        <v>0</v>
      </c>
      <c r="Y377" s="371">
        <f t="shared" si="394"/>
        <v>0</v>
      </c>
      <c r="Z377" s="371">
        <f t="shared" si="394"/>
        <v>32691.917068487284</v>
      </c>
      <c r="AA377" s="371">
        <f t="shared" si="394"/>
        <v>36927.544607464712</v>
      </c>
      <c r="AB377" s="371">
        <f t="shared" si="394"/>
        <v>37728.584464151274</v>
      </c>
      <c r="AC377" s="371">
        <f t="shared" si="394"/>
        <v>14337.25711686099</v>
      </c>
      <c r="AD377" s="371">
        <f t="shared" si="394"/>
        <v>131213.14255798745</v>
      </c>
      <c r="AE377" s="371">
        <f t="shared" si="394"/>
        <v>133413.78435702866</v>
      </c>
      <c r="AF377" s="371">
        <f t="shared" si="394"/>
        <v>13232.990827728292</v>
      </c>
      <c r="AG377" s="371">
        <f t="shared" si="394"/>
        <v>0</v>
      </c>
      <c r="AH377" s="371">
        <f t="shared" si="394"/>
        <v>0</v>
      </c>
      <c r="AI377" s="371">
        <f t="shared" si="394"/>
        <v>77296.331338035103</v>
      </c>
      <c r="AJ377" s="371">
        <f t="shared" si="394"/>
        <v>41555.555140365184</v>
      </c>
      <c r="AK377" s="371">
        <f t="shared" si="394"/>
        <v>0</v>
      </c>
      <c r="AL377" s="371">
        <f t="shared" ref="AL377:BC377" si="395">(AL$255-AL$209)+AL358</f>
        <v>0</v>
      </c>
      <c r="AM377" s="371">
        <f t="shared" si="395"/>
        <v>0</v>
      </c>
      <c r="AN377" s="371">
        <f t="shared" si="395"/>
        <v>0</v>
      </c>
      <c r="AO377" s="371">
        <f t="shared" si="395"/>
        <v>20305.806336684556</v>
      </c>
      <c r="AP377" s="371">
        <f t="shared" si="395"/>
        <v>0</v>
      </c>
      <c r="AQ377" s="371">
        <f t="shared" si="395"/>
        <v>0</v>
      </c>
      <c r="AR377" s="371">
        <f t="shared" si="395"/>
        <v>0</v>
      </c>
      <c r="AS377" s="371">
        <f t="shared" si="395"/>
        <v>0</v>
      </c>
      <c r="AT377" s="371">
        <f t="shared" si="395"/>
        <v>0</v>
      </c>
      <c r="AU377" s="371">
        <f t="shared" si="395"/>
        <v>0</v>
      </c>
      <c r="AV377" s="371">
        <f t="shared" si="395"/>
        <v>30701.604196138913</v>
      </c>
      <c r="AW377" s="371">
        <f t="shared" si="395"/>
        <v>66182.888783565912</v>
      </c>
      <c r="AX377" s="371">
        <f t="shared" si="395"/>
        <v>0</v>
      </c>
      <c r="AY377" s="371">
        <f t="shared" si="395"/>
        <v>70172.747089304132</v>
      </c>
      <c r="AZ377" s="371">
        <f t="shared" si="395"/>
        <v>262989.80826474592</v>
      </c>
      <c r="BA377" s="371">
        <f t="shared" si="395"/>
        <v>635236.43403649854</v>
      </c>
      <c r="BB377" s="371">
        <f t="shared" si="395"/>
        <v>1042106.9556680503</v>
      </c>
      <c r="BC377" s="371">
        <f t="shared" si="395"/>
        <v>781054.41049642535</v>
      </c>
      <c r="BD377" s="371">
        <f t="shared" si="386"/>
        <v>4078897.9087228961</v>
      </c>
      <c r="BE377" s="392">
        <f>BD377/'peasant income summary'!DB$18</f>
        <v>1.0063741867880553</v>
      </c>
      <c r="BF377" s="366"/>
    </row>
    <row r="378" spans="1:58">
      <c r="A378" s="366"/>
      <c r="B378" s="202" t="s">
        <v>894</v>
      </c>
      <c r="C378" s="23" t="s">
        <v>895</v>
      </c>
      <c r="D378" s="23"/>
      <c r="F378" s="371">
        <f t="shared" ref="F378:AK378" si="396">(F$256-F$210)+F359</f>
        <v>0</v>
      </c>
      <c r="G378" s="371">
        <f t="shared" si="396"/>
        <v>10868.954431076274</v>
      </c>
      <c r="H378" s="371">
        <f t="shared" si="396"/>
        <v>77248.847256157402</v>
      </c>
      <c r="I378" s="371">
        <f t="shared" si="396"/>
        <v>0</v>
      </c>
      <c r="J378" s="371">
        <f t="shared" si="396"/>
        <v>16649.349958996154</v>
      </c>
      <c r="K378" s="371">
        <f t="shared" si="396"/>
        <v>91794.819049782935</v>
      </c>
      <c r="L378" s="371">
        <f t="shared" si="396"/>
        <v>22719.058954590786</v>
      </c>
      <c r="M378" s="371">
        <f t="shared" si="396"/>
        <v>6378.096567040131</v>
      </c>
      <c r="N378" s="371">
        <f t="shared" si="396"/>
        <v>14856.488123576521</v>
      </c>
      <c r="O378" s="371">
        <f t="shared" si="396"/>
        <v>0</v>
      </c>
      <c r="P378" s="371">
        <f t="shared" si="396"/>
        <v>297446.11245427362</v>
      </c>
      <c r="Q378" s="371">
        <f t="shared" si="396"/>
        <v>26149.442187072375</v>
      </c>
      <c r="R378" s="371">
        <f t="shared" si="396"/>
        <v>89077.413362577339</v>
      </c>
      <c r="S378" s="371">
        <f t="shared" si="396"/>
        <v>43892.748606183908</v>
      </c>
      <c r="T378" s="371">
        <f t="shared" si="396"/>
        <v>43693.298325390155</v>
      </c>
      <c r="U378" s="371">
        <f t="shared" si="396"/>
        <v>176379.46799676807</v>
      </c>
      <c r="V378" s="371">
        <f t="shared" si="396"/>
        <v>14153.733068943959</v>
      </c>
      <c r="W378" s="371">
        <f t="shared" si="396"/>
        <v>35696.167967787682</v>
      </c>
      <c r="X378" s="371">
        <f t="shared" si="396"/>
        <v>35804.727808505282</v>
      </c>
      <c r="Y378" s="371">
        <f t="shared" si="396"/>
        <v>6979.4240355865986</v>
      </c>
      <c r="Z378" s="371">
        <f t="shared" si="396"/>
        <v>69914.811893707025</v>
      </c>
      <c r="AA378" s="371">
        <f t="shared" si="396"/>
        <v>60692.678247211217</v>
      </c>
      <c r="AB378" s="371">
        <f t="shared" si="396"/>
        <v>56233.811000375652</v>
      </c>
      <c r="AC378" s="371">
        <f t="shared" si="396"/>
        <v>47888.979629109475</v>
      </c>
      <c r="AD378" s="371">
        <f t="shared" si="396"/>
        <v>107038.82151053165</v>
      </c>
      <c r="AE378" s="371">
        <f t="shared" si="396"/>
        <v>187034.75462894246</v>
      </c>
      <c r="AF378" s="371">
        <f t="shared" si="396"/>
        <v>47709.422604663967</v>
      </c>
      <c r="AG378" s="371">
        <f t="shared" si="396"/>
        <v>49431.475001842438</v>
      </c>
      <c r="AH378" s="371">
        <f t="shared" si="396"/>
        <v>31347.776003836359</v>
      </c>
      <c r="AI378" s="371">
        <f t="shared" si="396"/>
        <v>172657.90872710836</v>
      </c>
      <c r="AJ378" s="371">
        <f t="shared" si="396"/>
        <v>206886.99672392927</v>
      </c>
      <c r="AK378" s="371">
        <f t="shared" si="396"/>
        <v>57610.502280452885</v>
      </c>
      <c r="AL378" s="371">
        <f t="shared" ref="AL378:BC378" si="397">(AL$256-AL$210)+AL359</f>
        <v>0</v>
      </c>
      <c r="AM378" s="371">
        <f t="shared" si="397"/>
        <v>0</v>
      </c>
      <c r="AN378" s="371">
        <f t="shared" si="397"/>
        <v>0</v>
      </c>
      <c r="AO378" s="371">
        <f t="shared" si="397"/>
        <v>28724.131771693083</v>
      </c>
      <c r="AP378" s="371">
        <f t="shared" si="397"/>
        <v>25165.059074914359</v>
      </c>
      <c r="AQ378" s="371">
        <f t="shared" si="397"/>
        <v>5231.8355708013596</v>
      </c>
      <c r="AR378" s="371">
        <f t="shared" si="397"/>
        <v>0</v>
      </c>
      <c r="AS378" s="371">
        <f t="shared" si="397"/>
        <v>28973.349373746176</v>
      </c>
      <c r="AT378" s="371">
        <f t="shared" si="397"/>
        <v>0</v>
      </c>
      <c r="AU378" s="371">
        <f t="shared" si="397"/>
        <v>32896.893788116708</v>
      </c>
      <c r="AV378" s="371">
        <f t="shared" si="397"/>
        <v>33469.146119183264</v>
      </c>
      <c r="AW378" s="371">
        <f t="shared" si="397"/>
        <v>64852.511021529339</v>
      </c>
      <c r="AX378" s="371">
        <f t="shared" si="397"/>
        <v>56701.725122461408</v>
      </c>
      <c r="AY378" s="371">
        <f t="shared" si="397"/>
        <v>58099.492080503071</v>
      </c>
      <c r="AZ378" s="371">
        <f t="shared" si="397"/>
        <v>271030.80693667388</v>
      </c>
      <c r="BA378" s="371">
        <f t="shared" si="397"/>
        <v>904035.18725234014</v>
      </c>
      <c r="BB378" s="371">
        <f t="shared" si="397"/>
        <v>1124281.646110005</v>
      </c>
      <c r="BC378" s="371">
        <f t="shared" si="397"/>
        <v>1344882.659959184</v>
      </c>
      <c r="BD378" s="371">
        <f t="shared" si="386"/>
        <v>6082580.5325871725</v>
      </c>
      <c r="BE378" s="392">
        <f>BD378/'peasant income summary'!DB$17</f>
        <v>1.0109151957949014</v>
      </c>
      <c r="BF378" s="366"/>
    </row>
    <row r="379" spans="1:58">
      <c r="A379" s="366"/>
      <c r="B379" s="202" t="s">
        <v>896</v>
      </c>
      <c r="C379" s="23" t="s">
        <v>897</v>
      </c>
      <c r="D379" s="23"/>
      <c r="F379" s="371">
        <f t="shared" ref="F379:AK379" si="398">(F$257-F$211)+F360</f>
        <v>0</v>
      </c>
      <c r="G379" s="371">
        <f t="shared" si="398"/>
        <v>34960.333809204581</v>
      </c>
      <c r="H379" s="371">
        <f t="shared" si="398"/>
        <v>194793.18319932395</v>
      </c>
      <c r="I379" s="371">
        <f t="shared" si="398"/>
        <v>45994.41402366299</v>
      </c>
      <c r="J379" s="371">
        <f t="shared" si="398"/>
        <v>26071.056510320323</v>
      </c>
      <c r="K379" s="371">
        <f t="shared" si="398"/>
        <v>155873.65003522582</v>
      </c>
      <c r="L379" s="371">
        <f t="shared" si="398"/>
        <v>31046.15997716842</v>
      </c>
      <c r="M379" s="371">
        <f t="shared" si="398"/>
        <v>56076.829123218515</v>
      </c>
      <c r="N379" s="371">
        <f t="shared" si="398"/>
        <v>53848.346200585518</v>
      </c>
      <c r="O379" s="371">
        <f t="shared" si="398"/>
        <v>0</v>
      </c>
      <c r="P379" s="371">
        <f t="shared" si="398"/>
        <v>545783.77229427279</v>
      </c>
      <c r="Q379" s="371">
        <f t="shared" si="398"/>
        <v>12656.665460972314</v>
      </c>
      <c r="R379" s="371">
        <f t="shared" si="398"/>
        <v>136232.50191114043</v>
      </c>
      <c r="S379" s="371">
        <f t="shared" si="398"/>
        <v>173519.20821588882</v>
      </c>
      <c r="T379" s="371">
        <f t="shared" si="398"/>
        <v>52589.885543956821</v>
      </c>
      <c r="U379" s="371">
        <f t="shared" si="398"/>
        <v>373051.36607669952</v>
      </c>
      <c r="V379" s="371">
        <f t="shared" si="398"/>
        <v>85181.384877157368</v>
      </c>
      <c r="W379" s="371">
        <f t="shared" si="398"/>
        <v>83018.357589685867</v>
      </c>
      <c r="X379" s="371">
        <f t="shared" si="398"/>
        <v>116661.97516099714</v>
      </c>
      <c r="Y379" s="371">
        <f t="shared" si="398"/>
        <v>86257.982398430147</v>
      </c>
      <c r="Z379" s="371">
        <f t="shared" si="398"/>
        <v>281777.29412357928</v>
      </c>
      <c r="AA379" s="371">
        <f t="shared" si="398"/>
        <v>249697.8086129252</v>
      </c>
      <c r="AB379" s="371">
        <f t="shared" si="398"/>
        <v>183390.94489022612</v>
      </c>
      <c r="AC379" s="371">
        <f t="shared" si="398"/>
        <v>126390.32228771718</v>
      </c>
      <c r="AD379" s="371">
        <f t="shared" si="398"/>
        <v>167172.12559313091</v>
      </c>
      <c r="AE379" s="371">
        <f t="shared" si="398"/>
        <v>375249.21391096368</v>
      </c>
      <c r="AF379" s="371">
        <f t="shared" si="398"/>
        <v>123121.71932313453</v>
      </c>
      <c r="AG379" s="371">
        <f t="shared" si="398"/>
        <v>254360.84365772663</v>
      </c>
      <c r="AH379" s="371">
        <f t="shared" si="398"/>
        <v>124398.02645649668</v>
      </c>
      <c r="AI379" s="371">
        <f t="shared" si="398"/>
        <v>475413.50373382657</v>
      </c>
      <c r="AJ379" s="371">
        <f t="shared" si="398"/>
        <v>433856.69904056517</v>
      </c>
      <c r="AK379" s="371">
        <f t="shared" si="398"/>
        <v>170004.93529957667</v>
      </c>
      <c r="AL379" s="371">
        <f t="shared" ref="AL379:BC379" si="399">(AL$257-AL$211)+AL360</f>
        <v>0</v>
      </c>
      <c r="AM379" s="371">
        <f t="shared" si="399"/>
        <v>0</v>
      </c>
      <c r="AN379" s="371">
        <f t="shared" si="399"/>
        <v>0</v>
      </c>
      <c r="AO379" s="371">
        <f t="shared" si="399"/>
        <v>59693.498314954806</v>
      </c>
      <c r="AP379" s="371">
        <f t="shared" si="399"/>
        <v>72974.737973994546</v>
      </c>
      <c r="AQ379" s="371">
        <f t="shared" si="399"/>
        <v>35794.331831811753</v>
      </c>
      <c r="AR379" s="371">
        <f t="shared" si="399"/>
        <v>48888.606212374216</v>
      </c>
      <c r="AS379" s="371">
        <f t="shared" si="399"/>
        <v>36365.685827701862</v>
      </c>
      <c r="AT379" s="371">
        <f t="shared" si="399"/>
        <v>58234.886575693999</v>
      </c>
      <c r="AU379" s="371">
        <f t="shared" si="399"/>
        <v>70485.288885454283</v>
      </c>
      <c r="AV379" s="371">
        <f t="shared" si="399"/>
        <v>74694.716849158431</v>
      </c>
      <c r="AW379" s="371">
        <f t="shared" si="399"/>
        <v>122813.02902803766</v>
      </c>
      <c r="AX379" s="371">
        <f t="shared" si="399"/>
        <v>37360.821983806003</v>
      </c>
      <c r="AY379" s="371">
        <f t="shared" si="399"/>
        <v>98577.982415651277</v>
      </c>
      <c r="AZ379" s="371">
        <f t="shared" si="399"/>
        <v>930555.9148970003</v>
      </c>
      <c r="BA379" s="371">
        <f t="shared" si="399"/>
        <v>1396304.4873761493</v>
      </c>
      <c r="BB379" s="371">
        <f t="shared" si="399"/>
        <v>1170353.523566365</v>
      </c>
      <c r="BC379" s="371">
        <f t="shared" si="399"/>
        <v>1646229.4225676954</v>
      </c>
      <c r="BD379" s="371">
        <f t="shared" si="386"/>
        <v>11087777.44364363</v>
      </c>
      <c r="BE379" s="392">
        <f>BD379/'peasant income summary'!DB$16</f>
        <v>1.0228456523409755</v>
      </c>
      <c r="BF379" s="366"/>
    </row>
    <row r="380" spans="1:58">
      <c r="A380" s="366"/>
      <c r="B380" s="202" t="s">
        <v>898</v>
      </c>
      <c r="C380" s="23" t="s">
        <v>899</v>
      </c>
      <c r="D380" s="23"/>
      <c r="F380" s="371">
        <f t="shared" ref="F380:AK380" si="400">(F$258-F$212)+F361</f>
        <v>0</v>
      </c>
      <c r="G380" s="371">
        <f t="shared" si="400"/>
        <v>50553.386624360995</v>
      </c>
      <c r="H380" s="371">
        <f t="shared" si="400"/>
        <v>385677.24880164029</v>
      </c>
      <c r="I380" s="371">
        <f t="shared" si="400"/>
        <v>40467.934631515665</v>
      </c>
      <c r="J380" s="371">
        <f t="shared" si="400"/>
        <v>113200.26980571031</v>
      </c>
      <c r="K380" s="371">
        <f t="shared" si="400"/>
        <v>178430.31433435</v>
      </c>
      <c r="L380" s="371">
        <f t="shared" si="400"/>
        <v>8928.2733223254509</v>
      </c>
      <c r="M380" s="371">
        <f t="shared" si="400"/>
        <v>63069.57112452299</v>
      </c>
      <c r="N380" s="371">
        <f t="shared" si="400"/>
        <v>115605.33676686833</v>
      </c>
      <c r="O380" s="371">
        <f t="shared" si="400"/>
        <v>0</v>
      </c>
      <c r="P380" s="371">
        <f t="shared" si="400"/>
        <v>441578.34871996631</v>
      </c>
      <c r="Q380" s="371">
        <f t="shared" si="400"/>
        <v>59748.362775334921</v>
      </c>
      <c r="R380" s="371">
        <f t="shared" si="400"/>
        <v>172483.19670710684</v>
      </c>
      <c r="S380" s="371">
        <f t="shared" si="400"/>
        <v>163518.44563228198</v>
      </c>
      <c r="T380" s="371">
        <f t="shared" si="400"/>
        <v>65564.254161520468</v>
      </c>
      <c r="U380" s="371">
        <f t="shared" si="400"/>
        <v>281342.15769992786</v>
      </c>
      <c r="V380" s="371">
        <f t="shared" si="400"/>
        <v>80280.829674727371</v>
      </c>
      <c r="W380" s="371">
        <f t="shared" si="400"/>
        <v>187060.46520446605</v>
      </c>
      <c r="X380" s="371">
        <f t="shared" si="400"/>
        <v>207845.02528752253</v>
      </c>
      <c r="Y380" s="371">
        <f t="shared" si="400"/>
        <v>92880.891460963219</v>
      </c>
      <c r="Z380" s="371">
        <f t="shared" si="400"/>
        <v>303844.76472226926</v>
      </c>
      <c r="AA380" s="371">
        <f t="shared" si="400"/>
        <v>367645.17145957646</v>
      </c>
      <c r="AB380" s="371">
        <f t="shared" si="400"/>
        <v>207123.73019973474</v>
      </c>
      <c r="AC380" s="371">
        <f t="shared" si="400"/>
        <v>160705.29095737785</v>
      </c>
      <c r="AD380" s="371">
        <f t="shared" si="400"/>
        <v>249588.79366779831</v>
      </c>
      <c r="AE380" s="371">
        <f t="shared" si="400"/>
        <v>236921.676102753</v>
      </c>
      <c r="AF380" s="371">
        <f t="shared" si="400"/>
        <v>118256.79703602206</v>
      </c>
      <c r="AG380" s="371">
        <f t="shared" si="400"/>
        <v>289368.61898091435</v>
      </c>
      <c r="AH380" s="371">
        <f t="shared" si="400"/>
        <v>134833.19133233684</v>
      </c>
      <c r="AI380" s="371">
        <f t="shared" si="400"/>
        <v>700827.45263479557</v>
      </c>
      <c r="AJ380" s="371">
        <f t="shared" si="400"/>
        <v>489757.08329993131</v>
      </c>
      <c r="AK380" s="371">
        <f t="shared" si="400"/>
        <v>216128.26452375072</v>
      </c>
      <c r="AL380" s="371">
        <f t="shared" ref="AL380:BC380" si="401">(AL$258-AL$212)+AL361</f>
        <v>0</v>
      </c>
      <c r="AM380" s="371">
        <f t="shared" si="401"/>
        <v>0</v>
      </c>
      <c r="AN380" s="371">
        <f t="shared" si="401"/>
        <v>0</v>
      </c>
      <c r="AO380" s="371">
        <f t="shared" si="401"/>
        <v>57552.054426783645</v>
      </c>
      <c r="AP380" s="371">
        <f t="shared" si="401"/>
        <v>65523.024411987208</v>
      </c>
      <c r="AQ380" s="371">
        <f t="shared" si="401"/>
        <v>28529.489452906801</v>
      </c>
      <c r="AR380" s="371">
        <f t="shared" si="401"/>
        <v>88727.421767692344</v>
      </c>
      <c r="AS380" s="371">
        <f t="shared" si="401"/>
        <v>15993.442041632334</v>
      </c>
      <c r="AT380" s="371">
        <f t="shared" si="401"/>
        <v>74073.772146734293</v>
      </c>
      <c r="AU380" s="371">
        <f t="shared" si="401"/>
        <v>85005.110297278836</v>
      </c>
      <c r="AV380" s="371">
        <f t="shared" si="401"/>
        <v>63261.530118988492</v>
      </c>
      <c r="AW380" s="371">
        <f t="shared" si="401"/>
        <v>50930.746000143226</v>
      </c>
      <c r="AX380" s="371">
        <f t="shared" si="401"/>
        <v>19165.895439776752</v>
      </c>
      <c r="AY380" s="371">
        <f t="shared" si="401"/>
        <v>41607.836438670187</v>
      </c>
      <c r="AZ380" s="371">
        <f t="shared" si="401"/>
        <v>1904819.1457296885</v>
      </c>
      <c r="BA380" s="371">
        <f t="shared" si="401"/>
        <v>998099.16771882644</v>
      </c>
      <c r="BB380" s="371">
        <f t="shared" si="401"/>
        <v>1123798.3763063413</v>
      </c>
      <c r="BC380" s="371">
        <f t="shared" si="401"/>
        <v>873182.48398212052</v>
      </c>
      <c r="BD380" s="371">
        <f t="shared" si="386"/>
        <v>11673504.643931942</v>
      </c>
      <c r="BE380" s="392">
        <f>BD380/'peasant income summary'!DB$15</f>
        <v>1.0435833909981278</v>
      </c>
      <c r="BF380" s="366"/>
    </row>
    <row r="381" spans="1:58">
      <c r="A381" s="366"/>
      <c r="B381" s="202" t="s">
        <v>900</v>
      </c>
      <c r="C381" s="23" t="s">
        <v>874</v>
      </c>
      <c r="D381" s="23"/>
      <c r="F381" s="371">
        <f t="shared" ref="F381:AK381" si="402">(F$259-F$213)+F362</f>
        <v>19023862.565923668</v>
      </c>
      <c r="G381" s="371">
        <f t="shared" si="402"/>
        <v>43240024.189223237</v>
      </c>
      <c r="H381" s="371">
        <f t="shared" si="402"/>
        <v>46688197.752479024</v>
      </c>
      <c r="I381" s="371">
        <f t="shared" si="402"/>
        <v>845156.062084242</v>
      </c>
      <c r="J381" s="371">
        <f t="shared" si="402"/>
        <v>22155059.635256082</v>
      </c>
      <c r="K381" s="371">
        <f t="shared" si="402"/>
        <v>5415706.6251754956</v>
      </c>
      <c r="L381" s="371">
        <f t="shared" si="402"/>
        <v>2742130.0500287539</v>
      </c>
      <c r="M381" s="371">
        <f t="shared" si="402"/>
        <v>1957886.3092186803</v>
      </c>
      <c r="N381" s="371">
        <f t="shared" si="402"/>
        <v>1320695.4592684847</v>
      </c>
      <c r="O381" s="371">
        <f t="shared" si="402"/>
        <v>376393.39347809792</v>
      </c>
      <c r="P381" s="371">
        <f t="shared" si="402"/>
        <v>4067946.8415034814</v>
      </c>
      <c r="Q381" s="371">
        <f t="shared" si="402"/>
        <v>3812846.8893604665</v>
      </c>
      <c r="R381" s="371">
        <f t="shared" si="402"/>
        <v>6441058.9094726462</v>
      </c>
      <c r="S381" s="371">
        <f t="shared" si="402"/>
        <v>8118394.6674000043</v>
      </c>
      <c r="T381" s="371">
        <f t="shared" si="402"/>
        <v>14739964.408342941</v>
      </c>
      <c r="U381" s="371">
        <f t="shared" si="402"/>
        <v>3902070.9118241835</v>
      </c>
      <c r="V381" s="371">
        <f t="shared" si="402"/>
        <v>16202812.917810807</v>
      </c>
      <c r="W381" s="371">
        <f t="shared" si="402"/>
        <v>12474980.029889476</v>
      </c>
      <c r="X381" s="371">
        <f t="shared" si="402"/>
        <v>32262574.270250704</v>
      </c>
      <c r="Y381" s="371">
        <f t="shared" si="402"/>
        <v>25181764.908627611</v>
      </c>
      <c r="Z381" s="371">
        <f t="shared" si="402"/>
        <v>4765961.4831714779</v>
      </c>
      <c r="AA381" s="371">
        <f t="shared" si="402"/>
        <v>27149147.963390101</v>
      </c>
      <c r="AB381" s="371">
        <f t="shared" si="402"/>
        <v>12979974.857497422</v>
      </c>
      <c r="AC381" s="371">
        <f t="shared" si="402"/>
        <v>4598029.5167205129</v>
      </c>
      <c r="AD381" s="371">
        <f t="shared" si="402"/>
        <v>15467014.102128653</v>
      </c>
      <c r="AE381" s="371">
        <f t="shared" si="402"/>
        <v>3291187.1317126639</v>
      </c>
      <c r="AF381" s="371">
        <f t="shared" si="402"/>
        <v>5494431.947023388</v>
      </c>
      <c r="AG381" s="371">
        <f t="shared" si="402"/>
        <v>8790688.5000641197</v>
      </c>
      <c r="AH381" s="371">
        <f t="shared" si="402"/>
        <v>7674058.7110700309</v>
      </c>
      <c r="AI381" s="371">
        <f t="shared" si="402"/>
        <v>39932254.945213869</v>
      </c>
      <c r="AJ381" s="371">
        <f t="shared" si="402"/>
        <v>12124249.77088026</v>
      </c>
      <c r="AK381" s="371">
        <f t="shared" si="402"/>
        <v>52435350.309856564</v>
      </c>
      <c r="AL381" s="371">
        <f t="shared" ref="AL381:BC381" si="403">(AL$259-AL$213)+AL362</f>
        <v>43641744.959002256</v>
      </c>
      <c r="AM381" s="371">
        <f t="shared" si="403"/>
        <v>25036652.443235632</v>
      </c>
      <c r="AN381" s="371">
        <f t="shared" si="403"/>
        <v>13190492.899775665</v>
      </c>
      <c r="AO381" s="371">
        <f t="shared" si="403"/>
        <v>5136899.8656187681</v>
      </c>
      <c r="AP381" s="371">
        <f t="shared" si="403"/>
        <v>5097200.0320214173</v>
      </c>
      <c r="AQ381" s="371">
        <f t="shared" si="403"/>
        <v>8212888.9280906916</v>
      </c>
      <c r="AR381" s="371">
        <f t="shared" si="403"/>
        <v>6402357.3816489642</v>
      </c>
      <c r="AS381" s="371">
        <f t="shared" si="403"/>
        <v>3613272.3384446772</v>
      </c>
      <c r="AT381" s="371">
        <f t="shared" si="403"/>
        <v>7140556.5258513475</v>
      </c>
      <c r="AU381" s="371">
        <f t="shared" si="403"/>
        <v>9346311.8641321789</v>
      </c>
      <c r="AV381" s="371">
        <f t="shared" si="403"/>
        <v>7381297.7487136321</v>
      </c>
      <c r="AW381" s="371">
        <f t="shared" si="403"/>
        <v>4394018.3375986712</v>
      </c>
      <c r="AX381" s="371">
        <f t="shared" si="403"/>
        <v>87562.975645730708</v>
      </c>
      <c r="AY381" s="371">
        <f t="shared" si="403"/>
        <v>2672522.5596751813</v>
      </c>
      <c r="AZ381" s="371">
        <f t="shared" si="403"/>
        <v>4481070.9190460257</v>
      </c>
      <c r="BA381" s="371">
        <f t="shared" si="403"/>
        <v>5635021.5313034216</v>
      </c>
      <c r="BB381" s="371">
        <f t="shared" si="403"/>
        <v>12023027.388061803</v>
      </c>
      <c r="BC381" s="371">
        <f t="shared" si="403"/>
        <v>2583805.9710503807</v>
      </c>
      <c r="BD381" s="371">
        <f t="shared" si="386"/>
        <v>631748580.70426369</v>
      </c>
      <c r="BE381" s="392">
        <f>BD381/'peasant income summary'!DB$14</f>
        <v>1.0688889880708097</v>
      </c>
      <c r="BF381" s="366"/>
    </row>
    <row r="382" spans="1:58">
      <c r="A382" s="366"/>
      <c r="C382" s="23"/>
      <c r="D382" s="9" t="s">
        <v>218</v>
      </c>
      <c r="F382" s="371">
        <f t="shared" ref="F382:AK382" si="404">F$116+(F$129-F$126)+(F$137-F$134)+(F$145-F$142)+(F$153-F$150)+(F$260-SUM(F$207:F$213))+F363</f>
        <v>35120786.184166782</v>
      </c>
      <c r="G382" s="371">
        <f t="shared" si="404"/>
        <v>125442646.6515905</v>
      </c>
      <c r="H382" s="371">
        <f t="shared" si="404"/>
        <v>127671042.69641599</v>
      </c>
      <c r="I382" s="371">
        <f t="shared" si="404"/>
        <v>56965228.639741018</v>
      </c>
      <c r="J382" s="371">
        <f t="shared" si="404"/>
        <v>86574933.901493981</v>
      </c>
      <c r="K382" s="371">
        <f t="shared" si="404"/>
        <v>113346728.28022665</v>
      </c>
      <c r="L382" s="371">
        <f t="shared" si="404"/>
        <v>224634410.76048353</v>
      </c>
      <c r="M382" s="371">
        <f t="shared" si="404"/>
        <v>167049172.3358039</v>
      </c>
      <c r="N382" s="371">
        <f t="shared" si="404"/>
        <v>49485645.591101363</v>
      </c>
      <c r="O382" s="371">
        <f t="shared" si="404"/>
        <v>250283021.16701245</v>
      </c>
      <c r="P382" s="371">
        <f t="shared" si="404"/>
        <v>197837294.93914992</v>
      </c>
      <c r="Q382" s="371">
        <f t="shared" si="404"/>
        <v>170946062.34514478</v>
      </c>
      <c r="R382" s="371">
        <f t="shared" si="404"/>
        <v>143368812.91391188</v>
      </c>
      <c r="S382" s="371">
        <f t="shared" si="404"/>
        <v>95038443.654807732</v>
      </c>
      <c r="T382" s="371">
        <f t="shared" si="404"/>
        <v>133622782.15955611</v>
      </c>
      <c r="U382" s="371">
        <f t="shared" si="404"/>
        <v>154195686.97425172</v>
      </c>
      <c r="V382" s="371">
        <f t="shared" si="404"/>
        <v>152909737.12493131</v>
      </c>
      <c r="W382" s="371">
        <f t="shared" si="404"/>
        <v>119692540.99266189</v>
      </c>
      <c r="X382" s="371">
        <f t="shared" si="404"/>
        <v>167629444.97096813</v>
      </c>
      <c r="Y382" s="371">
        <f t="shared" si="404"/>
        <v>106917964.81884177</v>
      </c>
      <c r="Z382" s="371">
        <f t="shared" si="404"/>
        <v>200238146.71828297</v>
      </c>
      <c r="AA382" s="371">
        <f t="shared" si="404"/>
        <v>177480812.32698849</v>
      </c>
      <c r="AB382" s="371">
        <f t="shared" si="404"/>
        <v>161931254.47471774</v>
      </c>
      <c r="AC382" s="371">
        <f t="shared" si="404"/>
        <v>118488625.1266042</v>
      </c>
      <c r="AD382" s="371">
        <f t="shared" si="404"/>
        <v>144151255.17364597</v>
      </c>
      <c r="AE382" s="371">
        <f t="shared" si="404"/>
        <v>187282281.32325673</v>
      </c>
      <c r="AF382" s="371">
        <f t="shared" si="404"/>
        <v>129487064.78991139</v>
      </c>
      <c r="AG382" s="371">
        <f t="shared" si="404"/>
        <v>205668564.92730638</v>
      </c>
      <c r="AH382" s="371">
        <f t="shared" si="404"/>
        <v>98929186.91983071</v>
      </c>
      <c r="AI382" s="371">
        <f t="shared" si="404"/>
        <v>208869384.4100183</v>
      </c>
      <c r="AJ382" s="371">
        <f t="shared" si="404"/>
        <v>174173325.13729322</v>
      </c>
      <c r="AK382" s="371">
        <f t="shared" si="404"/>
        <v>174671479.27537546</v>
      </c>
      <c r="AL382" s="371">
        <f t="shared" ref="AL382:BC382" si="405">AL$116+(AL$129-AL$126)+(AL$137-AL$134)+(AL$145-AL$142)+(AL$153-AL$150)+(AL$260-SUM(AL$207:AL$213))+AL363</f>
        <v>69930108.049903944</v>
      </c>
      <c r="AM382" s="371">
        <f t="shared" si="405"/>
        <v>114051050.73628812</v>
      </c>
      <c r="AN382" s="371">
        <f t="shared" si="405"/>
        <v>42492391.419765599</v>
      </c>
      <c r="AO382" s="371">
        <f t="shared" si="405"/>
        <v>107846902.35503069</v>
      </c>
      <c r="AP382" s="371">
        <f t="shared" si="405"/>
        <v>103679005.00983919</v>
      </c>
      <c r="AQ382" s="371">
        <f t="shared" si="405"/>
        <v>102678851.73262449</v>
      </c>
      <c r="AR382" s="371">
        <f t="shared" si="405"/>
        <v>108265645.61829112</v>
      </c>
      <c r="AS382" s="371">
        <f t="shared" si="405"/>
        <v>138705615.2635881</v>
      </c>
      <c r="AT382" s="371">
        <f t="shared" si="405"/>
        <v>94766229.465938091</v>
      </c>
      <c r="AU382" s="371">
        <f t="shared" si="405"/>
        <v>216939807.42166108</v>
      </c>
      <c r="AV382" s="371">
        <f t="shared" si="405"/>
        <v>260182576.84825024</v>
      </c>
      <c r="AW382" s="371">
        <f t="shared" si="405"/>
        <v>237828349.15075281</v>
      </c>
      <c r="AX382" s="371">
        <f t="shared" si="405"/>
        <v>29966669.332703162</v>
      </c>
      <c r="AY382" s="371">
        <f t="shared" si="405"/>
        <v>142065902.75580835</v>
      </c>
      <c r="AZ382" s="371">
        <f t="shared" si="405"/>
        <v>110902807.66743058</v>
      </c>
      <c r="BA382" s="371">
        <f t="shared" si="405"/>
        <v>169954598.2025708</v>
      </c>
      <c r="BB382" s="371">
        <f t="shared" si="405"/>
        <v>98033443.742925093</v>
      </c>
      <c r="BC382" s="371">
        <f t="shared" si="405"/>
        <v>177216796.58334798</v>
      </c>
      <c r="BD382" s="363">
        <f t="shared" si="386"/>
        <v>6985610519.0622129</v>
      </c>
      <c r="BE382" s="23" t="s">
        <v>218</v>
      </c>
      <c r="BF382" s="366"/>
    </row>
    <row r="383" spans="1:58">
      <c r="A383" s="366"/>
      <c r="F383" s="373">
        <f>F382-SUM(F370:F381)</f>
        <v>0</v>
      </c>
      <c r="G383" s="373">
        <f t="shared" ref="G383:BC383" si="406">G382-SUM(G370:G381)</f>
        <v>0</v>
      </c>
      <c r="H383" s="373">
        <f t="shared" si="406"/>
        <v>0</v>
      </c>
      <c r="I383" s="373">
        <f t="shared" si="406"/>
        <v>0</v>
      </c>
      <c r="J383" s="373">
        <f t="shared" si="406"/>
        <v>0</v>
      </c>
      <c r="K383" s="373">
        <f t="shared" si="406"/>
        <v>0</v>
      </c>
      <c r="L383" s="373">
        <f t="shared" si="406"/>
        <v>0</v>
      </c>
      <c r="M383" s="373">
        <f t="shared" si="406"/>
        <v>0</v>
      </c>
      <c r="N383" s="373">
        <f t="shared" si="406"/>
        <v>0</v>
      </c>
      <c r="O383" s="373">
        <f t="shared" si="406"/>
        <v>0</v>
      </c>
      <c r="P383" s="373">
        <f t="shared" si="406"/>
        <v>0</v>
      </c>
      <c r="Q383" s="373">
        <f t="shared" si="406"/>
        <v>0</v>
      </c>
      <c r="R383" s="373">
        <f t="shared" si="406"/>
        <v>0</v>
      </c>
      <c r="S383" s="373">
        <f t="shared" si="406"/>
        <v>0</v>
      </c>
      <c r="T383" s="373">
        <f t="shared" si="406"/>
        <v>0</v>
      </c>
      <c r="U383" s="373">
        <f t="shared" si="406"/>
        <v>0</v>
      </c>
      <c r="V383" s="373">
        <f t="shared" si="406"/>
        <v>0</v>
      </c>
      <c r="W383" s="373">
        <f t="shared" si="406"/>
        <v>0</v>
      </c>
      <c r="X383" s="373">
        <f t="shared" si="406"/>
        <v>0</v>
      </c>
      <c r="Y383" s="373">
        <f t="shared" si="406"/>
        <v>0</v>
      </c>
      <c r="Z383" s="373">
        <f t="shared" si="406"/>
        <v>0</v>
      </c>
      <c r="AA383" s="373">
        <f t="shared" si="406"/>
        <v>0</v>
      </c>
      <c r="AB383" s="373">
        <f t="shared" si="406"/>
        <v>0</v>
      </c>
      <c r="AC383" s="373">
        <f t="shared" si="406"/>
        <v>0</v>
      </c>
      <c r="AD383" s="373">
        <f t="shared" si="406"/>
        <v>0</v>
      </c>
      <c r="AE383" s="373">
        <f t="shared" si="406"/>
        <v>0</v>
      </c>
      <c r="AF383" s="373">
        <f t="shared" si="406"/>
        <v>0</v>
      </c>
      <c r="AG383" s="373">
        <f t="shared" si="406"/>
        <v>0</v>
      </c>
      <c r="AH383" s="373">
        <f t="shared" si="406"/>
        <v>0</v>
      </c>
      <c r="AI383" s="373">
        <f t="shared" si="406"/>
        <v>0</v>
      </c>
      <c r="AJ383" s="373">
        <f t="shared" si="406"/>
        <v>0</v>
      </c>
      <c r="AK383" s="373">
        <f t="shared" si="406"/>
        <v>0</v>
      </c>
      <c r="AL383" s="373">
        <f t="shared" si="406"/>
        <v>0</v>
      </c>
      <c r="AM383" s="373">
        <f t="shared" si="406"/>
        <v>0</v>
      </c>
      <c r="AN383" s="373">
        <f t="shared" si="406"/>
        <v>0</v>
      </c>
      <c r="AO383" s="373">
        <f t="shared" si="406"/>
        <v>0</v>
      </c>
      <c r="AP383" s="373">
        <f t="shared" si="406"/>
        <v>0</v>
      </c>
      <c r="AQ383" s="373">
        <f t="shared" si="406"/>
        <v>0</v>
      </c>
      <c r="AR383" s="373">
        <f t="shared" si="406"/>
        <v>0</v>
      </c>
      <c r="AS383" s="373">
        <f t="shared" si="406"/>
        <v>0</v>
      </c>
      <c r="AT383" s="373">
        <f t="shared" si="406"/>
        <v>0</v>
      </c>
      <c r="AU383" s="373">
        <f t="shared" si="406"/>
        <v>0</v>
      </c>
      <c r="AV383" s="373">
        <f t="shared" si="406"/>
        <v>0</v>
      </c>
      <c r="AW383" s="373">
        <f t="shared" si="406"/>
        <v>0</v>
      </c>
      <c r="AX383" s="373">
        <f t="shared" si="406"/>
        <v>0</v>
      </c>
      <c r="AY383" s="373">
        <f t="shared" si="406"/>
        <v>0</v>
      </c>
      <c r="AZ383" s="373">
        <f t="shared" si="406"/>
        <v>0</v>
      </c>
      <c r="BA383" s="373">
        <f t="shared" si="406"/>
        <v>0</v>
      </c>
      <c r="BB383" s="373">
        <f t="shared" si="406"/>
        <v>0</v>
      </c>
      <c r="BC383" s="373">
        <f t="shared" si="406"/>
        <v>0</v>
      </c>
      <c r="BD383" s="373">
        <f>BD382-SUM(BD370:BD381)</f>
        <v>0</v>
      </c>
      <c r="BF383" s="366"/>
    </row>
    <row r="384" spans="1:58">
      <c r="A384" s="366"/>
      <c r="BD384" s="6" t="s">
        <v>888</v>
      </c>
      <c r="BF384" s="366"/>
    </row>
    <row r="385" spans="1:58">
      <c r="A385" s="366"/>
      <c r="BD385" s="6" t="s">
        <v>856</v>
      </c>
      <c r="BF385" s="366"/>
    </row>
    <row r="386" spans="1:58">
      <c r="A386" s="366"/>
      <c r="BD386" s="394">
        <f>'peasant income summary'!DB22</f>
        <v>7027591497.3525906</v>
      </c>
      <c r="BF386" s="366"/>
    </row>
    <row r="387" spans="1:58">
      <c r="A387" s="366"/>
      <c r="B387" s="366"/>
      <c r="C387" s="366"/>
      <c r="D387" s="366"/>
      <c r="E387" s="368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  <c r="AL387" s="366"/>
      <c r="AM387" s="366"/>
      <c r="AN387" s="366"/>
      <c r="AO387" s="366"/>
      <c r="AP387" s="366"/>
      <c r="AQ387" s="366"/>
      <c r="AR387" s="366"/>
      <c r="AS387" s="366"/>
      <c r="AT387" s="366"/>
      <c r="AU387" s="366"/>
      <c r="AV387" s="366"/>
      <c r="AW387" s="366"/>
      <c r="AX387" s="366"/>
      <c r="AY387" s="366"/>
      <c r="AZ387" s="366"/>
      <c r="BA387" s="366"/>
      <c r="BB387" s="366"/>
      <c r="BC387" s="366"/>
      <c r="BD387" s="366"/>
      <c r="BE387" s="366"/>
      <c r="BF387" s="366"/>
    </row>
  </sheetData>
  <sortState ref="A274:XFD285">
    <sortCondition ref="B274:B285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L40"/>
  <sheetViews>
    <sheetView topLeftCell="AA1" workbookViewId="0">
      <selection activeCell="AJ11" sqref="AJ11"/>
    </sheetView>
  </sheetViews>
  <sheetFormatPr baseColWidth="10" defaultRowHeight="15"/>
  <cols>
    <col min="1" max="1" width="10.7109375" style="6"/>
    <col min="2" max="2" width="11.7109375" style="6" customWidth="1"/>
    <col min="3" max="4" width="10.7109375" style="6"/>
    <col min="5" max="5" width="11.42578125" style="6" customWidth="1"/>
    <col min="6" max="6" width="12.28515625" style="6" customWidth="1"/>
    <col min="7" max="7" width="11.28515625" style="6" customWidth="1"/>
    <col min="8" max="8" width="10.85546875" style="6" customWidth="1"/>
    <col min="9" max="11" width="11.7109375" style="6" customWidth="1"/>
    <col min="12" max="12" width="10.140625" style="6" customWidth="1"/>
    <col min="13" max="13" width="4.7109375" style="6" customWidth="1"/>
    <col min="14" max="14" width="9.85546875" style="6" customWidth="1"/>
    <col min="15" max="15" width="9.7109375" style="6" customWidth="1"/>
    <col min="16" max="16" width="10.7109375" style="6"/>
    <col min="17" max="17" width="10.5703125" style="6" customWidth="1"/>
    <col min="18" max="18" width="9.5703125" style="6" customWidth="1"/>
    <col min="19" max="19" width="11" style="6" customWidth="1"/>
    <col min="20" max="20" width="9.7109375" style="6" customWidth="1"/>
    <col min="21" max="21" width="10.42578125" style="6" customWidth="1"/>
    <col min="22" max="22" width="9" style="6" customWidth="1"/>
    <col min="23" max="23" width="10.140625" style="6" customWidth="1"/>
    <col min="24" max="24" width="12.140625" style="6" customWidth="1"/>
    <col min="25" max="25" width="11" style="6" customWidth="1"/>
    <col min="26" max="26" width="7.7109375" style="6" customWidth="1"/>
    <col min="27" max="27" width="10.7109375" style="6"/>
    <col min="28" max="28" width="11.28515625" style="6" customWidth="1"/>
    <col min="29" max="38" width="10.7109375" style="6"/>
    <col min="39" max="39" width="3.7109375" style="6" customWidth="1"/>
    <col min="40" max="40" width="8.85546875" style="6" customWidth="1"/>
    <col min="41" max="45" width="10.7109375" style="6"/>
    <col min="46" max="46" width="11.85546875" style="6" customWidth="1"/>
    <col min="47" max="50" width="10.7109375" style="6"/>
    <col min="51" max="51" width="5.7109375" style="6" customWidth="1"/>
    <col min="52" max="52" width="8.28515625" style="6" customWidth="1"/>
    <col min="53" max="53" width="11.28515625" style="6" customWidth="1"/>
    <col min="54" max="54" width="12.7109375" style="6" customWidth="1"/>
    <col min="55" max="55" width="10.7109375" style="6"/>
    <col min="56" max="56" width="4.7109375" style="6" customWidth="1"/>
    <col min="57" max="57" width="10.7109375" style="6"/>
    <col min="58" max="58" width="11.28515625" style="6" customWidth="1"/>
    <col min="59" max="60" width="10.7109375" style="6"/>
    <col min="61" max="61" width="11.5703125" style="6" customWidth="1"/>
    <col min="62" max="62" width="7.5703125" style="6" customWidth="1"/>
    <col min="63" max="63" width="12" style="6" customWidth="1"/>
    <col min="64" max="16384" width="10.7109375" style="6"/>
  </cols>
  <sheetData>
    <row r="1" spans="1:64" ht="17">
      <c r="C1" s="128" t="s">
        <v>545</v>
      </c>
      <c r="AC1" s="200" t="s">
        <v>169</v>
      </c>
    </row>
    <row r="2" spans="1:64">
      <c r="C2" s="6" t="s">
        <v>286</v>
      </c>
      <c r="L2" s="20" t="s">
        <v>201</v>
      </c>
      <c r="AA2" s="6" t="s">
        <v>100</v>
      </c>
      <c r="AC2" s="201">
        <v>1.0411484718899495</v>
      </c>
    </row>
    <row r="3" spans="1:64">
      <c r="L3" s="20" t="s">
        <v>226</v>
      </c>
      <c r="AA3" s="6" t="s">
        <v>210</v>
      </c>
      <c r="AC3" s="201">
        <v>1.1476780621870841</v>
      </c>
    </row>
    <row r="4" spans="1:64">
      <c r="A4" s="6" t="s">
        <v>242</v>
      </c>
      <c r="L4" s="20" t="s">
        <v>241</v>
      </c>
      <c r="AA4" s="6" t="s">
        <v>211</v>
      </c>
      <c r="AC4" s="204">
        <v>1.1153129217232192</v>
      </c>
      <c r="AO4" s="6" t="s">
        <v>307</v>
      </c>
    </row>
    <row r="5" spans="1:64" ht="16" thickBot="1">
      <c r="A5" s="6" t="s">
        <v>119</v>
      </c>
      <c r="L5" s="20" t="s">
        <v>275</v>
      </c>
    </row>
    <row r="6" spans="1:64" ht="16" thickBot="1">
      <c r="C6" s="10" t="s">
        <v>412</v>
      </c>
      <c r="E6" s="143" t="s">
        <v>313</v>
      </c>
      <c r="F6" s="144"/>
      <c r="G6" s="144"/>
      <c r="H6" s="144"/>
      <c r="I6" s="144"/>
      <c r="J6" s="144"/>
      <c r="K6" s="145"/>
      <c r="L6" s="153" t="s">
        <v>306</v>
      </c>
      <c r="M6" s="152"/>
      <c r="N6" s="146" t="s">
        <v>150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AA6" s="146" t="s">
        <v>148</v>
      </c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5"/>
      <c r="AO6" s="211" t="s">
        <v>346</v>
      </c>
      <c r="AP6" s="212"/>
      <c r="AQ6" s="212"/>
      <c r="AR6" s="212"/>
      <c r="AS6" s="212"/>
      <c r="AT6" s="212"/>
      <c r="AU6" s="212"/>
      <c r="AV6" s="212"/>
      <c r="AW6" s="213"/>
      <c r="AX6" s="214"/>
      <c r="AZ6" s="215" t="s">
        <v>483</v>
      </c>
      <c r="BA6" s="216"/>
      <c r="BB6" s="216"/>
      <c r="BC6" s="217"/>
      <c r="BE6" s="215" t="s">
        <v>484</v>
      </c>
      <c r="BF6" s="216"/>
      <c r="BG6" s="216"/>
      <c r="BH6" s="216"/>
      <c r="BI6" s="216"/>
      <c r="BJ6" s="216"/>
      <c r="BK6" s="216"/>
      <c r="BL6" s="217"/>
    </row>
    <row r="7" spans="1:64">
      <c r="E7" s="7"/>
      <c r="F7" s="7"/>
      <c r="G7" s="7"/>
      <c r="H7" s="7"/>
      <c r="I7" s="150" t="s">
        <v>319</v>
      </c>
      <c r="J7" s="7"/>
      <c r="K7" s="151"/>
      <c r="L7" s="153" t="s">
        <v>306</v>
      </c>
      <c r="M7" s="152"/>
      <c r="N7" s="9" t="s">
        <v>413</v>
      </c>
      <c r="O7" s="9"/>
      <c r="P7" s="9" t="s">
        <v>328</v>
      </c>
      <c r="Q7" s="9" t="s">
        <v>330</v>
      </c>
      <c r="R7" s="9" t="s">
        <v>413</v>
      </c>
      <c r="S7" s="9" t="s">
        <v>562</v>
      </c>
      <c r="T7" s="9"/>
      <c r="U7" s="9"/>
      <c r="V7" s="9"/>
      <c r="W7" s="9"/>
      <c r="X7" s="131" t="s">
        <v>321</v>
      </c>
      <c r="Y7" s="141" t="s">
        <v>316</v>
      </c>
      <c r="AA7" s="9" t="s">
        <v>413</v>
      </c>
      <c r="AB7" s="9"/>
      <c r="AC7" s="9" t="s">
        <v>413</v>
      </c>
      <c r="AD7" s="9" t="s">
        <v>330</v>
      </c>
      <c r="AE7" s="9" t="s">
        <v>413</v>
      </c>
      <c r="AF7" s="9" t="s">
        <v>562</v>
      </c>
      <c r="AG7" s="9"/>
      <c r="AH7" s="9"/>
      <c r="AI7" s="9"/>
      <c r="AJ7" s="9"/>
      <c r="AK7" s="131" t="s">
        <v>321</v>
      </c>
      <c r="AL7" s="141" t="s">
        <v>460</v>
      </c>
      <c r="AO7" s="6" t="s">
        <v>297</v>
      </c>
      <c r="AP7" s="6" t="s">
        <v>296</v>
      </c>
      <c r="AQ7" s="147" t="s">
        <v>301</v>
      </c>
      <c r="AR7" s="178"/>
      <c r="AS7" s="179"/>
      <c r="AT7" s="6" t="s">
        <v>404</v>
      </c>
      <c r="AW7" s="176" t="s">
        <v>344</v>
      </c>
      <c r="AX7" s="177"/>
      <c r="AZ7" s="9"/>
      <c r="BA7" s="9"/>
      <c r="BB7" s="10" t="s">
        <v>349</v>
      </c>
      <c r="BC7" s="6" t="s">
        <v>152</v>
      </c>
      <c r="BE7" s="189" t="s">
        <v>272</v>
      </c>
      <c r="BH7" s="189" t="s">
        <v>370</v>
      </c>
      <c r="BK7" s="9" t="s">
        <v>679</v>
      </c>
    </row>
    <row r="8" spans="1:64">
      <c r="A8" s="6" t="s">
        <v>287</v>
      </c>
      <c r="C8" s="9" t="s">
        <v>369</v>
      </c>
      <c r="D8" s="9" t="s">
        <v>269</v>
      </c>
      <c r="E8" s="9" t="s">
        <v>564</v>
      </c>
      <c r="F8" s="9" t="s">
        <v>565</v>
      </c>
      <c r="G8" s="9" t="s">
        <v>564</v>
      </c>
      <c r="H8" s="9" t="s">
        <v>565</v>
      </c>
      <c r="I8" s="147" t="s">
        <v>318</v>
      </c>
      <c r="J8" s="148"/>
      <c r="K8" s="149"/>
      <c r="L8" s="153" t="s">
        <v>306</v>
      </c>
      <c r="M8" s="152"/>
      <c r="N8" s="9" t="s">
        <v>414</v>
      </c>
      <c r="O8" s="9" t="s">
        <v>327</v>
      </c>
      <c r="P8" s="9" t="s">
        <v>329</v>
      </c>
      <c r="Q8" s="9" t="s">
        <v>560</v>
      </c>
      <c r="R8" s="9" t="s">
        <v>561</v>
      </c>
      <c r="S8" s="9" t="s">
        <v>563</v>
      </c>
      <c r="T8" s="23" t="s">
        <v>200</v>
      </c>
      <c r="U8" s="9"/>
      <c r="V8" s="9" t="s">
        <v>327</v>
      </c>
      <c r="W8" s="9" t="s">
        <v>320</v>
      </c>
      <c r="X8" s="131" t="s">
        <v>437</v>
      </c>
      <c r="Y8" s="141" t="s">
        <v>317</v>
      </c>
      <c r="AA8" s="9" t="s">
        <v>414</v>
      </c>
      <c r="AB8" s="9" t="s">
        <v>413</v>
      </c>
      <c r="AC8" s="9" t="s">
        <v>329</v>
      </c>
      <c r="AD8" s="9" t="s">
        <v>560</v>
      </c>
      <c r="AE8" s="9" t="s">
        <v>561</v>
      </c>
      <c r="AF8" s="9" t="s">
        <v>563</v>
      </c>
      <c r="AG8" s="23" t="s">
        <v>200</v>
      </c>
      <c r="AH8" s="9"/>
      <c r="AI8" s="9" t="s">
        <v>413</v>
      </c>
      <c r="AJ8" s="9" t="s">
        <v>320</v>
      </c>
      <c r="AK8" s="131" t="s">
        <v>437</v>
      </c>
      <c r="AL8" s="141" t="s">
        <v>317</v>
      </c>
      <c r="AO8" s="9"/>
      <c r="AP8" s="9" t="s">
        <v>299</v>
      </c>
      <c r="AQ8" s="9" t="s">
        <v>302</v>
      </c>
      <c r="AR8" s="9" t="s">
        <v>304</v>
      </c>
      <c r="AS8" s="9" t="s">
        <v>202</v>
      </c>
      <c r="AT8" s="9" t="s">
        <v>302</v>
      </c>
      <c r="AU8" s="9" t="s">
        <v>304</v>
      </c>
      <c r="AV8" s="9" t="s">
        <v>202</v>
      </c>
      <c r="AW8" s="9" t="s">
        <v>345</v>
      </c>
      <c r="AX8" s="9" t="s">
        <v>239</v>
      </c>
      <c r="AZ8" s="9"/>
      <c r="BA8" s="9" t="s">
        <v>347</v>
      </c>
      <c r="BB8" s="10" t="s">
        <v>350</v>
      </c>
      <c r="BC8" s="6" t="s">
        <v>153</v>
      </c>
      <c r="BE8" s="9" t="s">
        <v>155</v>
      </c>
      <c r="BF8" s="9" t="s">
        <v>146</v>
      </c>
      <c r="BG8" s="9" t="s">
        <v>485</v>
      </c>
      <c r="BH8" s="9" t="s">
        <v>154</v>
      </c>
      <c r="BI8" s="9" t="s">
        <v>146</v>
      </c>
      <c r="BJ8" s="9" t="s">
        <v>485</v>
      </c>
      <c r="BK8" s="9" t="s">
        <v>680</v>
      </c>
    </row>
    <row r="9" spans="1:64" s="45" customFormat="1">
      <c r="A9" s="45" t="s">
        <v>120</v>
      </c>
      <c r="C9" s="8" t="s">
        <v>653</v>
      </c>
      <c r="D9" s="8" t="s">
        <v>654</v>
      </c>
      <c r="E9" s="8" t="s">
        <v>121</v>
      </c>
      <c r="F9" s="8" t="s">
        <v>121</v>
      </c>
      <c r="G9" s="8" t="s">
        <v>122</v>
      </c>
      <c r="H9" s="8" t="s">
        <v>122</v>
      </c>
      <c r="I9" s="8" t="s">
        <v>123</v>
      </c>
      <c r="J9" s="8" t="s">
        <v>173</v>
      </c>
      <c r="K9" s="8" t="s">
        <v>170</v>
      </c>
      <c r="L9" s="153" t="s">
        <v>306</v>
      </c>
      <c r="M9" s="152"/>
      <c r="N9" s="8" t="s">
        <v>171</v>
      </c>
      <c r="O9" s="8" t="s">
        <v>164</v>
      </c>
      <c r="P9" s="8" t="s">
        <v>312</v>
      </c>
      <c r="Q9" s="8" t="s">
        <v>341</v>
      </c>
      <c r="R9" s="8" t="s">
        <v>342</v>
      </c>
      <c r="S9" s="8" t="s">
        <v>323</v>
      </c>
      <c r="T9" s="8" t="s">
        <v>123</v>
      </c>
      <c r="U9" s="8" t="s">
        <v>173</v>
      </c>
      <c r="V9" s="8" t="s">
        <v>324</v>
      </c>
      <c r="W9" s="8" t="s">
        <v>325</v>
      </c>
      <c r="X9" s="140" t="s">
        <v>326</v>
      </c>
      <c r="Y9" s="142" t="s">
        <v>655</v>
      </c>
      <c r="AA9" s="8" t="s">
        <v>171</v>
      </c>
      <c r="AB9" s="8" t="s">
        <v>164</v>
      </c>
      <c r="AC9" s="8" t="s">
        <v>312</v>
      </c>
      <c r="AD9" s="8" t="s">
        <v>341</v>
      </c>
      <c r="AE9" s="8" t="s">
        <v>342</v>
      </c>
      <c r="AF9" s="8" t="s">
        <v>323</v>
      </c>
      <c r="AG9" s="8" t="s">
        <v>123</v>
      </c>
      <c r="AH9" s="8" t="s">
        <v>173</v>
      </c>
      <c r="AI9" s="8" t="s">
        <v>324</v>
      </c>
      <c r="AJ9" s="8" t="s">
        <v>325</v>
      </c>
      <c r="AK9" s="140" t="s">
        <v>326</v>
      </c>
      <c r="AL9" s="142" t="s">
        <v>655</v>
      </c>
      <c r="AN9" s="6"/>
      <c r="AO9" s="9" t="s">
        <v>298</v>
      </c>
      <c r="AP9" s="9" t="s">
        <v>300</v>
      </c>
      <c r="AQ9" s="9" t="s">
        <v>303</v>
      </c>
      <c r="AR9" s="9" t="s">
        <v>305</v>
      </c>
      <c r="AS9" s="9" t="s">
        <v>300</v>
      </c>
      <c r="AT9" s="9" t="s">
        <v>303</v>
      </c>
      <c r="AU9" s="9" t="s">
        <v>305</v>
      </c>
      <c r="AV9" s="9" t="s">
        <v>300</v>
      </c>
      <c r="AW9" s="9" t="s">
        <v>238</v>
      </c>
      <c r="AX9" s="9" t="s">
        <v>240</v>
      </c>
      <c r="AY9" s="6"/>
      <c r="AZ9" s="8" t="s">
        <v>154</v>
      </c>
      <c r="BA9" s="8" t="s">
        <v>440</v>
      </c>
      <c r="BB9" s="183" t="s">
        <v>351</v>
      </c>
      <c r="BC9" s="45" t="s">
        <v>151</v>
      </c>
      <c r="BE9" s="8" t="s">
        <v>303</v>
      </c>
      <c r="BF9" s="8" t="s">
        <v>147</v>
      </c>
      <c r="BG9" s="8" t="s">
        <v>486</v>
      </c>
      <c r="BH9" s="8" t="s">
        <v>303</v>
      </c>
      <c r="BI9" s="8" t="s">
        <v>147</v>
      </c>
      <c r="BJ9" s="8" t="s">
        <v>486</v>
      </c>
      <c r="BK9" s="8" t="s">
        <v>681</v>
      </c>
    </row>
    <row r="10" spans="1:64">
      <c r="A10" s="6" t="s">
        <v>656</v>
      </c>
      <c r="C10" s="129">
        <v>7881</v>
      </c>
      <c r="D10" s="129">
        <v>27292</v>
      </c>
      <c r="E10" s="129">
        <v>5417</v>
      </c>
      <c r="F10" s="129">
        <v>2158</v>
      </c>
      <c r="G10" s="129">
        <v>7819</v>
      </c>
      <c r="H10" s="129">
        <v>2758</v>
      </c>
      <c r="I10" s="129">
        <f>E10+(F10*3/4)</f>
        <v>7035.5</v>
      </c>
      <c r="J10" s="129">
        <f>0.75*(G10+(H10*3/4))</f>
        <v>7415.625</v>
      </c>
      <c r="K10" s="129">
        <f>I10+J10</f>
        <v>14451.125</v>
      </c>
      <c r="L10" s="153" t="s">
        <v>306</v>
      </c>
      <c r="M10" s="152"/>
      <c r="N10" s="134">
        <v>90556</v>
      </c>
      <c r="O10" s="134">
        <v>144534</v>
      </c>
      <c r="P10" s="134">
        <v>234</v>
      </c>
      <c r="Q10" s="134">
        <v>69829</v>
      </c>
      <c r="R10" s="134">
        <v>314762</v>
      </c>
      <c r="S10" s="134">
        <v>51835</v>
      </c>
      <c r="T10" s="134">
        <v>310630</v>
      </c>
      <c r="U10" s="134">
        <v>77417</v>
      </c>
      <c r="V10" s="134">
        <v>5032</v>
      </c>
      <c r="W10" s="134">
        <v>35024</v>
      </c>
      <c r="X10" s="130">
        <v>37957</v>
      </c>
      <c r="Y10" s="69">
        <v>1137810</v>
      </c>
      <c r="AA10" s="203">
        <f>N10*1.1565</f>
        <v>104728.01400000001</v>
      </c>
      <c r="AB10" s="238">
        <f t="shared" ref="AB10:AJ10" si="0">O10*1.1565</f>
        <v>167153.57100000003</v>
      </c>
      <c r="AC10" s="238">
        <f t="shared" si="0"/>
        <v>270.62100000000004</v>
      </c>
      <c r="AD10" s="238">
        <f t="shared" si="0"/>
        <v>80757.238500000007</v>
      </c>
      <c r="AE10" s="238">
        <f t="shared" si="0"/>
        <v>364022.25300000003</v>
      </c>
      <c r="AF10" s="238">
        <f t="shared" si="0"/>
        <v>59947.177500000005</v>
      </c>
      <c r="AG10" s="238">
        <f t="shared" si="0"/>
        <v>359243.59500000003</v>
      </c>
      <c r="AH10" s="238">
        <f t="shared" si="0"/>
        <v>89532.760500000004</v>
      </c>
      <c r="AI10" s="238">
        <f t="shared" si="0"/>
        <v>5819.5080000000007</v>
      </c>
      <c r="AJ10" s="238">
        <f t="shared" si="0"/>
        <v>40505.256000000001</v>
      </c>
      <c r="AK10" s="205">
        <f t="shared" ref="AK10" si="1">X10*1.153</f>
        <v>43764.421000000002</v>
      </c>
      <c r="AL10" s="206">
        <f>SUM(AA10:AK10)</f>
        <v>1315744.4155000001</v>
      </c>
      <c r="AN10" s="6" t="s">
        <v>656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181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194">
        <f>100*BJ10/$Y22</f>
        <v>0</v>
      </c>
    </row>
    <row r="11" spans="1:64">
      <c r="A11" s="6" t="s">
        <v>262</v>
      </c>
      <c r="B11" s="6" t="s">
        <v>373</v>
      </c>
      <c r="C11" s="129">
        <v>43197</v>
      </c>
      <c r="D11" s="129">
        <v>223391</v>
      </c>
      <c r="E11" s="129">
        <v>53332</v>
      </c>
      <c r="F11" s="129">
        <v>13428</v>
      </c>
      <c r="G11" s="129">
        <v>57572</v>
      </c>
      <c r="H11" s="129">
        <v>13617</v>
      </c>
      <c r="I11" s="129">
        <f t="shared" ref="I11:I15" si="2">E11+(F11*3/4)</f>
        <v>63403</v>
      </c>
      <c r="J11" s="129">
        <f t="shared" ref="J11:J15" si="3">0.75*(G11+(H11*3/4))</f>
        <v>50838.5625</v>
      </c>
      <c r="K11" s="129">
        <f t="shared" ref="K11:K15" si="4">I11+J11</f>
        <v>114241.5625</v>
      </c>
      <c r="L11" s="153" t="s">
        <v>306</v>
      </c>
      <c r="M11" s="152"/>
      <c r="N11" s="134">
        <v>2830540</v>
      </c>
      <c r="O11" s="134">
        <v>1716688</v>
      </c>
      <c r="P11" s="134">
        <v>59130.999999999993</v>
      </c>
      <c r="Q11" s="134">
        <v>1882416</v>
      </c>
      <c r="R11" s="134">
        <v>1291654</v>
      </c>
      <c r="S11" s="134">
        <v>263597</v>
      </c>
      <c r="T11" s="134">
        <v>2262439</v>
      </c>
      <c r="U11" s="134">
        <v>136322</v>
      </c>
      <c r="V11" s="134">
        <v>123744</v>
      </c>
      <c r="W11" s="134">
        <v>115529</v>
      </c>
      <c r="X11" s="130">
        <v>185883</v>
      </c>
      <c r="Y11" s="69">
        <v>10867943</v>
      </c>
      <c r="AA11" s="238">
        <f t="shared" ref="AA11:AA14" si="5">N11*1.1565</f>
        <v>3273519.5100000002</v>
      </c>
      <c r="AB11" s="238">
        <f t="shared" ref="AB11:AB14" si="6">O11*1.1565</f>
        <v>1985349.6720000003</v>
      </c>
      <c r="AC11" s="238">
        <f t="shared" ref="AC11:AC14" si="7">P11*1.1565</f>
        <v>68385.001499999998</v>
      </c>
      <c r="AD11" s="238">
        <f t="shared" ref="AD11:AD14" si="8">Q11*1.1565</f>
        <v>2177014.1040000003</v>
      </c>
      <c r="AE11" s="238">
        <f t="shared" ref="AE11:AE14" si="9">R11*1.1565</f>
        <v>1493797.851</v>
      </c>
      <c r="AF11" s="238">
        <f t="shared" ref="AF11:AF14" si="10">S11*1.1565</f>
        <v>304849.93050000002</v>
      </c>
      <c r="AG11" s="238">
        <f t="shared" ref="AG11:AG14" si="11">T11*1.1565</f>
        <v>2616510.7035000003</v>
      </c>
      <c r="AH11" s="238">
        <f t="shared" ref="AH11:AH14" si="12">U11*1.1565</f>
        <v>157656.39300000001</v>
      </c>
      <c r="AI11" s="238">
        <f t="shared" ref="AI11:AI14" si="13">V11*1.1565</f>
        <v>143109.93600000002</v>
      </c>
      <c r="AJ11" s="238">
        <f t="shared" ref="AJ11:AJ14" si="14">W11*1.1565</f>
        <v>133609.2885</v>
      </c>
      <c r="AK11" s="205">
        <f t="shared" ref="AK11:AK14" si="15">X11*1.153</f>
        <v>214323.09900000002</v>
      </c>
      <c r="AL11" s="206">
        <f t="shared" ref="AL11:AL15" si="16">SUM(AA11:AK11)</f>
        <v>12568125.489000002</v>
      </c>
      <c r="AN11" s="6" t="s">
        <v>262</v>
      </c>
      <c r="AO11" s="180">
        <v>145292.1</v>
      </c>
      <c r="AP11" s="180">
        <v>67411.8</v>
      </c>
      <c r="AQ11" s="180">
        <v>808</v>
      </c>
      <c r="AR11" s="180">
        <v>1034.7</v>
      </c>
      <c r="AS11" s="180">
        <v>438.1</v>
      </c>
      <c r="AT11" s="180">
        <v>893</v>
      </c>
      <c r="AU11" s="180">
        <v>1958.2</v>
      </c>
      <c r="AV11" s="180">
        <v>1421.6</v>
      </c>
      <c r="AW11" s="180">
        <v>148285</v>
      </c>
      <c r="AX11" s="181">
        <v>3.4</v>
      </c>
      <c r="AY11" s="186">
        <f>AW11-(AO11+AR11+AU11)</f>
        <v>0</v>
      </c>
      <c r="AZ11" s="184">
        <v>4.4800000000000004</v>
      </c>
      <c r="BA11" s="6">
        <v>6.7</v>
      </c>
      <c r="BB11" s="6">
        <v>6.9</v>
      </c>
      <c r="BC11" s="185">
        <v>7</v>
      </c>
      <c r="BE11" s="188">
        <f>AZ11*AO11</f>
        <v>650908.60800000012</v>
      </c>
      <c r="BF11" s="188">
        <f>BB11*(AR11+AU11)</f>
        <v>20651.010000000002</v>
      </c>
      <c r="BG11" s="188">
        <f>BE11+BF11</f>
        <v>671559.61800000013</v>
      </c>
      <c r="BH11" s="191">
        <f>BE11/$C11</f>
        <v>15.068375303840547</v>
      </c>
      <c r="BI11" s="191">
        <f t="shared" ref="BI11:BJ11" si="17">BF11/$C11</f>
        <v>0.47806583790541013</v>
      </c>
      <c r="BJ11" s="191">
        <f t="shared" si="17"/>
        <v>15.546441141745957</v>
      </c>
      <c r="BK11" s="194">
        <f t="shared" ref="BK11:BK15" si="18">100*BJ11/$Y23</f>
        <v>6.1792707046770499</v>
      </c>
    </row>
    <row r="12" spans="1:64">
      <c r="A12" s="6" t="s">
        <v>263</v>
      </c>
      <c r="B12" s="6" t="s">
        <v>374</v>
      </c>
      <c r="C12" s="129">
        <v>81547</v>
      </c>
      <c r="D12" s="129">
        <v>520448</v>
      </c>
      <c r="E12" s="129">
        <v>123832</v>
      </c>
      <c r="F12" s="129">
        <v>33547</v>
      </c>
      <c r="G12" s="129">
        <v>131202</v>
      </c>
      <c r="H12" s="129">
        <v>29823</v>
      </c>
      <c r="I12" s="129">
        <f t="shared" si="2"/>
        <v>148992.25</v>
      </c>
      <c r="J12" s="129">
        <f t="shared" si="3"/>
        <v>115176.9375</v>
      </c>
      <c r="K12" s="129">
        <f t="shared" si="4"/>
        <v>264169.1875</v>
      </c>
      <c r="L12" s="153" t="s">
        <v>306</v>
      </c>
      <c r="M12" s="152"/>
      <c r="N12" s="134">
        <v>10215261</v>
      </c>
      <c r="O12" s="134">
        <v>4633169</v>
      </c>
      <c r="P12" s="134">
        <v>177640</v>
      </c>
      <c r="Q12" s="134">
        <v>4697557</v>
      </c>
      <c r="R12" s="134">
        <v>3094838</v>
      </c>
      <c r="S12" s="134">
        <v>576938</v>
      </c>
      <c r="T12" s="134">
        <v>3742892</v>
      </c>
      <c r="U12" s="134">
        <v>169390</v>
      </c>
      <c r="V12" s="134">
        <v>347854</v>
      </c>
      <c r="W12" s="134">
        <v>236773.99999999997</v>
      </c>
      <c r="X12" s="130">
        <v>461117</v>
      </c>
      <c r="Y12" s="69">
        <v>28353430</v>
      </c>
      <c r="AA12" s="238">
        <f t="shared" si="5"/>
        <v>11813949.3465</v>
      </c>
      <c r="AB12" s="238">
        <f t="shared" si="6"/>
        <v>5358259.9484999999</v>
      </c>
      <c r="AC12" s="238">
        <f t="shared" si="7"/>
        <v>205440.66</v>
      </c>
      <c r="AD12" s="238">
        <f t="shared" si="8"/>
        <v>5432724.6705</v>
      </c>
      <c r="AE12" s="238">
        <f t="shared" si="9"/>
        <v>3579180.1470000003</v>
      </c>
      <c r="AF12" s="238">
        <f t="shared" si="10"/>
        <v>667228.79700000002</v>
      </c>
      <c r="AG12" s="238">
        <f t="shared" si="11"/>
        <v>4328654.5980000002</v>
      </c>
      <c r="AH12" s="238">
        <f t="shared" si="12"/>
        <v>195899.535</v>
      </c>
      <c r="AI12" s="238">
        <f t="shared" si="13"/>
        <v>402293.15100000001</v>
      </c>
      <c r="AJ12" s="238">
        <f t="shared" si="14"/>
        <v>273829.13099999999</v>
      </c>
      <c r="AK12" s="205">
        <f t="shared" si="15"/>
        <v>531667.90099999995</v>
      </c>
      <c r="AL12" s="206">
        <f t="shared" si="16"/>
        <v>32789127.885500003</v>
      </c>
      <c r="AN12" s="6" t="s">
        <v>263</v>
      </c>
      <c r="AO12" s="180">
        <v>778956.9</v>
      </c>
      <c r="AP12" s="180">
        <v>359487.8</v>
      </c>
      <c r="AQ12" s="180">
        <v>1520</v>
      </c>
      <c r="AR12" s="180">
        <v>6990.9</v>
      </c>
      <c r="AS12" s="180">
        <v>4778.5</v>
      </c>
      <c r="AT12" s="180">
        <v>1797</v>
      </c>
      <c r="AU12" s="180">
        <v>10553.8</v>
      </c>
      <c r="AV12" s="180">
        <v>7662.7</v>
      </c>
      <c r="AW12" s="180">
        <v>796501.5</v>
      </c>
      <c r="AX12" s="181">
        <v>9.3000000000000007</v>
      </c>
      <c r="AY12" s="186">
        <f>AW12-(AO12+AR12+AU12)</f>
        <v>-0.10000000009313226</v>
      </c>
      <c r="AZ12" s="184">
        <v>4.4800000000000004</v>
      </c>
      <c r="BA12" s="6">
        <v>6.7</v>
      </c>
      <c r="BB12" s="6">
        <v>6.9</v>
      </c>
      <c r="BC12" s="185">
        <v>7</v>
      </c>
      <c r="BE12" s="188">
        <f t="shared" ref="BE12:BE15" si="19">AZ12*AO12</f>
        <v>3489726.9120000005</v>
      </c>
      <c r="BF12" s="188">
        <f t="shared" ref="BF12:BF15" si="20">BB12*(AR12+AU12)</f>
        <v>121058.43</v>
      </c>
      <c r="BG12" s="188">
        <f t="shared" ref="BG12:BG15" si="21">BE12+BF12</f>
        <v>3610785.3420000006</v>
      </c>
      <c r="BH12" s="191">
        <f t="shared" ref="BH12:BH15" si="22">BE12/$C12</f>
        <v>42.794056335610144</v>
      </c>
      <c r="BI12" s="191">
        <f t="shared" ref="BI12:BI15" si="23">BF12/$C12</f>
        <v>1.4845234036813126</v>
      </c>
      <c r="BJ12" s="191">
        <f t="shared" ref="BJ12:BJ15" si="24">BG12/$C12</f>
        <v>44.278579739291459</v>
      </c>
      <c r="BK12" s="194">
        <f t="shared" si="18"/>
        <v>12.734915465254119</v>
      </c>
    </row>
    <row r="13" spans="1:64">
      <c r="A13" s="6" t="s">
        <v>264</v>
      </c>
      <c r="B13" s="6" t="s">
        <v>375</v>
      </c>
      <c r="C13" s="129">
        <v>30682</v>
      </c>
      <c r="D13" s="129">
        <v>261798</v>
      </c>
      <c r="E13" s="129">
        <v>62085</v>
      </c>
      <c r="F13" s="129">
        <v>19240</v>
      </c>
      <c r="G13" s="129">
        <v>63440</v>
      </c>
      <c r="H13" s="129">
        <v>13923</v>
      </c>
      <c r="I13" s="129">
        <f t="shared" si="2"/>
        <v>76515</v>
      </c>
      <c r="J13" s="129">
        <f t="shared" si="3"/>
        <v>55411.6875</v>
      </c>
      <c r="K13" s="129">
        <f t="shared" si="4"/>
        <v>131926.6875</v>
      </c>
      <c r="L13" s="153" t="s">
        <v>306</v>
      </c>
      <c r="M13" s="152"/>
      <c r="N13" s="134">
        <v>6715900</v>
      </c>
      <c r="O13" s="134">
        <v>2890935</v>
      </c>
      <c r="P13" s="134">
        <v>78782</v>
      </c>
      <c r="Q13" s="134">
        <v>2377378</v>
      </c>
      <c r="R13" s="134">
        <v>1432199</v>
      </c>
      <c r="S13" s="134">
        <v>298746</v>
      </c>
      <c r="T13" s="134">
        <v>1464985</v>
      </c>
      <c r="U13" s="134">
        <v>39262</v>
      </c>
      <c r="V13" s="134">
        <v>194951</v>
      </c>
      <c r="W13" s="134">
        <v>92637</v>
      </c>
      <c r="X13" s="130">
        <v>224569</v>
      </c>
      <c r="Y13" s="69">
        <v>15810344</v>
      </c>
      <c r="AA13" s="238">
        <f t="shared" si="5"/>
        <v>7766938.3500000006</v>
      </c>
      <c r="AB13" s="238">
        <f t="shared" si="6"/>
        <v>3343366.3275000001</v>
      </c>
      <c r="AC13" s="238">
        <f t="shared" si="7"/>
        <v>91111.383000000002</v>
      </c>
      <c r="AD13" s="238">
        <f t="shared" si="8"/>
        <v>2749437.6570000001</v>
      </c>
      <c r="AE13" s="238">
        <f t="shared" si="9"/>
        <v>1656338.1435</v>
      </c>
      <c r="AF13" s="238">
        <f t="shared" si="10"/>
        <v>345499.74900000001</v>
      </c>
      <c r="AG13" s="238">
        <f t="shared" si="11"/>
        <v>1694255.1525000001</v>
      </c>
      <c r="AH13" s="238">
        <f t="shared" si="12"/>
        <v>45406.503000000004</v>
      </c>
      <c r="AI13" s="238">
        <f t="shared" si="13"/>
        <v>225460.83150000003</v>
      </c>
      <c r="AJ13" s="238">
        <f t="shared" si="14"/>
        <v>107134.69050000001</v>
      </c>
      <c r="AK13" s="205">
        <f t="shared" si="15"/>
        <v>258928.057</v>
      </c>
      <c r="AL13" s="206">
        <f t="shared" si="16"/>
        <v>18283876.844499998</v>
      </c>
      <c r="AN13" s="6" t="s">
        <v>264</v>
      </c>
      <c r="AO13" s="180">
        <v>580982.30000000005</v>
      </c>
      <c r="AP13" s="180">
        <v>255875.6</v>
      </c>
      <c r="AQ13" s="180">
        <v>712</v>
      </c>
      <c r="AR13" s="180">
        <v>5992.3</v>
      </c>
      <c r="AS13" s="180">
        <v>4242.3999999999996</v>
      </c>
      <c r="AT13" s="180">
        <v>607</v>
      </c>
      <c r="AU13" s="180">
        <v>6425.6</v>
      </c>
      <c r="AV13" s="180">
        <v>4671.5</v>
      </c>
      <c r="AW13" s="180">
        <v>593400.1</v>
      </c>
      <c r="AX13" s="181">
        <v>19.399999999999999</v>
      </c>
      <c r="AY13" s="186">
        <f>AW13-(AO13+AR13+AU13)</f>
        <v>-0.10000000009313226</v>
      </c>
      <c r="AZ13" s="184">
        <v>4.4800000000000004</v>
      </c>
      <c r="BA13" s="6">
        <v>6.7</v>
      </c>
      <c r="BB13" s="6">
        <v>6.9</v>
      </c>
      <c r="BC13" s="185">
        <v>7</v>
      </c>
      <c r="BE13" s="188">
        <f t="shared" si="19"/>
        <v>2602800.7040000004</v>
      </c>
      <c r="BF13" s="188">
        <f t="shared" si="20"/>
        <v>85683.510000000009</v>
      </c>
      <c r="BG13" s="188">
        <f t="shared" si="21"/>
        <v>2688484.2140000006</v>
      </c>
      <c r="BH13" s="191">
        <f t="shared" si="22"/>
        <v>84.831520239880078</v>
      </c>
      <c r="BI13" s="191">
        <f t="shared" si="23"/>
        <v>2.7926311844077962</v>
      </c>
      <c r="BJ13" s="191">
        <f t="shared" si="24"/>
        <v>87.624151424287874</v>
      </c>
      <c r="BK13" s="194">
        <f t="shared" si="18"/>
        <v>17.004590248004725</v>
      </c>
    </row>
    <row r="14" spans="1:64">
      <c r="A14" s="6" t="s">
        <v>461</v>
      </c>
      <c r="B14" s="6" t="s">
        <v>376</v>
      </c>
      <c r="C14" s="129">
        <v>13514</v>
      </c>
      <c r="D14" s="129">
        <v>162528</v>
      </c>
      <c r="E14" s="129">
        <v>37411</v>
      </c>
      <c r="F14" s="129">
        <v>11900</v>
      </c>
      <c r="G14" s="129">
        <v>39297</v>
      </c>
      <c r="H14" s="129">
        <v>8061</v>
      </c>
      <c r="I14" s="129">
        <f t="shared" si="2"/>
        <v>46336</v>
      </c>
      <c r="J14" s="129">
        <f t="shared" si="3"/>
        <v>34007.0625</v>
      </c>
      <c r="K14" s="129">
        <f t="shared" si="4"/>
        <v>80343.0625</v>
      </c>
      <c r="L14" s="153" t="s">
        <v>306</v>
      </c>
      <c r="M14" s="152"/>
      <c r="N14" s="134">
        <v>5581778</v>
      </c>
      <c r="O14" s="134">
        <v>2095818</v>
      </c>
      <c r="P14" s="134">
        <v>66222</v>
      </c>
      <c r="Q14" s="134">
        <v>2462430</v>
      </c>
      <c r="R14" s="134">
        <v>1390354</v>
      </c>
      <c r="S14" s="134">
        <v>387761</v>
      </c>
      <c r="T14" s="134">
        <v>628850</v>
      </c>
      <c r="U14" s="134">
        <v>13459</v>
      </c>
      <c r="V14" s="134">
        <v>101786</v>
      </c>
      <c r="W14" s="134">
        <v>60477</v>
      </c>
      <c r="X14" s="130">
        <v>232596.99999999997</v>
      </c>
      <c r="Y14" s="69">
        <v>13021532</v>
      </c>
      <c r="AA14" s="238">
        <f t="shared" si="5"/>
        <v>6455326.2570000002</v>
      </c>
      <c r="AB14" s="238">
        <f t="shared" si="6"/>
        <v>2423813.517</v>
      </c>
      <c r="AC14" s="238">
        <f t="shared" si="7"/>
        <v>76585.743000000002</v>
      </c>
      <c r="AD14" s="238">
        <f t="shared" si="8"/>
        <v>2847800.2950000004</v>
      </c>
      <c r="AE14" s="238">
        <f t="shared" si="9"/>
        <v>1607944.4010000001</v>
      </c>
      <c r="AF14" s="238">
        <f t="shared" si="10"/>
        <v>448445.59650000004</v>
      </c>
      <c r="AG14" s="238">
        <f t="shared" si="11"/>
        <v>727265.02500000002</v>
      </c>
      <c r="AH14" s="238">
        <f t="shared" si="12"/>
        <v>15565.333500000001</v>
      </c>
      <c r="AI14" s="238">
        <f t="shared" si="13"/>
        <v>117715.50900000001</v>
      </c>
      <c r="AJ14" s="238">
        <f t="shared" si="14"/>
        <v>69941.650500000003</v>
      </c>
      <c r="AK14" s="205">
        <f t="shared" si="15"/>
        <v>268184.34099999996</v>
      </c>
      <c r="AL14" s="206">
        <f t="shared" si="16"/>
        <v>15058587.668500001</v>
      </c>
      <c r="AN14" s="6" t="s">
        <v>461</v>
      </c>
      <c r="AO14" s="180">
        <v>442933.7</v>
      </c>
      <c r="AP14" s="180">
        <v>193578.7</v>
      </c>
      <c r="AQ14" s="180">
        <v>635</v>
      </c>
      <c r="AR14" s="180">
        <v>33542.9</v>
      </c>
      <c r="AS14" s="180">
        <v>19445.400000000001</v>
      </c>
      <c r="AT14" s="180">
        <v>391</v>
      </c>
      <c r="AU14" s="180">
        <v>7129.9</v>
      </c>
      <c r="AV14" s="180">
        <v>5214</v>
      </c>
      <c r="AW14" s="180">
        <v>483606.5</v>
      </c>
      <c r="AX14" s="181">
        <v>35.299999999999997</v>
      </c>
      <c r="AY14" s="186">
        <f>AW14-(AO14+AR14+AU14)</f>
        <v>0</v>
      </c>
      <c r="AZ14" s="184">
        <v>4.4800000000000004</v>
      </c>
      <c r="BA14" s="6">
        <v>6.7</v>
      </c>
      <c r="BB14" s="6">
        <v>6.9</v>
      </c>
      <c r="BC14" s="185">
        <v>7</v>
      </c>
      <c r="BE14" s="188">
        <f t="shared" si="19"/>
        <v>1984342.9760000003</v>
      </c>
      <c r="BF14" s="188">
        <f t="shared" si="20"/>
        <v>280642.32</v>
      </c>
      <c r="BG14" s="188">
        <f t="shared" si="21"/>
        <v>2264985.2960000001</v>
      </c>
      <c r="BH14" s="254">
        <f t="shared" si="22"/>
        <v>146.83609412461152</v>
      </c>
      <c r="BI14" s="191">
        <f t="shared" si="23"/>
        <v>20.766784075773273</v>
      </c>
      <c r="BJ14" s="191">
        <f t="shared" si="24"/>
        <v>167.60287820038479</v>
      </c>
      <c r="BK14" s="194">
        <f t="shared" si="18"/>
        <v>17.39415374473603</v>
      </c>
    </row>
    <row r="15" spans="1:64">
      <c r="A15" s="6" t="s">
        <v>377</v>
      </c>
      <c r="C15" s="129">
        <v>176821</v>
      </c>
      <c r="D15" s="129">
        <v>1195457</v>
      </c>
      <c r="E15" s="129">
        <v>282077</v>
      </c>
      <c r="F15" s="129">
        <v>80273</v>
      </c>
      <c r="G15" s="129">
        <v>299330</v>
      </c>
      <c r="H15" s="129">
        <v>68182</v>
      </c>
      <c r="I15" s="129">
        <f t="shared" si="2"/>
        <v>342281.75</v>
      </c>
      <c r="J15" s="129">
        <f t="shared" si="3"/>
        <v>262849.875</v>
      </c>
      <c r="K15" s="129">
        <f t="shared" si="4"/>
        <v>605131.625</v>
      </c>
      <c r="L15" s="153" t="s">
        <v>306</v>
      </c>
      <c r="M15" s="152"/>
      <c r="N15" s="134">
        <v>25434035</v>
      </c>
      <c r="O15" s="134">
        <v>11481144</v>
      </c>
      <c r="P15" s="134">
        <v>382009</v>
      </c>
      <c r="Q15" s="134">
        <v>11489610</v>
      </c>
      <c r="R15" s="134">
        <v>7523807.0000000009</v>
      </c>
      <c r="S15" s="134">
        <v>1578877</v>
      </c>
      <c r="T15" s="134">
        <v>8409796</v>
      </c>
      <c r="U15" s="134">
        <v>435850</v>
      </c>
      <c r="V15" s="134">
        <v>773367</v>
      </c>
      <c r="W15" s="134">
        <v>540441</v>
      </c>
      <c r="X15" s="130">
        <v>1142123</v>
      </c>
      <c r="Y15" s="69">
        <v>69191059</v>
      </c>
      <c r="AA15" s="203">
        <f>SUM(AA10:AA14)</f>
        <v>29414461.477499999</v>
      </c>
      <c r="AB15" s="238">
        <f t="shared" ref="AB15:AK15" si="25">SUM(AB10:AB14)</f>
        <v>13277943.036000002</v>
      </c>
      <c r="AC15" s="238">
        <f t="shared" si="25"/>
        <v>441793.40850000002</v>
      </c>
      <c r="AD15" s="238">
        <f t="shared" si="25"/>
        <v>13287733.965</v>
      </c>
      <c r="AE15" s="238">
        <f t="shared" si="25"/>
        <v>8701282.7955000009</v>
      </c>
      <c r="AF15" s="238">
        <f t="shared" si="25"/>
        <v>1825971.2505000001</v>
      </c>
      <c r="AG15" s="238">
        <f t="shared" si="25"/>
        <v>9725929.074000001</v>
      </c>
      <c r="AH15" s="238">
        <f t="shared" si="25"/>
        <v>504060.52500000008</v>
      </c>
      <c r="AI15" s="238">
        <f t="shared" si="25"/>
        <v>894398.93550000002</v>
      </c>
      <c r="AJ15" s="238">
        <f t="shared" si="25"/>
        <v>625020.01650000003</v>
      </c>
      <c r="AK15" s="238">
        <f t="shared" si="25"/>
        <v>1316867.8189999999</v>
      </c>
      <c r="AL15" s="207">
        <f t="shared" si="16"/>
        <v>80015462.303000018</v>
      </c>
      <c r="AN15" s="6" t="s">
        <v>377</v>
      </c>
      <c r="AO15" s="180">
        <v>1948164.9</v>
      </c>
      <c r="AP15" s="180">
        <v>876353.9</v>
      </c>
      <c r="AQ15" s="180">
        <v>3675</v>
      </c>
      <c r="AR15" s="180">
        <v>47560.800000000003</v>
      </c>
      <c r="AS15" s="180">
        <v>28904.400000000001</v>
      </c>
      <c r="AT15" s="180">
        <v>3688</v>
      </c>
      <c r="AU15" s="180">
        <v>26067.5</v>
      </c>
      <c r="AV15" s="180">
        <v>18969.8</v>
      </c>
      <c r="AW15" s="180">
        <v>2021793.2</v>
      </c>
      <c r="AX15" s="181">
        <v>11.4</v>
      </c>
      <c r="AY15" s="187">
        <f>AW15-(AO15+AR15+AU15)</f>
        <v>0</v>
      </c>
      <c r="AZ15" s="184">
        <v>4.4800000000000004</v>
      </c>
      <c r="BA15" s="6">
        <v>6.7</v>
      </c>
      <c r="BB15" s="6">
        <v>6.9</v>
      </c>
      <c r="BC15" s="185">
        <v>7</v>
      </c>
      <c r="BE15" s="188">
        <f t="shared" si="19"/>
        <v>8727778.7520000003</v>
      </c>
      <c r="BF15" s="188">
        <f t="shared" si="20"/>
        <v>508035.27</v>
      </c>
      <c r="BG15" s="188">
        <f t="shared" si="21"/>
        <v>9235814.0219999999</v>
      </c>
      <c r="BH15" s="191">
        <f t="shared" si="22"/>
        <v>49.359401609537329</v>
      </c>
      <c r="BI15" s="191">
        <f t="shared" si="23"/>
        <v>2.8731613892015089</v>
      </c>
      <c r="BJ15" s="191">
        <f t="shared" si="24"/>
        <v>52.232562998738835</v>
      </c>
      <c r="BK15" s="194">
        <f t="shared" si="18"/>
        <v>13.34827672170764</v>
      </c>
    </row>
    <row r="16" spans="1:64">
      <c r="B16" s="131" t="s">
        <v>566</v>
      </c>
      <c r="C16" s="130">
        <f t="shared" ref="C16:H16" si="26">C15-SUM(C10:C14)</f>
        <v>0</v>
      </c>
      <c r="D16" s="130">
        <f t="shared" si="26"/>
        <v>0</v>
      </c>
      <c r="E16" s="130">
        <f t="shared" si="26"/>
        <v>0</v>
      </c>
      <c r="F16" s="130">
        <f t="shared" si="26"/>
        <v>0</v>
      </c>
      <c r="G16" s="130">
        <f t="shared" si="26"/>
        <v>0</v>
      </c>
      <c r="H16" s="130">
        <f t="shared" si="26"/>
        <v>0</v>
      </c>
      <c r="I16" s="130">
        <f t="shared" ref="I16:K16" si="27">I15-SUM(I10:I14)</f>
        <v>0</v>
      </c>
      <c r="J16" s="130">
        <f t="shared" si="27"/>
        <v>0</v>
      </c>
      <c r="K16" s="130">
        <f t="shared" si="27"/>
        <v>0</v>
      </c>
      <c r="L16" s="153" t="s">
        <v>306</v>
      </c>
      <c r="M16" s="152"/>
      <c r="N16" s="130">
        <f t="shared" ref="N16:Y16" si="28">N15-SUM(N10:N14)</f>
        <v>0</v>
      </c>
      <c r="O16" s="130">
        <f t="shared" si="28"/>
        <v>0</v>
      </c>
      <c r="P16" s="130">
        <f t="shared" si="28"/>
        <v>0</v>
      </c>
      <c r="Q16" s="130">
        <f t="shared" si="28"/>
        <v>0</v>
      </c>
      <c r="R16" s="130">
        <f t="shared" si="28"/>
        <v>0</v>
      </c>
      <c r="S16" s="130">
        <f t="shared" si="28"/>
        <v>0</v>
      </c>
      <c r="T16" s="130">
        <f t="shared" si="28"/>
        <v>0</v>
      </c>
      <c r="U16" s="130">
        <f t="shared" si="28"/>
        <v>0</v>
      </c>
      <c r="V16" s="130">
        <f t="shared" si="28"/>
        <v>0</v>
      </c>
      <c r="W16" s="130">
        <f t="shared" si="28"/>
        <v>0</v>
      </c>
      <c r="X16" s="130">
        <f t="shared" si="28"/>
        <v>0</v>
      </c>
      <c r="Y16" s="130">
        <f t="shared" si="28"/>
        <v>0</v>
      </c>
      <c r="AO16" s="182">
        <f>AO15-SUM(AO10:AO14)</f>
        <v>-0.10000000009313226</v>
      </c>
      <c r="AP16" s="182">
        <f t="shared" ref="AP16:AW16" si="29">AP15-SUM(AP10:AP14)</f>
        <v>0</v>
      </c>
      <c r="AQ16" s="182">
        <f t="shared" si="29"/>
        <v>0</v>
      </c>
      <c r="AR16" s="182">
        <f t="shared" si="29"/>
        <v>0</v>
      </c>
      <c r="AS16" s="182">
        <f t="shared" si="29"/>
        <v>0</v>
      </c>
      <c r="AT16" s="182">
        <f t="shared" si="29"/>
        <v>0</v>
      </c>
      <c r="AU16" s="182">
        <f t="shared" si="29"/>
        <v>0</v>
      </c>
      <c r="AV16" s="182">
        <f t="shared" si="29"/>
        <v>0</v>
      </c>
      <c r="AW16" s="182">
        <f t="shared" si="29"/>
        <v>9.9999999860301614E-2</v>
      </c>
      <c r="AX16" s="182"/>
    </row>
    <row r="17" spans="1:49">
      <c r="L17" s="153" t="s">
        <v>306</v>
      </c>
      <c r="M17" s="152"/>
    </row>
    <row r="18" spans="1:49">
      <c r="C18" s="10" t="s">
        <v>243</v>
      </c>
      <c r="I18" s="10" t="s">
        <v>243</v>
      </c>
      <c r="L18" s="153" t="s">
        <v>306</v>
      </c>
      <c r="M18" s="152"/>
      <c r="N18" s="10" t="s">
        <v>212</v>
      </c>
      <c r="AA18" s="10" t="s">
        <v>244</v>
      </c>
      <c r="AR18" s="230" t="s">
        <v>533</v>
      </c>
      <c r="AS18" s="10" t="s">
        <v>163</v>
      </c>
    </row>
    <row r="19" spans="1:49">
      <c r="E19" s="6" t="s">
        <v>572</v>
      </c>
      <c r="F19" s="141" t="s">
        <v>454</v>
      </c>
      <c r="G19" s="141" t="s">
        <v>581</v>
      </c>
      <c r="L19" s="131" t="s">
        <v>308</v>
      </c>
      <c r="M19" s="9"/>
      <c r="N19" s="9" t="s">
        <v>413</v>
      </c>
      <c r="O19" s="9"/>
      <c r="P19" s="9" t="s">
        <v>413</v>
      </c>
      <c r="Q19" s="9" t="s">
        <v>330</v>
      </c>
      <c r="R19" s="9" t="s">
        <v>413</v>
      </c>
      <c r="S19" s="9" t="s">
        <v>562</v>
      </c>
      <c r="T19" s="9"/>
      <c r="U19" s="9"/>
      <c r="V19" s="9"/>
      <c r="W19" s="9"/>
      <c r="X19" s="131" t="s">
        <v>477</v>
      </c>
      <c r="Y19" s="141" t="s">
        <v>245</v>
      </c>
      <c r="AA19" s="9" t="s">
        <v>413</v>
      </c>
      <c r="AB19" s="9"/>
      <c r="AC19" s="9" t="s">
        <v>413</v>
      </c>
      <c r="AD19" s="9" t="s">
        <v>330</v>
      </c>
      <c r="AE19" s="9" t="s">
        <v>413</v>
      </c>
      <c r="AF19" s="9" t="s">
        <v>562</v>
      </c>
      <c r="AG19" s="9"/>
      <c r="AH19" s="9"/>
      <c r="AI19" s="9"/>
      <c r="AJ19" s="9"/>
      <c r="AK19" s="131" t="s">
        <v>477</v>
      </c>
      <c r="AL19" s="141" t="s">
        <v>245</v>
      </c>
      <c r="AR19" s="230" t="s">
        <v>534</v>
      </c>
      <c r="AS19" s="10" t="s">
        <v>535</v>
      </c>
    </row>
    <row r="20" spans="1:49">
      <c r="C20" s="6" t="s">
        <v>487</v>
      </c>
      <c r="D20" s="9" t="s">
        <v>528</v>
      </c>
      <c r="E20" s="6" t="s">
        <v>573</v>
      </c>
      <c r="F20" s="141" t="s">
        <v>582</v>
      </c>
      <c r="G20" s="141" t="s">
        <v>455</v>
      </c>
      <c r="I20" s="9" t="s">
        <v>529</v>
      </c>
      <c r="J20" s="9" t="s">
        <v>530</v>
      </c>
      <c r="K20" s="9" t="s">
        <v>314</v>
      </c>
      <c r="L20" s="131" t="s">
        <v>198</v>
      </c>
      <c r="M20" s="9"/>
      <c r="N20" s="9" t="s">
        <v>414</v>
      </c>
      <c r="O20" s="9" t="s">
        <v>327</v>
      </c>
      <c r="P20" s="9" t="s">
        <v>329</v>
      </c>
      <c r="Q20" s="9" t="s">
        <v>560</v>
      </c>
      <c r="R20" s="9" t="s">
        <v>561</v>
      </c>
      <c r="S20" s="9" t="s">
        <v>563</v>
      </c>
      <c r="T20" s="23" t="s">
        <v>200</v>
      </c>
      <c r="U20" s="9"/>
      <c r="V20" s="9" t="s">
        <v>327</v>
      </c>
      <c r="W20" s="9" t="s">
        <v>320</v>
      </c>
      <c r="X20" s="131" t="s">
        <v>478</v>
      </c>
      <c r="Y20" s="141" t="s">
        <v>246</v>
      </c>
      <c r="AA20" s="9" t="s">
        <v>414</v>
      </c>
      <c r="AB20" s="9" t="s">
        <v>413</v>
      </c>
      <c r="AC20" s="9" t="s">
        <v>329</v>
      </c>
      <c r="AD20" s="9" t="s">
        <v>560</v>
      </c>
      <c r="AE20" s="9" t="s">
        <v>561</v>
      </c>
      <c r="AF20" s="9" t="s">
        <v>563</v>
      </c>
      <c r="AG20" s="23" t="s">
        <v>200</v>
      </c>
      <c r="AH20" s="9"/>
      <c r="AI20" s="9" t="s">
        <v>413</v>
      </c>
      <c r="AJ20" s="9" t="s">
        <v>320</v>
      </c>
      <c r="AK20" s="131" t="s">
        <v>478</v>
      </c>
      <c r="AL20" s="141" t="s">
        <v>246</v>
      </c>
      <c r="AN20" s="6" t="s">
        <v>292</v>
      </c>
      <c r="AR20" s="9" t="s">
        <v>579</v>
      </c>
      <c r="AS20" s="9" t="s">
        <v>578</v>
      </c>
      <c r="AT20" s="9" t="s">
        <v>576</v>
      </c>
      <c r="AU20" s="9" t="s">
        <v>458</v>
      </c>
      <c r="AV20" s="9" t="s">
        <v>460</v>
      </c>
    </row>
    <row r="21" spans="1:49">
      <c r="C21" s="45" t="s">
        <v>426</v>
      </c>
      <c r="D21" s="8" t="s">
        <v>240</v>
      </c>
      <c r="E21" s="45" t="s">
        <v>574</v>
      </c>
      <c r="F21" s="8" t="s">
        <v>427</v>
      </c>
      <c r="G21" s="142" t="s">
        <v>452</v>
      </c>
      <c r="I21" s="8" t="s">
        <v>240</v>
      </c>
      <c r="J21" s="8" t="s">
        <v>240</v>
      </c>
      <c r="K21" s="8" t="s">
        <v>315</v>
      </c>
      <c r="L21" s="140" t="s">
        <v>199</v>
      </c>
      <c r="M21" s="8"/>
      <c r="N21" s="8" t="s">
        <v>171</v>
      </c>
      <c r="O21" s="8" t="s">
        <v>164</v>
      </c>
      <c r="P21" s="8" t="s">
        <v>312</v>
      </c>
      <c r="Q21" s="8" t="s">
        <v>341</v>
      </c>
      <c r="R21" s="8" t="s">
        <v>342</v>
      </c>
      <c r="S21" s="8" t="s">
        <v>323</v>
      </c>
      <c r="T21" s="8" t="s">
        <v>123</v>
      </c>
      <c r="U21" s="8" t="s">
        <v>173</v>
      </c>
      <c r="V21" s="8" t="s">
        <v>324</v>
      </c>
      <c r="W21" s="8" t="s">
        <v>325</v>
      </c>
      <c r="X21" s="140" t="s">
        <v>326</v>
      </c>
      <c r="Y21" s="142" t="s">
        <v>247</v>
      </c>
      <c r="AA21" s="8" t="s">
        <v>171</v>
      </c>
      <c r="AB21" s="8" t="s">
        <v>164</v>
      </c>
      <c r="AC21" s="8" t="s">
        <v>312</v>
      </c>
      <c r="AD21" s="8" t="s">
        <v>341</v>
      </c>
      <c r="AE21" s="8" t="s">
        <v>342</v>
      </c>
      <c r="AF21" s="8" t="s">
        <v>323</v>
      </c>
      <c r="AG21" s="8" t="s">
        <v>123</v>
      </c>
      <c r="AH21" s="8" t="s">
        <v>173</v>
      </c>
      <c r="AI21" s="8" t="s">
        <v>324</v>
      </c>
      <c r="AJ21" s="8" t="s">
        <v>325</v>
      </c>
      <c r="AK21" s="140" t="s">
        <v>326</v>
      </c>
      <c r="AL21" s="142" t="s">
        <v>162</v>
      </c>
      <c r="AN21" s="6" t="s">
        <v>291</v>
      </c>
      <c r="AR21" s="9" t="s">
        <v>577</v>
      </c>
      <c r="AS21" s="9" t="s">
        <v>580</v>
      </c>
      <c r="AT21" s="9" t="s">
        <v>577</v>
      </c>
      <c r="AU21" s="9" t="s">
        <v>459</v>
      </c>
      <c r="AV21" s="9" t="s">
        <v>583</v>
      </c>
      <c r="AW21" s="9"/>
    </row>
    <row r="22" spans="1:49">
      <c r="A22" s="6" t="s">
        <v>656</v>
      </c>
      <c r="C22" s="193">
        <f>100*C10/C$15</f>
        <v>4.4570497848106276</v>
      </c>
      <c r="D22" s="132">
        <f>D10/$C10</f>
        <v>3.4630123080827304</v>
      </c>
      <c r="E22" s="192">
        <f>AN22/100</f>
        <v>0.54483173816366526</v>
      </c>
      <c r="F22" s="190">
        <f>E22*K22*62.76</f>
        <v>62.699728995586106</v>
      </c>
      <c r="G22" s="166">
        <f>SUM(AF22:AK22)</f>
        <v>75.99867624666922</v>
      </c>
      <c r="I22" s="132">
        <f>I10/$C10</f>
        <v>0.89271666032229413</v>
      </c>
      <c r="J22" s="132">
        <f>J10/$C10</f>
        <v>0.94094975256947089</v>
      </c>
      <c r="K22" s="132">
        <f>K10/$C10</f>
        <v>1.833666412891765</v>
      </c>
      <c r="L22" s="154">
        <f t="shared" ref="L22:L27" si="30">1.8+MAX(0, (0.5*((D10/C10)-2)))</f>
        <v>2.5315061540413653</v>
      </c>
      <c r="M22" s="133"/>
      <c r="N22" s="155">
        <f>N10/$C10</f>
        <v>11.490419997462251</v>
      </c>
      <c r="O22" s="226">
        <f t="shared" ref="O22:Y22" si="31">O10/$C10</f>
        <v>18.339550818424058</v>
      </c>
      <c r="P22" s="226">
        <f t="shared" si="31"/>
        <v>2.9691663494480394E-2</v>
      </c>
      <c r="Q22" s="226">
        <f t="shared" si="31"/>
        <v>8.8604238040857766</v>
      </c>
      <c r="R22" s="226">
        <f t="shared" si="31"/>
        <v>39.93934779850273</v>
      </c>
      <c r="S22" s="226">
        <f t="shared" si="31"/>
        <v>6.5772110138307323</v>
      </c>
      <c r="T22" s="226">
        <f t="shared" si="31"/>
        <v>39.415048851668573</v>
      </c>
      <c r="U22" s="226">
        <f t="shared" si="31"/>
        <v>9.8232457809922593</v>
      </c>
      <c r="V22" s="226">
        <f t="shared" si="31"/>
        <v>0.63849765258215962</v>
      </c>
      <c r="W22" s="226">
        <f t="shared" si="31"/>
        <v>4.444106077908895</v>
      </c>
      <c r="X22" s="226">
        <f t="shared" si="31"/>
        <v>4.8162669711965487</v>
      </c>
      <c r="Y22" s="226">
        <f t="shared" si="31"/>
        <v>144.37381043014847</v>
      </c>
      <c r="Z22" s="186">
        <f>Y22-SUM(N22:X22)</f>
        <v>0</v>
      </c>
      <c r="AA22" s="208">
        <f>N22*1.1565</f>
        <v>13.288670727065094</v>
      </c>
      <c r="AB22" s="226">
        <f t="shared" ref="AB22:AL22" si="32">O22*1.1565</f>
        <v>21.209690521507426</v>
      </c>
      <c r="AC22" s="226">
        <f t="shared" si="32"/>
        <v>3.4338408831366581E-2</v>
      </c>
      <c r="AD22" s="226">
        <f t="shared" si="32"/>
        <v>10.247080129425202</v>
      </c>
      <c r="AE22" s="226">
        <f t="shared" si="32"/>
        <v>46.189855728968411</v>
      </c>
      <c r="AF22" s="226">
        <f t="shared" si="32"/>
        <v>7.6065445374952425</v>
      </c>
      <c r="AG22" s="226">
        <f t="shared" si="32"/>
        <v>45.583503996954704</v>
      </c>
      <c r="AH22" s="226">
        <f t="shared" si="32"/>
        <v>11.360583745717548</v>
      </c>
      <c r="AI22" s="226">
        <f t="shared" si="32"/>
        <v>0.73842253521126766</v>
      </c>
      <c r="AJ22" s="226">
        <f t="shared" si="32"/>
        <v>5.1396086791016371</v>
      </c>
      <c r="AK22" s="226">
        <f t="shared" si="32"/>
        <v>5.5700127521888092</v>
      </c>
      <c r="AL22" s="226">
        <f t="shared" si="32"/>
        <v>166.96831176246673</v>
      </c>
      <c r="AM22" s="182"/>
      <c r="AN22" s="160">
        <f>100*SUM(N22:R22)/Y22</f>
        <v>54.483173816366524</v>
      </c>
      <c r="AQ22" s="6" t="s">
        <v>656</v>
      </c>
      <c r="AR22" s="197">
        <f>G22</f>
        <v>75.99867624666922</v>
      </c>
      <c r="AS22" s="197">
        <f t="shared" ref="AS22:AS27" si="33">F22</f>
        <v>62.699728995586106</v>
      </c>
      <c r="AT22" s="197">
        <f>BJ10</f>
        <v>0</v>
      </c>
      <c r="AU22" s="197">
        <f>AV22-SUM(AR22:AT22)</f>
        <v>28.269906520211407</v>
      </c>
      <c r="AV22" s="197">
        <f>AL22</f>
        <v>166.96831176246673</v>
      </c>
      <c r="AW22" s="197"/>
    </row>
    <row r="23" spans="1:49">
      <c r="A23" s="6" t="s">
        <v>262</v>
      </c>
      <c r="C23" s="193">
        <f t="shared" ref="C23:C27" si="34">100*C11/C$15</f>
        <v>24.429790579173289</v>
      </c>
      <c r="D23" s="132">
        <f t="shared" ref="D23:D27" si="35">D11/$C11</f>
        <v>5.1714470912331878</v>
      </c>
      <c r="E23" s="192">
        <f t="shared" ref="E23:E27" si="36">AN23/100</f>
        <v>0.71590631272173599</v>
      </c>
      <c r="F23" s="190">
        <f t="shared" ref="F23:F27" si="37">E23*K23*62.76</f>
        <v>118.82550668006974</v>
      </c>
      <c r="G23" s="166">
        <f t="shared" ref="G23:G27" si="38">SUM(AF23:AK23)</f>
        <v>82.661063059934719</v>
      </c>
      <c r="I23" s="132">
        <f t="shared" ref="I23:K27" si="39">I11/$C11</f>
        <v>1.4677639650901684</v>
      </c>
      <c r="J23" s="132">
        <f t="shared" ref="J23" si="40">J11/$C11</f>
        <v>1.1769003055767762</v>
      </c>
      <c r="K23" s="132">
        <f t="shared" si="39"/>
        <v>2.6446642706669445</v>
      </c>
      <c r="L23" s="154">
        <f t="shared" si="30"/>
        <v>3.3857235456165942</v>
      </c>
      <c r="M23" s="133"/>
      <c r="N23" s="226">
        <f t="shared" ref="N23:Y23" si="41">N11/$C11</f>
        <v>65.526309697432694</v>
      </c>
      <c r="O23" s="226">
        <f t="shared" si="41"/>
        <v>39.740907933421305</v>
      </c>
      <c r="P23" s="226">
        <f t="shared" si="41"/>
        <v>1.3688682084404007</v>
      </c>
      <c r="Q23" s="226">
        <f t="shared" si="41"/>
        <v>43.577470657684565</v>
      </c>
      <c r="R23" s="226">
        <f t="shared" si="41"/>
        <v>29.901474639442554</v>
      </c>
      <c r="S23" s="226">
        <f t="shared" si="41"/>
        <v>6.1022061717248883</v>
      </c>
      <c r="T23" s="226">
        <f t="shared" si="41"/>
        <v>52.374910294696392</v>
      </c>
      <c r="U23" s="226">
        <f t="shared" si="41"/>
        <v>3.1558210060883858</v>
      </c>
      <c r="V23" s="226">
        <f t="shared" si="41"/>
        <v>2.8646433780123619</v>
      </c>
      <c r="W23" s="226">
        <f t="shared" si="41"/>
        <v>2.6744681343611827</v>
      </c>
      <c r="X23" s="226">
        <f t="shared" si="41"/>
        <v>4.3031460518091533</v>
      </c>
      <c r="Y23" s="226">
        <f t="shared" si="41"/>
        <v>251.59022617311388</v>
      </c>
      <c r="Z23" s="186">
        <f t="shared" ref="Z23:Z29" si="42">Y23-SUM(N23:X23)</f>
        <v>0</v>
      </c>
      <c r="AA23" s="226">
        <f t="shared" ref="AA23:AA27" si="43">N23*1.1565</f>
        <v>75.781177165080919</v>
      </c>
      <c r="AB23" s="226">
        <f t="shared" ref="AB23:AB27" si="44">O23*1.1565</f>
        <v>45.960360025001741</v>
      </c>
      <c r="AC23" s="226">
        <f t="shared" ref="AC23:AC27" si="45">P23*1.1565</f>
        <v>1.5830960830613234</v>
      </c>
      <c r="AD23" s="226">
        <f t="shared" ref="AD23:AD27" si="46">Q23*1.1565</f>
        <v>50.3973448156122</v>
      </c>
      <c r="AE23" s="226">
        <f t="shared" ref="AE23:AE27" si="47">R23*1.1565</f>
        <v>34.58105542051532</v>
      </c>
      <c r="AF23" s="226">
        <f t="shared" ref="AF23:AF27" si="48">S23*1.1565</f>
        <v>7.0572014375998338</v>
      </c>
      <c r="AG23" s="226">
        <f t="shared" ref="AG23:AG27" si="49">T23*1.1565</f>
        <v>60.571583755816384</v>
      </c>
      <c r="AH23" s="226">
        <f t="shared" ref="AH23:AH27" si="50">U23*1.1565</f>
        <v>3.6497069935412183</v>
      </c>
      <c r="AI23" s="226">
        <f t="shared" ref="AI23:AI27" si="51">V23*1.1565</f>
        <v>3.3129600666712968</v>
      </c>
      <c r="AJ23" s="226">
        <f t="shared" ref="AJ23:AJ27" si="52">W23*1.1565</f>
        <v>3.0930223973887081</v>
      </c>
      <c r="AK23" s="226">
        <f t="shared" ref="AK23:AK27" si="53">X23*1.1565</f>
        <v>4.9765884089172863</v>
      </c>
      <c r="AL23" s="226">
        <f t="shared" ref="AL23:AL27" si="54">Y23*1.1565</f>
        <v>290.96409656920622</v>
      </c>
      <c r="AM23" s="182"/>
      <c r="AN23" s="160">
        <f t="shared" ref="AN23:AN29" si="55">100*SUM(N23:R23)/Y23</f>
        <v>71.590631272173596</v>
      </c>
      <c r="AQ23" s="6" t="s">
        <v>262</v>
      </c>
      <c r="AR23" s="197">
        <f t="shared" ref="AR23:AR27" si="56">G23</f>
        <v>82.661063059934719</v>
      </c>
      <c r="AS23" s="197">
        <f t="shared" si="33"/>
        <v>118.82550668006974</v>
      </c>
      <c r="AT23" s="197">
        <f t="shared" ref="AT23:AT27" si="57">BJ11</f>
        <v>15.546441141745957</v>
      </c>
      <c r="AU23" s="197">
        <f t="shared" ref="AU23:AU27" si="58">AV23-SUM(AR23:AT23)</f>
        <v>73.931085687455806</v>
      </c>
      <c r="AV23" s="197">
        <f t="shared" ref="AV23:AV27" si="59">AL23</f>
        <v>290.96409656920622</v>
      </c>
      <c r="AW23" s="197"/>
    </row>
    <row r="24" spans="1:49">
      <c r="A24" s="6" t="s">
        <v>263</v>
      </c>
      <c r="C24" s="193">
        <f t="shared" si="34"/>
        <v>46.118390915106239</v>
      </c>
      <c r="D24" s="132">
        <f t="shared" si="35"/>
        <v>6.3821845070940686</v>
      </c>
      <c r="E24" s="192">
        <f t="shared" si="36"/>
        <v>0.80478675772208152</v>
      </c>
      <c r="F24" s="190">
        <f t="shared" si="37"/>
        <v>163.62058025741149</v>
      </c>
      <c r="G24" s="166">
        <f t="shared" si="38"/>
        <v>78.496903902044224</v>
      </c>
      <c r="I24" s="132">
        <f t="shared" si="39"/>
        <v>1.8270721179197273</v>
      </c>
      <c r="J24" s="132">
        <f t="shared" ref="J24" si="60">J12/$C12</f>
        <v>1.4123994444921333</v>
      </c>
      <c r="K24" s="132">
        <f t="shared" si="39"/>
        <v>3.2394715624118606</v>
      </c>
      <c r="L24" s="154">
        <f t="shared" si="30"/>
        <v>3.9910922535470341</v>
      </c>
      <c r="M24" s="133"/>
      <c r="N24" s="226">
        <f t="shared" ref="N24:Y24" si="61">N12/$C12</f>
        <v>125.26838510306939</v>
      </c>
      <c r="O24" s="226">
        <f t="shared" si="61"/>
        <v>56.815934369136819</v>
      </c>
      <c r="P24" s="226">
        <f t="shared" si="61"/>
        <v>2.1783756606619495</v>
      </c>
      <c r="Q24" s="226">
        <f t="shared" si="61"/>
        <v>57.60551583749249</v>
      </c>
      <c r="R24" s="226">
        <f t="shared" si="61"/>
        <v>37.951586201822259</v>
      </c>
      <c r="S24" s="226">
        <f t="shared" si="61"/>
        <v>7.0749138533606386</v>
      </c>
      <c r="T24" s="226">
        <f t="shared" si="61"/>
        <v>45.898586091456458</v>
      </c>
      <c r="U24" s="226">
        <f t="shared" si="61"/>
        <v>2.0772070094546704</v>
      </c>
      <c r="V24" s="226">
        <f t="shared" si="61"/>
        <v>4.2656872723705348</v>
      </c>
      <c r="W24" s="226">
        <f t="shared" si="61"/>
        <v>2.9035280267821006</v>
      </c>
      <c r="X24" s="226">
        <f t="shared" si="61"/>
        <v>5.6546163562117551</v>
      </c>
      <c r="Y24" s="226">
        <f t="shared" si="61"/>
        <v>347.69433578181906</v>
      </c>
      <c r="Z24" s="186">
        <f t="shared" si="42"/>
        <v>0</v>
      </c>
      <c r="AA24" s="226">
        <f t="shared" si="43"/>
        <v>144.87288737169976</v>
      </c>
      <c r="AB24" s="226">
        <f t="shared" si="44"/>
        <v>65.707628097906735</v>
      </c>
      <c r="AC24" s="226">
        <f t="shared" si="45"/>
        <v>2.5192914515555449</v>
      </c>
      <c r="AD24" s="226">
        <f t="shared" si="46"/>
        <v>66.620779066060066</v>
      </c>
      <c r="AE24" s="226">
        <f t="shared" si="47"/>
        <v>43.891009442407444</v>
      </c>
      <c r="AF24" s="226">
        <f t="shared" si="48"/>
        <v>8.1821378714115784</v>
      </c>
      <c r="AG24" s="226">
        <f t="shared" si="49"/>
        <v>53.081714814769398</v>
      </c>
      <c r="AH24" s="226">
        <f t="shared" si="50"/>
        <v>2.4022899064343264</v>
      </c>
      <c r="AI24" s="226">
        <f t="shared" si="51"/>
        <v>4.9332673304965242</v>
      </c>
      <c r="AJ24" s="226">
        <f t="shared" si="52"/>
        <v>3.3579301629734997</v>
      </c>
      <c r="AK24" s="226">
        <f t="shared" si="53"/>
        <v>6.5395638159588954</v>
      </c>
      <c r="AL24" s="226">
        <f t="shared" si="54"/>
        <v>402.10849933167378</v>
      </c>
      <c r="AM24" s="182"/>
      <c r="AN24" s="160">
        <f t="shared" si="55"/>
        <v>80.478675772208149</v>
      </c>
      <c r="AQ24" s="6" t="s">
        <v>263</v>
      </c>
      <c r="AR24" s="197">
        <f t="shared" si="56"/>
        <v>78.496903902044224</v>
      </c>
      <c r="AS24" s="197">
        <f t="shared" si="33"/>
        <v>163.62058025741149</v>
      </c>
      <c r="AT24" s="197">
        <f t="shared" si="57"/>
        <v>44.278579739291459</v>
      </c>
      <c r="AU24" s="197">
        <f t="shared" si="58"/>
        <v>115.71243543292661</v>
      </c>
      <c r="AV24" s="197">
        <f t="shared" si="59"/>
        <v>402.10849933167378</v>
      </c>
      <c r="AW24" s="197"/>
    </row>
    <row r="25" spans="1:49">
      <c r="A25" s="6" t="s">
        <v>264</v>
      </c>
      <c r="C25" s="193">
        <f t="shared" si="34"/>
        <v>17.352011356117202</v>
      </c>
      <c r="D25" s="132">
        <f t="shared" si="35"/>
        <v>8.5326249918519004</v>
      </c>
      <c r="E25" s="192">
        <f t="shared" si="36"/>
        <v>0.85356738601007021</v>
      </c>
      <c r="F25" s="190">
        <f t="shared" si="37"/>
        <v>230.34020027289381</v>
      </c>
      <c r="G25" s="166">
        <f t="shared" si="38"/>
        <v>87.265203539534582</v>
      </c>
      <c r="I25" s="132">
        <f t="shared" si="39"/>
        <v>2.4938074441040348</v>
      </c>
      <c r="J25" s="132">
        <f t="shared" ref="J25" si="62">J13/$C13</f>
        <v>1.8059998533342025</v>
      </c>
      <c r="K25" s="132">
        <f t="shared" si="39"/>
        <v>4.2998072974382371</v>
      </c>
      <c r="L25" s="154">
        <f t="shared" si="30"/>
        <v>5.06631249592595</v>
      </c>
      <c r="M25" s="133"/>
      <c r="N25" s="226">
        <f t="shared" ref="N25:Y25" si="63">N13/$C13</f>
        <v>218.88729548269345</v>
      </c>
      <c r="O25" s="226">
        <f t="shared" si="63"/>
        <v>94.222508311061858</v>
      </c>
      <c r="P25" s="226">
        <f t="shared" si="63"/>
        <v>2.5676944136627338</v>
      </c>
      <c r="Q25" s="226">
        <f t="shared" si="63"/>
        <v>77.484453425461183</v>
      </c>
      <c r="R25" s="226">
        <f t="shared" si="63"/>
        <v>46.678801903396128</v>
      </c>
      <c r="S25" s="226">
        <f t="shared" si="63"/>
        <v>9.7368489668209381</v>
      </c>
      <c r="T25" s="226">
        <f t="shared" si="63"/>
        <v>47.747376311844079</v>
      </c>
      <c r="U25" s="226">
        <f t="shared" si="63"/>
        <v>1.2796427873020011</v>
      </c>
      <c r="V25" s="226">
        <f t="shared" si="63"/>
        <v>6.3539208656541293</v>
      </c>
      <c r="W25" s="226">
        <f t="shared" si="63"/>
        <v>3.0192621080763966</v>
      </c>
      <c r="X25" s="226">
        <f t="shared" si="63"/>
        <v>7.3192425526367249</v>
      </c>
      <c r="Y25" s="226">
        <f t="shared" si="63"/>
        <v>515.29704712860962</v>
      </c>
      <c r="Z25" s="186">
        <f t="shared" si="42"/>
        <v>0</v>
      </c>
      <c r="AA25" s="226">
        <f t="shared" si="43"/>
        <v>253.143157225735</v>
      </c>
      <c r="AB25" s="226">
        <f t="shared" si="44"/>
        <v>108.96833086174304</v>
      </c>
      <c r="AC25" s="226">
        <f t="shared" si="45"/>
        <v>2.9695385894009516</v>
      </c>
      <c r="AD25" s="226">
        <f t="shared" si="46"/>
        <v>89.610770386545866</v>
      </c>
      <c r="AE25" s="226">
        <f t="shared" si="47"/>
        <v>53.984034401277626</v>
      </c>
      <c r="AF25" s="226">
        <f t="shared" si="48"/>
        <v>11.260665830128415</v>
      </c>
      <c r="AG25" s="226">
        <f t="shared" si="49"/>
        <v>55.21984070464768</v>
      </c>
      <c r="AH25" s="226">
        <f t="shared" si="50"/>
        <v>1.4799068835147644</v>
      </c>
      <c r="AI25" s="226">
        <f t="shared" si="51"/>
        <v>7.3483094811290011</v>
      </c>
      <c r="AJ25" s="226">
        <f t="shared" si="52"/>
        <v>3.4917766279903528</v>
      </c>
      <c r="AK25" s="226">
        <f t="shared" si="53"/>
        <v>8.4647040121243737</v>
      </c>
      <c r="AL25" s="226">
        <f t="shared" si="54"/>
        <v>595.94103500423705</v>
      </c>
      <c r="AM25" s="182"/>
      <c r="AN25" s="160">
        <f t="shared" si="55"/>
        <v>85.356738601007024</v>
      </c>
      <c r="AQ25" s="6" t="s">
        <v>264</v>
      </c>
      <c r="AR25" s="197">
        <f t="shared" si="56"/>
        <v>87.265203539534582</v>
      </c>
      <c r="AS25" s="197">
        <f t="shared" si="33"/>
        <v>230.34020027289381</v>
      </c>
      <c r="AT25" s="197">
        <f t="shared" si="57"/>
        <v>87.624151424287874</v>
      </c>
      <c r="AU25" s="197">
        <f t="shared" si="58"/>
        <v>190.71147976752081</v>
      </c>
      <c r="AV25" s="197">
        <f t="shared" si="59"/>
        <v>595.94103500423705</v>
      </c>
      <c r="AW25" s="197"/>
    </row>
    <row r="26" spans="1:49" ht="16" thickBot="1">
      <c r="A26" s="6" t="s">
        <v>461</v>
      </c>
      <c r="C26" s="193">
        <f t="shared" si="34"/>
        <v>7.6427573647926437</v>
      </c>
      <c r="D26" s="132">
        <f t="shared" si="35"/>
        <v>12.026639040994525</v>
      </c>
      <c r="E26" s="192">
        <f t="shared" si="36"/>
        <v>0.89057124768422014</v>
      </c>
      <c r="F26" s="190">
        <f t="shared" si="37"/>
        <v>332.28908212999488</v>
      </c>
      <c r="G26" s="166">
        <f t="shared" si="38"/>
        <v>121.94254439840168</v>
      </c>
      <c r="I26" s="132">
        <f t="shared" si="39"/>
        <v>3.4287405653396479</v>
      </c>
      <c r="J26" s="132">
        <f t="shared" ref="J26" si="64">J14/$C14</f>
        <v>2.516432033446796</v>
      </c>
      <c r="K26" s="132">
        <f t="shared" si="39"/>
        <v>5.9451725987864439</v>
      </c>
      <c r="L26" s="154">
        <f t="shared" si="30"/>
        <v>6.8133195204972621</v>
      </c>
      <c r="M26" s="133"/>
      <c r="N26" s="226">
        <f t="shared" ref="N26:Y26" si="65">N14/$C14</f>
        <v>413.03670267870359</v>
      </c>
      <c r="O26" s="226">
        <f t="shared" si="65"/>
        <v>155.08494894183809</v>
      </c>
      <c r="P26" s="226">
        <f t="shared" si="65"/>
        <v>4.9002515909427258</v>
      </c>
      <c r="Q26" s="226">
        <f t="shared" si="65"/>
        <v>182.21326032262837</v>
      </c>
      <c r="R26" s="226">
        <f t="shared" si="65"/>
        <v>102.88249223027971</v>
      </c>
      <c r="S26" s="226">
        <f t="shared" si="65"/>
        <v>28.693281041882493</v>
      </c>
      <c r="T26" s="226">
        <f t="shared" si="65"/>
        <v>46.533224803907061</v>
      </c>
      <c r="U26" s="226">
        <f t="shared" si="65"/>
        <v>0.99593014651472545</v>
      </c>
      <c r="V26" s="226">
        <f t="shared" si="65"/>
        <v>7.5318928518573331</v>
      </c>
      <c r="W26" s="226">
        <f t="shared" si="65"/>
        <v>4.4751368950717776</v>
      </c>
      <c r="X26" s="226">
        <f t="shared" si="65"/>
        <v>17.211558383898179</v>
      </c>
      <c r="Y26" s="226">
        <f t="shared" si="65"/>
        <v>963.55867988752402</v>
      </c>
      <c r="Z26" s="186">
        <f t="shared" si="42"/>
        <v>0</v>
      </c>
      <c r="AA26" s="226">
        <f t="shared" si="43"/>
        <v>477.67694664792072</v>
      </c>
      <c r="AB26" s="226">
        <f t="shared" si="44"/>
        <v>179.35574345123575</v>
      </c>
      <c r="AC26" s="226">
        <f t="shared" si="45"/>
        <v>5.6671409649252631</v>
      </c>
      <c r="AD26" s="226">
        <f t="shared" si="46"/>
        <v>210.72963556311973</v>
      </c>
      <c r="AE26" s="226">
        <f t="shared" si="47"/>
        <v>118.98360226431849</v>
      </c>
      <c r="AF26" s="226">
        <f t="shared" si="48"/>
        <v>33.183779524937108</v>
      </c>
      <c r="AG26" s="226">
        <f t="shared" si="49"/>
        <v>53.815674485718517</v>
      </c>
      <c r="AH26" s="226">
        <f t="shared" si="50"/>
        <v>1.15179321444428</v>
      </c>
      <c r="AI26" s="226">
        <f t="shared" si="51"/>
        <v>8.7106340831730069</v>
      </c>
      <c r="AJ26" s="226">
        <f t="shared" si="52"/>
        <v>5.1754958191505107</v>
      </c>
      <c r="AK26" s="226">
        <f t="shared" si="53"/>
        <v>19.905167270978247</v>
      </c>
      <c r="AL26" s="226">
        <f t="shared" si="54"/>
        <v>1114.3556132899216</v>
      </c>
      <c r="AM26" s="182"/>
      <c r="AN26" s="160">
        <f t="shared" si="55"/>
        <v>89.057124768422014</v>
      </c>
      <c r="AQ26" s="6" t="s">
        <v>461</v>
      </c>
      <c r="AR26" s="197">
        <f t="shared" si="56"/>
        <v>121.94254439840168</v>
      </c>
      <c r="AS26" s="197">
        <f t="shared" si="33"/>
        <v>332.28908212999488</v>
      </c>
      <c r="AT26" s="197">
        <f t="shared" si="57"/>
        <v>167.60287820038479</v>
      </c>
      <c r="AU26" s="197">
        <f t="shared" si="58"/>
        <v>492.5211085611403</v>
      </c>
      <c r="AV26" s="197">
        <f t="shared" si="59"/>
        <v>1114.3556132899216</v>
      </c>
      <c r="AW26" s="197"/>
    </row>
    <row r="27" spans="1:49" ht="16" thickBot="1">
      <c r="A27" s="6" t="s">
        <v>377</v>
      </c>
      <c r="C27" s="193">
        <f t="shared" si="34"/>
        <v>100</v>
      </c>
      <c r="D27" s="132">
        <f t="shared" si="35"/>
        <v>6.7608315754350441</v>
      </c>
      <c r="E27" s="192">
        <f t="shared" si="36"/>
        <v>0.81384221912256038</v>
      </c>
      <c r="F27" s="190">
        <f t="shared" si="37"/>
        <v>174.79908646165265</v>
      </c>
      <c r="G27" s="166">
        <f t="shared" si="38"/>
        <v>84.244773250914761</v>
      </c>
      <c r="I27" s="132">
        <f t="shared" si="39"/>
        <v>1.9357528234768495</v>
      </c>
      <c r="J27" s="132">
        <f t="shared" ref="J27" si="66">J15/$C15</f>
        <v>1.4865308702020688</v>
      </c>
      <c r="K27" s="132">
        <f t="shared" si="39"/>
        <v>3.422283693678918</v>
      </c>
      <c r="L27" s="154">
        <f t="shared" si="30"/>
        <v>4.1804157877175223</v>
      </c>
      <c r="M27" s="133"/>
      <c r="N27" s="226">
        <f t="shared" ref="N27:Y27" si="67">N15/$C15</f>
        <v>143.84057889051641</v>
      </c>
      <c r="O27" s="226">
        <f t="shared" si="67"/>
        <v>64.930884906204582</v>
      </c>
      <c r="P27" s="226">
        <f t="shared" si="67"/>
        <v>2.1604277772436533</v>
      </c>
      <c r="Q27" s="226">
        <f t="shared" si="67"/>
        <v>64.978763834612408</v>
      </c>
      <c r="R27" s="226">
        <f t="shared" si="67"/>
        <v>42.55041539183695</v>
      </c>
      <c r="S27" s="226">
        <f t="shared" si="67"/>
        <v>8.929239174080001</v>
      </c>
      <c r="T27" s="226">
        <f t="shared" si="67"/>
        <v>47.561070234870293</v>
      </c>
      <c r="U27" s="226">
        <f t="shared" si="67"/>
        <v>2.4649221529117016</v>
      </c>
      <c r="V27" s="226">
        <f t="shared" si="67"/>
        <v>4.373728233637407</v>
      </c>
      <c r="W27" s="226">
        <f t="shared" si="67"/>
        <v>3.0564299489314051</v>
      </c>
      <c r="X27" s="226">
        <f t="shared" si="67"/>
        <v>6.4592045062520853</v>
      </c>
      <c r="Y27" s="242">
        <f t="shared" si="67"/>
        <v>391.30566505109687</v>
      </c>
      <c r="Z27" s="186">
        <f t="shared" si="42"/>
        <v>0</v>
      </c>
      <c r="AA27" s="226">
        <f t="shared" si="43"/>
        <v>166.35162948688225</v>
      </c>
      <c r="AB27" s="226">
        <f t="shared" si="44"/>
        <v>75.092568394025605</v>
      </c>
      <c r="AC27" s="226">
        <f t="shared" si="45"/>
        <v>2.4985347243822851</v>
      </c>
      <c r="AD27" s="226">
        <f t="shared" si="46"/>
        <v>75.147940374729259</v>
      </c>
      <c r="AE27" s="226">
        <f t="shared" si="47"/>
        <v>49.209555400659433</v>
      </c>
      <c r="AF27" s="226">
        <f t="shared" si="48"/>
        <v>10.326665104823523</v>
      </c>
      <c r="AG27" s="226">
        <f t="shared" si="49"/>
        <v>55.004377726627496</v>
      </c>
      <c r="AH27" s="226">
        <f t="shared" si="50"/>
        <v>2.8506824698423832</v>
      </c>
      <c r="AI27" s="226">
        <f t="shared" si="51"/>
        <v>5.058216702201662</v>
      </c>
      <c r="AJ27" s="226">
        <f t="shared" si="52"/>
        <v>3.53476123593917</v>
      </c>
      <c r="AK27" s="226">
        <f t="shared" si="53"/>
        <v>7.4700700114805372</v>
      </c>
      <c r="AL27" s="242">
        <f t="shared" si="54"/>
        <v>452.54500163159355</v>
      </c>
      <c r="AM27" s="182"/>
      <c r="AN27" s="160">
        <f t="shared" si="55"/>
        <v>81.384221912256038</v>
      </c>
      <c r="AQ27" s="6" t="s">
        <v>377</v>
      </c>
      <c r="AR27" s="197">
        <f t="shared" si="56"/>
        <v>84.244773250914761</v>
      </c>
      <c r="AS27" s="197">
        <f t="shared" si="33"/>
        <v>174.79908646165265</v>
      </c>
      <c r="AT27" s="197">
        <f t="shared" si="57"/>
        <v>52.232562998738835</v>
      </c>
      <c r="AU27" s="197">
        <f t="shared" si="58"/>
        <v>141.26857892028733</v>
      </c>
      <c r="AV27" s="243">
        <f t="shared" si="59"/>
        <v>452.54500163159355</v>
      </c>
      <c r="AW27" s="197"/>
    </row>
    <row r="28" spans="1:49">
      <c r="Z28" s="202"/>
      <c r="AN28" s="160"/>
    </row>
    <row r="29" spans="1:49">
      <c r="A29" s="6" t="s">
        <v>386</v>
      </c>
      <c r="D29" s="159">
        <f>(D15-D10)/($C15-$C10)</f>
        <v>6.9146738487036821</v>
      </c>
      <c r="I29" s="159">
        <f>(I15-I10)/($C15-$C10)</f>
        <v>1.9844101456138274</v>
      </c>
      <c r="J29" s="159">
        <f t="shared" ref="J29:K29" si="68">(J15-J10)/($C15-$C10)</f>
        <v>1.5119820646383331</v>
      </c>
      <c r="K29" s="159">
        <f t="shared" si="68"/>
        <v>3.4963922102521607</v>
      </c>
      <c r="N29" s="159">
        <f>100*(N15-N10)/($C15-$C10)</f>
        <v>15001.467384870368</v>
      </c>
      <c r="O29" s="159">
        <f t="shared" ref="O29:Y29" si="69">100*(O15-O10)/($C15-$C10)</f>
        <v>6710.4356576299278</v>
      </c>
      <c r="P29" s="159">
        <f t="shared" si="69"/>
        <v>225.98259737184799</v>
      </c>
      <c r="Q29" s="159">
        <f t="shared" si="69"/>
        <v>6759.6667455901506</v>
      </c>
      <c r="R29" s="159">
        <f t="shared" si="69"/>
        <v>4267.2220906830835</v>
      </c>
      <c r="S29" s="159">
        <f t="shared" si="69"/>
        <v>903.89605777199006</v>
      </c>
      <c r="T29" s="159">
        <f t="shared" si="69"/>
        <v>4794.1079673256781</v>
      </c>
      <c r="U29" s="159">
        <f t="shared" si="69"/>
        <v>212.16585770095892</v>
      </c>
      <c r="V29" s="159">
        <f t="shared" si="69"/>
        <v>454.79756126435421</v>
      </c>
      <c r="W29" s="159">
        <f t="shared" si="69"/>
        <v>299.16952764295019</v>
      </c>
      <c r="X29" s="159">
        <f t="shared" si="69"/>
        <v>653.58470462886237</v>
      </c>
      <c r="Y29" s="159">
        <f t="shared" si="69"/>
        <v>40282.496152480169</v>
      </c>
      <c r="Z29" s="186">
        <f t="shared" si="42"/>
        <v>0</v>
      </c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241">
        <f>AL15/C15</f>
        <v>452.52239441582174</v>
      </c>
      <c r="AM29" s="182"/>
      <c r="AN29" s="160">
        <f t="shared" si="55"/>
        <v>81.833991496864471</v>
      </c>
      <c r="AR29" s="198" t="s">
        <v>575</v>
      </c>
      <c r="AW29" s="10" t="s">
        <v>584</v>
      </c>
    </row>
    <row r="30" spans="1:49">
      <c r="AR30" s="9" t="s">
        <v>579</v>
      </c>
      <c r="AS30" s="9" t="s">
        <v>578</v>
      </c>
      <c r="AT30" s="9" t="s">
        <v>576</v>
      </c>
      <c r="AU30" s="9" t="s">
        <v>458</v>
      </c>
      <c r="AV30" s="9" t="s">
        <v>460</v>
      </c>
      <c r="AW30" s="10" t="s">
        <v>271</v>
      </c>
    </row>
    <row r="31" spans="1:49" ht="17">
      <c r="A31" s="393" t="s">
        <v>835</v>
      </c>
      <c r="AR31" s="9" t="s">
        <v>577</v>
      </c>
      <c r="AS31" s="9" t="s">
        <v>580</v>
      </c>
      <c r="AT31" s="9" t="s">
        <v>577</v>
      </c>
      <c r="AU31" s="9" t="s">
        <v>459</v>
      </c>
      <c r="AV31" s="9" t="s">
        <v>583</v>
      </c>
      <c r="AW31" s="10" t="s">
        <v>476</v>
      </c>
    </row>
    <row r="32" spans="1:49">
      <c r="A32" s="6" t="s">
        <v>407</v>
      </c>
      <c r="C32" s="228">
        <v>448873.20209210616</v>
      </c>
      <c r="E32" s="6" t="s">
        <v>410</v>
      </c>
      <c r="H32" s="229">
        <f>448873/176821</f>
        <v>2.5385729070642062</v>
      </c>
      <c r="J32" s="126" t="s">
        <v>678</v>
      </c>
      <c r="AQ32" s="6" t="s">
        <v>656</v>
      </c>
      <c r="AR32" s="196">
        <f t="shared" ref="AR32:AV35" si="70">100*AR22/$AV22</f>
        <v>45.516826183633469</v>
      </c>
      <c r="AS32" s="196">
        <f t="shared" si="70"/>
        <v>37.55187336671662</v>
      </c>
      <c r="AT32" s="196">
        <f t="shared" si="70"/>
        <v>0</v>
      </c>
      <c r="AU32" s="196">
        <f t="shared" si="70"/>
        <v>16.931300449649918</v>
      </c>
      <c r="AV32" s="196">
        <f t="shared" si="70"/>
        <v>100</v>
      </c>
      <c r="AW32" s="209">
        <f t="shared" ref="AW32:AW35" si="71">100*AU32/(AS32+AT32+AU32)</f>
        <v>31.076200712381812</v>
      </c>
    </row>
    <row r="33" spans="2:49">
      <c r="B33" s="9" t="s">
        <v>408</v>
      </c>
      <c r="C33" s="228">
        <v>18565.315838945826</v>
      </c>
      <c r="E33" s="6" t="s">
        <v>834</v>
      </c>
      <c r="AQ33" s="6" t="s">
        <v>262</v>
      </c>
      <c r="AR33" s="196">
        <f t="shared" si="70"/>
        <v>28.409368727826411</v>
      </c>
      <c r="AS33" s="196">
        <f t="shared" si="70"/>
        <v>40.838546089072857</v>
      </c>
      <c r="AT33" s="196">
        <f t="shared" si="70"/>
        <v>5.3430788626693033</v>
      </c>
      <c r="AU33" s="196">
        <f t="shared" si="70"/>
        <v>25.409006320431427</v>
      </c>
      <c r="AV33" s="196">
        <f t="shared" si="70"/>
        <v>100</v>
      </c>
      <c r="AW33" s="209">
        <f t="shared" si="71"/>
        <v>35.492083068567105</v>
      </c>
    </row>
    <row r="34" spans="2:49">
      <c r="B34" s="6" t="s">
        <v>409</v>
      </c>
      <c r="C34" s="228">
        <v>430307.88625316031</v>
      </c>
      <c r="AQ34" s="6" t="s">
        <v>263</v>
      </c>
      <c r="AR34" s="196">
        <f t="shared" si="70"/>
        <v>19.52132422779184</v>
      </c>
      <c r="AS34" s="196">
        <f t="shared" si="70"/>
        <v>40.69065451970247</v>
      </c>
      <c r="AT34" s="196">
        <f t="shared" si="70"/>
        <v>11.011600056423795</v>
      </c>
      <c r="AU34" s="196">
        <f t="shared" si="70"/>
        <v>28.776421196081898</v>
      </c>
      <c r="AV34" s="196">
        <f t="shared" si="70"/>
        <v>100</v>
      </c>
      <c r="AW34" s="209">
        <f t="shared" si="71"/>
        <v>35.756578894926733</v>
      </c>
    </row>
    <row r="35" spans="2:49">
      <c r="N35" s="6">
        <f>100*N10</f>
        <v>9055600</v>
      </c>
      <c r="O35" s="6">
        <f t="shared" ref="O35:Y35" si="72">100*O10</f>
        <v>14453400</v>
      </c>
      <c r="P35" s="6">
        <f t="shared" si="72"/>
        <v>23400</v>
      </c>
      <c r="Q35" s="6">
        <f t="shared" si="72"/>
        <v>6982900</v>
      </c>
      <c r="R35" s="6">
        <f t="shared" si="72"/>
        <v>31476200</v>
      </c>
      <c r="S35" s="6">
        <f t="shared" si="72"/>
        <v>5183500</v>
      </c>
      <c r="T35" s="6">
        <f t="shared" si="72"/>
        <v>31063000</v>
      </c>
      <c r="U35" s="6">
        <f t="shared" si="72"/>
        <v>7741700</v>
      </c>
      <c r="V35" s="6">
        <f t="shared" si="72"/>
        <v>503200</v>
      </c>
      <c r="W35" s="6">
        <f t="shared" si="72"/>
        <v>3502400</v>
      </c>
      <c r="X35" s="6">
        <f t="shared" si="72"/>
        <v>3795700</v>
      </c>
      <c r="Y35" s="6">
        <f t="shared" si="72"/>
        <v>113781000</v>
      </c>
      <c r="AQ35" s="6" t="s">
        <v>264</v>
      </c>
      <c r="AR35" s="196">
        <f t="shared" si="70"/>
        <v>14.643261398992962</v>
      </c>
      <c r="AS35" s="196">
        <f t="shared" si="70"/>
        <v>38.651508579411072</v>
      </c>
      <c r="AT35" s="196">
        <f t="shared" si="70"/>
        <v>14.703493513190423</v>
      </c>
      <c r="AU35" s="196">
        <f t="shared" si="70"/>
        <v>32.001736508405543</v>
      </c>
      <c r="AV35" s="196">
        <f t="shared" si="70"/>
        <v>100</v>
      </c>
      <c r="AW35" s="209">
        <f t="shared" si="71"/>
        <v>37.491751715110617</v>
      </c>
    </row>
    <row r="36" spans="2:49">
      <c r="N36" s="6">
        <f t="shared" ref="N36:Y36" si="73">100*N11</f>
        <v>283054000</v>
      </c>
      <c r="O36" s="6">
        <f t="shared" si="73"/>
        <v>171668800</v>
      </c>
      <c r="P36" s="6">
        <f t="shared" si="73"/>
        <v>5913099.9999999991</v>
      </c>
      <c r="Q36" s="6">
        <f t="shared" si="73"/>
        <v>188241600</v>
      </c>
      <c r="R36" s="6">
        <f t="shared" si="73"/>
        <v>129165400</v>
      </c>
      <c r="S36" s="6">
        <f t="shared" si="73"/>
        <v>26359700</v>
      </c>
      <c r="T36" s="6">
        <f t="shared" si="73"/>
        <v>226243900</v>
      </c>
      <c r="U36" s="6">
        <f t="shared" si="73"/>
        <v>13632200</v>
      </c>
      <c r="V36" s="6">
        <f t="shared" si="73"/>
        <v>12374400</v>
      </c>
      <c r="W36" s="6">
        <f t="shared" si="73"/>
        <v>11552900</v>
      </c>
      <c r="X36" s="6">
        <f t="shared" si="73"/>
        <v>18588300</v>
      </c>
      <c r="Y36" s="6">
        <f t="shared" si="73"/>
        <v>1086794300</v>
      </c>
      <c r="AQ36" s="6" t="s">
        <v>461</v>
      </c>
      <c r="AR36" s="199">
        <f t="shared" ref="AR36:AV36" si="74">100*AR26/$AV26</f>
        <v>10.942875231577975</v>
      </c>
      <c r="AS36" s="199">
        <f t="shared" si="74"/>
        <v>29.818944524268598</v>
      </c>
      <c r="AT36" s="199">
        <f t="shared" si="74"/>
        <v>15.040340462374429</v>
      </c>
      <c r="AU36" s="199">
        <f t="shared" si="74"/>
        <v>44.197839781778995</v>
      </c>
      <c r="AV36" s="199">
        <f t="shared" si="74"/>
        <v>100</v>
      </c>
      <c r="AW36" s="209">
        <f t="shared" ref="AW36:AW37" si="75">100*AU36/(AS36+AT36+AU36)</f>
        <v>49.628639928257272</v>
      </c>
    </row>
    <row r="37" spans="2:49">
      <c r="N37" s="6">
        <f t="shared" ref="N37:Y37" si="76">100*N12</f>
        <v>1021526100</v>
      </c>
      <c r="O37" s="6">
        <f t="shared" si="76"/>
        <v>463316900</v>
      </c>
      <c r="P37" s="6">
        <f t="shared" si="76"/>
        <v>17764000</v>
      </c>
      <c r="Q37" s="6">
        <f t="shared" si="76"/>
        <v>469755700</v>
      </c>
      <c r="R37" s="6">
        <f t="shared" si="76"/>
        <v>309483800</v>
      </c>
      <c r="S37" s="6">
        <f t="shared" si="76"/>
        <v>57693800</v>
      </c>
      <c r="T37" s="6">
        <f t="shared" si="76"/>
        <v>374289200</v>
      </c>
      <c r="U37" s="6">
        <f t="shared" si="76"/>
        <v>16939000</v>
      </c>
      <c r="V37" s="6">
        <f t="shared" si="76"/>
        <v>34785400</v>
      </c>
      <c r="W37" s="6">
        <f t="shared" si="76"/>
        <v>23677399.999999996</v>
      </c>
      <c r="X37" s="6">
        <f t="shared" si="76"/>
        <v>46111700</v>
      </c>
      <c r="Y37" s="6">
        <f t="shared" si="76"/>
        <v>2835343000</v>
      </c>
      <c r="AQ37" s="6" t="s">
        <v>377</v>
      </c>
      <c r="AR37" s="199">
        <f t="shared" ref="AR37:AV37" si="77">100*AR27/$AV27</f>
        <v>18.615778087743966</v>
      </c>
      <c r="AS37" s="199">
        <f t="shared" si="77"/>
        <v>38.625790989058935</v>
      </c>
      <c r="AT37" s="199">
        <f t="shared" si="77"/>
        <v>11.541959984183</v>
      </c>
      <c r="AU37" s="199">
        <f t="shared" si="77"/>
        <v>31.216470939014108</v>
      </c>
      <c r="AV37" s="199">
        <f t="shared" si="77"/>
        <v>100</v>
      </c>
      <c r="AW37" s="209">
        <f t="shared" si="75"/>
        <v>38.356907770980449</v>
      </c>
    </row>
    <row r="38" spans="2:49">
      <c r="N38" s="6">
        <f t="shared" ref="N38:Y38" si="78">100*N13</f>
        <v>671590000</v>
      </c>
      <c r="O38" s="6">
        <f t="shared" si="78"/>
        <v>289093500</v>
      </c>
      <c r="P38" s="6">
        <f t="shared" si="78"/>
        <v>7878200</v>
      </c>
      <c r="Q38" s="6">
        <f t="shared" si="78"/>
        <v>237737800</v>
      </c>
      <c r="R38" s="6">
        <f t="shared" si="78"/>
        <v>143219900</v>
      </c>
      <c r="S38" s="6">
        <f t="shared" si="78"/>
        <v>29874600</v>
      </c>
      <c r="T38" s="6">
        <f t="shared" si="78"/>
        <v>146498500</v>
      </c>
      <c r="U38" s="6">
        <f t="shared" si="78"/>
        <v>3926200</v>
      </c>
      <c r="V38" s="6">
        <f t="shared" si="78"/>
        <v>19495100</v>
      </c>
      <c r="W38" s="6">
        <f t="shared" si="78"/>
        <v>9263700</v>
      </c>
      <c r="X38" s="6">
        <f t="shared" si="78"/>
        <v>22456900</v>
      </c>
      <c r="Y38" s="6">
        <f t="shared" si="78"/>
        <v>1581034400</v>
      </c>
    </row>
    <row r="39" spans="2:49">
      <c r="N39" s="6">
        <f t="shared" ref="N39:Y39" si="79">100*N14</f>
        <v>558177800</v>
      </c>
      <c r="O39" s="6">
        <f t="shared" si="79"/>
        <v>209581800</v>
      </c>
      <c r="P39" s="6">
        <f t="shared" si="79"/>
        <v>6622200</v>
      </c>
      <c r="Q39" s="6">
        <f t="shared" si="79"/>
        <v>246243000</v>
      </c>
      <c r="R39" s="6">
        <f t="shared" si="79"/>
        <v>139035400</v>
      </c>
      <c r="S39" s="6">
        <f t="shared" si="79"/>
        <v>38776100</v>
      </c>
      <c r="T39" s="6">
        <f t="shared" si="79"/>
        <v>62885000</v>
      </c>
      <c r="U39" s="6">
        <f t="shared" si="79"/>
        <v>1345900</v>
      </c>
      <c r="V39" s="6">
        <f t="shared" si="79"/>
        <v>10178600</v>
      </c>
      <c r="W39" s="6">
        <f t="shared" si="79"/>
        <v>6047700</v>
      </c>
      <c r="X39" s="6">
        <f t="shared" si="79"/>
        <v>23259699.999999996</v>
      </c>
      <c r="Y39" s="6">
        <f t="shared" si="79"/>
        <v>1302153200</v>
      </c>
    </row>
    <row r="40" spans="2:49">
      <c r="N40" s="6">
        <f t="shared" ref="N40:Y40" si="80">100*N15</f>
        <v>2543403500</v>
      </c>
      <c r="O40" s="6">
        <f t="shared" si="80"/>
        <v>1148114400</v>
      </c>
      <c r="P40" s="6">
        <f t="shared" si="80"/>
        <v>38200900</v>
      </c>
      <c r="Q40" s="6">
        <f t="shared" si="80"/>
        <v>1148961000</v>
      </c>
      <c r="R40" s="6">
        <f t="shared" si="80"/>
        <v>752380700.00000012</v>
      </c>
      <c r="S40" s="6">
        <f t="shared" si="80"/>
        <v>157887700</v>
      </c>
      <c r="T40" s="6">
        <f t="shared" si="80"/>
        <v>840979600</v>
      </c>
      <c r="U40" s="6">
        <f t="shared" si="80"/>
        <v>43585000</v>
      </c>
      <c r="V40" s="6">
        <f t="shared" si="80"/>
        <v>77336700</v>
      </c>
      <c r="W40" s="6">
        <f t="shared" si="80"/>
        <v>54044100</v>
      </c>
      <c r="X40" s="6">
        <f t="shared" si="80"/>
        <v>114212300</v>
      </c>
      <c r="Y40" s="6">
        <f t="shared" si="80"/>
        <v>6919105900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W65"/>
  <sheetViews>
    <sheetView topLeftCell="A3" workbookViewId="0">
      <pane xSplit="8600" topLeftCell="P1" activePane="topRight"/>
      <selection activeCell="E34" sqref="E34"/>
      <selection pane="topRight" activeCell="X23" sqref="X23"/>
    </sheetView>
  </sheetViews>
  <sheetFormatPr baseColWidth="10" defaultRowHeight="15"/>
  <cols>
    <col min="1" max="4" width="10.7109375" style="6"/>
    <col min="5" max="5" width="11.5703125" style="6" customWidth="1"/>
    <col min="6" max="6" width="12.85546875" style="6" customWidth="1"/>
    <col min="7" max="10" width="10.7109375" style="6"/>
    <col min="11" max="11" width="12.140625" style="6" customWidth="1"/>
    <col min="12" max="12" width="3.7109375" style="6" customWidth="1"/>
    <col min="13" max="22" width="10.7109375" style="6"/>
    <col min="23" max="23" width="12.5703125" style="6" customWidth="1"/>
    <col min="24" max="24" width="10.7109375" style="6"/>
    <col min="25" max="25" width="3.7109375" style="6" customWidth="1"/>
    <col min="26" max="26" width="12.5703125" style="6" customWidth="1"/>
    <col min="27" max="27" width="3.7109375" style="6" customWidth="1"/>
    <col min="28" max="30" width="10.7109375" style="6"/>
    <col min="31" max="31" width="14.42578125" style="6" bestFit="1" customWidth="1"/>
    <col min="32" max="32" width="9" style="6" customWidth="1"/>
    <col min="33" max="33" width="13" style="6" customWidth="1"/>
    <col min="34" max="34" width="3.7109375" style="6" customWidth="1"/>
    <col min="35" max="45" width="10.7109375" style="6"/>
    <col min="46" max="46" width="7" style="6" customWidth="1"/>
    <col min="47" max="47" width="13" style="6" customWidth="1"/>
    <col min="48" max="49" width="12.5703125" style="6" customWidth="1"/>
    <col min="50" max="50" width="11" style="6" customWidth="1"/>
    <col min="51" max="51" width="3.7109375" style="6" customWidth="1"/>
    <col min="52" max="52" width="11.7109375" style="6" customWidth="1"/>
    <col min="53" max="53" width="13.140625" style="6" customWidth="1"/>
    <col min="54" max="54" width="11.5703125" style="6" customWidth="1"/>
    <col min="55" max="55" width="11.28515625" style="6" customWidth="1"/>
    <col min="56" max="56" width="11.140625" style="6" customWidth="1"/>
    <col min="57" max="57" width="9" style="6" customWidth="1"/>
    <col min="58" max="58" width="12" style="6" customWidth="1"/>
    <col min="59" max="16384" width="10.7109375" style="6"/>
  </cols>
  <sheetData>
    <row r="1" spans="1:75">
      <c r="C1" s="126" t="s">
        <v>544</v>
      </c>
      <c r="AB1" s="249"/>
      <c r="AC1" s="249"/>
      <c r="AD1" s="249"/>
      <c r="AE1" s="249"/>
      <c r="AF1" s="249"/>
      <c r="AG1" s="249"/>
      <c r="AJ1" s="20" t="s">
        <v>481</v>
      </c>
    </row>
    <row r="2" spans="1:75">
      <c r="AJ2" s="20" t="s">
        <v>813</v>
      </c>
    </row>
    <row r="3" spans="1:75" ht="16" thickBot="1">
      <c r="AJ3" s="20" t="s">
        <v>814</v>
      </c>
    </row>
    <row r="4" spans="1:75" ht="16" thickBot="1">
      <c r="C4" s="10" t="s">
        <v>677</v>
      </c>
      <c r="E4" s="143" t="s">
        <v>313</v>
      </c>
      <c r="F4" s="144"/>
      <c r="G4" s="144"/>
      <c r="H4" s="144"/>
      <c r="I4" s="144"/>
      <c r="J4" s="144"/>
      <c r="K4" s="145"/>
      <c r="M4" s="146" t="s">
        <v>148</v>
      </c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AC4" s="141" t="s">
        <v>149</v>
      </c>
      <c r="AD4" s="10" t="s">
        <v>752</v>
      </c>
      <c r="AJ4" s="211" t="s">
        <v>411</v>
      </c>
      <c r="AK4" s="212"/>
      <c r="AL4" s="212"/>
      <c r="AM4" s="212"/>
      <c r="AN4" s="212"/>
      <c r="AO4" s="212"/>
      <c r="AP4" s="212"/>
      <c r="AQ4" s="212"/>
      <c r="AR4" s="213"/>
      <c r="AS4" s="214"/>
      <c r="AU4" s="215" t="s">
        <v>753</v>
      </c>
      <c r="AV4" s="216"/>
      <c r="AW4" s="216"/>
      <c r="AX4" s="217"/>
      <c r="AZ4" s="215" t="s">
        <v>659</v>
      </c>
      <c r="BA4" s="216"/>
      <c r="BB4" s="216"/>
      <c r="BC4" s="216"/>
      <c r="BD4" s="216"/>
      <c r="BE4" s="216"/>
      <c r="BF4" s="217"/>
    </row>
    <row r="5" spans="1:75">
      <c r="E5" s="7"/>
      <c r="F5" s="7"/>
      <c r="G5" s="7"/>
      <c r="H5" s="7"/>
      <c r="I5" s="150" t="s">
        <v>319</v>
      </c>
      <c r="J5" s="7"/>
      <c r="K5" s="151"/>
      <c r="M5" s="9" t="s">
        <v>754</v>
      </c>
      <c r="N5" s="9"/>
      <c r="O5" s="9" t="s">
        <v>754</v>
      </c>
      <c r="P5" s="9" t="s">
        <v>755</v>
      </c>
      <c r="Q5" s="9" t="s">
        <v>754</v>
      </c>
      <c r="R5" s="9" t="s">
        <v>756</v>
      </c>
      <c r="S5" s="9"/>
      <c r="T5" s="9"/>
      <c r="U5" s="9"/>
      <c r="V5" s="9"/>
      <c r="W5" s="131" t="s">
        <v>321</v>
      </c>
      <c r="X5" s="141" t="s">
        <v>344</v>
      </c>
      <c r="AD5" s="10" t="s">
        <v>535</v>
      </c>
      <c r="AJ5" s="6" t="s">
        <v>297</v>
      </c>
      <c r="AK5" s="6" t="s">
        <v>296</v>
      </c>
      <c r="AL5" s="147" t="s">
        <v>620</v>
      </c>
      <c r="AM5" s="178"/>
      <c r="AN5" s="179"/>
      <c r="AO5" s="6" t="s">
        <v>621</v>
      </c>
      <c r="AR5" s="176" t="s">
        <v>622</v>
      </c>
      <c r="AS5" s="177"/>
      <c r="AU5" s="9"/>
      <c r="AV5" s="9"/>
      <c r="AW5" s="10" t="s">
        <v>623</v>
      </c>
      <c r="AX5" s="6" t="s">
        <v>624</v>
      </c>
      <c r="AZ5" s="189" t="s">
        <v>490</v>
      </c>
      <c r="BC5" s="189" t="s">
        <v>491</v>
      </c>
    </row>
    <row r="6" spans="1:75">
      <c r="A6" s="6" t="s">
        <v>616</v>
      </c>
      <c r="C6" s="9" t="s">
        <v>369</v>
      </c>
      <c r="D6" s="9" t="s">
        <v>269</v>
      </c>
      <c r="E6" s="9" t="s">
        <v>617</v>
      </c>
      <c r="F6" s="9" t="s">
        <v>635</v>
      </c>
      <c r="G6" s="9" t="s">
        <v>617</v>
      </c>
      <c r="H6" s="9" t="s">
        <v>635</v>
      </c>
      <c r="I6" s="147" t="s">
        <v>636</v>
      </c>
      <c r="J6" s="148"/>
      <c r="K6" s="149"/>
      <c r="M6" s="9" t="s">
        <v>637</v>
      </c>
      <c r="N6" s="9" t="s">
        <v>638</v>
      </c>
      <c r="O6" s="9" t="s">
        <v>639</v>
      </c>
      <c r="P6" s="9" t="s">
        <v>640</v>
      </c>
      <c r="Q6" s="9" t="s">
        <v>641</v>
      </c>
      <c r="R6" s="9" t="s">
        <v>642</v>
      </c>
      <c r="S6" s="23" t="s">
        <v>643</v>
      </c>
      <c r="T6" s="9"/>
      <c r="U6" s="9" t="s">
        <v>638</v>
      </c>
      <c r="V6" s="9" t="s">
        <v>512</v>
      </c>
      <c r="W6" s="131" t="s">
        <v>513</v>
      </c>
      <c r="X6" s="141" t="s">
        <v>514</v>
      </c>
      <c r="AC6" s="9" t="s">
        <v>515</v>
      </c>
      <c r="AD6" s="9" t="s">
        <v>516</v>
      </c>
      <c r="AE6" s="9" t="s">
        <v>517</v>
      </c>
      <c r="AF6" s="9" t="s">
        <v>518</v>
      </c>
      <c r="AG6" s="9" t="s">
        <v>645</v>
      </c>
      <c r="AJ6" s="9"/>
      <c r="AK6" s="9" t="s">
        <v>646</v>
      </c>
      <c r="AL6" s="9" t="s">
        <v>647</v>
      </c>
      <c r="AM6" s="9" t="s">
        <v>648</v>
      </c>
      <c r="AN6" s="9" t="s">
        <v>649</v>
      </c>
      <c r="AO6" s="9" t="s">
        <v>647</v>
      </c>
      <c r="AP6" s="9" t="s">
        <v>648</v>
      </c>
      <c r="AQ6" s="9" t="s">
        <v>649</v>
      </c>
      <c r="AR6" s="9" t="s">
        <v>650</v>
      </c>
      <c r="AS6" s="9" t="s">
        <v>782</v>
      </c>
      <c r="AU6" s="9"/>
      <c r="AV6" s="9" t="s">
        <v>783</v>
      </c>
      <c r="AW6" s="10" t="s">
        <v>784</v>
      </c>
      <c r="AX6" s="6" t="s">
        <v>785</v>
      </c>
      <c r="AZ6" s="9" t="s">
        <v>658</v>
      </c>
      <c r="BA6" s="9" t="s">
        <v>801</v>
      </c>
      <c r="BB6" s="9" t="s">
        <v>802</v>
      </c>
      <c r="BC6" s="9" t="s">
        <v>658</v>
      </c>
      <c r="BD6" s="9" t="s">
        <v>801</v>
      </c>
      <c r="BE6" s="9" t="s">
        <v>802</v>
      </c>
    </row>
    <row r="7" spans="1:75">
      <c r="A7" s="45" t="s">
        <v>803</v>
      </c>
      <c r="B7" s="45"/>
      <c r="C7" s="8" t="s">
        <v>653</v>
      </c>
      <c r="D7" s="8" t="s">
        <v>654</v>
      </c>
      <c r="E7" s="8" t="s">
        <v>685</v>
      </c>
      <c r="F7" s="8" t="s">
        <v>685</v>
      </c>
      <c r="G7" s="8" t="s">
        <v>686</v>
      </c>
      <c r="H7" s="8" t="s">
        <v>686</v>
      </c>
      <c r="I7" s="8" t="s">
        <v>687</v>
      </c>
      <c r="J7" s="8" t="s">
        <v>688</v>
      </c>
      <c r="K7" s="8" t="s">
        <v>689</v>
      </c>
      <c r="M7" s="8" t="s">
        <v>690</v>
      </c>
      <c r="N7" s="8" t="s">
        <v>682</v>
      </c>
      <c r="O7" s="8" t="s">
        <v>683</v>
      </c>
      <c r="P7" s="8" t="s">
        <v>684</v>
      </c>
      <c r="Q7" s="8" t="s">
        <v>550</v>
      </c>
      <c r="R7" s="8" t="s">
        <v>551</v>
      </c>
      <c r="S7" s="8" t="s">
        <v>687</v>
      </c>
      <c r="T7" s="8" t="s">
        <v>688</v>
      </c>
      <c r="U7" s="8" t="s">
        <v>552</v>
      </c>
      <c r="V7" s="8" t="s">
        <v>553</v>
      </c>
      <c r="W7" s="140" t="s">
        <v>554</v>
      </c>
      <c r="X7" s="142" t="s">
        <v>655</v>
      </c>
      <c r="AC7" s="9" t="s">
        <v>555</v>
      </c>
      <c r="AD7" s="9" t="s">
        <v>555</v>
      </c>
      <c r="AE7" s="9" t="s">
        <v>555</v>
      </c>
      <c r="AF7" s="9" t="s">
        <v>556</v>
      </c>
      <c r="AG7" s="9" t="s">
        <v>555</v>
      </c>
      <c r="AH7" s="9"/>
      <c r="AJ7" s="9" t="s">
        <v>674</v>
      </c>
      <c r="AK7" s="9" t="s">
        <v>675</v>
      </c>
      <c r="AL7" s="9" t="s">
        <v>710</v>
      </c>
      <c r="AM7" s="9" t="s">
        <v>558</v>
      </c>
      <c r="AN7" s="9" t="s">
        <v>709</v>
      </c>
      <c r="AO7" s="9" t="s">
        <v>710</v>
      </c>
      <c r="AP7" s="9" t="s">
        <v>558</v>
      </c>
      <c r="AQ7" s="9" t="s">
        <v>709</v>
      </c>
      <c r="AR7" s="9" t="s">
        <v>712</v>
      </c>
      <c r="AS7" s="9" t="s">
        <v>713</v>
      </c>
      <c r="AU7" s="8" t="s">
        <v>714</v>
      </c>
      <c r="AV7" s="8" t="s">
        <v>715</v>
      </c>
      <c r="AW7" s="183" t="s">
        <v>716</v>
      </c>
      <c r="AX7" s="45" t="s">
        <v>717</v>
      </c>
      <c r="AY7" s="45"/>
      <c r="AZ7" s="8" t="s">
        <v>710</v>
      </c>
      <c r="BA7" s="8" t="s">
        <v>718</v>
      </c>
      <c r="BB7" s="8" t="s">
        <v>710</v>
      </c>
      <c r="BC7" s="8" t="s">
        <v>710</v>
      </c>
      <c r="BD7" s="8" t="s">
        <v>718</v>
      </c>
      <c r="BE7" s="8" t="s">
        <v>710</v>
      </c>
      <c r="BF7" s="45"/>
    </row>
    <row r="8" spans="1:75">
      <c r="A8" s="6" t="s">
        <v>656</v>
      </c>
      <c r="C8" s="238">
        <f>'Voronezh sample 1897'!C10*2.538573</f>
        <v>20006.493813000001</v>
      </c>
      <c r="D8" s="238">
        <f>'Voronezh sample 1897'!D10*2.538573</f>
        <v>69282.734316000002</v>
      </c>
      <c r="E8" s="238">
        <f>'Voronezh sample 1897'!E10*2.538573</f>
        <v>13751.449940999999</v>
      </c>
      <c r="F8" s="238">
        <f>'Voronezh sample 1897'!F10*2.538573</f>
        <v>5478.2405339999996</v>
      </c>
      <c r="G8" s="238">
        <f>'Voronezh sample 1897'!G10*2.538573</f>
        <v>19849.102287000002</v>
      </c>
      <c r="H8" s="238">
        <f>'Voronezh sample 1897'!H10*2.538573</f>
        <v>7001.3843340000003</v>
      </c>
      <c r="I8" s="238">
        <f>'Voronezh sample 1897'!I10*2.538573</f>
        <v>17860.1303415</v>
      </c>
      <c r="J8" s="238">
        <f>'Voronezh sample 1897'!J10*2.538573</f>
        <v>18825.105403124999</v>
      </c>
      <c r="K8" s="238">
        <f>'Voronezh sample 1897'!K10*2.538573</f>
        <v>36685.235744625003</v>
      </c>
      <c r="M8" s="238">
        <f>'Voronezh sample 1897'!AA10*2.538573</f>
        <v>265859.70868402201</v>
      </c>
      <c r="N8" s="238">
        <f>'Voronezh sample 1897'!AB10*2.538573</f>
        <v>424331.54219418304</v>
      </c>
      <c r="O8" s="238">
        <f>'Voronezh sample 1897'!AC10*2.538573</f>
        <v>686.99116383300009</v>
      </c>
      <c r="P8" s="238">
        <f>'Voronezh sample 1897'!AD10*2.538573</f>
        <v>205008.14521066053</v>
      </c>
      <c r="Q8" s="238">
        <f>'Voronezh sample 1897'!AE10*2.538573</f>
        <v>924097.06286496902</v>
      </c>
      <c r="R8" s="238">
        <f>'Voronezh sample 1897'!AF10*2.538573</f>
        <v>152180.28622770752</v>
      </c>
      <c r="S8" s="238">
        <f>'Voronezh sample 1897'!AG10*2.538573</f>
        <v>911966.09068993502</v>
      </c>
      <c r="T8" s="238">
        <f>'Voronezh sample 1897'!AH10*2.538573</f>
        <v>227285.44842076651</v>
      </c>
      <c r="U8" s="238">
        <f>'Voronezh sample 1897'!AI10*2.538573</f>
        <v>14773.245882084002</v>
      </c>
      <c r="V8" s="238">
        <f>'Voronezh sample 1897'!AJ10*2.538573</f>
        <v>102825.549239688</v>
      </c>
      <c r="W8" s="238">
        <f>'Voronezh sample 1897'!AK10*2.538573</f>
        <v>111099.17751123301</v>
      </c>
      <c r="X8" s="238">
        <f>'Voronezh sample 1897'!AL10*2.538573</f>
        <v>3340113.2480890816</v>
      </c>
      <c r="AB8" s="6" t="s">
        <v>656</v>
      </c>
      <c r="AC8" s="197">
        <f>'Voronezh sample 1897'!AR22</f>
        <v>75.99867624666922</v>
      </c>
      <c r="AD8" s="197">
        <f>'Voronezh sample 1897'!AS22</f>
        <v>62.699728995586106</v>
      </c>
      <c r="AE8" s="197">
        <f>'Voronezh sample 1897'!AT22</f>
        <v>0</v>
      </c>
      <c r="AF8" s="197">
        <f>'Voronezh sample 1897'!AU22</f>
        <v>28.269906520211407</v>
      </c>
      <c r="AG8" s="197">
        <f>'Voronezh sample 1897'!AV22</f>
        <v>166.96831176246673</v>
      </c>
      <c r="AH8" s="197"/>
      <c r="AI8" s="6" t="s">
        <v>656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199">
        <v>0</v>
      </c>
      <c r="AY8" s="45"/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 t="s">
        <v>656</v>
      </c>
    </row>
    <row r="9" spans="1:75">
      <c r="A9" s="6" t="s">
        <v>719</v>
      </c>
      <c r="B9" s="6" t="s">
        <v>373</v>
      </c>
      <c r="C9" s="238">
        <f>'Voronezh sample 1897'!C11*2.538573</f>
        <v>109658.73788099999</v>
      </c>
      <c r="D9" s="238">
        <f>'Voronezh sample 1897'!D11*2.538573</f>
        <v>567094.36104300001</v>
      </c>
      <c r="E9" s="238">
        <f>'Voronezh sample 1897'!E11*2.538573</f>
        <v>135387.17523600001</v>
      </c>
      <c r="F9" s="238">
        <f>'Voronezh sample 1897'!F11*2.538573</f>
        <v>34087.958244000001</v>
      </c>
      <c r="G9" s="238">
        <f>'Voronezh sample 1897'!G11*2.538573</f>
        <v>146150.72475600001</v>
      </c>
      <c r="H9" s="238">
        <f>'Voronezh sample 1897'!H11*2.538573</f>
        <v>34567.748541000001</v>
      </c>
      <c r="I9" s="238">
        <f>'Voronezh sample 1897'!I11*2.538573</f>
        <v>160953.14391899999</v>
      </c>
      <c r="J9" s="238">
        <f>'Voronezh sample 1897'!J11*2.538573</f>
        <v>129057.40212131249</v>
      </c>
      <c r="K9" s="238">
        <f>'Voronezh sample 1897'!K11*2.538573</f>
        <v>290010.5460403125</v>
      </c>
      <c r="M9" s="238">
        <f>'Voronezh sample 1897'!AA11*2.538573</f>
        <v>8310068.243059231</v>
      </c>
      <c r="N9" s="238">
        <f>'Voronezh sample 1897'!AB11*2.538573</f>
        <v>5039955.0728980564</v>
      </c>
      <c r="O9" s="238">
        <f>'Voronezh sample 1897'!AC11*2.538573</f>
        <v>173600.31841285949</v>
      </c>
      <c r="P9" s="238">
        <f>'Voronezh sample 1897'!AD11*2.538573</f>
        <v>5526509.2250335924</v>
      </c>
      <c r="Q9" s="238">
        <f>'Voronezh sample 1897'!AE11*2.538573</f>
        <v>3792114.8920066231</v>
      </c>
      <c r="R9" s="238">
        <f>'Voronezh sample 1897'!AF11*2.538573</f>
        <v>773883.80261917657</v>
      </c>
      <c r="S9" s="238">
        <f>'Voronezh sample 1897'!AG11*2.538573</f>
        <v>6642203.4261161061</v>
      </c>
      <c r="T9" s="238">
        <f>'Voronezh sample 1897'!AH11*2.538573</f>
        <v>400222.26254718902</v>
      </c>
      <c r="U9" s="238">
        <f>'Voronezh sample 1897'!AI11*2.538573</f>
        <v>363295.01956132805</v>
      </c>
      <c r="V9" s="238">
        <f>'Voronezh sample 1897'!AJ11*2.538573</f>
        <v>339176.9323353105</v>
      </c>
      <c r="W9" s="238">
        <f>'Voronezh sample 1897'!AK11*2.538573</f>
        <v>544074.83239772706</v>
      </c>
      <c r="X9" s="238">
        <f>'Voronezh sample 1897'!AL11*2.538573</f>
        <v>31905104.026987202</v>
      </c>
      <c r="AB9" s="6" t="s">
        <v>719</v>
      </c>
      <c r="AC9" s="197">
        <f>'Voronezh sample 1897'!AR23</f>
        <v>82.661063059934719</v>
      </c>
      <c r="AD9" s="197">
        <f>'Voronezh sample 1897'!AS23</f>
        <v>118.82550668006974</v>
      </c>
      <c r="AE9" s="197">
        <f>'Voronezh sample 1897'!AT23</f>
        <v>15.546441141745957</v>
      </c>
      <c r="AF9" s="197">
        <f>'Voronezh sample 1897'!AU23</f>
        <v>73.931085687455806</v>
      </c>
      <c r="AG9" s="197">
        <f>'Voronezh sample 1897'!AV23</f>
        <v>290.96409656920622</v>
      </c>
      <c r="AH9" s="197"/>
      <c r="AI9" s="6" t="s">
        <v>719</v>
      </c>
      <c r="AJ9" s="238">
        <f>'Voronezh sample 1897'!AO11*2.538573</f>
        <v>368834.60217329999</v>
      </c>
      <c r="AK9" s="238">
        <f>'Voronezh sample 1897'!AP11*2.538573</f>
        <v>171129.77536140001</v>
      </c>
      <c r="AL9" s="238">
        <f>'Voronezh sample 1897'!AQ11*2.538573</f>
        <v>2051.166984</v>
      </c>
      <c r="AM9" s="238">
        <f>'Voronezh sample 1897'!AR11*2.538573</f>
        <v>2626.6614831000002</v>
      </c>
      <c r="AN9" s="238">
        <f>'Voronezh sample 1897'!AS11*2.538573</f>
        <v>1112.1488313</v>
      </c>
      <c r="AO9" s="238">
        <f>'Voronezh sample 1897'!AT11*2.538573</f>
        <v>2266.9456890000001</v>
      </c>
      <c r="AP9" s="238">
        <f>'Voronezh sample 1897'!AU11*2.538573</f>
        <v>4971.0336485999997</v>
      </c>
      <c r="AQ9" s="238">
        <f>'Voronezh sample 1897'!AV11*2.538573</f>
        <v>3608.8353767999997</v>
      </c>
      <c r="AR9" s="238">
        <f>'Voronezh sample 1897'!AW11*2.538573</f>
        <v>376432.29730500001</v>
      </c>
      <c r="AS9" s="199">
        <v>3.4</v>
      </c>
      <c r="AT9" s="186">
        <f>AR9-(AJ9+AM9+AP9)</f>
        <v>0</v>
      </c>
      <c r="AU9" s="184">
        <v>4.4800000000000004</v>
      </c>
      <c r="AV9" s="6">
        <v>6.7</v>
      </c>
      <c r="AW9" s="6">
        <v>6.9</v>
      </c>
      <c r="AX9" s="199">
        <v>7</v>
      </c>
      <c r="AY9" s="45"/>
      <c r="AZ9" s="238">
        <f>AU9*AK9</f>
        <v>766661.39361907216</v>
      </c>
      <c r="BA9" s="238">
        <f>AW9*(AM9+AP9)</f>
        <v>52424.096408730002</v>
      </c>
      <c r="BB9" s="238">
        <f>AZ9+BA9</f>
        <v>819085.49002780218</v>
      </c>
      <c r="BC9" s="269">
        <f>'Voronezh sample 1897'!BH11</f>
        <v>15.068375303840547</v>
      </c>
      <c r="BD9" s="269">
        <f>'Voronezh sample 1897'!BI11</f>
        <v>0.47806583790541013</v>
      </c>
      <c r="BE9" s="269">
        <f>'Voronezh sample 1897'!BJ11</f>
        <v>15.546441141745957</v>
      </c>
      <c r="BF9" s="6" t="s">
        <v>719</v>
      </c>
    </row>
    <row r="10" spans="1:75">
      <c r="A10" s="6" t="s">
        <v>720</v>
      </c>
      <c r="B10" s="6" t="s">
        <v>374</v>
      </c>
      <c r="C10" s="238">
        <f>'Voronezh sample 1897'!C12*2.538573</f>
        <v>207013.01243100001</v>
      </c>
      <c r="D10" s="238">
        <f>'Voronezh sample 1897'!D12*2.538573</f>
        <v>1321195.240704</v>
      </c>
      <c r="E10" s="238">
        <f>'Voronezh sample 1897'!E12*2.538573</f>
        <v>314356.57173600001</v>
      </c>
      <c r="F10" s="238">
        <f>'Voronezh sample 1897'!F12*2.538573</f>
        <v>85161.508430999995</v>
      </c>
      <c r="G10" s="238">
        <f>'Voronezh sample 1897'!G12*2.538573</f>
        <v>333065.85474599997</v>
      </c>
      <c r="H10" s="238">
        <f>'Voronezh sample 1897'!H12*2.538573</f>
        <v>75707.862578999993</v>
      </c>
      <c r="I10" s="238">
        <f>'Voronezh sample 1897'!I12*2.538573</f>
        <v>378227.70305925002</v>
      </c>
      <c r="J10" s="238">
        <f>'Voronezh sample 1897'!J12*2.538573</f>
        <v>292385.06376018748</v>
      </c>
      <c r="K10" s="238">
        <f>'Voronezh sample 1897'!K12*2.538573</f>
        <v>670612.7668194375</v>
      </c>
      <c r="M10" s="238">
        <f>'Voronezh sample 1897'!AA12*2.538573</f>
        <v>29990572.834392544</v>
      </c>
      <c r="N10" s="238">
        <f>'Voronezh sample 1897'!AB12*2.538573</f>
        <v>13602334.03224349</v>
      </c>
      <c r="O10" s="238">
        <f>'Voronezh sample 1897'!AC12*2.538573</f>
        <v>521526.11257817998</v>
      </c>
      <c r="P10" s="238">
        <f>'Voronezh sample 1897'!AD12*2.538573</f>
        <v>13791368.164965196</v>
      </c>
      <c r="Q10" s="238">
        <f>'Voronezh sample 1897'!AE12*2.538573</f>
        <v>9086010.0833102316</v>
      </c>
      <c r="R10" s="238">
        <f>'Voronezh sample 1897'!AF12*2.538573</f>
        <v>1693809.0088866809</v>
      </c>
      <c r="S10" s="238">
        <f>'Voronezh sample 1897'!AG12*2.538573</f>
        <v>10988605.688808655</v>
      </c>
      <c r="T10" s="238">
        <f>'Voronezh sample 1897'!AH12*2.538573</f>
        <v>497305.27026355499</v>
      </c>
      <c r="U10" s="238">
        <f>'Voronezh sample 1897'!AI12*2.538573</f>
        <v>1021250.531213523</v>
      </c>
      <c r="V10" s="238">
        <f>'Voronezh sample 1897'!AJ12*2.538573</f>
        <v>695135.23857006303</v>
      </c>
      <c r="W10" s="238">
        <f>'Voronezh sample 1897'!AK12*2.538573</f>
        <v>1349677.7784452729</v>
      </c>
      <c r="X10" s="238">
        <f>'Voronezh sample 1897'!AL12*2.538573</f>
        <v>83237594.743677393</v>
      </c>
      <c r="AB10" s="6" t="s">
        <v>720</v>
      </c>
      <c r="AC10" s="197">
        <f>'Voronezh sample 1897'!AR24</f>
        <v>78.496903902044224</v>
      </c>
      <c r="AD10" s="197">
        <f>'Voronezh sample 1897'!AS24</f>
        <v>163.62058025741149</v>
      </c>
      <c r="AE10" s="197">
        <f>'Voronezh sample 1897'!AT24</f>
        <v>44.278579739291459</v>
      </c>
      <c r="AF10" s="197">
        <f>'Voronezh sample 1897'!AU24</f>
        <v>115.71243543292661</v>
      </c>
      <c r="AG10" s="197">
        <f>'Voronezh sample 1897'!AV24</f>
        <v>402.10849933167378</v>
      </c>
      <c r="AH10" s="197"/>
      <c r="AI10" s="6" t="s">
        <v>720</v>
      </c>
      <c r="AJ10" s="238">
        <f>'Voronezh sample 1897'!AO12*2.538573</f>
        <v>1977438.9545037001</v>
      </c>
      <c r="AK10" s="238">
        <f>'Voronezh sample 1897'!AP12*2.538573</f>
        <v>912586.02290939994</v>
      </c>
      <c r="AL10" s="238">
        <f>'Voronezh sample 1897'!AQ12*2.538573</f>
        <v>3858.63096</v>
      </c>
      <c r="AM10" s="238">
        <f>'Voronezh sample 1897'!AR12*2.538573</f>
        <v>17746.9099857</v>
      </c>
      <c r="AN10" s="238">
        <f>'Voronezh sample 1897'!AS12*2.538573</f>
        <v>12130.5710805</v>
      </c>
      <c r="AO10" s="238">
        <f>'Voronezh sample 1897'!AT12*2.538573</f>
        <v>4561.815681</v>
      </c>
      <c r="AP10" s="238">
        <f>'Voronezh sample 1897'!AU12*2.538573</f>
        <v>26791.591727399998</v>
      </c>
      <c r="AQ10" s="238">
        <f>'Voronezh sample 1897'!AV12*2.538573</f>
        <v>19452.323327099999</v>
      </c>
      <c r="AR10" s="238">
        <f>'Voronezh sample 1897'!AW12*2.538573</f>
        <v>2021977.2023594999</v>
      </c>
      <c r="AS10" s="199">
        <v>9.3000000000000007</v>
      </c>
      <c r="AT10" s="186">
        <f>AR10-(AJ10+AM10+AP10)</f>
        <v>-0.2538573001511395</v>
      </c>
      <c r="AU10" s="184">
        <v>4.4800000000000004</v>
      </c>
      <c r="AV10" s="6">
        <v>6.7</v>
      </c>
      <c r="AW10" s="6">
        <v>6.9</v>
      </c>
      <c r="AX10" s="199">
        <v>7</v>
      </c>
      <c r="AY10" s="45"/>
      <c r="AZ10" s="238">
        <f t="shared" ref="AZ10:AZ13" si="0">AU10*AK10</f>
        <v>4088385.3826341121</v>
      </c>
      <c r="BA10" s="238">
        <f t="shared" ref="BA10:BA13" si="1">AW10*(AM10+AP10)</f>
        <v>307315.66182039003</v>
      </c>
      <c r="BB10" s="238">
        <f t="shared" ref="BB10:BB13" si="2">AZ10+BA10</f>
        <v>4395701.0444545019</v>
      </c>
      <c r="BC10" s="269">
        <f>'Voronezh sample 1897'!BH12</f>
        <v>42.794056335610144</v>
      </c>
      <c r="BD10" s="269">
        <f>'Voronezh sample 1897'!BI12</f>
        <v>1.4845234036813126</v>
      </c>
      <c r="BE10" s="269">
        <f>'Voronezh sample 1897'!BJ12</f>
        <v>44.278579739291459</v>
      </c>
      <c r="BF10" s="6" t="s">
        <v>720</v>
      </c>
    </row>
    <row r="11" spans="1:75">
      <c r="A11" s="6" t="s">
        <v>721</v>
      </c>
      <c r="B11" s="6" t="s">
        <v>375</v>
      </c>
      <c r="C11" s="238">
        <f>'Voronezh sample 1897'!C13*2.538573</f>
        <v>77888.496786000003</v>
      </c>
      <c r="D11" s="238">
        <f>'Voronezh sample 1897'!D13*2.538573</f>
        <v>664593.33425399999</v>
      </c>
      <c r="E11" s="238">
        <f>'Voronezh sample 1897'!E13*2.538573</f>
        <v>157607.30470499999</v>
      </c>
      <c r="F11" s="238">
        <f>'Voronezh sample 1897'!F13*2.538573</f>
        <v>48842.144520000002</v>
      </c>
      <c r="G11" s="238">
        <f>'Voronezh sample 1897'!G13*2.538573</f>
        <v>161047.07112000001</v>
      </c>
      <c r="H11" s="238">
        <f>'Voronezh sample 1897'!H13*2.538573</f>
        <v>35344.551878999999</v>
      </c>
      <c r="I11" s="238">
        <f>'Voronezh sample 1897'!I13*2.538573</f>
        <v>194238.913095</v>
      </c>
      <c r="J11" s="238">
        <f>'Voronezh sample 1897'!J13*2.538573</f>
        <v>140666.6137719375</v>
      </c>
      <c r="K11" s="238">
        <f>'Voronezh sample 1897'!K13*2.538573</f>
        <v>334905.52686693752</v>
      </c>
      <c r="M11" s="238">
        <f>'Voronezh sample 1897'!AA13*2.538573</f>
        <v>19716939.987974551</v>
      </c>
      <c r="N11" s="238">
        <f>'Voronezh sample 1897'!AB13*2.538573</f>
        <v>8487379.4881006572</v>
      </c>
      <c r="O11" s="238">
        <f>'Voronezh sample 1897'!AC13*2.538573</f>
        <v>231292.89687645901</v>
      </c>
      <c r="P11" s="238">
        <f>'Voronezh sample 1897'!AD13*2.538573</f>
        <v>6979648.2012434611</v>
      </c>
      <c r="Q11" s="238">
        <f>'Voronezh sample 1897'!AE13*2.538573</f>
        <v>4204735.2899592258</v>
      </c>
      <c r="R11" s="238">
        <f>'Voronezh sample 1897'!AF13*2.538573</f>
        <v>877076.33431817696</v>
      </c>
      <c r="S11" s="238">
        <f>'Voronezh sample 1897'!AG13*2.538573</f>
        <v>4300990.3852473823</v>
      </c>
      <c r="T11" s="238">
        <f>'Voronezh sample 1897'!AH13*2.538573</f>
        <v>115267.72254021901</v>
      </c>
      <c r="U11" s="238">
        <f>'Voronezh sample 1897'!AI13*2.538573</f>
        <v>572348.77940344962</v>
      </c>
      <c r="V11" s="238">
        <f>'Voronezh sample 1897'!AJ13*2.538573</f>
        <v>271969.23266665655</v>
      </c>
      <c r="W11" s="238">
        <f>'Voronezh sample 1897'!AK13*2.538573</f>
        <v>657307.77444266097</v>
      </c>
      <c r="X11" s="238">
        <f>'Voronezh sample 1897'!AL13*2.538573</f>
        <v>46414956.092772894</v>
      </c>
      <c r="AB11" s="6" t="s">
        <v>721</v>
      </c>
      <c r="AC11" s="197">
        <f>'Voronezh sample 1897'!AR25</f>
        <v>87.265203539534582</v>
      </c>
      <c r="AD11" s="197">
        <f>'Voronezh sample 1897'!AS25</f>
        <v>230.34020027289381</v>
      </c>
      <c r="AE11" s="197">
        <f>'Voronezh sample 1897'!AT25</f>
        <v>87.624151424287874</v>
      </c>
      <c r="AF11" s="197">
        <f>'Voronezh sample 1897'!AU25</f>
        <v>190.71147976752081</v>
      </c>
      <c r="AG11" s="197">
        <f>'Voronezh sample 1897'!AV25</f>
        <v>595.94103500423705</v>
      </c>
      <c r="AH11" s="197"/>
      <c r="AI11" s="6" t="s">
        <v>721</v>
      </c>
      <c r="AJ11" s="238">
        <f>'Voronezh sample 1897'!AO13*2.538573</f>
        <v>1474865.9802579002</v>
      </c>
      <c r="AK11" s="238">
        <f>'Voronezh sample 1897'!AP13*2.538573</f>
        <v>649558.88951879996</v>
      </c>
      <c r="AL11" s="238">
        <f>'Voronezh sample 1897'!AQ13*2.538573</f>
        <v>1807.463976</v>
      </c>
      <c r="AM11" s="238">
        <f>'Voronezh sample 1897'!AR13*2.538573</f>
        <v>15211.8909879</v>
      </c>
      <c r="AN11" s="238">
        <f>'Voronezh sample 1897'!AS13*2.538573</f>
        <v>10769.642095199999</v>
      </c>
      <c r="AO11" s="238">
        <f>'Voronezh sample 1897'!AT13*2.538573</f>
        <v>1540.9138109999999</v>
      </c>
      <c r="AP11" s="238">
        <f>'Voronezh sample 1897'!AU13*2.538573</f>
        <v>16311.854668800001</v>
      </c>
      <c r="AQ11" s="238">
        <f>'Voronezh sample 1897'!AV13*2.538573</f>
        <v>11858.9437695</v>
      </c>
      <c r="AR11" s="238">
        <f>'Voronezh sample 1897'!AW13*2.538573</f>
        <v>1506389.4720572999</v>
      </c>
      <c r="AS11" s="199">
        <v>19.399999999999999</v>
      </c>
      <c r="AT11" s="186">
        <f>AR11-(AJ11+AM11+AP11)</f>
        <v>-0.25385730038397014</v>
      </c>
      <c r="AU11" s="184">
        <v>4.4800000000000004</v>
      </c>
      <c r="AV11" s="6">
        <v>6.7</v>
      </c>
      <c r="AW11" s="6">
        <v>6.9</v>
      </c>
      <c r="AX11" s="199">
        <v>7</v>
      </c>
      <c r="AY11" s="45"/>
      <c r="AZ11" s="238">
        <f t="shared" si="0"/>
        <v>2910023.825044224</v>
      </c>
      <c r="BA11" s="238">
        <f t="shared" si="1"/>
        <v>217513.84503123001</v>
      </c>
      <c r="BB11" s="238">
        <f t="shared" si="2"/>
        <v>3127537.6700754538</v>
      </c>
      <c r="BC11" s="269">
        <f>'Voronezh sample 1897'!BH13</f>
        <v>84.831520239880078</v>
      </c>
      <c r="BD11" s="269">
        <f>'Voronezh sample 1897'!BI13</f>
        <v>2.7926311844077962</v>
      </c>
      <c r="BE11" s="269">
        <f>'Voronezh sample 1897'!BJ13</f>
        <v>87.624151424287874</v>
      </c>
      <c r="BF11" s="6" t="s">
        <v>721</v>
      </c>
    </row>
    <row r="12" spans="1:75" ht="16" thickBot="1">
      <c r="A12" s="6" t="s">
        <v>722</v>
      </c>
      <c r="B12" s="6" t="s">
        <v>376</v>
      </c>
      <c r="C12" s="238">
        <f>'Voronezh sample 1897'!C14*2.538573</f>
        <v>34306.275521999996</v>
      </c>
      <c r="D12" s="238">
        <f>'Voronezh sample 1897'!D14*2.538573</f>
        <v>412589.19254399999</v>
      </c>
      <c r="E12" s="238">
        <f>'Voronezh sample 1897'!E14*2.538573</f>
        <v>94970.554502999992</v>
      </c>
      <c r="F12" s="238">
        <f>'Voronezh sample 1897'!F14*2.538573</f>
        <v>30209.018700000001</v>
      </c>
      <c r="G12" s="238">
        <f>'Voronezh sample 1897'!G14*2.538573</f>
        <v>99758.303180999996</v>
      </c>
      <c r="H12" s="238">
        <f>'Voronezh sample 1897'!H14*2.538573</f>
        <v>20463.436953</v>
      </c>
      <c r="I12" s="238">
        <f>'Voronezh sample 1897'!I14*2.538573</f>
        <v>117627.318528</v>
      </c>
      <c r="J12" s="238">
        <f>'Voronezh sample 1897'!J14*2.538573</f>
        <v>86329.410671812497</v>
      </c>
      <c r="K12" s="238">
        <f>'Voronezh sample 1897'!K14*2.538573</f>
        <v>203956.72919981249</v>
      </c>
      <c r="M12" s="238">
        <f>'Voronezh sample 1897'!AA14*2.538573</f>
        <v>16387316.942211261</v>
      </c>
      <c r="N12" s="238">
        <f>'Voronezh sample 1897'!AB14*2.538573</f>
        <v>6153027.5512912413</v>
      </c>
      <c r="O12" s="238">
        <f>'Voronezh sample 1897'!AC14*2.538573</f>
        <v>194418.49936473899</v>
      </c>
      <c r="P12" s="238">
        <f>'Voronezh sample 1897'!AD14*2.538573</f>
        <v>7229348.9382790355</v>
      </c>
      <c r="Q12" s="238">
        <f>'Voronezh sample 1897'!AE14*2.538573</f>
        <v>4081884.2418797733</v>
      </c>
      <c r="R12" s="238">
        <f>'Voronezh sample 1897'!AF14*2.538573</f>
        <v>1138411.8832437946</v>
      </c>
      <c r="S12" s="238">
        <f>'Voronezh sample 1897'!AG14*2.538573</f>
        <v>1846215.356309325</v>
      </c>
      <c r="T12" s="238">
        <f>'Voronezh sample 1897'!AH14*2.538573</f>
        <v>39513.735359095503</v>
      </c>
      <c r="U12" s="238">
        <f>'Voronezh sample 1897'!AI14*2.538573</f>
        <v>298829.41282865702</v>
      </c>
      <c r="V12" s="238">
        <f>'Voronezh sample 1897'!AJ14*2.538573</f>
        <v>177551.98553473651</v>
      </c>
      <c r="W12" s="238">
        <f>'Voronezh sample 1897'!AK14*2.538573</f>
        <v>680805.52708539285</v>
      </c>
      <c r="X12" s="238">
        <f>'Voronezh sample 1897'!AL14*2.538573</f>
        <v>38227324.073387049</v>
      </c>
      <c r="AB12" s="6" t="s">
        <v>722</v>
      </c>
      <c r="AC12" s="197">
        <f>'Voronezh sample 1897'!AR26</f>
        <v>121.94254439840168</v>
      </c>
      <c r="AD12" s="197">
        <f>'Voronezh sample 1897'!AS26</f>
        <v>332.28908212999488</v>
      </c>
      <c r="AE12" s="197">
        <f>'Voronezh sample 1897'!AT26</f>
        <v>167.60287820038479</v>
      </c>
      <c r="AF12" s="197">
        <f>'Voronezh sample 1897'!AU26</f>
        <v>492.5211085611403</v>
      </c>
      <c r="AG12" s="197">
        <f>'Voronezh sample 1897'!AV26</f>
        <v>1114.3556132899216</v>
      </c>
      <c r="AH12" s="197"/>
      <c r="AI12" s="6" t="s">
        <v>722</v>
      </c>
      <c r="AJ12" s="238">
        <f>'Voronezh sample 1897'!AO14*2.538573</f>
        <v>1124419.5316101001</v>
      </c>
      <c r="AK12" s="238">
        <f>'Voronezh sample 1897'!AP14*2.538573</f>
        <v>491413.66119510005</v>
      </c>
      <c r="AL12" s="238">
        <f>'Voronezh sample 1897'!AQ14*2.538573</f>
        <v>1611.9938549999999</v>
      </c>
      <c r="AM12" s="238">
        <f>'Voronezh sample 1897'!AR14*2.538573</f>
        <v>85151.100281699997</v>
      </c>
      <c r="AN12" s="238">
        <f>'Voronezh sample 1897'!AS14*2.538573</f>
        <v>49363.567414200006</v>
      </c>
      <c r="AO12" s="238">
        <f>'Voronezh sample 1897'!AT14*2.538573</f>
        <v>992.582043</v>
      </c>
      <c r="AP12" s="238">
        <f>'Voronezh sample 1897'!AU14*2.538573</f>
        <v>18099.771632699998</v>
      </c>
      <c r="AQ12" s="238">
        <f>'Voronezh sample 1897'!AV14*2.538573</f>
        <v>13236.119622</v>
      </c>
      <c r="AR12" s="238">
        <f>'Voronezh sample 1897'!AW14*2.538573</f>
        <v>1227670.4035245001</v>
      </c>
      <c r="AS12" s="199">
        <v>35.299999999999997</v>
      </c>
      <c r="AT12" s="186">
        <f>AR12-(AJ12+AM12+AP12)</f>
        <v>0</v>
      </c>
      <c r="AU12" s="184">
        <v>4.4800000000000004</v>
      </c>
      <c r="AV12" s="6">
        <v>6.7</v>
      </c>
      <c r="AW12" s="6">
        <v>6.9</v>
      </c>
      <c r="AX12" s="199">
        <v>7</v>
      </c>
      <c r="AY12" s="45"/>
      <c r="AZ12" s="238">
        <f t="shared" si="0"/>
        <v>2201533.2021540483</v>
      </c>
      <c r="BA12" s="238">
        <f t="shared" si="1"/>
        <v>712431.01620935998</v>
      </c>
      <c r="BB12" s="238">
        <f t="shared" si="2"/>
        <v>2913964.218363408</v>
      </c>
      <c r="BC12" s="269">
        <f>'Voronezh sample 1897'!BH14</f>
        <v>146.83609412461152</v>
      </c>
      <c r="BD12" s="269">
        <f>'Voronezh sample 1897'!BI14</f>
        <v>20.766784075773273</v>
      </c>
      <c r="BE12" s="269">
        <f>'Voronezh sample 1897'!BJ14</f>
        <v>167.60287820038479</v>
      </c>
      <c r="BF12" s="6" t="s">
        <v>722</v>
      </c>
    </row>
    <row r="13" spans="1:75" ht="16" thickBot="1">
      <c r="A13" s="6" t="s">
        <v>377</v>
      </c>
      <c r="C13" s="238">
        <f>'Voronezh sample 1897'!C15*2.538573</f>
        <v>448873.01643299998</v>
      </c>
      <c r="D13" s="238">
        <f>'Voronezh sample 1897'!D15*2.538573</f>
        <v>3034754.862861</v>
      </c>
      <c r="E13" s="238">
        <f>'Voronezh sample 1897'!E15*2.538573</f>
        <v>716073.05612099997</v>
      </c>
      <c r="F13" s="238">
        <f>'Voronezh sample 1897'!F15*2.538573</f>
        <v>203778.870429</v>
      </c>
      <c r="G13" s="238">
        <f>'Voronezh sample 1897'!G15*2.538573</f>
        <v>759871.05608999997</v>
      </c>
      <c r="H13" s="238">
        <f>'Voronezh sample 1897'!H15*2.538573</f>
        <v>173084.98428599999</v>
      </c>
      <c r="I13" s="238">
        <f>'Voronezh sample 1897'!I15*2.538573</f>
        <v>868907.20894275</v>
      </c>
      <c r="J13" s="238">
        <f>'Voronezh sample 1897'!J15*2.538573</f>
        <v>667263.59572837502</v>
      </c>
      <c r="K13" s="238">
        <f>'Voronezh sample 1897'!K15*2.538573</f>
        <v>1536170.804671125</v>
      </c>
      <c r="M13" s="238">
        <f>'Voronezh sample 1897'!AA15*2.538573</f>
        <v>74670757.716321602</v>
      </c>
      <c r="N13" s="238">
        <f>'Voronezh sample 1897'!AB15*2.538573</f>
        <v>33707027.686727636</v>
      </c>
      <c r="O13" s="238">
        <f>'Voronezh sample 1897'!AC15*2.538573</f>
        <v>1121524.8183960705</v>
      </c>
      <c r="P13" s="238">
        <f>'Voronezh sample 1897'!AD15*2.538573</f>
        <v>33731882.674731947</v>
      </c>
      <c r="Q13" s="238">
        <f>'Voronezh sample 1897'!AE15*2.538573</f>
        <v>22088841.570020825</v>
      </c>
      <c r="R13" s="238">
        <f>'Voronezh sample 1897'!AF15*2.538573</f>
        <v>4635361.315295537</v>
      </c>
      <c r="S13" s="238">
        <f>'Voronezh sample 1897'!AG15*2.538573</f>
        <v>24689980.947171405</v>
      </c>
      <c r="T13" s="238">
        <f>'Voronezh sample 1897'!AH15*2.538573</f>
        <v>1279594.4391308252</v>
      </c>
      <c r="U13" s="238">
        <f>'Voronezh sample 1897'!AI15*2.538573</f>
        <v>2270496.9888890414</v>
      </c>
      <c r="V13" s="238">
        <f>'Voronezh sample 1897'!AJ15*2.538573</f>
        <v>1586658.9383464546</v>
      </c>
      <c r="W13" s="238">
        <f>'Voronezh sample 1897'!AK15*2.538573</f>
        <v>3342965.0898822867</v>
      </c>
      <c r="X13" s="238">
        <f>'Voronezh sample 1897'!AL15*2.538573</f>
        <v>203125092.18491367</v>
      </c>
      <c r="AB13" s="6" t="s">
        <v>377</v>
      </c>
      <c r="AC13" s="197">
        <f>'Voronezh sample 1897'!AR27</f>
        <v>84.244773250914761</v>
      </c>
      <c r="AD13" s="197">
        <f>'Voronezh sample 1897'!AS27</f>
        <v>174.79908646165265</v>
      </c>
      <c r="AE13" s="197">
        <f>'Voronezh sample 1897'!AT27</f>
        <v>52.232562998738835</v>
      </c>
      <c r="AF13" s="197">
        <f>'Voronezh sample 1897'!AU27</f>
        <v>141.26857892028733</v>
      </c>
      <c r="AG13" s="244">
        <f>'Voronezh sample 1897'!AV27</f>
        <v>452.54500163159355</v>
      </c>
      <c r="AH13" s="197"/>
      <c r="AI13" s="6" t="s">
        <v>377</v>
      </c>
      <c r="AJ13" s="238">
        <f>'Voronezh sample 1897'!AO15*2.538573</f>
        <v>4945558.8146877</v>
      </c>
      <c r="AK13" s="238">
        <f>'Voronezh sample 1897'!AP15*2.538573</f>
        <v>2224688.3489847002</v>
      </c>
      <c r="AL13" s="238">
        <f>'Voronezh sample 1897'!AQ15*2.538573</f>
        <v>9329.2557749999996</v>
      </c>
      <c r="AM13" s="238">
        <f>'Voronezh sample 1897'!AR15*2.538573</f>
        <v>120736.56273840001</v>
      </c>
      <c r="AN13" s="238">
        <f>'Voronezh sample 1897'!AS15*2.538573</f>
        <v>73375.92942120001</v>
      </c>
      <c r="AO13" s="238">
        <f>'Voronezh sample 1897'!AT15*2.538573</f>
        <v>9362.257223999999</v>
      </c>
      <c r="AP13" s="238">
        <f>'Voronezh sample 1897'!AU15*2.538573</f>
        <v>66174.251677499997</v>
      </c>
      <c r="AQ13" s="238">
        <f>'Voronezh sample 1897'!AV15*2.538573</f>
        <v>48156.2220954</v>
      </c>
      <c r="AR13" s="238">
        <f>'Voronezh sample 1897'!AW15*2.538573</f>
        <v>5132469.6291036</v>
      </c>
      <c r="AS13" s="199">
        <v>11.4</v>
      </c>
      <c r="AT13" s="187">
        <f>AR13-(AJ13+AM13+AP13)</f>
        <v>0</v>
      </c>
      <c r="AU13" s="184">
        <v>4.4800000000000004</v>
      </c>
      <c r="AV13" s="6">
        <v>6.7</v>
      </c>
      <c r="AW13" s="6">
        <v>6.9</v>
      </c>
      <c r="AX13" s="199">
        <v>7</v>
      </c>
      <c r="AY13" s="45"/>
      <c r="AZ13" s="238">
        <f t="shared" si="0"/>
        <v>9966603.803451458</v>
      </c>
      <c r="BA13" s="234">
        <f t="shared" si="1"/>
        <v>1289684.6194697102</v>
      </c>
      <c r="BB13" s="238">
        <f t="shared" si="2"/>
        <v>11256288.422921168</v>
      </c>
      <c r="BC13" s="269">
        <f>'Voronezh sample 1897'!BH15</f>
        <v>49.359401609537329</v>
      </c>
      <c r="BD13" s="269">
        <f>'Voronezh sample 1897'!BI15</f>
        <v>2.8731613892015089</v>
      </c>
      <c r="BE13" s="269">
        <f>'Voronezh sample 1897'!BJ15</f>
        <v>52.232562998738835</v>
      </c>
      <c r="BF13" s="6" t="s">
        <v>377</v>
      </c>
    </row>
    <row r="14" spans="1:75">
      <c r="AF14" s="264">
        <f>AC12+AD12+AF12</f>
        <v>946.75273508953683</v>
      </c>
      <c r="AG14" s="253">
        <f>AG12-AE12</f>
        <v>946.75273508953683</v>
      </c>
      <c r="AH14" s="197"/>
      <c r="AY14" s="45"/>
    </row>
    <row r="15" spans="1:75">
      <c r="AC15" s="198" t="s">
        <v>660</v>
      </c>
      <c r="AH15" s="197"/>
    </row>
    <row r="16" spans="1:75">
      <c r="C16" s="10" t="s">
        <v>723</v>
      </c>
      <c r="I16" s="10" t="s">
        <v>453</v>
      </c>
      <c r="M16" s="10" t="s">
        <v>724</v>
      </c>
      <c r="AC16" s="9" t="s">
        <v>661</v>
      </c>
      <c r="AD16" s="9" t="s">
        <v>662</v>
      </c>
      <c r="AE16" s="9" t="s">
        <v>663</v>
      </c>
      <c r="AF16" s="9" t="s">
        <v>664</v>
      </c>
      <c r="AG16" s="9" t="s">
        <v>665</v>
      </c>
      <c r="AH16" s="197"/>
      <c r="AJ16" s="215" t="s">
        <v>725</v>
      </c>
      <c r="AK16" s="216"/>
      <c r="AL16" s="216"/>
      <c r="AM16" s="216"/>
      <c r="AN16" s="216"/>
      <c r="AO16" s="216"/>
      <c r="AP16" s="216"/>
      <c r="AQ16" s="235" t="s">
        <v>816</v>
      </c>
      <c r="AR16" s="216"/>
      <c r="AS16" s="216"/>
      <c r="AT16" s="216"/>
      <c r="AU16" s="216"/>
      <c r="AV16" s="216"/>
      <c r="AW16" s="216"/>
      <c r="AX16" s="217"/>
      <c r="AZ16" s="10" t="s">
        <v>480</v>
      </c>
      <c r="BW16" s="238"/>
    </row>
    <row r="17" spans="1:66" ht="17">
      <c r="E17" s="6" t="s">
        <v>817</v>
      </c>
      <c r="F17" s="141" t="s">
        <v>818</v>
      </c>
      <c r="G17" s="141" t="s">
        <v>819</v>
      </c>
      <c r="M17" s="9" t="s">
        <v>820</v>
      </c>
      <c r="N17" s="9"/>
      <c r="O17" s="9" t="s">
        <v>820</v>
      </c>
      <c r="P17" s="9" t="s">
        <v>727</v>
      </c>
      <c r="Q17" s="9" t="s">
        <v>820</v>
      </c>
      <c r="R17" s="9" t="s">
        <v>728</v>
      </c>
      <c r="S17" s="9"/>
      <c r="T17" s="9"/>
      <c r="U17" s="9"/>
      <c r="V17" s="9"/>
      <c r="W17" s="131" t="s">
        <v>729</v>
      </c>
      <c r="X17" s="141" t="s">
        <v>730</v>
      </c>
      <c r="AC17" s="9" t="s">
        <v>666</v>
      </c>
      <c r="AD17" s="9" t="s">
        <v>666</v>
      </c>
      <c r="AE17" s="9" t="s">
        <v>666</v>
      </c>
      <c r="AF17" s="9" t="s">
        <v>540</v>
      </c>
      <c r="AG17" s="9" t="s">
        <v>666</v>
      </c>
      <c r="AH17" s="197"/>
      <c r="AU17" s="128" t="s">
        <v>73</v>
      </c>
      <c r="BE17" s="238"/>
      <c r="BF17" s="238"/>
      <c r="BG17" s="238"/>
    </row>
    <row r="18" spans="1:66">
      <c r="B18" s="9" t="s">
        <v>812</v>
      </c>
      <c r="C18" s="9" t="s">
        <v>599</v>
      </c>
      <c r="D18" s="9" t="s">
        <v>600</v>
      </c>
      <c r="E18" s="6" t="s">
        <v>601</v>
      </c>
      <c r="F18" s="141" t="s">
        <v>602</v>
      </c>
      <c r="G18" s="141" t="s">
        <v>603</v>
      </c>
      <c r="I18" s="9" t="s">
        <v>592</v>
      </c>
      <c r="J18" s="9" t="s">
        <v>593</v>
      </c>
      <c r="K18" s="308" t="s">
        <v>74</v>
      </c>
      <c r="M18" s="9" t="s">
        <v>594</v>
      </c>
      <c r="N18" s="9" t="s">
        <v>595</v>
      </c>
      <c r="O18" s="9" t="s">
        <v>596</v>
      </c>
      <c r="P18" s="9" t="s">
        <v>597</v>
      </c>
      <c r="Q18" s="9" t="s">
        <v>598</v>
      </c>
      <c r="R18" s="9" t="s">
        <v>479</v>
      </c>
      <c r="S18" s="23" t="s">
        <v>466</v>
      </c>
      <c r="T18" s="9"/>
      <c r="U18" s="9" t="s">
        <v>595</v>
      </c>
      <c r="V18" s="9" t="s">
        <v>467</v>
      </c>
      <c r="W18" s="131" t="s">
        <v>468</v>
      </c>
      <c r="X18" s="141" t="s">
        <v>469</v>
      </c>
      <c r="Z18" s="6" t="s">
        <v>470</v>
      </c>
      <c r="AB18" s="6" t="s">
        <v>656</v>
      </c>
      <c r="AC18" s="199">
        <f>'Voronezh sample 1897'!AR32</f>
        <v>45.516826183633469</v>
      </c>
      <c r="AD18" s="199">
        <f>'Voronezh sample 1897'!AS32</f>
        <v>37.55187336671662</v>
      </c>
      <c r="AE18" s="199">
        <f>'Voronezh sample 1897'!AT32</f>
        <v>0</v>
      </c>
      <c r="AF18" s="199">
        <f>'Voronezh sample 1897'!AU32</f>
        <v>16.931300449649918</v>
      </c>
      <c r="AG18" s="199">
        <f>'Voronezh sample 1897'!AV32</f>
        <v>100</v>
      </c>
      <c r="AH18" s="197"/>
      <c r="AK18" s="218" t="s">
        <v>557</v>
      </c>
      <c r="AL18" s="219" t="s">
        <v>471</v>
      </c>
      <c r="AM18" s="218" t="s">
        <v>472</v>
      </c>
      <c r="AP18" s="10" t="s">
        <v>270</v>
      </c>
      <c r="AT18" s="6" t="s">
        <v>758</v>
      </c>
      <c r="BE18" s="238"/>
      <c r="BF18" s="238"/>
      <c r="BG18" s="238"/>
    </row>
    <row r="19" spans="1:66">
      <c r="B19" s="9" t="s">
        <v>903</v>
      </c>
      <c r="C19" s="8" t="s">
        <v>759</v>
      </c>
      <c r="D19" s="8" t="s">
        <v>749</v>
      </c>
      <c r="E19" s="45" t="s">
        <v>750</v>
      </c>
      <c r="F19" s="8" t="s">
        <v>751</v>
      </c>
      <c r="G19" s="142" t="s">
        <v>536</v>
      </c>
      <c r="I19" s="8" t="s">
        <v>749</v>
      </c>
      <c r="J19" s="8" t="s">
        <v>749</v>
      </c>
      <c r="K19" s="309" t="s">
        <v>75</v>
      </c>
      <c r="M19" s="8" t="s">
        <v>537</v>
      </c>
      <c r="N19" s="8" t="s">
        <v>538</v>
      </c>
      <c r="O19" s="8" t="s">
        <v>539</v>
      </c>
      <c r="P19" s="8" t="s">
        <v>420</v>
      </c>
      <c r="Q19" s="8" t="s">
        <v>421</v>
      </c>
      <c r="R19" s="8" t="s">
        <v>422</v>
      </c>
      <c r="S19" s="8" t="s">
        <v>423</v>
      </c>
      <c r="T19" s="8" t="s">
        <v>424</v>
      </c>
      <c r="U19" s="8" t="s">
        <v>625</v>
      </c>
      <c r="V19" s="8" t="s">
        <v>626</v>
      </c>
      <c r="W19" s="140" t="s">
        <v>627</v>
      </c>
      <c r="X19" s="142" t="s">
        <v>628</v>
      </c>
      <c r="Z19" s="6" t="s">
        <v>629</v>
      </c>
      <c r="AB19" s="6" t="s">
        <v>719</v>
      </c>
      <c r="AC19" s="199">
        <f>'Voronezh sample 1897'!AR33</f>
        <v>28.409368727826411</v>
      </c>
      <c r="AD19" s="199">
        <f>'Voronezh sample 1897'!AS33</f>
        <v>40.838546089072857</v>
      </c>
      <c r="AE19" s="199">
        <f>'Voronezh sample 1897'!AT33</f>
        <v>5.3430788626693033</v>
      </c>
      <c r="AF19" s="199">
        <f>'Voronezh sample 1897'!AU33</f>
        <v>25.409006320431427</v>
      </c>
      <c r="AG19" s="199">
        <f>'Voronezh sample 1897'!AV33</f>
        <v>100</v>
      </c>
      <c r="AH19" s="197"/>
      <c r="AK19" s="218" t="s">
        <v>434</v>
      </c>
      <c r="AL19" s="218" t="s">
        <v>630</v>
      </c>
      <c r="AM19" s="218" t="s">
        <v>631</v>
      </c>
      <c r="AP19" s="10" t="s">
        <v>632</v>
      </c>
      <c r="AT19" s="238"/>
      <c r="AU19" s="238" t="s">
        <v>633</v>
      </c>
      <c r="AV19" s="232" t="s">
        <v>619</v>
      </c>
      <c r="AW19" s="232" t="s">
        <v>644</v>
      </c>
      <c r="AX19" s="232" t="s">
        <v>765</v>
      </c>
      <c r="BJ19" s="238"/>
      <c r="BK19" s="238"/>
      <c r="BL19" s="238"/>
    </row>
    <row r="20" spans="1:66">
      <c r="A20" s="6" t="s">
        <v>656</v>
      </c>
      <c r="B20" s="297">
        <f>100*C8/444908</f>
        <v>4.4967709757972436</v>
      </c>
      <c r="C20" s="375">
        <f>100*'Voronezh sample 1897'!C10/'Voronezh sample 1897'!C$15</f>
        <v>4.4570497848106276</v>
      </c>
      <c r="D20" s="237">
        <v>3.4630123080827304</v>
      </c>
      <c r="E20" s="204">
        <v>0.54483173816366526</v>
      </c>
      <c r="F20" s="197">
        <v>62.699728995586106</v>
      </c>
      <c r="G20" s="226">
        <v>76.018551691224459</v>
      </c>
      <c r="I20" s="237">
        <v>0.89271666032229413</v>
      </c>
      <c r="J20" s="237">
        <v>0.94094975256947089</v>
      </c>
      <c r="K20" s="239">
        <v>1.833666412891765</v>
      </c>
      <c r="M20" s="226">
        <f>'Voronezh sample 1897'!AA22</f>
        <v>13.288670727065094</v>
      </c>
      <c r="N20" s="226">
        <f>'Voronezh sample 1897'!AB22</f>
        <v>21.209690521507426</v>
      </c>
      <c r="O20" s="226">
        <f>'Voronezh sample 1897'!AC22</f>
        <v>3.4338408831366581E-2</v>
      </c>
      <c r="P20" s="226">
        <f>'Voronezh sample 1897'!AD22</f>
        <v>10.247080129425202</v>
      </c>
      <c r="Q20" s="226">
        <f>'Voronezh sample 1897'!AE22</f>
        <v>46.189855728968411</v>
      </c>
      <c r="R20" s="226">
        <f>'Voronezh sample 1897'!AF22</f>
        <v>7.6065445374952425</v>
      </c>
      <c r="S20" s="226">
        <f>'Voronezh sample 1897'!AG22</f>
        <v>45.583503996954704</v>
      </c>
      <c r="T20" s="226">
        <f>'Voronezh sample 1897'!AH22</f>
        <v>11.360583745717548</v>
      </c>
      <c r="U20" s="226">
        <f>'Voronezh sample 1897'!AI22</f>
        <v>0.73842253521126766</v>
      </c>
      <c r="V20" s="226">
        <f>'Voronezh sample 1897'!AJ22</f>
        <v>5.1396086791016371</v>
      </c>
      <c r="W20" s="226">
        <f>'Voronezh sample 1897'!AK22</f>
        <v>5.5700127521888092</v>
      </c>
      <c r="X20" s="210">
        <f>'Voronezh sample 1897'!AL22</f>
        <v>166.96831176246673</v>
      </c>
      <c r="Z20" s="199">
        <v>54.483173816366524</v>
      </c>
      <c r="AB20" s="6" t="s">
        <v>720</v>
      </c>
      <c r="AC20" s="199">
        <f>'Voronezh sample 1897'!AR34</f>
        <v>19.52132422779184</v>
      </c>
      <c r="AD20" s="199">
        <f>'Voronezh sample 1897'!AS34</f>
        <v>40.69065451970247</v>
      </c>
      <c r="AE20" s="199">
        <f>'Voronezh sample 1897'!AT34</f>
        <v>11.011600056423795</v>
      </c>
      <c r="AF20" s="199">
        <f>'Voronezh sample 1897'!AU34</f>
        <v>28.776421196081898</v>
      </c>
      <c r="AG20" s="199">
        <f>'Voronezh sample 1897'!AV34</f>
        <v>100</v>
      </c>
      <c r="AH20" s="197"/>
      <c r="AK20" s="220" t="s">
        <v>774</v>
      </c>
      <c r="AL20" s="220" t="s">
        <v>775</v>
      </c>
      <c r="AM20" s="220" t="s">
        <v>559</v>
      </c>
      <c r="AT20" s="238"/>
      <c r="AU20" s="6" t="s">
        <v>776</v>
      </c>
      <c r="AV20" s="232" t="s">
        <v>777</v>
      </c>
      <c r="AW20" s="232" t="s">
        <v>778</v>
      </c>
      <c r="AX20" s="232" t="s">
        <v>766</v>
      </c>
      <c r="BB20" s="9" t="s">
        <v>366</v>
      </c>
      <c r="BC20" s="9" t="s">
        <v>222</v>
      </c>
      <c r="BD20" s="9" t="s">
        <v>223</v>
      </c>
      <c r="BE20" s="252" t="s">
        <v>235</v>
      </c>
      <c r="BF20" s="252" t="s">
        <v>236</v>
      </c>
      <c r="BG20" s="9" t="s">
        <v>760</v>
      </c>
      <c r="BH20" s="9" t="s">
        <v>368</v>
      </c>
      <c r="BI20" s="9" t="s">
        <v>615</v>
      </c>
      <c r="BJ20" s="238"/>
      <c r="BK20" s="238"/>
      <c r="BL20" s="238"/>
    </row>
    <row r="21" spans="1:66">
      <c r="A21" s="6" t="s">
        <v>719</v>
      </c>
      <c r="B21" s="297">
        <f t="shared" ref="B21:B23" si="3">100*C9/444908</f>
        <v>24.647508671680434</v>
      </c>
      <c r="C21" s="375">
        <f>100*'Voronezh sample 1897'!C11/'Voronezh sample 1897'!C$15</f>
        <v>24.429790579173289</v>
      </c>
      <c r="D21" s="237">
        <v>5.1714470912331878</v>
      </c>
      <c r="E21" s="204">
        <v>0.71590631272173599</v>
      </c>
      <c r="F21" s="197">
        <v>118.82550668006974</v>
      </c>
      <c r="G21" s="226">
        <v>82.682680875623944</v>
      </c>
      <c r="I21" s="237">
        <v>1.4677639650901684</v>
      </c>
      <c r="J21" s="237">
        <v>1.1769003055767762</v>
      </c>
      <c r="K21" s="239">
        <v>2.6446642706669445</v>
      </c>
      <c r="M21" s="226">
        <f>'Voronezh sample 1897'!AA23</f>
        <v>75.781177165080919</v>
      </c>
      <c r="N21" s="226">
        <f>'Voronezh sample 1897'!AB23</f>
        <v>45.960360025001741</v>
      </c>
      <c r="O21" s="226">
        <f>'Voronezh sample 1897'!AC23</f>
        <v>1.5830960830613234</v>
      </c>
      <c r="P21" s="226">
        <f>'Voronezh sample 1897'!AD23</f>
        <v>50.3973448156122</v>
      </c>
      <c r="Q21" s="226">
        <f>'Voronezh sample 1897'!AE23</f>
        <v>34.58105542051532</v>
      </c>
      <c r="R21" s="226">
        <f>'Voronezh sample 1897'!AF23</f>
        <v>7.0572014375998338</v>
      </c>
      <c r="S21" s="226">
        <f>'Voronezh sample 1897'!AG23</f>
        <v>60.571583755816384</v>
      </c>
      <c r="T21" s="226">
        <f>'Voronezh sample 1897'!AH23</f>
        <v>3.6497069935412183</v>
      </c>
      <c r="U21" s="226">
        <f>'Voronezh sample 1897'!AI23</f>
        <v>3.3129600666712968</v>
      </c>
      <c r="V21" s="226">
        <f>'Voronezh sample 1897'!AJ23</f>
        <v>3.0930223973887081</v>
      </c>
      <c r="W21" s="226">
        <f>'Voronezh sample 1897'!AK23</f>
        <v>4.9765884089172863</v>
      </c>
      <c r="X21" s="210">
        <f>'Voronezh sample 1897'!AL23</f>
        <v>290.96409656920622</v>
      </c>
      <c r="Z21" s="199">
        <v>71.590631272173596</v>
      </c>
      <c r="AB21" s="6" t="s">
        <v>721</v>
      </c>
      <c r="AC21" s="199">
        <f>'Voronezh sample 1897'!AR35</f>
        <v>14.643261398992962</v>
      </c>
      <c r="AD21" s="199">
        <f>'Voronezh sample 1897'!AS35</f>
        <v>38.651508579411072</v>
      </c>
      <c r="AE21" s="199">
        <f>'Voronezh sample 1897'!AT35</f>
        <v>14.703493513190423</v>
      </c>
      <c r="AF21" s="199">
        <f>'Voronezh sample 1897'!AU35</f>
        <v>32.001736508405543</v>
      </c>
      <c r="AG21" s="199">
        <f>'Voronezh sample 1897'!AV35</f>
        <v>100</v>
      </c>
      <c r="AH21" s="197"/>
      <c r="AJ21" s="8" t="s">
        <v>779</v>
      </c>
      <c r="AK21" s="223">
        <v>7757</v>
      </c>
      <c r="AL21" s="223">
        <v>1132</v>
      </c>
      <c r="AM21" s="224">
        <f t="shared" ref="AM21:AM22" si="4">AK21-AL21</f>
        <v>6625</v>
      </c>
      <c r="AP21" s="8" t="s">
        <v>779</v>
      </c>
      <c r="AQ21" s="225">
        <v>3965</v>
      </c>
      <c r="AT21" s="233" t="s">
        <v>780</v>
      </c>
      <c r="AU21" s="231" t="s">
        <v>781</v>
      </c>
      <c r="AV21" s="233" t="s">
        <v>634</v>
      </c>
      <c r="AW21" s="233" t="s">
        <v>859</v>
      </c>
      <c r="AX21" s="233" t="s">
        <v>860</v>
      </c>
      <c r="BB21" s="9" t="s">
        <v>367</v>
      </c>
      <c r="BC21" s="9" t="s">
        <v>82</v>
      </c>
      <c r="BD21" s="9" t="s">
        <v>82</v>
      </c>
      <c r="BE21" s="252" t="s">
        <v>82</v>
      </c>
      <c r="BF21" s="252" t="s">
        <v>237</v>
      </c>
      <c r="BG21" s="9" t="s">
        <v>761</v>
      </c>
      <c r="BH21" s="9" t="s">
        <v>613</v>
      </c>
      <c r="BI21" s="9" t="s">
        <v>614</v>
      </c>
      <c r="BJ21" s="238"/>
      <c r="BK21" s="238"/>
      <c r="BL21" s="238"/>
    </row>
    <row r="22" spans="1:66">
      <c r="A22" s="6" t="s">
        <v>720</v>
      </c>
      <c r="B22" s="297">
        <f t="shared" si="3"/>
        <v>46.529397635241452</v>
      </c>
      <c r="C22" s="375">
        <f>100*'Voronezh sample 1897'!C12/'Voronezh sample 1897'!C$15</f>
        <v>46.118390915106239</v>
      </c>
      <c r="D22" s="237">
        <v>6.3821845070940686</v>
      </c>
      <c r="E22" s="204">
        <v>0.80478675772208152</v>
      </c>
      <c r="F22" s="197">
        <v>163.62058025741149</v>
      </c>
      <c r="G22" s="226">
        <v>78.517432691995779</v>
      </c>
      <c r="I22" s="237">
        <v>1.8270721179197273</v>
      </c>
      <c r="J22" s="237">
        <v>1.4123994444921333</v>
      </c>
      <c r="K22" s="239">
        <v>3.2394715624118606</v>
      </c>
      <c r="M22" s="226">
        <f>'Voronezh sample 1897'!AA24</f>
        <v>144.87288737169976</v>
      </c>
      <c r="N22" s="226">
        <f>'Voronezh sample 1897'!AB24</f>
        <v>65.707628097906735</v>
      </c>
      <c r="O22" s="226">
        <f>'Voronezh sample 1897'!AC24</f>
        <v>2.5192914515555449</v>
      </c>
      <c r="P22" s="226">
        <f>'Voronezh sample 1897'!AD24</f>
        <v>66.620779066060066</v>
      </c>
      <c r="Q22" s="226">
        <f>'Voronezh sample 1897'!AE24</f>
        <v>43.891009442407444</v>
      </c>
      <c r="R22" s="226">
        <f>'Voronezh sample 1897'!AF24</f>
        <v>8.1821378714115784</v>
      </c>
      <c r="S22" s="226">
        <f>'Voronezh sample 1897'!AG24</f>
        <v>53.081714814769398</v>
      </c>
      <c r="T22" s="226">
        <f>'Voronezh sample 1897'!AH24</f>
        <v>2.4022899064343264</v>
      </c>
      <c r="U22" s="226">
        <f>'Voronezh sample 1897'!AI24</f>
        <v>4.9332673304965242</v>
      </c>
      <c r="V22" s="226">
        <f>'Voronezh sample 1897'!AJ24</f>
        <v>3.3579301629734997</v>
      </c>
      <c r="W22" s="226">
        <f>'Voronezh sample 1897'!AK24</f>
        <v>6.5395638159588954</v>
      </c>
      <c r="X22" s="210">
        <f>'Voronezh sample 1897'!AL24</f>
        <v>402.10849933167378</v>
      </c>
      <c r="Z22" s="199">
        <v>80.478675772208149</v>
      </c>
      <c r="AB22" s="6" t="s">
        <v>722</v>
      </c>
      <c r="AC22" s="199">
        <f>'Voronezh sample 1897'!AR36</f>
        <v>10.942875231577975</v>
      </c>
      <c r="AD22" s="199">
        <f>'Voronezh sample 1897'!AS36</f>
        <v>29.818944524268598</v>
      </c>
      <c r="AE22" s="199">
        <f>'Voronezh sample 1897'!AT36</f>
        <v>15.040340462374429</v>
      </c>
      <c r="AF22" s="199">
        <f>'Voronezh sample 1897'!AU36</f>
        <v>44.197839781778995</v>
      </c>
      <c r="AG22" s="199">
        <f>'Voronezh sample 1897'!AV36</f>
        <v>100</v>
      </c>
      <c r="AH22" s="197"/>
      <c r="AJ22" s="9" t="s">
        <v>861</v>
      </c>
      <c r="AK22" s="222">
        <v>1588176</v>
      </c>
      <c r="AL22" s="223">
        <v>1215563</v>
      </c>
      <c r="AM22" s="224">
        <f t="shared" si="4"/>
        <v>372613</v>
      </c>
      <c r="AP22" s="9" t="s">
        <v>862</v>
      </c>
      <c r="AQ22" s="238">
        <v>161779</v>
      </c>
      <c r="AT22" s="232" t="s">
        <v>863</v>
      </c>
      <c r="AU22" s="238">
        <v>0</v>
      </c>
      <c r="AV22" s="238">
        <v>0</v>
      </c>
      <c r="AW22" s="238">
        <v>0</v>
      </c>
      <c r="AX22" s="238"/>
      <c r="AZ22" s="6" t="s">
        <v>168</v>
      </c>
      <c r="BB22" s="238">
        <f>C12</f>
        <v>34306.275521999996</v>
      </c>
      <c r="BC22" s="238">
        <f>$BB22*AC12</f>
        <v>4183394.5259852852</v>
      </c>
      <c r="BD22" s="238">
        <f>$BB22*AD12</f>
        <v>11399600.804504089</v>
      </c>
      <c r="BE22" s="238">
        <f>BC12*C12</f>
        <v>5037399.5016132472</v>
      </c>
      <c r="BF22" s="238">
        <f>BD12*C12</f>
        <v>712431.01620935998</v>
      </c>
      <c r="BG22" s="238">
        <f>AF12*$BB22</f>
        <v>16896564.85069935</v>
      </c>
      <c r="BH22" s="238">
        <f>AG12*$BB22</f>
        <v>38229390.699011333</v>
      </c>
      <c r="BI22" s="247">
        <f>AG12</f>
        <v>1114.3556132899216</v>
      </c>
      <c r="BJ22" s="182">
        <f>BH22-SUM(BC22:BG22)</f>
        <v>0</v>
      </c>
      <c r="BK22" s="238"/>
      <c r="BL22" s="238"/>
    </row>
    <row r="23" spans="1:66">
      <c r="A23" s="6" t="s">
        <v>721</v>
      </c>
      <c r="B23" s="297">
        <f t="shared" si="3"/>
        <v>17.506652338460984</v>
      </c>
      <c r="C23" s="375">
        <f>100*'Voronezh sample 1897'!C13/'Voronezh sample 1897'!C$15</f>
        <v>17.352011356117202</v>
      </c>
      <c r="D23" s="237">
        <v>8.5326249918519004</v>
      </c>
      <c r="E23" s="204">
        <v>0.85356738601007021</v>
      </c>
      <c r="F23" s="197">
        <v>230.34020027289381</v>
      </c>
      <c r="G23" s="226">
        <v>87.28802544644418</v>
      </c>
      <c r="I23" s="237">
        <v>2.4938074441040348</v>
      </c>
      <c r="J23" s="237">
        <v>1.8059998533342025</v>
      </c>
      <c r="K23" s="239">
        <v>4.2998072974382371</v>
      </c>
      <c r="M23" s="226">
        <f>'Voronezh sample 1897'!AA25</f>
        <v>253.143157225735</v>
      </c>
      <c r="N23" s="226">
        <f>'Voronezh sample 1897'!AB25</f>
        <v>108.96833086174304</v>
      </c>
      <c r="O23" s="226">
        <f>'Voronezh sample 1897'!AC25</f>
        <v>2.9695385894009516</v>
      </c>
      <c r="P23" s="226">
        <f>'Voronezh sample 1897'!AD25</f>
        <v>89.610770386545866</v>
      </c>
      <c r="Q23" s="226">
        <f>'Voronezh sample 1897'!AE25</f>
        <v>53.984034401277626</v>
      </c>
      <c r="R23" s="226">
        <f>'Voronezh sample 1897'!AF25</f>
        <v>11.260665830128415</v>
      </c>
      <c r="S23" s="226">
        <f>'Voronezh sample 1897'!AG25</f>
        <v>55.21984070464768</v>
      </c>
      <c r="T23" s="226">
        <f>'Voronezh sample 1897'!AH25</f>
        <v>1.4799068835147644</v>
      </c>
      <c r="U23" s="226">
        <f>'Voronezh sample 1897'!AI25</f>
        <v>7.3483094811290011</v>
      </c>
      <c r="V23" s="226">
        <f>'Voronezh sample 1897'!AJ25</f>
        <v>3.4917766279903528</v>
      </c>
      <c r="W23" s="226">
        <f>'Voronezh sample 1897'!AK25</f>
        <v>8.4647040121243737</v>
      </c>
      <c r="X23" s="210">
        <f>'Voronezh sample 1897'!AL25</f>
        <v>595.94103500423705</v>
      </c>
      <c r="Z23" s="199">
        <v>85.356738601007024</v>
      </c>
      <c r="AB23" s="6" t="s">
        <v>377</v>
      </c>
      <c r="AC23" s="199">
        <f>'Voronezh sample 1897'!AR37</f>
        <v>18.615778087743966</v>
      </c>
      <c r="AD23" s="199">
        <f>'Voronezh sample 1897'!AS37</f>
        <v>38.625790989058935</v>
      </c>
      <c r="AE23" s="199">
        <f>'Voronezh sample 1897'!AT37</f>
        <v>11.541959984183</v>
      </c>
      <c r="AF23" s="199">
        <f>'Voronezh sample 1897'!AU37</f>
        <v>31.216470939014108</v>
      </c>
      <c r="AG23" s="199">
        <f>'Voronezh sample 1897'!AV37</f>
        <v>100</v>
      </c>
      <c r="AH23" s="197"/>
      <c r="AJ23" s="9" t="s">
        <v>644</v>
      </c>
      <c r="AK23" s="6">
        <v>10958350.637230976</v>
      </c>
      <c r="AL23" s="6">
        <v>8387335.8970569987</v>
      </c>
      <c r="AM23" s="6">
        <v>2571014.7401739764</v>
      </c>
      <c r="AP23" s="9" t="s">
        <v>644</v>
      </c>
      <c r="AQ23" s="238">
        <v>1116268.6048275442</v>
      </c>
      <c r="AT23" s="232" t="s">
        <v>864</v>
      </c>
      <c r="AU23" s="238">
        <v>0.9423076923076924</v>
      </c>
      <c r="AV23" s="238">
        <f>AW23/6.9</f>
        <v>4198.2884615384619</v>
      </c>
      <c r="AW23" s="238">
        <v>28968.190384615387</v>
      </c>
      <c r="AX23" s="238">
        <v>30741.753061224488</v>
      </c>
      <c r="AZ23" s="246" t="s">
        <v>166</v>
      </c>
      <c r="BA23" s="9" t="s">
        <v>762</v>
      </c>
      <c r="BC23" s="270">
        <f>BC22/$BB22</f>
        <v>121.94254439840168</v>
      </c>
      <c r="BD23" s="270">
        <f t="shared" ref="BD23:BH23" si="5">BD22/$BB22</f>
        <v>332.28908212999488</v>
      </c>
      <c r="BE23" s="270">
        <f t="shared" si="5"/>
        <v>146.83609412461152</v>
      </c>
      <c r="BF23" s="270">
        <f t="shared" si="5"/>
        <v>20.766784075773273</v>
      </c>
      <c r="BG23" s="270">
        <f t="shared" si="5"/>
        <v>492.5211085611403</v>
      </c>
      <c r="BH23" s="270">
        <f t="shared" si="5"/>
        <v>1114.3556132899216</v>
      </c>
      <c r="BK23" s="238" t="s">
        <v>767</v>
      </c>
      <c r="BL23" s="238"/>
      <c r="BM23" s="238">
        <f>BC23+BD23+BE23+BG23</f>
        <v>1093.5888292141485</v>
      </c>
    </row>
    <row r="24" spans="1:66" ht="16" thickBot="1">
      <c r="A24" s="6" t="s">
        <v>876</v>
      </c>
      <c r="B24" s="298"/>
      <c r="C24" s="375">
        <f>100*'Voronezh sample 1897'!C14/'Voronezh sample 1897'!C$15</f>
        <v>7.6427573647926437</v>
      </c>
      <c r="D24" s="237">
        <v>12.026639040994525</v>
      </c>
      <c r="E24" s="204">
        <v>0.89057124768422014</v>
      </c>
      <c r="F24" s="197">
        <v>332.28908212999488</v>
      </c>
      <c r="G24" s="226">
        <v>121.97443524702975</v>
      </c>
      <c r="I24" s="237">
        <v>3.4287405653396479</v>
      </c>
      <c r="J24" s="237">
        <v>2.516432033446796</v>
      </c>
      <c r="K24" s="239">
        <v>5.9451725987864439</v>
      </c>
      <c r="M24" s="226">
        <f>'Voronezh sample 1897'!AA26</f>
        <v>477.67694664792072</v>
      </c>
      <c r="N24" s="226">
        <f>'Voronezh sample 1897'!AB26</f>
        <v>179.35574345123575</v>
      </c>
      <c r="O24" s="226">
        <f>'Voronezh sample 1897'!AC26</f>
        <v>5.6671409649252631</v>
      </c>
      <c r="P24" s="226">
        <f>'Voronezh sample 1897'!AD26</f>
        <v>210.72963556311973</v>
      </c>
      <c r="Q24" s="226">
        <f>'Voronezh sample 1897'!AE26</f>
        <v>118.98360226431849</v>
      </c>
      <c r="R24" s="226">
        <f>'Voronezh sample 1897'!AF26</f>
        <v>33.183779524937108</v>
      </c>
      <c r="S24" s="226">
        <f>'Voronezh sample 1897'!AG26</f>
        <v>53.815674485718517</v>
      </c>
      <c r="T24" s="226">
        <f>'Voronezh sample 1897'!AH26</f>
        <v>1.15179321444428</v>
      </c>
      <c r="U24" s="226">
        <f>'Voronezh sample 1897'!AI26</f>
        <v>8.7106340831730069</v>
      </c>
      <c r="V24" s="226">
        <f>'Voronezh sample 1897'!AJ26</f>
        <v>5.1754958191505107</v>
      </c>
      <c r="W24" s="226">
        <f>'Voronezh sample 1897'!AK26</f>
        <v>19.905167270978247</v>
      </c>
      <c r="X24" s="210">
        <f>'Voronezh sample 1897'!AL26</f>
        <v>1114.3556132899216</v>
      </c>
      <c r="Z24" s="199">
        <v>89.057124768422014</v>
      </c>
      <c r="AH24" s="197"/>
      <c r="AJ24" s="9" t="s">
        <v>865</v>
      </c>
      <c r="AK24" s="221">
        <v>1422.9500064457911</v>
      </c>
      <c r="AL24" s="221">
        <v>7463.0413869257945</v>
      </c>
      <c r="AM24" s="221">
        <v>390.89212830188683</v>
      </c>
      <c r="AP24" s="9" t="s">
        <v>865</v>
      </c>
      <c r="AQ24" s="226">
        <v>281.53054346218011</v>
      </c>
      <c r="AT24" s="232" t="s">
        <v>866</v>
      </c>
      <c r="AU24" s="238">
        <v>2.2424242424242427</v>
      </c>
      <c r="AV24" s="238">
        <f t="shared" ref="AV24:AV28" si="6">AW24/6.9</f>
        <v>4379.9442116224627</v>
      </c>
      <c r="AW24" s="238">
        <v>30221.615060194996</v>
      </c>
      <c r="AX24" s="238">
        <v>13477.206716032902</v>
      </c>
      <c r="AZ24" s="6" t="s">
        <v>167</v>
      </c>
      <c r="BB24" s="238">
        <f>AU54</f>
        <v>3965</v>
      </c>
      <c r="BC24" s="271">
        <f>BC23*$BB24</f>
        <v>483502.18853966263</v>
      </c>
      <c r="BD24" s="271">
        <f t="shared" ref="BD24:BG24" si="7">BD23*$BB24</f>
        <v>1317526.2106454298</v>
      </c>
      <c r="BE24" s="271">
        <f t="shared" si="7"/>
        <v>582205.11320408469</v>
      </c>
      <c r="BF24" s="274">
        <f>(AW54*$BB24)-BE24</f>
        <v>534556.04682345956</v>
      </c>
      <c r="BG24" s="275">
        <f t="shared" si="7"/>
        <v>1952846.1954449213</v>
      </c>
      <c r="BH24" s="276">
        <f>BI24*$BB24</f>
        <v>4870624.9100275449</v>
      </c>
      <c r="BI24" s="277">
        <f>AX54</f>
        <v>1228.4047692377162</v>
      </c>
      <c r="BJ24" s="278">
        <f>BH24-SUM(BC24:BG24)</f>
        <v>-10.844630013220012</v>
      </c>
      <c r="BK24" s="20" t="s">
        <v>670</v>
      </c>
      <c r="BL24" s="182"/>
    </row>
    <row r="25" spans="1:66" ht="16" thickBot="1">
      <c r="B25" s="296"/>
      <c r="C25" s="376">
        <f>100*'Voronezh sample 1897'!C15/'Voronezh sample 1897'!C$15</f>
        <v>100</v>
      </c>
      <c r="D25" s="237">
        <v>6.7608315754350441</v>
      </c>
      <c r="E25" s="204">
        <v>0.81384221912256038</v>
      </c>
      <c r="F25" s="197">
        <v>174.79908646165265</v>
      </c>
      <c r="G25" s="226">
        <v>84.266805244135057</v>
      </c>
      <c r="I25" s="237">
        <v>1.9357528234768495</v>
      </c>
      <c r="J25" s="237">
        <v>1.4865308702020688</v>
      </c>
      <c r="K25" s="239">
        <v>3.422283693678918</v>
      </c>
      <c r="M25" s="226">
        <f>'Voronezh sample 1897'!AA27</f>
        <v>166.35162948688225</v>
      </c>
      <c r="N25" s="226">
        <f>'Voronezh sample 1897'!AB27</f>
        <v>75.092568394025605</v>
      </c>
      <c r="O25" s="226">
        <f>'Voronezh sample 1897'!AC27</f>
        <v>2.4985347243822851</v>
      </c>
      <c r="P25" s="226">
        <f>'Voronezh sample 1897'!AD27</f>
        <v>75.147940374729259</v>
      </c>
      <c r="Q25" s="226">
        <f>'Voronezh sample 1897'!AE27</f>
        <v>49.209555400659433</v>
      </c>
      <c r="R25" s="226">
        <f>'Voronezh sample 1897'!AF27</f>
        <v>10.326665104823523</v>
      </c>
      <c r="S25" s="226">
        <f>'Voronezh sample 1897'!AG27</f>
        <v>55.004377726627496</v>
      </c>
      <c r="T25" s="226">
        <f>'Voronezh sample 1897'!AH27</f>
        <v>2.8506824698423832</v>
      </c>
      <c r="U25" s="226">
        <f>'Voronezh sample 1897'!AI27</f>
        <v>5.058216702201662</v>
      </c>
      <c r="V25" s="226">
        <f>'Voronezh sample 1897'!AJ27</f>
        <v>3.53476123593917</v>
      </c>
      <c r="W25" s="226">
        <f>'Voronezh sample 1897'!AK27</f>
        <v>7.4700700114805372</v>
      </c>
      <c r="X25" s="245">
        <f>'Voronezh sample 1897'!AL27</f>
        <v>452.54500163159355</v>
      </c>
      <c r="Z25" s="199">
        <v>81.384221912256038</v>
      </c>
      <c r="AH25" s="197"/>
      <c r="AT25" s="232" t="s">
        <v>867</v>
      </c>
      <c r="AU25" s="238">
        <v>8.8706896551724146</v>
      </c>
      <c r="AV25" s="238">
        <f t="shared" si="6"/>
        <v>8716.3293353323334</v>
      </c>
      <c r="AW25" s="238">
        <v>60142.672413793101</v>
      </c>
      <c r="AX25" s="238">
        <v>6779.9319727891152</v>
      </c>
      <c r="AZ25" s="246" t="s">
        <v>116</v>
      </c>
      <c r="BC25" s="272">
        <f>BC24/$BB24</f>
        <v>121.94254439840168</v>
      </c>
      <c r="BD25" s="272">
        <f t="shared" ref="BD25:BG25" si="8">BD24/$BB24</f>
        <v>332.28908212999488</v>
      </c>
      <c r="BE25" s="272">
        <f t="shared" si="8"/>
        <v>146.83609412461152</v>
      </c>
      <c r="BG25" s="272">
        <f t="shared" si="8"/>
        <v>492.5211085611403</v>
      </c>
      <c r="BK25" s="182" t="s">
        <v>763</v>
      </c>
      <c r="BL25" s="238"/>
      <c r="BM25" s="182">
        <f>BC25+BD25+BE25+BG25</f>
        <v>1093.5888292141485</v>
      </c>
      <c r="BN25" s="20" t="s">
        <v>764</v>
      </c>
    </row>
    <row r="26" spans="1:66">
      <c r="A26" s="6" t="s">
        <v>711</v>
      </c>
      <c r="B26" s="298">
        <f>100*(C12-BB24)/444908</f>
        <v>6.8196740723924938</v>
      </c>
      <c r="C26" s="378">
        <f>100*(C12-BB24)/C13</f>
        <v>6.7594340517746003</v>
      </c>
      <c r="D26" s="374"/>
      <c r="Z26" s="199"/>
      <c r="AE26" s="240"/>
      <c r="AH26" s="197"/>
      <c r="AP26" s="8" t="s">
        <v>868</v>
      </c>
      <c r="AQ26" s="6">
        <v>642</v>
      </c>
      <c r="AT26" s="232" t="s">
        <v>869</v>
      </c>
      <c r="AU26" s="238">
        <v>67.535836177474408</v>
      </c>
      <c r="AV26" s="238">
        <f t="shared" si="6"/>
        <v>30054.838773393476</v>
      </c>
      <c r="AW26" s="238">
        <v>207378.38753641499</v>
      </c>
      <c r="AX26" s="238">
        <v>3070.642184564867</v>
      </c>
      <c r="AZ26" s="10" t="s">
        <v>117</v>
      </c>
      <c r="BB26" s="238">
        <f>BB22-BB24</f>
        <v>30341.275521999996</v>
      </c>
      <c r="BC26" s="238">
        <f t="shared" ref="BC26:BG26" si="9">BC22-BC24</f>
        <v>3699892.3374456223</v>
      </c>
      <c r="BD26" s="238">
        <f t="shared" si="9"/>
        <v>10082074.593858659</v>
      </c>
      <c r="BE26" s="238">
        <f t="shared" si="9"/>
        <v>4455194.3884091629</v>
      </c>
      <c r="BF26" s="238">
        <f t="shared" si="9"/>
        <v>177874.96938590042</v>
      </c>
      <c r="BG26" s="238">
        <f t="shared" si="9"/>
        <v>14943718.655254429</v>
      </c>
      <c r="BH26" s="238">
        <f>BH22-BH24</f>
        <v>33358765.788983788</v>
      </c>
      <c r="BI26" s="248">
        <f>BH26/BB26</f>
        <v>1099.4516616414446</v>
      </c>
      <c r="BJ26" s="238"/>
      <c r="BK26" s="238"/>
    </row>
    <row r="27" spans="1:66">
      <c r="A27" s="6" t="s">
        <v>377</v>
      </c>
      <c r="B27" s="377">
        <f>SUM(B20:B26)</f>
        <v>100.00000369357259</v>
      </c>
      <c r="C27" s="383"/>
      <c r="Z27" s="199">
        <v>81.833991496864471</v>
      </c>
      <c r="AH27" s="197"/>
      <c r="AP27" s="9" t="s">
        <v>870</v>
      </c>
      <c r="AQ27" s="238">
        <v>198661</v>
      </c>
      <c r="AT27" s="232" t="s">
        <v>871</v>
      </c>
      <c r="AU27" s="238">
        <v>119.22988505747126</v>
      </c>
      <c r="AV27" s="238">
        <f t="shared" si="6"/>
        <v>24999.797063752932</v>
      </c>
      <c r="AW27" s="238">
        <v>172498.59973989523</v>
      </c>
      <c r="AX27" s="238">
        <v>1446.77317819058</v>
      </c>
      <c r="BC27" s="273"/>
      <c r="BH27" s="182">
        <f>BH26-SUM(BC26:BG26)</f>
        <v>10.844630014151335</v>
      </c>
      <c r="BJ27" s="238"/>
      <c r="BK27" s="238"/>
    </row>
    <row r="28" spans="1:66">
      <c r="B28" s="295"/>
      <c r="C28" s="9" t="s">
        <v>487</v>
      </c>
      <c r="AH28" s="197"/>
      <c r="AP28" s="9" t="s">
        <v>872</v>
      </c>
      <c r="AQ28" s="238">
        <f>AQ27*AW12</f>
        <v>1370760.9000000001</v>
      </c>
      <c r="AT28" s="232" t="s">
        <v>873</v>
      </c>
      <c r="AU28" s="238">
        <v>3766.1788571751499</v>
      </c>
      <c r="AV28" s="238">
        <f t="shared" si="6"/>
        <v>89428.860825018914</v>
      </c>
      <c r="AW28" s="238">
        <v>617059.1396926305</v>
      </c>
      <c r="AX28" s="238">
        <v>163.84222924438066</v>
      </c>
      <c r="BB28" s="238"/>
      <c r="BC28" s="238"/>
      <c r="BD28" s="238"/>
      <c r="BE28" s="238"/>
      <c r="BF28" s="238"/>
      <c r="BG28" s="238"/>
      <c r="BH28" s="131" t="s">
        <v>670</v>
      </c>
      <c r="BI28" s="238"/>
      <c r="BJ28" s="238"/>
      <c r="BK28" s="238"/>
    </row>
    <row r="29" spans="1:66">
      <c r="C29" s="8" t="s">
        <v>759</v>
      </c>
      <c r="AH29" s="197"/>
      <c r="AP29" s="9" t="s">
        <v>786</v>
      </c>
      <c r="AQ29" s="226">
        <f>AQ28/AQ26</f>
        <v>2135.1415887850471</v>
      </c>
      <c r="AT29" s="232" t="s">
        <v>787</v>
      </c>
      <c r="AU29" s="238">
        <f>SUM(AU22:AU28)</f>
        <v>3965</v>
      </c>
      <c r="AV29" s="238">
        <f t="shared" ref="AV29:AW29" si="10">SUM(AV22:AV28)</f>
        <v>161778.05867065859</v>
      </c>
      <c r="AW29" s="234">
        <f t="shared" si="10"/>
        <v>1116268.6048275442</v>
      </c>
      <c r="AX29" s="238">
        <f>AW29/AU29</f>
        <v>281.53054346218011</v>
      </c>
      <c r="BA29" s="251" t="s">
        <v>810</v>
      </c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</row>
    <row r="30" spans="1:66">
      <c r="A30" s="252" t="s">
        <v>863</v>
      </c>
      <c r="B30" s="6" t="s">
        <v>877</v>
      </c>
      <c r="C30" s="294"/>
      <c r="E30" s="380"/>
      <c r="AH30" s="197"/>
      <c r="AZ30" s="238"/>
      <c r="BA30" s="238">
        <f>C13-BB24</f>
        <v>444908.01643299998</v>
      </c>
      <c r="BB30" s="251" t="s">
        <v>811</v>
      </c>
      <c r="BC30" s="238"/>
      <c r="BD30" s="238"/>
      <c r="BE30" s="238"/>
      <c r="BF30" s="238"/>
      <c r="BG30" s="238"/>
      <c r="BH30" s="238"/>
      <c r="BI30" s="238"/>
      <c r="BJ30" s="238"/>
      <c r="BK30" s="238"/>
    </row>
    <row r="31" spans="1:66">
      <c r="A31" s="252" t="s">
        <v>587</v>
      </c>
      <c r="B31" s="6" t="s">
        <v>877</v>
      </c>
      <c r="C31" s="292">
        <f t="shared" ref="C31:C37" si="11">100*AU23/448873</f>
        <v>2.0992746106531077E-4</v>
      </c>
      <c r="AH31" s="197"/>
      <c r="AP31" s="8" t="s">
        <v>788</v>
      </c>
      <c r="AT31" s="250" t="s">
        <v>234</v>
      </c>
      <c r="AZ31" s="238"/>
      <c r="BA31" s="6" t="s">
        <v>794</v>
      </c>
    </row>
    <row r="32" spans="1:66">
      <c r="A32" s="252" t="s">
        <v>568</v>
      </c>
      <c r="B32" s="6" t="s">
        <v>877</v>
      </c>
      <c r="C32" s="292">
        <f t="shared" si="11"/>
        <v>4.9956763771138893E-4</v>
      </c>
      <c r="AH32" s="197"/>
      <c r="AP32" s="9" t="s">
        <v>870</v>
      </c>
      <c r="AQ32" s="227">
        <v>3746442</v>
      </c>
      <c r="AZ32" s="238"/>
    </row>
    <row r="33" spans="1:52">
      <c r="A33" s="252" t="s">
        <v>569</v>
      </c>
      <c r="B33" s="6" t="s">
        <v>877</v>
      </c>
      <c r="C33" s="293">
        <f t="shared" si="11"/>
        <v>1.9762136852010288E-3</v>
      </c>
      <c r="AH33" s="197"/>
      <c r="AP33" s="9" t="s">
        <v>872</v>
      </c>
      <c r="AQ33" s="238">
        <v>16784060.16</v>
      </c>
      <c r="AT33" s="6" t="s">
        <v>768</v>
      </c>
      <c r="AZ33" s="238"/>
    </row>
    <row r="34" spans="1:52">
      <c r="A34" s="252" t="s">
        <v>570</v>
      </c>
      <c r="B34" s="6" t="s">
        <v>877</v>
      </c>
      <c r="C34" s="294">
        <f t="shared" si="11"/>
        <v>1.5045644575965677E-2</v>
      </c>
      <c r="AT34" s="6" t="s">
        <v>789</v>
      </c>
      <c r="AZ34" s="280"/>
    </row>
    <row r="35" spans="1:52">
      <c r="A35" s="252" t="s">
        <v>871</v>
      </c>
      <c r="B35" s="6" t="s">
        <v>877</v>
      </c>
      <c r="C35" s="294">
        <f t="shared" si="11"/>
        <v>2.6562053199339512E-2</v>
      </c>
      <c r="AT35" s="6" t="s">
        <v>769</v>
      </c>
      <c r="AZ35" s="238"/>
    </row>
    <row r="36" spans="1:52">
      <c r="A36" s="252" t="s">
        <v>873</v>
      </c>
      <c r="B36" s="6" t="s">
        <v>877</v>
      </c>
      <c r="C36" s="294">
        <f t="shared" si="11"/>
        <v>0.83902993879675325</v>
      </c>
    </row>
    <row r="37" spans="1:52">
      <c r="A37" s="252" t="s">
        <v>787</v>
      </c>
      <c r="B37" s="6" t="s">
        <v>877</v>
      </c>
      <c r="C37" s="294">
        <f t="shared" si="11"/>
        <v>0.88332334535603607</v>
      </c>
      <c r="AR37" s="6">
        <f>AQ28/3965</f>
        <v>345.71523329129889</v>
      </c>
      <c r="AT37" s="6" t="s">
        <v>543</v>
      </c>
    </row>
    <row r="38" spans="1:52">
      <c r="AT38" s="6" t="s">
        <v>213</v>
      </c>
    </row>
    <row r="39" spans="1:52">
      <c r="A39" s="279"/>
      <c r="C39" s="379">
        <f>SUM(C20:C23)+C26+C37</f>
        <v>100.00000003233799</v>
      </c>
      <c r="AT39" s="6" t="s">
        <v>216</v>
      </c>
    </row>
    <row r="40" spans="1:52">
      <c r="AT40" s="6" t="s">
        <v>393</v>
      </c>
    </row>
    <row r="42" spans="1:52">
      <c r="AW42" s="9" t="s">
        <v>425</v>
      </c>
      <c r="AX42" s="6" t="s">
        <v>691</v>
      </c>
    </row>
    <row r="43" spans="1:52">
      <c r="AT43" s="6" t="s">
        <v>692</v>
      </c>
      <c r="AW43" s="9" t="s">
        <v>693</v>
      </c>
      <c r="AX43" s="6" t="s">
        <v>392</v>
      </c>
    </row>
    <row r="44" spans="1:52">
      <c r="AT44" s="238"/>
      <c r="AU44" s="238" t="s">
        <v>694</v>
      </c>
      <c r="AV44" s="232" t="s">
        <v>872</v>
      </c>
      <c r="AW44" s="232" t="s">
        <v>695</v>
      </c>
      <c r="AX44" s="6" t="s">
        <v>165</v>
      </c>
    </row>
    <row r="45" spans="1:52">
      <c r="AT45" s="238"/>
      <c r="AU45" s="6" t="s">
        <v>696</v>
      </c>
      <c r="AV45" s="232" t="s">
        <v>697</v>
      </c>
      <c r="AW45" s="232" t="s">
        <v>698</v>
      </c>
      <c r="AX45" s="6" t="s">
        <v>699</v>
      </c>
    </row>
    <row r="46" spans="1:52">
      <c r="AT46" s="233" t="s">
        <v>700</v>
      </c>
      <c r="AU46" s="231" t="s">
        <v>701</v>
      </c>
      <c r="AV46" s="233" t="s">
        <v>702</v>
      </c>
      <c r="AW46" s="233" t="s">
        <v>703</v>
      </c>
      <c r="AX46" s="45" t="s">
        <v>704</v>
      </c>
    </row>
    <row r="47" spans="1:52">
      <c r="AT47" s="232" t="s">
        <v>705</v>
      </c>
      <c r="AU47" s="238">
        <v>0</v>
      </c>
      <c r="AV47" s="6">
        <v>0</v>
      </c>
      <c r="AW47" s="6">
        <v>0</v>
      </c>
      <c r="AX47" s="6">
        <v>0</v>
      </c>
    </row>
    <row r="48" spans="1:52">
      <c r="AT48" s="232" t="s">
        <v>706</v>
      </c>
      <c r="AU48" s="280">
        <v>0.9423076923076924</v>
      </c>
      <c r="AV48" s="238">
        <f>AW23</f>
        <v>28968.190384615387</v>
      </c>
      <c r="AW48" s="237">
        <f>(AV48+345.7152+146.84)/AU48</f>
        <v>31264.464702040816</v>
      </c>
      <c r="AX48" s="239">
        <f>AW48+946.75</f>
        <v>32211.214702040816</v>
      </c>
      <c r="AZ48" s="10" t="s">
        <v>707</v>
      </c>
    </row>
    <row r="49" spans="46:52">
      <c r="AT49" s="232" t="s">
        <v>708</v>
      </c>
      <c r="AU49" s="280">
        <v>2.2424242424242427</v>
      </c>
      <c r="AV49" s="238">
        <f t="shared" ref="AV49:AV54" si="12">AW24</f>
        <v>30221.615060194996</v>
      </c>
      <c r="AW49" s="247">
        <f t="shared" ref="AW49:AW54" si="13">(AV49+345.7152+146.84)/AU49</f>
        <v>13696.859710627496</v>
      </c>
      <c r="AX49" s="239">
        <f t="shared" ref="AX49:AX54" si="14">AW49+946.75</f>
        <v>14643.609710627496</v>
      </c>
      <c r="AZ49" s="10" t="s">
        <v>707</v>
      </c>
    </row>
    <row r="50" spans="46:52">
      <c r="AT50" s="232" t="s">
        <v>867</v>
      </c>
      <c r="AU50" s="238">
        <v>8.8706896551724146</v>
      </c>
      <c r="AV50" s="238">
        <f t="shared" si="12"/>
        <v>60142.672413793101</v>
      </c>
      <c r="AW50" s="247">
        <f t="shared" si="13"/>
        <v>6835.4581177842556</v>
      </c>
      <c r="AX50" s="239">
        <f t="shared" si="14"/>
        <v>7782.2081177842556</v>
      </c>
      <c r="AZ50" s="10" t="s">
        <v>707</v>
      </c>
    </row>
    <row r="51" spans="46:52">
      <c r="AT51" s="232" t="s">
        <v>869</v>
      </c>
      <c r="AU51" s="238">
        <v>67.535836177474408</v>
      </c>
      <c r="AV51" s="238">
        <f t="shared" si="12"/>
        <v>207378.38753641499</v>
      </c>
      <c r="AW51" s="247">
        <f t="shared" si="13"/>
        <v>3077.9354266105511</v>
      </c>
      <c r="AX51" s="239">
        <f t="shared" si="14"/>
        <v>4024.6854266105511</v>
      </c>
      <c r="AZ51" s="10" t="s">
        <v>707</v>
      </c>
    </row>
    <row r="52" spans="46:52">
      <c r="AT52" s="232" t="s">
        <v>871</v>
      </c>
      <c r="AU52" s="238">
        <v>119.22988505747126</v>
      </c>
      <c r="AV52" s="238">
        <f t="shared" si="12"/>
        <v>172498.59973989523</v>
      </c>
      <c r="AW52" s="247">
        <f t="shared" si="13"/>
        <v>1450.904316954679</v>
      </c>
      <c r="AX52" s="239">
        <f t="shared" si="14"/>
        <v>2397.654316954679</v>
      </c>
      <c r="AZ52" s="10" t="s">
        <v>707</v>
      </c>
    </row>
    <row r="53" spans="46:52">
      <c r="AT53" s="232" t="s">
        <v>873</v>
      </c>
      <c r="AU53" s="238">
        <v>3766.1788571751499</v>
      </c>
      <c r="AV53" s="238">
        <f t="shared" si="12"/>
        <v>617059.1396926305</v>
      </c>
      <c r="AW53" s="247">
        <f t="shared" si="13"/>
        <v>163.97301304904823</v>
      </c>
      <c r="AX53" s="239">
        <f t="shared" si="14"/>
        <v>1110.7230130490482</v>
      </c>
      <c r="AZ53" s="10" t="s">
        <v>707</v>
      </c>
    </row>
    <row r="54" spans="46:52">
      <c r="AT54" s="232" t="s">
        <v>787</v>
      </c>
      <c r="AU54" s="238">
        <f>SUM(AU47:AU53)</f>
        <v>3965</v>
      </c>
      <c r="AV54" s="238">
        <f t="shared" si="12"/>
        <v>1116268.6048275442</v>
      </c>
      <c r="AW54" s="247">
        <f t="shared" si="13"/>
        <v>281.6547692377161</v>
      </c>
      <c r="AX54" s="239">
        <f t="shared" si="14"/>
        <v>1228.4047692377162</v>
      </c>
    </row>
    <row r="56" spans="46:52">
      <c r="AT56" s="236" t="s">
        <v>482</v>
      </c>
      <c r="AU56" s="23"/>
    </row>
    <row r="57" spans="46:52">
      <c r="AT57" s="23" t="s">
        <v>612</v>
      </c>
      <c r="AU57" s="23"/>
    </row>
    <row r="58" spans="46:52">
      <c r="AT58" s="23" t="s">
        <v>847</v>
      </c>
      <c r="AU58" s="23"/>
    </row>
    <row r="59" spans="46:52">
      <c r="AT59" s="23" t="s">
        <v>157</v>
      </c>
      <c r="AU59" s="23"/>
    </row>
    <row r="60" spans="46:52">
      <c r="AT60" s="23" t="s">
        <v>669</v>
      </c>
      <c r="AU60" s="23"/>
    </row>
    <row r="61" spans="46:52">
      <c r="AT61" s="23" t="s">
        <v>757</v>
      </c>
      <c r="AU61" s="23"/>
    </row>
    <row r="62" spans="46:52">
      <c r="AT62" s="23" t="s">
        <v>139</v>
      </c>
      <c r="AU62" s="23"/>
    </row>
    <row r="63" spans="46:52">
      <c r="AT63" s="23" t="s">
        <v>76</v>
      </c>
      <c r="AU63" s="23"/>
    </row>
    <row r="64" spans="46:52">
      <c r="AT64" s="23" t="s">
        <v>77</v>
      </c>
      <c r="AU64" s="23"/>
    </row>
    <row r="65" spans="46:47">
      <c r="AT65" s="23" t="s">
        <v>217</v>
      </c>
      <c r="AU65" s="23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S25"/>
  <sheetViews>
    <sheetView workbookViewId="0">
      <selection activeCell="B11" sqref="B11"/>
    </sheetView>
  </sheetViews>
  <sheetFormatPr baseColWidth="10" defaultRowHeight="15"/>
  <cols>
    <col min="1" max="1" width="20.42578125" style="6" customWidth="1"/>
    <col min="2" max="3" width="10.7109375" style="251"/>
    <col min="4" max="4" width="10.28515625" style="251" customWidth="1"/>
    <col min="5" max="6" width="10.7109375" style="251"/>
    <col min="7" max="7" width="9" style="251" customWidth="1"/>
    <col min="8" max="8" width="10.42578125" style="251" customWidth="1"/>
    <col min="9" max="10" width="10.7109375" style="251"/>
    <col min="11" max="11" width="18" style="6" customWidth="1"/>
    <col min="12" max="13" width="10.7109375" style="6"/>
    <col min="14" max="14" width="11.42578125" style="6" customWidth="1"/>
    <col min="15" max="16384" width="10.7109375" style="6"/>
  </cols>
  <sheetData>
    <row r="2" spans="1:19">
      <c r="R2" s="6" t="s">
        <v>667</v>
      </c>
    </row>
    <row r="3" spans="1:19" ht="16" thickBot="1">
      <c r="R3" s="287">
        <f>'Voronezh province 1904 detail'!AG13-'Voronezh province 1904 detail'!BC13-'Voronezh province 1904 detail'!BD13</f>
        <v>400.31243863285471</v>
      </c>
    </row>
    <row r="4" spans="1:19" ht="16" thickBot="1">
      <c r="E4" s="251" t="s">
        <v>219</v>
      </c>
      <c r="L4" s="288" t="s">
        <v>84</v>
      </c>
      <c r="M4" s="289"/>
      <c r="N4" s="289"/>
      <c r="O4" s="289"/>
      <c r="P4" s="289"/>
      <c r="Q4" s="289"/>
      <c r="R4" s="289"/>
      <c r="S4" s="290"/>
    </row>
    <row r="5" spans="1:19">
      <c r="A5" s="6" t="s">
        <v>220</v>
      </c>
      <c r="B5" s="252" t="s">
        <v>221</v>
      </c>
      <c r="C5" s="252" t="s">
        <v>107</v>
      </c>
      <c r="D5" s="252" t="s">
        <v>795</v>
      </c>
      <c r="E5" s="252" t="s">
        <v>222</v>
      </c>
      <c r="F5" s="252" t="s">
        <v>223</v>
      </c>
      <c r="G5" s="252" t="s">
        <v>235</v>
      </c>
      <c r="H5" s="252" t="s">
        <v>236</v>
      </c>
      <c r="I5" s="252" t="s">
        <v>224</v>
      </c>
      <c r="J5" s="252" t="s">
        <v>225</v>
      </c>
      <c r="L5" s="9" t="s">
        <v>222</v>
      </c>
      <c r="M5" s="9" t="s">
        <v>223</v>
      </c>
      <c r="N5" s="252" t="s">
        <v>235</v>
      </c>
      <c r="O5" s="252" t="s">
        <v>236</v>
      </c>
      <c r="P5" s="9" t="s">
        <v>224</v>
      </c>
      <c r="Q5" s="9" t="s">
        <v>225</v>
      </c>
      <c r="R5" s="283" t="s">
        <v>815</v>
      </c>
    </row>
    <row r="6" spans="1:19">
      <c r="A6" s="6" t="s">
        <v>80</v>
      </c>
      <c r="B6" s="252" t="s">
        <v>81</v>
      </c>
      <c r="C6" s="252" t="s">
        <v>749</v>
      </c>
      <c r="D6" s="252" t="s">
        <v>796</v>
      </c>
      <c r="E6" s="252" t="s">
        <v>82</v>
      </c>
      <c r="F6" s="252" t="s">
        <v>82</v>
      </c>
      <c r="G6" s="252" t="s">
        <v>82</v>
      </c>
      <c r="H6" s="252" t="s">
        <v>237</v>
      </c>
      <c r="I6" s="252" t="s">
        <v>83</v>
      </c>
      <c r="J6" s="252" t="s">
        <v>82</v>
      </c>
      <c r="L6" s="9" t="s">
        <v>82</v>
      </c>
      <c r="M6" s="9" t="s">
        <v>82</v>
      </c>
      <c r="N6" s="252" t="s">
        <v>82</v>
      </c>
      <c r="O6" s="252" t="s">
        <v>237</v>
      </c>
      <c r="P6" s="9" t="s">
        <v>83</v>
      </c>
      <c r="Q6" s="9" t="s">
        <v>671</v>
      </c>
      <c r="R6" s="283" t="s">
        <v>879</v>
      </c>
    </row>
    <row r="7" spans="1:19">
      <c r="A7" s="256" t="s">
        <v>656</v>
      </c>
      <c r="B7" s="251">
        <f>'Voronezh province 1904 detail'!C8</f>
        <v>20006.493813000001</v>
      </c>
      <c r="C7" s="260">
        <f>'Voronezh province 1904 detail'!K20</f>
        <v>1.833666412891765</v>
      </c>
      <c r="D7" s="280">
        <f>B7*C7</f>
        <v>36685.235744625003</v>
      </c>
      <c r="E7" s="251">
        <f>$B7*L7</f>
        <v>1520467.046125178</v>
      </c>
      <c r="F7" s="251">
        <f t="shared" ref="F7:I7" si="0">$B7*M7</f>
        <v>1254401.7402269703</v>
      </c>
      <c r="G7" s="251">
        <f t="shared" si="0"/>
        <v>0</v>
      </c>
      <c r="H7" s="251">
        <f t="shared" si="0"/>
        <v>0</v>
      </c>
      <c r="I7" s="251">
        <f t="shared" si="0"/>
        <v>565581.70989069785</v>
      </c>
      <c r="J7" s="251">
        <f>SUM(E7:I7)</f>
        <v>3340450.4962428464</v>
      </c>
      <c r="K7" s="256" t="s">
        <v>656</v>
      </c>
      <c r="L7" s="240">
        <f>'Voronezh province 1904 detail'!AC8</f>
        <v>75.99867624666922</v>
      </c>
      <c r="M7" s="240">
        <f>'Voronezh province 1904 detail'!AD8</f>
        <v>62.699728995586106</v>
      </c>
      <c r="N7" s="240">
        <f>'Voronezh province 1904 detail'!AE8</f>
        <v>0</v>
      </c>
      <c r="O7" s="240">
        <v>0</v>
      </c>
      <c r="P7" s="240">
        <f>'Voronezh province 1904 detail'!AF8</f>
        <v>28.269906520211407</v>
      </c>
      <c r="Q7" s="240">
        <f>'Voronezh province 1904 detail'!AG8</f>
        <v>166.96831176246673</v>
      </c>
      <c r="R7" s="284">
        <f>(Q7-N7-O7)/$R$3</f>
        <v>0.41709498793666311</v>
      </c>
      <c r="S7" s="255">
        <f>Q7-SUM(L7:P7)</f>
        <v>0</v>
      </c>
    </row>
    <row r="8" spans="1:19">
      <c r="A8" s="257" t="s">
        <v>719</v>
      </c>
      <c r="B8" s="251">
        <f>'Voronezh province 1904 detail'!C9</f>
        <v>109658.73788099999</v>
      </c>
      <c r="C8" s="260">
        <f>'Voronezh province 1904 detail'!K21</f>
        <v>2.6446642706669445</v>
      </c>
      <c r="D8" s="280">
        <f t="shared" ref="D8:D19" si="1">B8*C8</f>
        <v>290010.5460403125</v>
      </c>
      <c r="E8" s="251">
        <f t="shared" ref="E8:E19" si="2">$B8*L8</f>
        <v>9064507.8470541928</v>
      </c>
      <c r="F8" s="251">
        <f t="shared" ref="F8:F11" si="3">$B8*M8</f>
        <v>13030255.090606781</v>
      </c>
      <c r="G8" s="251">
        <f t="shared" ref="G8:G19" si="4">$B8*N8</f>
        <v>1652379.0177363842</v>
      </c>
      <c r="H8" s="251">
        <f t="shared" ref="H8:H19" si="5">$B8*O8</f>
        <v>52424.096408730002</v>
      </c>
      <c r="I8" s="251">
        <f t="shared" ref="I8:I19" si="6">$B8*P8</f>
        <v>8107189.5466584666</v>
      </c>
      <c r="J8" s="251">
        <f t="shared" ref="J8:J11" si="7">SUM(E8:I8)</f>
        <v>31906755.598464552</v>
      </c>
      <c r="K8" s="257" t="s">
        <v>719</v>
      </c>
      <c r="L8" s="240">
        <f>'Voronezh province 1904 detail'!AC9</f>
        <v>82.661063059934719</v>
      </c>
      <c r="M8" s="240">
        <f>'Voronezh province 1904 detail'!AD9</f>
        <v>118.82550668006974</v>
      </c>
      <c r="N8" s="240">
        <f>'Voronezh sample 1897'!BH11</f>
        <v>15.068375303840547</v>
      </c>
      <c r="O8" s="240">
        <f>'Voronezh sample 1897'!BI11</f>
        <v>0.47806583790541013</v>
      </c>
      <c r="P8" s="240">
        <f>'Voronezh province 1904 detail'!AF9</f>
        <v>73.931085687455806</v>
      </c>
      <c r="Q8" s="240">
        <f>'Voronezh province 1904 detail'!AG9</f>
        <v>290.96409656920622</v>
      </c>
      <c r="R8" s="285">
        <f t="shared" ref="R8:R11" si="8">(Q8-N8-O8)/$R$3</f>
        <v>0.68800673885644281</v>
      </c>
      <c r="S8" s="255">
        <f t="shared" ref="S8:S11" si="9">Q8-SUM(L8:P8)</f>
        <v>0</v>
      </c>
    </row>
    <row r="9" spans="1:19">
      <c r="A9" s="257" t="s">
        <v>720</v>
      </c>
      <c r="B9" s="251">
        <f>'Voronezh province 1904 detail'!C10</f>
        <v>207013.01243100001</v>
      </c>
      <c r="C9" s="260">
        <f>'Voronezh province 1904 detail'!K22</f>
        <v>3.2394715624118606</v>
      </c>
      <c r="D9" s="280">
        <f t="shared" si="1"/>
        <v>670612.7668194375</v>
      </c>
      <c r="E9" s="251">
        <f t="shared" si="2"/>
        <v>16249880.543268895</v>
      </c>
      <c r="F9" s="251">
        <f t="shared" si="3"/>
        <v>33871589.214794956</v>
      </c>
      <c r="G9" s="251">
        <f t="shared" si="4"/>
        <v>8858926.5161765777</v>
      </c>
      <c r="H9" s="251">
        <f t="shared" si="5"/>
        <v>307315.66182039003</v>
      </c>
      <c r="I9" s="251">
        <f t="shared" si="6"/>
        <v>23953979.834697723</v>
      </c>
      <c r="J9" s="251">
        <f t="shared" si="7"/>
        <v>83241691.770758539</v>
      </c>
      <c r="K9" s="257" t="s">
        <v>720</v>
      </c>
      <c r="L9" s="240">
        <f>'Voronezh province 1904 detail'!AC10</f>
        <v>78.496903902044224</v>
      </c>
      <c r="M9" s="240">
        <f>'Voronezh province 1904 detail'!AD10</f>
        <v>163.62058025741149</v>
      </c>
      <c r="N9" s="240">
        <f>'Voronezh sample 1897'!BH12</f>
        <v>42.794056335610144</v>
      </c>
      <c r="O9" s="240">
        <f>'Voronezh sample 1897'!BI12</f>
        <v>1.4845234036813126</v>
      </c>
      <c r="P9" s="240">
        <f>'Voronezh province 1904 detail'!AF10</f>
        <v>115.71243543292661</v>
      </c>
      <c r="Q9" s="240">
        <f>'Voronezh province 1904 detail'!AG10</f>
        <v>402.10849933167378</v>
      </c>
      <c r="R9" s="285">
        <f t="shared" si="8"/>
        <v>0.89387659502772765</v>
      </c>
      <c r="S9" s="255">
        <f t="shared" si="9"/>
        <v>0</v>
      </c>
    </row>
    <row r="10" spans="1:19">
      <c r="A10" s="257" t="s">
        <v>721</v>
      </c>
      <c r="B10" s="251">
        <f>'Voronezh province 1904 detail'!C11</f>
        <v>77888.496786000003</v>
      </c>
      <c r="C10" s="260">
        <f>'Voronezh province 1904 detail'!K23</f>
        <v>4.2998072974382371</v>
      </c>
      <c r="D10" s="280">
        <f t="shared" si="1"/>
        <v>334905.52686693746</v>
      </c>
      <c r="E10" s="251">
        <f t="shared" si="2"/>
        <v>6796955.5254186755</v>
      </c>
      <c r="F10" s="251">
        <f t="shared" si="3"/>
        <v>17940851.948641885</v>
      </c>
      <c r="G10" s="251">
        <f t="shared" si="4"/>
        <v>6607399.5915553933</v>
      </c>
      <c r="H10" s="251">
        <f t="shared" si="5"/>
        <v>217513.84503123001</v>
      </c>
      <c r="I10" s="251">
        <f t="shared" si="6"/>
        <v>14854230.47892585</v>
      </c>
      <c r="J10" s="251">
        <f t="shared" si="7"/>
        <v>46416951.389573038</v>
      </c>
      <c r="K10" s="257" t="s">
        <v>721</v>
      </c>
      <c r="L10" s="240">
        <f>'Voronezh province 1904 detail'!AC11</f>
        <v>87.265203539534582</v>
      </c>
      <c r="M10" s="240">
        <f>'Voronezh province 1904 detail'!AD11</f>
        <v>230.34020027289381</v>
      </c>
      <c r="N10" s="240">
        <f>'Voronezh sample 1897'!BH13</f>
        <v>84.831520239880078</v>
      </c>
      <c r="O10" s="240">
        <f>'Voronezh sample 1897'!BI13</f>
        <v>2.7926311844077962</v>
      </c>
      <c r="P10" s="262">
        <f>'Voronezh province 1904 detail'!AF11</f>
        <v>190.71147976752081</v>
      </c>
      <c r="Q10" s="240">
        <f>'Voronezh province 1904 detail'!AG11</f>
        <v>595.94103500423705</v>
      </c>
      <c r="R10" s="285">
        <f t="shared" si="8"/>
        <v>1.2698003722191364</v>
      </c>
      <c r="S10" s="255">
        <f t="shared" si="9"/>
        <v>0</v>
      </c>
    </row>
    <row r="11" spans="1:19">
      <c r="A11" s="257" t="s">
        <v>284</v>
      </c>
      <c r="B11" s="251">
        <f>'Voronezh province 1904 detail'!BB26</f>
        <v>30341.275521999996</v>
      </c>
      <c r="C11" s="261">
        <f>'Voronezh province 1904 detail'!K24</f>
        <v>5.9451725987864439</v>
      </c>
      <c r="D11" s="280">
        <f t="shared" si="1"/>
        <v>180384.11984562423</v>
      </c>
      <c r="E11" s="251">
        <f t="shared" si="2"/>
        <v>3699892.3374456228</v>
      </c>
      <c r="F11" s="251">
        <f t="shared" si="3"/>
        <v>10082074.593858659</v>
      </c>
      <c r="G11" s="251">
        <f t="shared" si="4"/>
        <v>4455194.3884091629</v>
      </c>
      <c r="H11" s="251">
        <f t="shared" si="5"/>
        <v>630090.7173489189</v>
      </c>
      <c r="I11" s="251">
        <f t="shared" si="6"/>
        <v>14943718.655254429</v>
      </c>
      <c r="J11" s="251">
        <f t="shared" si="7"/>
        <v>33810970.692316793</v>
      </c>
      <c r="K11" s="150" t="s">
        <v>284</v>
      </c>
      <c r="L11" s="268">
        <f>'Voronezh province 1904 detail'!AC12</f>
        <v>121.94254439840168</v>
      </c>
      <c r="M11" s="268">
        <f>'Voronezh province 1904 detail'!AD12</f>
        <v>332.28908212999488</v>
      </c>
      <c r="N11" s="262">
        <f>'Voronezh sample 1897'!BH14</f>
        <v>146.83609412461152</v>
      </c>
      <c r="O11" s="240">
        <f>'Voronezh sample 1897'!BI14</f>
        <v>20.766784075773273</v>
      </c>
      <c r="P11" s="262">
        <f>'Voronezh province 1904 detail'!AF$12</f>
        <v>492.5211085611403</v>
      </c>
      <c r="Q11" s="247">
        <f>'Voronezh province 1904 detail'!BI26</f>
        <v>1099.4516616414446</v>
      </c>
      <c r="R11" s="286">
        <f t="shared" si="8"/>
        <v>2.3278037190737959</v>
      </c>
      <c r="S11" s="255">
        <f t="shared" si="9"/>
        <v>-14.903951648477005</v>
      </c>
    </row>
    <row r="12" spans="1:19">
      <c r="A12" s="257" t="s">
        <v>85</v>
      </c>
      <c r="D12" s="280"/>
      <c r="K12" s="257" t="s">
        <v>85</v>
      </c>
      <c r="L12" s="20"/>
    </row>
    <row r="13" spans="1:19">
      <c r="A13" s="258" t="s">
        <v>863</v>
      </c>
      <c r="B13" s="251">
        <f>'Voronezh province 1904 detail'!AU22</f>
        <v>0</v>
      </c>
      <c r="C13" s="261">
        <f>'Voronezh province 1904 detail'!K$24</f>
        <v>5.9451725987864439</v>
      </c>
      <c r="D13" s="280"/>
      <c r="K13" s="258" t="s">
        <v>285</v>
      </c>
      <c r="O13" s="238"/>
    </row>
    <row r="14" spans="1:19">
      <c r="A14" s="258" t="s">
        <v>864</v>
      </c>
      <c r="B14" s="251">
        <f>'Voronezh province 1904 detail'!AU23</f>
        <v>0.9423076923076924</v>
      </c>
      <c r="C14" s="261">
        <f>'Voronezh province 1904 detail'!K$24</f>
        <v>5.9451725987864439</v>
      </c>
      <c r="D14" s="280">
        <f t="shared" si="1"/>
        <v>5.6021818719333805</v>
      </c>
      <c r="E14" s="274">
        <f t="shared" si="2"/>
        <v>428.02337847123323</v>
      </c>
      <c r="F14" s="300"/>
      <c r="G14" s="251">
        <f t="shared" si="4"/>
        <v>138.3647810020378</v>
      </c>
      <c r="H14" s="251">
        <f t="shared" si="5"/>
        <v>29322.377123076923</v>
      </c>
      <c r="I14" s="251">
        <f t="shared" si="6"/>
        <v>464.10642922107456</v>
      </c>
      <c r="J14" s="251">
        <f t="shared" ref="J14:J19" si="10">$B14*Q14</f>
        <v>30352.871711771273</v>
      </c>
      <c r="K14" s="258" t="s">
        <v>864</v>
      </c>
      <c r="L14" s="267">
        <f>946.75-P14</f>
        <v>454.2288914388597</v>
      </c>
      <c r="M14" s="177"/>
      <c r="N14" s="262">
        <f>'Voronezh sample 1897'!BH$14</f>
        <v>146.83609412461152</v>
      </c>
      <c r="O14" s="238">
        <f>'Voronezh province 1904 detail'!AW48-146.84</f>
        <v>31117.624702040815</v>
      </c>
      <c r="P14" s="262">
        <f>'Voronezh province 1904 detail'!AF$12</f>
        <v>492.5211085611403</v>
      </c>
      <c r="Q14" s="263">
        <f>SUM(L14:P14)</f>
        <v>32211.210796165429</v>
      </c>
      <c r="R14" s="266">
        <f>'Voronezh province 1904 detail'!AX48</f>
        <v>32211.214702040816</v>
      </c>
      <c r="S14" s="265">
        <f>Q14-R14</f>
        <v>-3.9058753864082973E-3</v>
      </c>
    </row>
    <row r="15" spans="1:19">
      <c r="A15" s="258" t="s">
        <v>866</v>
      </c>
      <c r="B15" s="251">
        <f>'Voronezh province 1904 detail'!AU24</f>
        <v>2.2424242424242427</v>
      </c>
      <c r="C15" s="261">
        <f>'Voronezh province 1904 detail'!K$24</f>
        <v>5.9451725987864439</v>
      </c>
      <c r="D15" s="280">
        <f t="shared" si="1"/>
        <v>13.331599160915058</v>
      </c>
      <c r="E15" s="274">
        <f t="shared" si="2"/>
        <v>1018.5738777719886</v>
      </c>
      <c r="F15" s="300"/>
      <c r="G15" s="251">
        <f t="shared" si="4"/>
        <v>329.2688171279168</v>
      </c>
      <c r="H15" s="251">
        <f t="shared" si="5"/>
        <v>30384.892684437418</v>
      </c>
      <c r="I15" s="251">
        <f t="shared" si="6"/>
        <v>1104.4412737431633</v>
      </c>
      <c r="J15" s="251">
        <f t="shared" si="10"/>
        <v>32837.176653080489</v>
      </c>
      <c r="K15" s="258" t="s">
        <v>866</v>
      </c>
      <c r="L15" s="267">
        <f t="shared" ref="L15:L19" si="11">946.75-P15</f>
        <v>454.2288914388597</v>
      </c>
      <c r="M15" s="177"/>
      <c r="N15" s="262">
        <f>'Voronezh sample 1897'!BH$14</f>
        <v>146.83609412461152</v>
      </c>
      <c r="O15" s="238">
        <f>'Voronezh province 1904 detail'!AW49-146.84</f>
        <v>13550.019710627495</v>
      </c>
      <c r="P15" s="262">
        <f>'Voronezh province 1904 detail'!AF$12</f>
        <v>492.5211085611403</v>
      </c>
      <c r="Q15" s="263">
        <f t="shared" ref="Q15:Q19" si="12">SUM(L15:P15)</f>
        <v>14643.605804752107</v>
      </c>
      <c r="R15" s="266">
        <f>'Voronezh province 1904 detail'!AX49</f>
        <v>14643.609710627496</v>
      </c>
      <c r="S15" s="265">
        <f t="shared" ref="S15:S19" si="13">Q15-R15</f>
        <v>-3.9058753882272867E-3</v>
      </c>
    </row>
    <row r="16" spans="1:19">
      <c r="A16" s="258" t="s">
        <v>867</v>
      </c>
      <c r="B16" s="251">
        <f>'Voronezh province 1904 detail'!AU25</f>
        <v>8.8706896551724146</v>
      </c>
      <c r="C16" s="261">
        <f>'Voronezh province 1904 detail'!K$24</f>
        <v>5.9451725987864439</v>
      </c>
      <c r="D16" s="280">
        <f t="shared" si="1"/>
        <v>52.737781070269406</v>
      </c>
      <c r="E16" s="274">
        <f t="shared" si="2"/>
        <v>4029.3235283671265</v>
      </c>
      <c r="F16" s="300"/>
      <c r="G16" s="251">
        <f t="shared" si="4"/>
        <v>1302.5374211571143</v>
      </c>
      <c r="H16" s="251">
        <f t="shared" si="5"/>
        <v>59332.655544827583</v>
      </c>
      <c r="I16" s="251">
        <f t="shared" si="6"/>
        <v>4369.0019026673572</v>
      </c>
      <c r="J16" s="251">
        <f t="shared" si="10"/>
        <v>69033.518397019172</v>
      </c>
      <c r="K16" s="258" t="s">
        <v>867</v>
      </c>
      <c r="L16" s="267">
        <f t="shared" si="11"/>
        <v>454.2288914388597</v>
      </c>
      <c r="M16" s="177"/>
      <c r="N16" s="262">
        <f>'Voronezh sample 1897'!BH$14</f>
        <v>146.83609412461152</v>
      </c>
      <c r="O16" s="238">
        <f>'Voronezh province 1904 detail'!AW50-146.84</f>
        <v>6688.6181177842554</v>
      </c>
      <c r="P16" s="262">
        <f>'Voronezh province 1904 detail'!AF$12</f>
        <v>492.5211085611403</v>
      </c>
      <c r="Q16" s="263">
        <f t="shared" si="12"/>
        <v>7782.2042119088665</v>
      </c>
      <c r="R16" s="266">
        <f>'Voronezh province 1904 detail'!AX50</f>
        <v>7782.2081177842556</v>
      </c>
      <c r="S16" s="265">
        <f t="shared" si="13"/>
        <v>-3.9058753891367815E-3</v>
      </c>
    </row>
    <row r="17" spans="1:19">
      <c r="A17" s="258" t="s">
        <v>869</v>
      </c>
      <c r="B17" s="251">
        <f>'Voronezh province 1904 detail'!AU26</f>
        <v>67.535836177474408</v>
      </c>
      <c r="C17" s="261">
        <f>'Voronezh province 1904 detail'!K$24</f>
        <v>5.9451725987864439</v>
      </c>
      <c r="D17" s="280">
        <f t="shared" si="1"/>
        <v>401.51220267845105</v>
      </c>
      <c r="E17" s="274">
        <f t="shared" si="2"/>
        <v>30676.727999290637</v>
      </c>
      <c r="F17" s="300"/>
      <c r="G17" s="251">
        <f t="shared" si="4"/>
        <v>9916.6983977399759</v>
      </c>
      <c r="H17" s="251">
        <f t="shared" si="5"/>
        <v>197953.98055211463</v>
      </c>
      <c r="I17" s="251">
        <f t="shared" si="6"/>
        <v>33262.824901733256</v>
      </c>
      <c r="J17" s="251">
        <f t="shared" si="10"/>
        <v>271810.23185087851</v>
      </c>
      <c r="K17" s="258" t="s">
        <v>869</v>
      </c>
      <c r="L17" s="267">
        <f t="shared" si="11"/>
        <v>454.2288914388597</v>
      </c>
      <c r="M17" s="177"/>
      <c r="N17" s="262">
        <f>'Voronezh sample 1897'!BH$14</f>
        <v>146.83609412461152</v>
      </c>
      <c r="O17" s="238">
        <f>'Voronezh province 1904 detail'!AW51-146.84</f>
        <v>2931.0954266105509</v>
      </c>
      <c r="P17" s="262">
        <f>'Voronezh province 1904 detail'!AF$12</f>
        <v>492.5211085611403</v>
      </c>
      <c r="Q17" s="263">
        <f t="shared" si="12"/>
        <v>4024.6815207351624</v>
      </c>
      <c r="R17" s="266">
        <f>'Voronezh province 1904 detail'!AX51</f>
        <v>4024.6854266105511</v>
      </c>
      <c r="S17" s="265">
        <f t="shared" si="13"/>
        <v>-3.9058753886820341E-3</v>
      </c>
    </row>
    <row r="18" spans="1:19">
      <c r="A18" s="258" t="s">
        <v>871</v>
      </c>
      <c r="B18" s="251">
        <f>'Voronezh province 1904 detail'!AU27</f>
        <v>119.22988505747126</v>
      </c>
      <c r="C18" s="261">
        <f>'Voronezh province 1904 detail'!K$24</f>
        <v>5.9451725987864439</v>
      </c>
      <c r="D18" s="280">
        <f t="shared" si="1"/>
        <v>708.84224560013547</v>
      </c>
      <c r="E18" s="274">
        <f t="shared" si="2"/>
        <v>54157.658516037838</v>
      </c>
      <c r="F18" s="300"/>
      <c r="G18" s="251">
        <f t="shared" si="4"/>
        <v>17507.250624765464</v>
      </c>
      <c r="H18" s="251">
        <f t="shared" si="5"/>
        <v>155483.43861805616</v>
      </c>
      <c r="I18" s="251">
        <f t="shared" si="6"/>
        <v>58723.235162123085</v>
      </c>
      <c r="J18" s="251">
        <f t="shared" si="10"/>
        <v>285871.58292098256</v>
      </c>
      <c r="K18" s="258" t="s">
        <v>871</v>
      </c>
      <c r="L18" s="267">
        <f t="shared" si="11"/>
        <v>454.2288914388597</v>
      </c>
      <c r="M18" s="177"/>
      <c r="N18" s="262">
        <f>'Voronezh sample 1897'!BH$14</f>
        <v>146.83609412461152</v>
      </c>
      <c r="O18" s="238">
        <f>'Voronezh province 1904 detail'!AW52-146.84</f>
        <v>1304.064316954679</v>
      </c>
      <c r="P18" s="262">
        <f>'Voronezh province 1904 detail'!AF$12</f>
        <v>492.5211085611403</v>
      </c>
      <c r="Q18" s="263">
        <f t="shared" si="12"/>
        <v>2397.6504110792907</v>
      </c>
      <c r="R18" s="266">
        <f>'Voronezh province 1904 detail'!AX52</f>
        <v>2397.654316954679</v>
      </c>
      <c r="S18" s="265">
        <f t="shared" si="13"/>
        <v>-3.9058753882272867E-3</v>
      </c>
    </row>
    <row r="19" spans="1:19">
      <c r="A19" s="258" t="s">
        <v>873</v>
      </c>
      <c r="B19" s="251">
        <f>'Voronezh province 1904 detail'!AU28</f>
        <v>3766.1788571751499</v>
      </c>
      <c r="C19" s="261">
        <f>'Voronezh province 1904 detail'!K$24</f>
        <v>5.9451725987864439</v>
      </c>
      <c r="D19" s="280">
        <f t="shared" si="1"/>
        <v>22390.583343806546</v>
      </c>
      <c r="E19" s="274">
        <f t="shared" si="2"/>
        <v>1710707.24725514</v>
      </c>
      <c r="F19" s="300"/>
      <c r="G19" s="251">
        <f t="shared" si="4"/>
        <v>553010.99316229217</v>
      </c>
      <c r="H19" s="251">
        <f t="shared" si="5"/>
        <v>64525.991505031394</v>
      </c>
      <c r="I19" s="251">
        <f t="shared" si="6"/>
        <v>1854922.5857754333</v>
      </c>
      <c r="J19" s="251">
        <f t="shared" si="10"/>
        <v>4183166.8176978966</v>
      </c>
      <c r="K19" s="258" t="s">
        <v>873</v>
      </c>
      <c r="L19" s="267">
        <f t="shared" si="11"/>
        <v>454.2288914388597</v>
      </c>
      <c r="M19" s="177"/>
      <c r="N19" s="262">
        <f>'Voronezh sample 1897'!BH$14</f>
        <v>146.83609412461152</v>
      </c>
      <c r="O19" s="238">
        <f>'Voronezh province 1904 detail'!AW53-146.84</f>
        <v>17.13301304904823</v>
      </c>
      <c r="P19" s="262">
        <f>'Voronezh province 1904 detail'!AF$12</f>
        <v>492.5211085611403</v>
      </c>
      <c r="Q19" s="263">
        <f t="shared" si="12"/>
        <v>1110.7191071736597</v>
      </c>
      <c r="R19" s="266">
        <f>'Voronezh province 1904 detail'!AX53</f>
        <v>1110.7230130490482</v>
      </c>
      <c r="S19" s="265">
        <f t="shared" si="13"/>
        <v>-3.9058753884546604E-3</v>
      </c>
    </row>
    <row r="20" spans="1:19">
      <c r="A20" s="259" t="s">
        <v>368</v>
      </c>
      <c r="B20" s="251">
        <f>SUM(B7:B19)</f>
        <v>448873.01643299998</v>
      </c>
      <c r="C20" s="301">
        <f>D20/B20</f>
        <v>3.4222836936789185</v>
      </c>
      <c r="D20" s="251">
        <f>SUM(D7:D19)</f>
        <v>1536170.804671125</v>
      </c>
      <c r="K20" s="259" t="s">
        <v>368</v>
      </c>
      <c r="L20" s="281">
        <f>L14-(L11+M11)</f>
        <v>-2.7350895368272177E-3</v>
      </c>
      <c r="O20" s="240"/>
    </row>
    <row r="21" spans="1:19">
      <c r="R21" s="283" t="s">
        <v>172</v>
      </c>
    </row>
    <row r="22" spans="1:19">
      <c r="L22" s="282">
        <f>946.75-'Voronezh province 1904 summary'!P19</f>
        <v>454.2288914388597</v>
      </c>
      <c r="R22" s="283" t="s">
        <v>673</v>
      </c>
    </row>
    <row r="23" spans="1:19">
      <c r="R23" s="283" t="s">
        <v>668</v>
      </c>
    </row>
    <row r="24" spans="1:19">
      <c r="R24" s="283" t="s">
        <v>672</v>
      </c>
    </row>
    <row r="25" spans="1:19">
      <c r="L25" s="6" t="s">
        <v>102</v>
      </c>
      <c r="O25" s="315">
        <f>L14+P14</f>
        <v>946.75</v>
      </c>
      <c r="R25" s="283" t="s">
        <v>283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18"/>
  <sheetViews>
    <sheetView workbookViewId="0">
      <selection activeCell="H27" sqref="H27"/>
    </sheetView>
  </sheetViews>
  <sheetFormatPr baseColWidth="10" defaultRowHeight="13"/>
  <cols>
    <col min="3" max="3" width="12.28515625" customWidth="1"/>
    <col min="4" max="4" width="10.7109375" style="76"/>
    <col min="5" max="5" width="10.7109375" style="80"/>
    <col min="6" max="6" width="11.42578125" customWidth="1"/>
    <col min="7" max="7" width="10.5703125" style="83" customWidth="1"/>
    <col min="8" max="8" width="14.28515625" style="83" customWidth="1"/>
    <col min="9" max="9" width="8.7109375" style="86" customWidth="1"/>
    <col min="10" max="10" width="10.5703125" customWidth="1"/>
  </cols>
  <sheetData>
    <row r="1" spans="1:10">
      <c r="F1" t="s">
        <v>406</v>
      </c>
      <c r="J1" t="s">
        <v>442</v>
      </c>
    </row>
    <row r="2" spans="1:10">
      <c r="C2" t="s">
        <v>338</v>
      </c>
      <c r="D2" s="79" t="s">
        <v>419</v>
      </c>
      <c r="E2" s="81" t="s">
        <v>429</v>
      </c>
      <c r="F2" s="81" t="s">
        <v>429</v>
      </c>
      <c r="G2" s="83" t="s">
        <v>520</v>
      </c>
      <c r="H2" s="84" t="s">
        <v>429</v>
      </c>
      <c r="I2" s="87" t="s">
        <v>248</v>
      </c>
      <c r="J2" s="75" t="s">
        <v>352</v>
      </c>
    </row>
    <row r="3" spans="1:10">
      <c r="C3" s="75" t="s">
        <v>336</v>
      </c>
      <c r="D3" s="79" t="s">
        <v>309</v>
      </c>
      <c r="E3" s="81" t="s">
        <v>430</v>
      </c>
      <c r="F3" s="81" t="s">
        <v>430</v>
      </c>
      <c r="G3" s="83" t="s">
        <v>521</v>
      </c>
      <c r="H3" s="84" t="s">
        <v>523</v>
      </c>
      <c r="I3" s="87" t="s">
        <v>249</v>
      </c>
      <c r="J3" s="75" t="s">
        <v>398</v>
      </c>
    </row>
    <row r="4" spans="1:10">
      <c r="C4" s="75" t="s">
        <v>337</v>
      </c>
      <c r="D4" s="79" t="s">
        <v>527</v>
      </c>
      <c r="E4" s="81" t="s">
        <v>428</v>
      </c>
      <c r="F4" t="s">
        <v>519</v>
      </c>
      <c r="G4" s="83" t="s">
        <v>522</v>
      </c>
      <c r="H4" s="83" t="s">
        <v>519</v>
      </c>
      <c r="I4" s="87" t="s">
        <v>250</v>
      </c>
      <c r="J4" s="75" t="s">
        <v>521</v>
      </c>
    </row>
    <row r="5" spans="1:10">
      <c r="A5" t="s">
        <v>401</v>
      </c>
      <c r="C5">
        <v>372.8</v>
      </c>
      <c r="D5" s="76">
        <v>44.405499177018086</v>
      </c>
      <c r="E5" s="80">
        <v>29633.367272727271</v>
      </c>
      <c r="F5" s="82">
        <v>171.59751044762692</v>
      </c>
      <c r="G5" s="83">
        <v>0.4860616089329084</v>
      </c>
      <c r="H5" s="83">
        <f>F5*G5/100</f>
        <v>0.83406962017055097</v>
      </c>
      <c r="I5" s="86">
        <v>31.08067928290329</v>
      </c>
      <c r="J5" s="90">
        <f>H5+I5</f>
        <v>31.914748903073843</v>
      </c>
    </row>
    <row r="6" spans="1:10">
      <c r="A6" t="s">
        <v>400</v>
      </c>
      <c r="C6">
        <v>394.7</v>
      </c>
      <c r="D6" s="76">
        <v>69.035749387204106</v>
      </c>
      <c r="E6" s="80">
        <v>29549.16</v>
      </c>
      <c r="F6" s="82">
        <v>91.350858564209872</v>
      </c>
      <c r="G6" s="83">
        <v>14.341619129112503</v>
      </c>
      <c r="H6" s="83">
        <f t="shared" ref="H6:H10" si="0">F6*G6/100</f>
        <v>13.101192206453231</v>
      </c>
      <c r="I6" s="86">
        <v>26.505998291777882</v>
      </c>
      <c r="J6" s="90">
        <f t="shared" ref="J6:J10" si="1">H6+I6</f>
        <v>39.607190498231112</v>
      </c>
    </row>
    <row r="7" spans="1:10">
      <c r="A7" t="s">
        <v>334</v>
      </c>
      <c r="C7">
        <v>438.3</v>
      </c>
      <c r="D7" s="76">
        <v>70.575140025340744</v>
      </c>
      <c r="E7" s="80">
        <v>29937.3</v>
      </c>
      <c r="F7" s="82">
        <v>145.99884989248548</v>
      </c>
      <c r="G7" s="83">
        <v>2.0335159489539012</v>
      </c>
      <c r="H7" s="83">
        <f t="shared" si="0"/>
        <v>2.9689098978529582</v>
      </c>
      <c r="I7" s="89">
        <v>30.488185572282006</v>
      </c>
      <c r="J7" s="90">
        <f t="shared" si="1"/>
        <v>33.457095470134966</v>
      </c>
    </row>
    <row r="8" spans="1:10">
      <c r="A8" t="s">
        <v>335</v>
      </c>
      <c r="C8">
        <v>452.8</v>
      </c>
      <c r="D8" s="76">
        <v>62.759772170185556</v>
      </c>
      <c r="E8" s="80">
        <v>30741.753061224488</v>
      </c>
      <c r="F8" s="82">
        <v>281.53054346218011</v>
      </c>
      <c r="G8" s="83">
        <v>1.8220403701515453</v>
      </c>
      <c r="H8" s="83">
        <f t="shared" si="0"/>
        <v>5.1296001561879629</v>
      </c>
      <c r="I8" s="86">
        <v>37.391539708258215</v>
      </c>
      <c r="J8" s="90">
        <f t="shared" si="1"/>
        <v>42.521139864446177</v>
      </c>
    </row>
    <row r="9" spans="1:10">
      <c r="A9" t="s">
        <v>399</v>
      </c>
      <c r="C9">
        <v>469.4</v>
      </c>
      <c r="D9" s="76">
        <v>54.115501663726043</v>
      </c>
      <c r="E9" s="80">
        <v>26487.360000000001</v>
      </c>
      <c r="F9" s="82">
        <v>14.651441582586868</v>
      </c>
      <c r="G9" s="83">
        <v>60.215973676724687</v>
      </c>
      <c r="H9" s="83">
        <f t="shared" si="0"/>
        <v>8.8225082066312037</v>
      </c>
      <c r="I9" s="86">
        <v>42.881931896244758</v>
      </c>
      <c r="J9" s="90">
        <f t="shared" si="1"/>
        <v>51.704440102875964</v>
      </c>
    </row>
    <row r="10" spans="1:10">
      <c r="A10" t="s">
        <v>395</v>
      </c>
      <c r="C10" s="74">
        <v>879</v>
      </c>
      <c r="D10" s="76">
        <v>80.403557176520749</v>
      </c>
      <c r="E10" s="80">
        <v>27360.876923076921</v>
      </c>
      <c r="F10" s="82">
        <v>44.304763473814134</v>
      </c>
      <c r="G10" s="83">
        <v>9.154486087722546</v>
      </c>
      <c r="H10" s="83">
        <f t="shared" si="0"/>
        <v>4.0558734084086954</v>
      </c>
      <c r="I10" s="88">
        <v>18.134598359315284</v>
      </c>
      <c r="J10" s="90">
        <f t="shared" si="1"/>
        <v>22.190471767723977</v>
      </c>
    </row>
    <row r="13" spans="1:10">
      <c r="C13" s="75" t="s">
        <v>397</v>
      </c>
      <c r="D13" s="77">
        <f>CORREL($C5:$C10, D5:D10)</f>
        <v>0.67395581534799365</v>
      </c>
      <c r="E13" s="77">
        <f>CORREL($C5:$C10, E5:E10)</f>
        <v>-0.52876472502807303</v>
      </c>
      <c r="F13" s="77">
        <f>CORREL($C5:$C10, F5:F10)</f>
        <v>-0.4188924045745539</v>
      </c>
      <c r="G13" s="77">
        <f t="shared" ref="G13:H13" si="2">CORREL($C5:$C10, G5:G10)</f>
        <v>-1.1984571607966647E-2</v>
      </c>
      <c r="H13" s="77">
        <f t="shared" si="2"/>
        <v>-0.16343541553948465</v>
      </c>
      <c r="I13" s="77">
        <f t="shared" ref="I13:J13" si="3">CORREL($C5:$C10, I5:I10)</f>
        <v>-0.62387009372385427</v>
      </c>
      <c r="J13" s="77">
        <f t="shared" si="3"/>
        <v>-0.60110398013535682</v>
      </c>
    </row>
    <row r="14" spans="1:10">
      <c r="C14" s="75" t="s">
        <v>418</v>
      </c>
      <c r="D14" s="85">
        <f>CORREL($C5:$C9, D5:D9)</f>
        <v>0.27972956702377405</v>
      </c>
      <c r="E14" s="78">
        <f>CORREL($C5:$C9, E5:E9)</f>
        <v>-0.38429850504069185</v>
      </c>
      <c r="F14" s="78">
        <f>CORREL($C5:$C9, F5:F9)</f>
        <v>-0.10791962442136398</v>
      </c>
      <c r="G14" s="85">
        <f t="shared" ref="G14:H14" si="4">CORREL($C5:$C9, G5:G9)</f>
        <v>0.54386422857672978</v>
      </c>
      <c r="H14" s="78">
        <f t="shared" si="4"/>
        <v>0.14547746415964488</v>
      </c>
      <c r="I14" s="78">
        <f t="shared" ref="I14:J14" si="5">CORREL($C5:$C9, I5:I9)</f>
        <v>0.78590752620965165</v>
      </c>
      <c r="J14" s="85">
        <f t="shared" si="5"/>
        <v>0.72941551041479336</v>
      </c>
    </row>
    <row r="16" spans="1:10">
      <c r="A16" t="s">
        <v>415</v>
      </c>
    </row>
    <row r="17" spans="1:1">
      <c r="A17" t="s">
        <v>618</v>
      </c>
    </row>
    <row r="18" spans="1:1">
      <c r="A18" t="s">
        <v>532</v>
      </c>
    </row>
  </sheetData>
  <sortState ref="A5:XFD10">
    <sortCondition ref="C5:C10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Sources &amp; notes </vt:lpstr>
      <vt:lpstr>peasant income summary</vt:lpstr>
      <vt:lpstr>T 4 Peasant incomes 50 prov's</vt:lpstr>
      <vt:lpstr>peasant income details</vt:lpstr>
      <vt:lpstr>Voronezh sample 1897</vt:lpstr>
      <vt:lpstr>Voronezh province 1904 detail</vt:lpstr>
      <vt:lpstr>Voronezh province 1904 summary</vt:lpstr>
      <vt:lpstr>some ave's 6 zemstvo studies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2011-09-22T02:23:32Z</dcterms:created>
  <dcterms:modified xsi:type="dcterms:W3CDTF">2012-03-23T19:10:26Z</dcterms:modified>
</cp:coreProperties>
</file>