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0" yWindow="940" windowWidth="15580" windowHeight="11800" firstSheet="2" activeTab="3"/>
  </bookViews>
  <sheets>
    <sheet name="Notes" sheetId="1" r:id="rId1"/>
    <sheet name="1860 Variable List" sheetId="2" r:id="rId2"/>
    <sheet name="Slave LF earnings 1860" sheetId="3" r:id="rId3"/>
    <sheet name="Free LF earnings 1860" sheetId="4" r:id="rId4"/>
    <sheet name="Sources" sheetId="5" r:id="rId5"/>
  </sheets>
  <definedNames/>
  <calcPr fullCalcOnLoad="1"/>
</workbook>
</file>

<file path=xl/sharedStrings.xml><?xml version="1.0" encoding="utf-8"?>
<sst xmlns="http://schemas.openxmlformats.org/spreadsheetml/2006/main" count="640" uniqueCount="202">
  <si>
    <t xml:space="preserve">The census Mountain region has scarce wage and earnings data, so we have estimated by cloning with regional and/or occupation relatives. Urban examples: urban MT female domestics = CA female domestics x the ratio of male common labor MT/CA; urban MT artisans= CA urban artisans x the ratio of male common labor MT/CA; urban MT construction = CA urban construction x the ratio of male common labor MT/CA; ibid for clerks and teachers. </t>
  </si>
  <si>
    <t>Like Mountain region, the census Pacific region ofen also has scarce wage and earnings data, so we have again estimated by cloning with regional and/or occupation relatives. Urban examples: CA and MT lawyers are estimated as the MT/WSC and CA/WSC ratios for judges; ibid. for treasurers, commissioners, technical, physicians, and clergy.</t>
  </si>
  <si>
    <t>Revised 3-15-2012, based on revised manufacturing wages (and thus teachers' earnings) JGW</t>
  </si>
  <si>
    <r>
      <t xml:space="preserve">Earnings for the </t>
    </r>
    <r>
      <rPr>
        <b/>
        <sz val="16"/>
        <color indexed="10"/>
        <rFont val="Arial"/>
        <family val="0"/>
      </rPr>
      <t>1860</t>
    </r>
    <r>
      <rPr>
        <b/>
        <sz val="16"/>
        <rFont val="Arial"/>
        <family val="2"/>
      </rPr>
      <t xml:space="preserve"> free labor force (assuming farm operators earn the same as farm laborers)</t>
    </r>
  </si>
  <si>
    <t xml:space="preserve">The following are listed above, but were territiories until getting statehood in: KS 1861, NB 1867, UT 1896, and NM 1912. We have no data on WV 1863, NV 1864, CO 1876, MT 1889, N &amp; SD 1889, WY 1890, ID 1890, OK 1907, and AZ 1912.  </t>
  </si>
  <si>
    <t>Female Unskilled</t>
  </si>
  <si>
    <t>Male Unskilled</t>
  </si>
  <si>
    <t>Female Manufacturing</t>
  </si>
  <si>
    <t>Male Manufacturing</t>
  </si>
  <si>
    <t>All Manufacturing</t>
  </si>
  <si>
    <t>All Male White Collar (WC)</t>
  </si>
  <si>
    <t>Male WC: clerk</t>
  </si>
  <si>
    <t>Male WC: judge</t>
  </si>
  <si>
    <t>Male WC: lawyer</t>
  </si>
  <si>
    <t>Male WC: treasurer</t>
  </si>
  <si>
    <t>Male WC: commissioner</t>
  </si>
  <si>
    <t>Male WC: technical</t>
  </si>
  <si>
    <t>Female White Collar (WC): teacher</t>
  </si>
  <si>
    <t>Male WC: teacher</t>
  </si>
  <si>
    <t>Male WC: clergy</t>
  </si>
  <si>
    <t>All Male Unskilled (UNS)</t>
  </si>
  <si>
    <t>Male UNS: common labor</t>
  </si>
  <si>
    <t>Male UNS: seaman</t>
  </si>
  <si>
    <t>Unskilled females (domestics) and unskilled males (common labor) annual earnings are reported by Lebergott as regional averages, which are then augmented by in kind payments. Lebergott's weeklywage by state and region are then used to estimate the state annual figures. See "Wage data summary 1860.xls" for sources.</t>
  </si>
  <si>
    <t>Mining</t>
  </si>
  <si>
    <t>Unskilled Male: common labor</t>
  </si>
  <si>
    <t>Unskilled Male: boatman</t>
  </si>
  <si>
    <t>Michigan</t>
  </si>
  <si>
    <t>Male WC: clerks</t>
  </si>
  <si>
    <t>Rural male WC: clerks are estimated by averages in rural states, allowing for the higher averages in southern states (rural state averages: US 542.95; north 454.67; south 699.90). Rural states include: south = GA, NC, FL, AK, TX, KY, TN, MS, AL; north = ME, NH, VT, CT, RI, NJ, OH, IN, IL, MI, WI, MN, IA, NB, KS, MO.</t>
  </si>
  <si>
    <t>Earnings data from "Wage data summary 1860.xls" file, various worksheets.</t>
  </si>
  <si>
    <t>Unskilled Female: domestic</t>
  </si>
  <si>
    <t>Manufacturing: All</t>
  </si>
  <si>
    <t>Manufacturing: Male</t>
  </si>
  <si>
    <t>Manufacuring: Female</t>
  </si>
  <si>
    <t>Unskilled Male</t>
  </si>
  <si>
    <t>Unskilled Female</t>
  </si>
  <si>
    <t>'All regional averages are unweighted.</t>
  </si>
  <si>
    <t>Male WC: physician</t>
  </si>
  <si>
    <t>Male WC: Army officer</t>
  </si>
  <si>
    <t>Male WC: Naval officer</t>
  </si>
  <si>
    <t>Male WC: warehousman</t>
  </si>
  <si>
    <t>Male UNS: soldier</t>
  </si>
  <si>
    <r>
      <t xml:space="preserve">Mid Atlantic </t>
    </r>
    <r>
      <rPr>
        <b/>
        <sz val="10"/>
        <color indexed="10"/>
        <rFont val="Arial"/>
        <family val="0"/>
      </rPr>
      <t>(NJ, NY, PA only)</t>
    </r>
  </si>
  <si>
    <r>
      <t>South</t>
    </r>
    <r>
      <rPr>
        <b/>
        <sz val="10"/>
        <color indexed="10"/>
        <rFont val="Arial"/>
        <family val="0"/>
      </rPr>
      <t xml:space="preserve"> Atlantic</t>
    </r>
  </si>
  <si>
    <r>
      <t xml:space="preserve">South </t>
    </r>
    <r>
      <rPr>
        <b/>
        <sz val="10"/>
        <color indexed="10"/>
        <rFont val="Arial"/>
        <family val="0"/>
      </rPr>
      <t>Atlantic</t>
    </r>
    <r>
      <rPr>
        <b/>
        <sz val="10"/>
        <rFont val="Arial"/>
        <family val="2"/>
      </rPr>
      <t xml:space="preserve"> - DC, DE, FL (</t>
    </r>
    <r>
      <rPr>
        <b/>
        <sz val="10"/>
        <color indexed="10"/>
        <rFont val="Arial"/>
        <family val="0"/>
      </rPr>
      <t>for comparison with 1774</t>
    </r>
    <r>
      <rPr>
        <b/>
        <sz val="10"/>
        <rFont val="Arial"/>
        <family val="2"/>
      </rPr>
      <t>)</t>
    </r>
  </si>
  <si>
    <r>
      <rPr>
        <b/>
        <u val="single"/>
        <sz val="10"/>
        <rFont val="Arial"/>
        <family val="2"/>
      </rPr>
      <t>Slave annual earnings</t>
    </r>
    <r>
      <rPr>
        <sz val="10"/>
        <rFont val="Arial"/>
        <family val="0"/>
      </rPr>
      <t>: Derived as free labor force earnings (see "Free LF earnings 1860" worksheet in this file) times the assumed slave retention rate (see the "1860 Slaves' worksheet in the "Wage data summary 1860.xls" file). The location-specific retention rates (%) applied are:</t>
    </r>
  </si>
  <si>
    <r>
      <t xml:space="preserve">South </t>
    </r>
    <r>
      <rPr>
        <b/>
        <sz val="10"/>
        <color indexed="10"/>
        <rFont val="Arial"/>
        <family val="0"/>
      </rPr>
      <t xml:space="preserve">Atlantic </t>
    </r>
    <r>
      <rPr>
        <b/>
        <sz val="10"/>
        <rFont val="Arial"/>
        <family val="2"/>
      </rPr>
      <t>- DE - DC - MD</t>
    </r>
  </si>
  <si>
    <r>
      <t xml:space="preserve">Total (13 original </t>
    </r>
    <r>
      <rPr>
        <b/>
        <sz val="10"/>
        <color indexed="10"/>
        <rFont val="Arial"/>
        <family val="0"/>
      </rPr>
      <t>colonies = 15 states + DC</t>
    </r>
    <r>
      <rPr>
        <b/>
        <sz val="10"/>
        <color indexed="8"/>
        <rFont val="Arial"/>
        <family val="2"/>
      </rPr>
      <t>)</t>
    </r>
  </si>
  <si>
    <r>
      <t xml:space="preserve">Total </t>
    </r>
    <r>
      <rPr>
        <b/>
        <sz val="10"/>
        <color indexed="10"/>
        <rFont val="Arial"/>
        <family val="0"/>
      </rPr>
      <t>(same + West, below</t>
    </r>
    <r>
      <rPr>
        <b/>
        <sz val="10"/>
        <color indexed="8"/>
        <rFont val="Arial"/>
        <family val="2"/>
      </rPr>
      <t>)</t>
    </r>
  </si>
  <si>
    <t>Female WC: teacher</t>
  </si>
  <si>
    <t>Female Unskilled: domestic</t>
  </si>
  <si>
    <r>
      <t xml:space="preserve">South </t>
    </r>
    <r>
      <rPr>
        <b/>
        <sz val="10"/>
        <color indexed="10"/>
        <rFont val="Arial"/>
        <family val="0"/>
      </rPr>
      <t xml:space="preserve">Atlantic </t>
    </r>
    <r>
      <rPr>
        <b/>
        <sz val="10"/>
        <color indexed="8"/>
        <rFont val="Arial"/>
        <family val="2"/>
      </rPr>
      <t>- DE, DC, MD</t>
    </r>
  </si>
  <si>
    <t>MicHigan</t>
  </si>
  <si>
    <t>na</t>
  </si>
  <si>
    <r>
      <rPr>
        <b/>
        <u val="single"/>
        <sz val="10"/>
        <rFont val="Arial"/>
        <family val="2"/>
      </rPr>
      <t>Non-farm occupation distribution</t>
    </r>
    <r>
      <rPr>
        <sz val="10"/>
        <rFont val="Arial"/>
        <family val="0"/>
      </rPr>
      <t>: Rural or urban slaves doing non-farm work are assumed to have been either artisans, construction workers, or unskilled (females = domestics, maids, cooks, laundresses, etc.; males = house servants, grooms, porters, coach and carriage drivers, teamsters, gardeners, etc.). The small numbers in other trades are ignored. The distribution of slaves between artisan and construction are assumed to have been equal. Thus, the slave occupation distribution (in %) is: farm 90.6; Non-farm 9.4% of which unskilled 5.94, artisans 1.73, and construction 1.73. For a defense of the distribution, see the "1860 Slaves' worksheet in the "Wage data summary 1860.xls" file.</t>
    </r>
  </si>
  <si>
    <r>
      <rPr>
        <b/>
        <u val="single"/>
        <sz val="10"/>
        <rFont val="Arial"/>
        <family val="2"/>
      </rPr>
      <t>Slave labor force</t>
    </r>
    <r>
      <rPr>
        <sz val="10"/>
        <rFont val="Arial"/>
        <family val="0"/>
      </rPr>
      <t>: Total, farm, rural non-farm and urban non-farm slave labor force from 1860 IPUMS.</t>
    </r>
  </si>
  <si>
    <r>
      <t>Mid Atlantic (</t>
    </r>
    <r>
      <rPr>
        <b/>
        <sz val="10"/>
        <color indexed="10"/>
        <rFont val="Arial"/>
        <family val="0"/>
      </rPr>
      <t>NJ, NY, PA only</t>
    </r>
    <r>
      <rPr>
        <b/>
        <sz val="10"/>
        <color indexed="8"/>
        <rFont val="Arial"/>
        <family val="2"/>
      </rPr>
      <t>)</t>
    </r>
  </si>
  <si>
    <r>
      <t xml:space="preserve">Total (13 </t>
    </r>
    <r>
      <rPr>
        <b/>
        <sz val="10"/>
        <color indexed="10"/>
        <rFont val="Arial"/>
        <family val="0"/>
      </rPr>
      <t>original colonies</t>
    </r>
    <r>
      <rPr>
        <b/>
        <sz val="10"/>
        <color indexed="8"/>
        <rFont val="Arial"/>
        <family val="2"/>
      </rPr>
      <t xml:space="preserve"> + DC + ME)</t>
    </r>
  </si>
  <si>
    <r>
      <t>Total (</t>
    </r>
    <r>
      <rPr>
        <b/>
        <sz val="10"/>
        <color indexed="10"/>
        <rFont val="Arial"/>
        <family val="0"/>
      </rPr>
      <t>same + West</t>
    </r>
    <r>
      <rPr>
        <b/>
        <sz val="10"/>
        <color indexed="8"/>
        <rFont val="Arial"/>
        <family val="2"/>
      </rPr>
      <t>)</t>
    </r>
  </si>
  <si>
    <t>Labor force from 1860 IPUMS.</t>
  </si>
  <si>
    <t>All annual earnings rates ($) by occupation are from "Wage data survey 1860.xls" file.</t>
  </si>
  <si>
    <t>(all figures, except per earner 00, in hundreds)</t>
  </si>
  <si>
    <t xml:space="preserve">Total </t>
  </si>
  <si>
    <t xml:space="preserve">Urban </t>
  </si>
  <si>
    <r>
      <t xml:space="preserve">South </t>
    </r>
    <r>
      <rPr>
        <b/>
        <sz val="10"/>
        <color indexed="10"/>
        <rFont val="Arial"/>
        <family val="0"/>
      </rPr>
      <t xml:space="preserve">Atlantic </t>
    </r>
  </si>
  <si>
    <t>Female Annual earnings</t>
  </si>
  <si>
    <t>Male Annual earnings</t>
  </si>
  <si>
    <t>Male Labor Force</t>
  </si>
  <si>
    <t>Female Labor Force</t>
  </si>
  <si>
    <t>Total Labor Force</t>
  </si>
  <si>
    <t>Total Annual earnings</t>
  </si>
  <si>
    <r>
      <rPr>
        <b/>
        <u val="single"/>
        <sz val="10"/>
        <color indexed="8"/>
        <rFont val="Arial"/>
        <family val="2"/>
      </rPr>
      <t>Female farm labor</t>
    </r>
    <r>
      <rPr>
        <sz val="10"/>
        <color indexed="8"/>
        <rFont val="Arial"/>
        <family val="2"/>
      </rPr>
      <t xml:space="preserve"> is assumed to be rewarded at 60% of the male rate. See the "1860 Farm" worksheet in the "Wage data summary 1860.xls" file.</t>
    </r>
  </si>
  <si>
    <t>Florida</t>
  </si>
  <si>
    <r>
      <t xml:space="preserve">South </t>
    </r>
    <r>
      <rPr>
        <b/>
        <sz val="10"/>
        <color indexed="10"/>
        <rFont val="Arial"/>
        <family val="0"/>
      </rPr>
      <t xml:space="preserve">Atlantic - DC, </t>
    </r>
    <r>
      <rPr>
        <b/>
        <sz val="10"/>
        <color indexed="8"/>
        <rFont val="Arial"/>
        <family val="2"/>
      </rPr>
      <t>DE, FL (</t>
    </r>
    <r>
      <rPr>
        <b/>
        <sz val="10"/>
        <color indexed="10"/>
        <rFont val="Arial"/>
        <family val="0"/>
      </rPr>
      <t>for 1774 comparisons</t>
    </r>
    <r>
      <rPr>
        <b/>
        <sz val="10"/>
        <color indexed="8"/>
        <rFont val="Arial"/>
        <family val="2"/>
      </rPr>
      <t>)</t>
    </r>
  </si>
  <si>
    <t xml:space="preserve">Female Farm Laborers </t>
  </si>
  <si>
    <t xml:space="preserve">Male Farm Laborers </t>
  </si>
  <si>
    <r>
      <rPr>
        <b/>
        <u val="single"/>
        <sz val="12"/>
        <rFont val="Arial"/>
        <family val="0"/>
      </rPr>
      <t>Labor force and occupations</t>
    </r>
    <r>
      <rPr>
        <sz val="12"/>
        <rFont val="Arial"/>
        <family val="0"/>
      </rPr>
      <t xml:space="preserve">: IPUMS, recoded to conform to Lindert-Williamson codes in the "LF &amp; Occs 1800" (September-October 2010) file, broken down in 1860 by urban, rural non-farm, and farm in the sub-files. </t>
    </r>
  </si>
  <si>
    <r>
      <rPr>
        <b/>
        <u val="single"/>
        <sz val="12"/>
        <rFont val="Arial"/>
        <family val="0"/>
      </rPr>
      <t xml:space="preserve">Average annual earnings of free labor </t>
    </r>
    <r>
      <rPr>
        <sz val="12"/>
        <rFont val="Arial"/>
        <family val="0"/>
      </rPr>
      <t>by occupation/region are derived by converting daily, weekly or monthly wage rates to annual by the per year work rates described in sheets "1860 FTE", "1860 teachers A", and "1860 teachers B" in "Wage data summary1860.xls". They include in-kind payments.</t>
    </r>
  </si>
  <si>
    <r>
      <rPr>
        <b/>
        <u val="single"/>
        <sz val="12"/>
        <rFont val="Arial"/>
        <family val="0"/>
      </rPr>
      <t>Slave annual earnings retained</t>
    </r>
    <r>
      <rPr>
        <sz val="12"/>
        <rFont val="Arial"/>
        <family val="0"/>
      </rPr>
      <t xml:space="preserve"> are derived as free labor force average location/occupation earnings (see "Free LF earnings 1860" worksheet) times </t>
    </r>
  </si>
  <si>
    <t>the assumed slave retention rate (see the sheet "1860 slaves" sheet in "Wage data summary1860.xls" file). The retention rates (%) are:</t>
  </si>
  <si>
    <t>Rural Non-farm</t>
  </si>
  <si>
    <t>Non-farm slaves are distributed between unskilled, artisan and construction. How they were distributed is elaborated in the "1860 slaves" sheet in the "Wage data summary1860.xls" file.</t>
  </si>
  <si>
    <t xml:space="preserve">(Retained) earnings for the 1860 slave labor force: </t>
  </si>
  <si>
    <t>East North Central</t>
  </si>
  <si>
    <t>West North Central</t>
  </si>
  <si>
    <t>East South Central</t>
  </si>
  <si>
    <t>West South Central</t>
  </si>
  <si>
    <t>Mountain</t>
  </si>
  <si>
    <t>Pacific</t>
  </si>
  <si>
    <t>United States</t>
  </si>
  <si>
    <t>Illinois</t>
  </si>
  <si>
    <t>Indiana</t>
  </si>
  <si>
    <t>Ohio</t>
  </si>
  <si>
    <t>Wisconsin</t>
  </si>
  <si>
    <t>Minnesota</t>
  </si>
  <si>
    <t>Iowa</t>
  </si>
  <si>
    <t>Kansas</t>
  </si>
  <si>
    <t>Missourri</t>
  </si>
  <si>
    <t>Nebraska</t>
  </si>
  <si>
    <t>Alabama</t>
  </si>
  <si>
    <t>Arkansas</t>
  </si>
  <si>
    <t>Louisiana</t>
  </si>
  <si>
    <t>Texas</t>
  </si>
  <si>
    <t>New Mexico</t>
  </si>
  <si>
    <t>Utah</t>
  </si>
  <si>
    <t>California</t>
  </si>
  <si>
    <t>Oregon</t>
  </si>
  <si>
    <t>Washington</t>
  </si>
  <si>
    <t xml:space="preserve">               Urban</t>
  </si>
  <si>
    <t>Rural non-farm</t>
  </si>
  <si>
    <t>Farm</t>
  </si>
  <si>
    <t>Rural Non-Farm</t>
  </si>
  <si>
    <t>Rural:</t>
  </si>
  <si>
    <t>Urban:</t>
  </si>
  <si>
    <t>Farm</t>
  </si>
  <si>
    <t xml:space="preserve">Grand Total  </t>
  </si>
  <si>
    <t xml:space="preserve">Total Rural Farm </t>
  </si>
  <si>
    <t>Total Urban and Rural Non-Farm</t>
  </si>
  <si>
    <t>West (KY + MS +TN)</t>
  </si>
  <si>
    <r>
      <rPr>
        <sz val="12"/>
        <rFont val="Arial"/>
        <family val="0"/>
      </rPr>
      <t xml:space="preserve">The </t>
    </r>
    <r>
      <rPr>
        <b/>
        <u val="single"/>
        <sz val="12"/>
        <rFont val="Arial"/>
        <family val="0"/>
      </rPr>
      <t>occupational grouping</t>
    </r>
    <r>
      <rPr>
        <b/>
        <sz val="12"/>
        <rFont val="Arial"/>
        <family val="0"/>
      </rPr>
      <t>s</t>
    </r>
    <r>
      <rPr>
        <sz val="12"/>
        <rFont val="Arial"/>
        <family val="0"/>
      </rPr>
      <t xml:space="preserve"> that make up the three urban and rural "sectors" are:</t>
    </r>
  </si>
  <si>
    <t>Non-farm</t>
  </si>
  <si>
    <t>are merged into urban here.</t>
  </si>
  <si>
    <t>(1) "Slave labor force (LF) earnings 1860" divided between earnings retained by slaves and earnings expropriated by owners, by occupation group and location;</t>
  </si>
  <si>
    <t>(5) "Total LF earnings 1860" = the sum of (1) and (2), by occupation and location.</t>
  </si>
  <si>
    <t>"Own-labor incomes" here means annual (not necessarily but typically full-time) earnings from human sources, as received by the laborer.</t>
  </si>
  <si>
    <t>This file is a building block in estimating total incomes, from property as well as from own-labor sources, in the "Total incomes 1860.xls" file.</t>
  </si>
  <si>
    <t xml:space="preserve">See other notes in this file and in the "Total incomes 1860.xls" file for discussions of the separation of farm operators' free labor earnings, property earnings, and residual profits.  </t>
  </si>
  <si>
    <t>Delaware is treated two ways, with implications for regional totals. First, it is included in what were called the Middle Colonies, while Maryland and the District of Columbia are included in the South, to be consistent with the Alice Hanson Jones 1774 regionalization of wealth. This is the definition used in our working paper "American Incomes Before and After the Revolution" (June 2011). Second, all three are moved to the Middle Atlantic to be consistent with subsequent census definitions and will be used in subsequent papers covering 1800-1870.</t>
  </si>
  <si>
    <t>$ per earner</t>
  </si>
  <si>
    <t>Mid Atlantic with DE, DC, MD</t>
  </si>
  <si>
    <t>Mid Atlantic with DE</t>
  </si>
  <si>
    <t>Mid Atlantic + DE</t>
  </si>
  <si>
    <t>Mid Atlantic + DE + DC + MD</t>
  </si>
  <si>
    <t>Labor force (100s)</t>
  </si>
  <si>
    <t>Total ($100s)</t>
  </si>
  <si>
    <t>Lindert-Williamson "Total incomes 1800.xls" file.</t>
  </si>
  <si>
    <t>Lindert-Williamson "LF &amp; Occs 1800.xls" file.</t>
  </si>
  <si>
    <t>Rural farm</t>
  </si>
  <si>
    <t>Farm operators</t>
  </si>
  <si>
    <t>Farm laborers</t>
  </si>
  <si>
    <t>Construction workers</t>
  </si>
  <si>
    <t>Unskilled workers</t>
  </si>
  <si>
    <r>
      <t>Occupation categories</t>
    </r>
    <r>
      <rPr>
        <b/>
        <sz val="12"/>
        <rFont val="Arial"/>
        <family val="0"/>
      </rPr>
      <t xml:space="preserve">: </t>
    </r>
    <r>
      <rPr>
        <sz val="12"/>
        <rFont val="Arial"/>
        <family val="0"/>
      </rPr>
      <t>Because the occupational and occupation wage detail thins out as we disaggregate, we report the labor force and earnings by the following aggregates (consistent with 1774 and 1800):</t>
    </r>
  </si>
  <si>
    <t>Urban (big city and small town combined)</t>
  </si>
  <si>
    <t>White collar</t>
  </si>
  <si>
    <t>Rural farm labor force</t>
  </si>
  <si>
    <t>Farm operator LF</t>
  </si>
  <si>
    <t>Lindert-Williamson "Wage data survey 1774-1860.xls" file.</t>
  </si>
  <si>
    <t>Lindert-Williamson "Rural Non-Farm Occ Dist.xls" file.</t>
  </si>
  <si>
    <t>Lindert-Williamson "Big cities 1800 by occ.xls" file.</t>
  </si>
  <si>
    <t>Lindert-Williamson "Small town data c1800.xls" file.</t>
  </si>
  <si>
    <t>(4) "Sources" of works cited in all files;</t>
  </si>
  <si>
    <t>Thus for slaves, it includes only what they retained, and not what the part of their earnings (or marginal product) that was expropriated by the owner or renter, which appears elsewhere as property income.</t>
  </si>
  <si>
    <t>Agricultural workers</t>
  </si>
  <si>
    <t>Lindert-Williamson "1800 Small Town Occ Dist.xls" file.</t>
  </si>
  <si>
    <t>Farm Operators</t>
  </si>
  <si>
    <t>The remaining worksheets in this Excel file =</t>
  </si>
  <si>
    <r>
      <t>General notes</t>
    </r>
    <r>
      <rPr>
        <b/>
        <sz val="12"/>
        <rFont val="Arial"/>
        <family val="0"/>
      </rPr>
      <t>:</t>
    </r>
  </si>
  <si>
    <r>
      <rPr>
        <b/>
        <u val="single"/>
        <sz val="12"/>
        <rFont val="Arial"/>
        <family val="0"/>
      </rPr>
      <t>Slave occupations and retained earnings</t>
    </r>
    <r>
      <rPr>
        <sz val="12"/>
        <rFont val="Arial"/>
        <family val="0"/>
      </rPr>
      <t>:</t>
    </r>
  </si>
  <si>
    <t>Urban</t>
  </si>
  <si>
    <t>Non-farm</t>
  </si>
  <si>
    <t>West</t>
  </si>
  <si>
    <t>Lindert-Williamson "Slave earnings retention 1800.xls" file.</t>
  </si>
  <si>
    <t>Lindert-Williamson "Slave Occ Distribution 1800.xls" file.</t>
  </si>
  <si>
    <t>State</t>
  </si>
  <si>
    <t>Connecticut</t>
  </si>
  <si>
    <t>Maine</t>
  </si>
  <si>
    <t>Massachusetts</t>
  </si>
  <si>
    <t>New Hampshire</t>
  </si>
  <si>
    <t>Rhode Island</t>
  </si>
  <si>
    <t>Vermont</t>
  </si>
  <si>
    <t>New England</t>
  </si>
  <si>
    <t>Delaware</t>
  </si>
  <si>
    <t>District of Columbia</t>
  </si>
  <si>
    <t>Maryland</t>
  </si>
  <si>
    <t>New Jersey</t>
  </si>
  <si>
    <t>New York</t>
  </si>
  <si>
    <t>Pennsylvania</t>
  </si>
  <si>
    <t>Georgia</t>
  </si>
  <si>
    <t>Kentucky</t>
  </si>
  <si>
    <t>Mississippi</t>
  </si>
  <si>
    <t>North Carolina</t>
  </si>
  <si>
    <t>South Carolina</t>
  </si>
  <si>
    <t>Tennessee</t>
  </si>
  <si>
    <t>Virginia</t>
  </si>
  <si>
    <t>Annual earnings</t>
  </si>
  <si>
    <t>per earner</t>
  </si>
  <si>
    <t>total</t>
  </si>
  <si>
    <t xml:space="preserve">Labor Force </t>
  </si>
  <si>
    <t>Total</t>
  </si>
  <si>
    <t>Artisans</t>
  </si>
  <si>
    <t>Construction</t>
  </si>
  <si>
    <t>Agriculture</t>
  </si>
  <si>
    <t>Unskilled</t>
  </si>
  <si>
    <t>White Collar</t>
  </si>
  <si>
    <t xml:space="preserve">Sources and Notes: </t>
  </si>
  <si>
    <t>Total annual earnings (00, $).</t>
  </si>
  <si>
    <r>
      <rPr>
        <b/>
        <u val="single"/>
        <sz val="10"/>
        <rFont val="Arial"/>
        <family val="2"/>
      </rPr>
      <t>Note</t>
    </r>
    <r>
      <rPr>
        <sz val="10"/>
        <rFont val="Arial"/>
        <family val="0"/>
      </rPr>
      <t xml:space="preserve">: This is consistent with the 1774 and 1800 groupings, except that "small town" and "big city" </t>
    </r>
  </si>
  <si>
    <t>(2) "Free LF earnings 1860" by occupation group and location;</t>
  </si>
  <si>
    <t>(3) "1860 Variable List" reporting occupations/location in the files;</t>
  </si>
  <si>
    <t>Notes to the "Own-labor incomes 1860.xls" file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</si>
</sst>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s>
  <fonts count="44">
    <font>
      <sz val="10"/>
      <name val="Arial"/>
      <family val="0"/>
    </font>
    <font>
      <b/>
      <sz val="11"/>
      <color indexed="8"/>
      <name val="Calibri"/>
      <family val="2"/>
    </font>
    <font>
      <b/>
      <sz val="14"/>
      <color indexed="8"/>
      <name val="Calibri"/>
      <family val="2"/>
    </font>
    <font>
      <b/>
      <sz val="10"/>
      <name val="Arial"/>
      <family val="2"/>
    </font>
    <font>
      <sz val="10"/>
      <color indexed="8"/>
      <name val="Arial"/>
      <family val="2"/>
    </font>
    <font>
      <sz val="10"/>
      <color indexed="8"/>
      <name val="Calibri"/>
      <family val="0"/>
    </font>
    <font>
      <b/>
      <sz val="10"/>
      <color indexed="8"/>
      <name val="Calibri"/>
      <family val="2"/>
    </font>
    <font>
      <b/>
      <sz val="11"/>
      <name val="Arial"/>
      <family val="2"/>
    </font>
    <font>
      <b/>
      <sz val="9"/>
      <color indexed="8"/>
      <name val="Calibri"/>
      <family val="2"/>
    </font>
    <font>
      <sz val="9"/>
      <color indexed="8"/>
      <name val="Calibri"/>
      <family val="2"/>
    </font>
    <font>
      <b/>
      <sz val="16"/>
      <name val="Arial"/>
      <family val="2"/>
    </font>
    <font>
      <sz val="10"/>
      <name val="Times New Roman"/>
      <family val="1"/>
    </font>
    <font>
      <b/>
      <sz val="10"/>
      <color indexed="8"/>
      <name val="Arial"/>
      <family val="2"/>
    </font>
    <font>
      <sz val="12"/>
      <name val="Arial"/>
      <family val="0"/>
    </font>
    <font>
      <b/>
      <u val="single"/>
      <sz val="12"/>
      <name val="Arial"/>
      <family val="0"/>
    </font>
    <font>
      <b/>
      <sz val="12"/>
      <name val="Arial"/>
      <family val="0"/>
    </font>
    <font>
      <u val="single"/>
      <sz val="12"/>
      <name val="Arial"/>
      <family val="0"/>
    </font>
    <font>
      <u val="single"/>
      <sz val="10"/>
      <color indexed="20"/>
      <name val="Arial"/>
      <family val="2"/>
    </font>
    <font>
      <u val="single"/>
      <sz val="10"/>
      <color indexed="12"/>
      <name val="Arial"/>
      <family val="0"/>
    </font>
    <font>
      <b/>
      <sz val="14"/>
      <color indexed="8"/>
      <name val="Arial"/>
      <family val="2"/>
    </font>
    <font>
      <sz val="8"/>
      <name val="Verdana"/>
      <family val="0"/>
    </font>
    <font>
      <b/>
      <sz val="10"/>
      <color indexed="10"/>
      <name val="Arial"/>
      <family val="0"/>
    </font>
    <font>
      <b/>
      <u val="single"/>
      <sz val="10"/>
      <name val="Arial"/>
      <family val="2"/>
    </font>
    <font>
      <sz val="10"/>
      <color indexed="8"/>
      <name val="Times New Roman"/>
      <family val="1"/>
    </font>
    <font>
      <b/>
      <u val="single"/>
      <sz val="10"/>
      <color indexed="8"/>
      <name val="Arial"/>
      <family val="2"/>
    </font>
    <font>
      <b/>
      <sz val="9"/>
      <color indexed="8"/>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0"/>
    </font>
    <font>
      <b/>
      <sz val="16"/>
      <color indexed="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4"/>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1" fillId="0" borderId="9" applyNumberFormat="0" applyFill="0" applyAlignment="0" applyProtection="0"/>
    <xf numFmtId="0" fontId="42"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2" fontId="0" fillId="0" borderId="0" xfId="0" applyNumberFormat="1" applyAlignment="1">
      <alignment/>
    </xf>
    <xf numFmtId="0" fontId="6" fillId="0" borderId="0" xfId="0" applyFont="1" applyAlignment="1">
      <alignment/>
    </xf>
    <xf numFmtId="2" fontId="3" fillId="0" borderId="0" xfId="0" applyNumberFormat="1" applyFont="1" applyAlignment="1">
      <alignment/>
    </xf>
    <xf numFmtId="164" fontId="0" fillId="0" borderId="0" xfId="0" applyNumberFormat="1" applyAlignment="1">
      <alignment/>
    </xf>
    <xf numFmtId="164" fontId="2" fillId="0" borderId="0" xfId="0" applyNumberFormat="1" applyFont="1" applyAlignment="1">
      <alignment/>
    </xf>
    <xf numFmtId="1" fontId="0" fillId="0" borderId="0" xfId="0" applyNumberFormat="1" applyAlignment="1">
      <alignment/>
    </xf>
    <xf numFmtId="1" fontId="3" fillId="0" borderId="0" xfId="0" applyNumberFormat="1" applyFont="1" applyAlignment="1">
      <alignment/>
    </xf>
    <xf numFmtId="3" fontId="0" fillId="0" borderId="0" xfId="0" applyNumberFormat="1" applyAlignment="1">
      <alignment/>
    </xf>
    <xf numFmtId="0" fontId="7" fillId="0" borderId="0" xfId="0" applyFont="1" applyAlignment="1">
      <alignment/>
    </xf>
    <xf numFmtId="2" fontId="6" fillId="0" borderId="0" xfId="0" applyNumberFormat="1" applyFont="1" applyAlignment="1">
      <alignment/>
    </xf>
    <xf numFmtId="1" fontId="6" fillId="0" borderId="0" xfId="0" applyNumberFormat="1" applyFont="1" applyAlignment="1">
      <alignment/>
    </xf>
    <xf numFmtId="1" fontId="2" fillId="0" borderId="0" xfId="0" applyNumberFormat="1" applyFont="1" applyAlignment="1">
      <alignment/>
    </xf>
    <xf numFmtId="1" fontId="6" fillId="0" borderId="0" xfId="0" applyNumberFormat="1" applyFont="1" applyAlignment="1">
      <alignment/>
    </xf>
    <xf numFmtId="0" fontId="6" fillId="0" borderId="0" xfId="0" applyFont="1" applyAlignment="1">
      <alignment wrapText="1"/>
    </xf>
    <xf numFmtId="2" fontId="6" fillId="0" borderId="0" xfId="0" applyNumberFormat="1" applyFont="1" applyAlignment="1">
      <alignment/>
    </xf>
    <xf numFmtId="2" fontId="2" fillId="0" borderId="0" xfId="0" applyNumberFormat="1" applyFont="1" applyAlignment="1">
      <alignment/>
    </xf>
    <xf numFmtId="0" fontId="0" fillId="0" borderId="0" xfId="0" applyAlignment="1">
      <alignment/>
    </xf>
    <xf numFmtId="0" fontId="5" fillId="0" borderId="0" xfId="0" applyFont="1" applyAlignment="1">
      <alignment wrapText="1"/>
    </xf>
    <xf numFmtId="0" fontId="0" fillId="0" borderId="0" xfId="0" applyFont="1" applyAlignment="1">
      <alignment/>
    </xf>
    <xf numFmtId="0" fontId="7" fillId="0" borderId="0" xfId="0" applyFont="1" applyAlignment="1">
      <alignment horizontal="center" wrapText="1"/>
    </xf>
    <xf numFmtId="2" fontId="9" fillId="0" borderId="0" xfId="0" applyNumberFormat="1" applyFont="1" applyAlignment="1">
      <alignment/>
    </xf>
    <xf numFmtId="2" fontId="8" fillId="0" borderId="0" xfId="0" applyNumberFormat="1" applyFont="1" applyAlignment="1">
      <alignment/>
    </xf>
    <xf numFmtId="1" fontId="3"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horizontal="left" vertical="center" indent="4"/>
    </xf>
    <xf numFmtId="0" fontId="11" fillId="0" borderId="0" xfId="0" applyFont="1" applyAlignment="1">
      <alignment horizontal="center"/>
    </xf>
    <xf numFmtId="1" fontId="12" fillId="0" borderId="0" xfId="0" applyNumberFormat="1" applyFont="1" applyAlignment="1">
      <alignment/>
    </xf>
    <xf numFmtId="1" fontId="0" fillId="0" borderId="0" xfId="0" applyNumberFormat="1" applyFont="1" applyAlignment="1">
      <alignment/>
    </xf>
    <xf numFmtId="2" fontId="0" fillId="0" borderId="0" xfId="0" applyNumberFormat="1" applyFont="1" applyAlignment="1">
      <alignment/>
    </xf>
    <xf numFmtId="0" fontId="13" fillId="0" borderId="0" xfId="0" applyFont="1" applyAlignment="1">
      <alignment/>
    </xf>
    <xf numFmtId="0" fontId="16" fillId="0" borderId="0" xfId="0" applyFont="1" applyAlignment="1">
      <alignment/>
    </xf>
    <xf numFmtId="0" fontId="15" fillId="0" borderId="0" xfId="0" applyFont="1" applyAlignment="1">
      <alignment/>
    </xf>
    <xf numFmtId="0" fontId="14" fillId="0" borderId="0" xfId="0" applyFont="1" applyAlignment="1">
      <alignment/>
    </xf>
    <xf numFmtId="2" fontId="6" fillId="0" borderId="0" xfId="0" applyNumberFormat="1" applyFont="1" applyAlignment="1">
      <alignment horizontal="right"/>
    </xf>
    <xf numFmtId="0" fontId="13" fillId="0" borderId="0" xfId="0" applyFont="1" applyAlignment="1">
      <alignment/>
    </xf>
    <xf numFmtId="15" fontId="13" fillId="0" borderId="0" xfId="0" applyNumberFormat="1" applyFont="1" applyAlignment="1">
      <alignment/>
    </xf>
    <xf numFmtId="1" fontId="13" fillId="0" borderId="0" xfId="0" applyNumberFormat="1" applyFont="1" applyAlignment="1">
      <alignment/>
    </xf>
    <xf numFmtId="0" fontId="13" fillId="0" borderId="0" xfId="0" applyFont="1" applyAlignment="1">
      <alignment/>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9" fillId="0" borderId="0" xfId="0" applyFont="1" applyAlignment="1">
      <alignment/>
    </xf>
    <xf numFmtId="1" fontId="5" fillId="0" borderId="0" xfId="0" applyNumberFormat="1" applyFont="1" applyAlignment="1">
      <alignment/>
    </xf>
    <xf numFmtId="1" fontId="21" fillId="0" borderId="0" xfId="0" applyNumberFormat="1" applyFont="1" applyAlignment="1">
      <alignment horizontal="right"/>
    </xf>
    <xf numFmtId="0" fontId="0" fillId="0" borderId="0" xfId="0"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xf>
    <xf numFmtId="0" fontId="13" fillId="0" borderId="0" xfId="0" applyFont="1" applyAlignment="1">
      <alignment/>
    </xf>
    <xf numFmtId="0" fontId="13" fillId="0" borderId="0" xfId="0" applyNumberFormat="1" applyFont="1" applyAlignment="1">
      <alignment/>
    </xf>
    <xf numFmtId="0" fontId="13" fillId="0" borderId="0" xfId="0" applyFont="1" applyAlignment="1">
      <alignment horizontal="right" vertical="center"/>
    </xf>
    <xf numFmtId="9" fontId="13" fillId="0" borderId="0" xfId="0" applyNumberFormat="1" applyFont="1" applyAlignment="1">
      <alignment horizontal="center" vertical="center"/>
    </xf>
    <xf numFmtId="0" fontId="12" fillId="0" borderId="0" xfId="0" applyFont="1" applyAlignment="1">
      <alignment/>
    </xf>
    <xf numFmtId="0" fontId="4" fillId="0" borderId="0" xfId="0" applyFont="1" applyAlignment="1">
      <alignment/>
    </xf>
    <xf numFmtId="1" fontId="0" fillId="0" borderId="0" xfId="0" applyNumberFormat="1" applyFont="1" applyAlignment="1">
      <alignment/>
    </xf>
    <xf numFmtId="2" fontId="12" fillId="0" borderId="0" xfId="0" applyNumberFormat="1" applyFont="1" applyAlignment="1">
      <alignment/>
    </xf>
    <xf numFmtId="2" fontId="12" fillId="0" borderId="0" xfId="0" applyNumberFormat="1" applyFont="1" applyAlignment="1">
      <alignment horizontal="right"/>
    </xf>
    <xf numFmtId="0" fontId="0" fillId="0" borderId="0" xfId="0" applyNumberFormat="1" applyFont="1" applyAlignment="1">
      <alignment/>
    </xf>
    <xf numFmtId="0" fontId="23" fillId="0" borderId="0" xfId="0" applyFont="1" applyAlignment="1">
      <alignment wrapText="1"/>
    </xf>
    <xf numFmtId="0" fontId="11" fillId="0" borderId="0" xfId="0" applyFont="1" applyAlignment="1">
      <alignment horizontal="center" vertical="center"/>
    </xf>
    <xf numFmtId="0" fontId="0" fillId="11" borderId="0" xfId="0" applyFill="1" applyAlignment="1">
      <alignment horizontal="center" wrapText="1"/>
    </xf>
    <xf numFmtId="2" fontId="1" fillId="0" borderId="0" xfId="0" applyNumberFormat="1" applyFont="1" applyAlignment="1">
      <alignment horizontal="center" wrapText="1"/>
    </xf>
    <xf numFmtId="2" fontId="0"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ont="1" applyAlignment="1">
      <alignment/>
    </xf>
    <xf numFmtId="2" fontId="2" fillId="0" borderId="0" xfId="0" applyNumberFormat="1" applyFont="1" applyAlignment="1">
      <alignment/>
    </xf>
    <xf numFmtId="2" fontId="4" fillId="0" borderId="0" xfId="0" applyNumberFormat="1" applyFont="1" applyAlignment="1">
      <alignment/>
    </xf>
    <xf numFmtId="2" fontId="4" fillId="0" borderId="0" xfId="0" applyNumberFormat="1" applyFont="1" applyAlignment="1">
      <alignment horizontal="righ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xf>
    <xf numFmtId="2" fontId="1" fillId="0" borderId="0" xfId="0" applyNumberFormat="1" applyFont="1" applyAlignment="1">
      <alignment wrapText="1"/>
    </xf>
    <xf numFmtId="0" fontId="5" fillId="0" borderId="0" xfId="0" applyFont="1" applyAlignment="1">
      <alignment/>
    </xf>
    <xf numFmtId="0" fontId="0" fillId="0" borderId="0" xfId="0" applyFont="1" applyAlignment="1">
      <alignment/>
    </xf>
    <xf numFmtId="2" fontId="25" fillId="0" borderId="0" xfId="0" applyNumberFormat="1" applyFont="1" applyAlignment="1">
      <alignment/>
    </xf>
    <xf numFmtId="0" fontId="26" fillId="0" borderId="0" xfId="0" applyFont="1" applyAlignment="1">
      <alignment horizontal="center" wrapText="1"/>
    </xf>
    <xf numFmtId="2" fontId="0" fillId="0" borderId="0" xfId="0" applyNumberFormat="1" applyFont="1" applyAlignment="1">
      <alignment horizontal="right"/>
    </xf>
    <xf numFmtId="0" fontId="0" fillId="0" borderId="0" xfId="0" applyFont="1" applyAlignment="1">
      <alignment horizontal="right"/>
    </xf>
    <xf numFmtId="2" fontId="3" fillId="0" borderId="0" xfId="0" applyNumberFormat="1" applyFont="1" applyAlignment="1">
      <alignment horizontal="right"/>
    </xf>
    <xf numFmtId="0" fontId="4" fillId="0" borderId="0" xfId="0" applyFont="1" applyAlignment="1">
      <alignment/>
    </xf>
    <xf numFmtId="2" fontId="0" fillId="0" borderId="0" xfId="0" applyNumberFormat="1" applyFont="1" applyAlignment="1">
      <alignment/>
    </xf>
    <xf numFmtId="0" fontId="0" fillId="0" borderId="0" xfId="0" applyAlignment="1">
      <alignment/>
    </xf>
    <xf numFmtId="0" fontId="21" fillId="0" borderId="0" xfId="0" applyFont="1" applyAlignment="1">
      <alignment/>
    </xf>
    <xf numFmtId="2" fontId="21" fillId="0" borderId="0" xfId="0" applyNumberFormat="1" applyFont="1" applyAlignment="1">
      <alignment/>
    </xf>
    <xf numFmtId="0" fontId="43" fillId="0" borderId="0" xfId="0" applyFont="1" applyAlignment="1">
      <alignment/>
    </xf>
    <xf numFmtId="2" fontId="43" fillId="0" borderId="0" xfId="0" applyNumberFormat="1" applyFont="1" applyAlignment="1">
      <alignment/>
    </xf>
    <xf numFmtId="2" fontId="21" fillId="0" borderId="0" xfId="0" applyNumberFormat="1" applyFont="1" applyAlignment="1">
      <alignment horizontal="right"/>
    </xf>
    <xf numFmtId="0" fontId="1" fillId="0" borderId="0" xfId="0" applyFont="1" applyAlignment="1">
      <alignment horizontal="center" wrapText="1"/>
    </xf>
    <xf numFmtId="0" fontId="0" fillId="0" borderId="0" xfId="0" applyAlignment="1">
      <alignment wrapText="1"/>
    </xf>
    <xf numFmtId="0" fontId="1" fillId="11" borderId="0" xfId="0" applyFont="1" applyFill="1" applyAlignment="1">
      <alignment horizontal="center" wrapText="1"/>
    </xf>
    <xf numFmtId="0" fontId="0" fillId="11" borderId="0" xfId="0" applyFill="1" applyAlignment="1">
      <alignment horizontal="center" wrapText="1"/>
    </xf>
    <xf numFmtId="0" fontId="1" fillId="24" borderId="0" xfId="0" applyFont="1" applyFill="1" applyAlignment="1">
      <alignment horizontal="center" wrapText="1"/>
    </xf>
    <xf numFmtId="0" fontId="0" fillId="24" borderId="0" xfId="0" applyFill="1" applyAlignment="1">
      <alignment/>
    </xf>
    <xf numFmtId="0" fontId="1" fillId="10" borderId="0" xfId="0" applyFont="1" applyFill="1" applyAlignment="1">
      <alignment horizontal="center" wrapText="1"/>
    </xf>
    <xf numFmtId="0" fontId="0" fillId="10" borderId="0" xfId="0" applyFill="1" applyAlignment="1">
      <alignment/>
    </xf>
    <xf numFmtId="0" fontId="0" fillId="0" borderId="0" xfId="0" applyAlignment="1">
      <alignment/>
    </xf>
    <xf numFmtId="0" fontId="1" fillId="25" borderId="0" xfId="0" applyFont="1" applyFill="1" applyAlignment="1">
      <alignment horizontal="center" wrapText="1"/>
    </xf>
    <xf numFmtId="0" fontId="0" fillId="0" borderId="0" xfId="0" applyAlignment="1">
      <alignment horizontal="center" wrapText="1"/>
    </xf>
    <xf numFmtId="0" fontId="5" fillId="0" borderId="0" xfId="0" applyFont="1" applyAlignment="1">
      <alignment wrapText="1"/>
    </xf>
    <xf numFmtId="0" fontId="4" fillId="0" borderId="0" xfId="0" applyFont="1" applyAlignment="1">
      <alignment wrapText="1"/>
    </xf>
    <xf numFmtId="0" fontId="0" fillId="0" borderId="0" xfId="0" applyFont="1" applyAlignment="1">
      <alignment/>
    </xf>
    <xf numFmtId="0" fontId="0" fillId="0" borderId="0" xfId="0" applyFont="1" applyAlignment="1">
      <alignment/>
    </xf>
    <xf numFmtId="0" fontId="5" fillId="0" borderId="0" xfId="0" applyFont="1" applyAlignment="1" quotePrefix="1">
      <alignment wrapText="1"/>
    </xf>
    <xf numFmtId="0" fontId="1" fillId="0" borderId="0" xfId="0" applyFont="1" applyAlignment="1">
      <alignment horizontal="center"/>
    </xf>
    <xf numFmtId="0" fontId="0" fillId="0" borderId="0" xfId="0" applyAlignment="1">
      <alignment horizontal="center"/>
    </xf>
    <xf numFmtId="0" fontId="1" fillId="6" borderId="0" xfId="0" applyFont="1" applyFill="1" applyAlignment="1">
      <alignment horizontal="center" wrapText="1"/>
    </xf>
    <xf numFmtId="0" fontId="0" fillId="6" borderId="0" xfId="0" applyFill="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17" borderId="13" xfId="0" applyFont="1" applyFill="1" applyBorder="1" applyAlignment="1">
      <alignment horizontal="center" wrapText="1"/>
    </xf>
    <xf numFmtId="0" fontId="1" fillId="17" borderId="14" xfId="0" applyFont="1" applyFill="1" applyBorder="1" applyAlignment="1">
      <alignment horizontal="center" wrapText="1"/>
    </xf>
    <xf numFmtId="0" fontId="1" fillId="17" borderId="15" xfId="0" applyFont="1" applyFill="1" applyBorder="1" applyAlignment="1">
      <alignment horizontal="center" wrapText="1"/>
    </xf>
    <xf numFmtId="0" fontId="4" fillId="10" borderId="0" xfId="0" applyFont="1" applyFill="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1" fillId="20" borderId="0" xfId="0" applyFont="1" applyFill="1" applyAlignment="1">
      <alignment horizontal="center" wrapText="1"/>
    </xf>
    <xf numFmtId="0" fontId="0" fillId="2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3"/>
  <sheetViews>
    <sheetView zoomScalePageLayoutView="0" workbookViewId="0" topLeftCell="A20">
      <selection activeCell="A34" sqref="A34:IV34"/>
    </sheetView>
  </sheetViews>
  <sheetFormatPr defaultColWidth="8.7109375" defaultRowHeight="12.75"/>
  <cols>
    <col min="1" max="1" width="23.421875" style="0" customWidth="1"/>
    <col min="2" max="2" width="13.421875" style="0" customWidth="1"/>
  </cols>
  <sheetData>
    <row r="1" s="44" customFormat="1" ht="15">
      <c r="A1" s="45"/>
    </row>
    <row r="2" spans="1:7" s="44" customFormat="1" ht="16.5">
      <c r="A2" s="51" t="s">
        <v>201</v>
      </c>
      <c r="B2" s="41"/>
      <c r="C2" s="41"/>
      <c r="D2" s="41"/>
      <c r="E2" s="41"/>
      <c r="F2" s="41"/>
      <c r="G2" s="41"/>
    </row>
    <row r="3" s="44" customFormat="1" ht="15">
      <c r="A3" s="44" t="s">
        <v>157</v>
      </c>
    </row>
    <row r="4" s="44" customFormat="1" ht="15">
      <c r="A4" s="58" t="s">
        <v>123</v>
      </c>
    </row>
    <row r="5" s="44" customFormat="1" ht="15">
      <c r="A5" s="58" t="s">
        <v>199</v>
      </c>
    </row>
    <row r="6" s="44" customFormat="1" ht="15">
      <c r="A6" s="58" t="s">
        <v>200</v>
      </c>
    </row>
    <row r="7" s="44" customFormat="1" ht="15">
      <c r="A7" s="44" t="s">
        <v>152</v>
      </c>
    </row>
    <row r="8" s="44" customFormat="1" ht="15">
      <c r="A8" s="58" t="s">
        <v>124</v>
      </c>
    </row>
    <row r="10" s="44" customFormat="1" ht="15">
      <c r="A10" s="42" t="s">
        <v>158</v>
      </c>
    </row>
    <row r="11" s="44" customFormat="1" ht="15">
      <c r="A11" s="58" t="s">
        <v>125</v>
      </c>
    </row>
    <row r="12" s="44" customFormat="1" ht="15">
      <c r="A12" s="44" t="s">
        <v>153</v>
      </c>
    </row>
    <row r="13" s="44" customFormat="1" ht="15">
      <c r="A13" s="58" t="s">
        <v>126</v>
      </c>
    </row>
    <row r="14" s="44" customFormat="1" ht="15">
      <c r="A14" s="58" t="s">
        <v>127</v>
      </c>
    </row>
    <row r="15" s="44" customFormat="1" ht="15">
      <c r="A15" s="58" t="s">
        <v>128</v>
      </c>
    </row>
    <row r="16" s="44" customFormat="1" ht="15"/>
    <row r="17" s="44" customFormat="1" ht="15">
      <c r="A17" s="40" t="s">
        <v>77</v>
      </c>
    </row>
    <row r="18" s="44" customFormat="1" ht="15"/>
    <row r="19" s="44" customFormat="1" ht="15">
      <c r="A19" s="42" t="s">
        <v>143</v>
      </c>
    </row>
    <row r="20" s="44" customFormat="1" ht="15">
      <c r="A20" s="41" t="s">
        <v>138</v>
      </c>
    </row>
    <row r="21" s="44" customFormat="1" ht="15">
      <c r="A21" s="39" t="s">
        <v>139</v>
      </c>
    </row>
    <row r="22" s="44" customFormat="1" ht="15">
      <c r="A22" s="39" t="s">
        <v>140</v>
      </c>
    </row>
    <row r="23" s="44" customFormat="1" ht="15">
      <c r="A23" s="41" t="s">
        <v>110</v>
      </c>
    </row>
    <row r="24" s="44" customFormat="1" ht="15">
      <c r="A24" s="39" t="s">
        <v>191</v>
      </c>
    </row>
    <row r="25" s="44" customFormat="1" ht="15">
      <c r="A25" s="39" t="s">
        <v>141</v>
      </c>
    </row>
    <row r="26" s="44" customFormat="1" ht="15">
      <c r="A26" s="39" t="s">
        <v>142</v>
      </c>
    </row>
    <row r="27" s="44" customFormat="1" ht="15">
      <c r="A27" s="39" t="s">
        <v>145</v>
      </c>
    </row>
    <row r="28" s="44" customFormat="1" ht="15">
      <c r="A28" s="41" t="s">
        <v>144</v>
      </c>
    </row>
    <row r="29" s="44" customFormat="1" ht="15">
      <c r="A29" s="39" t="s">
        <v>191</v>
      </c>
    </row>
    <row r="30" s="44" customFormat="1" ht="15">
      <c r="A30" s="39" t="s">
        <v>141</v>
      </c>
    </row>
    <row r="31" s="44" customFormat="1" ht="15">
      <c r="A31" s="39" t="s">
        <v>154</v>
      </c>
    </row>
    <row r="32" s="44" customFormat="1" ht="15">
      <c r="A32" s="39" t="s">
        <v>142</v>
      </c>
    </row>
    <row r="33" s="44" customFormat="1" ht="15">
      <c r="A33" s="39" t="s">
        <v>145</v>
      </c>
    </row>
    <row r="34" s="44" customFormat="1" ht="15"/>
    <row r="35" s="44" customFormat="1" ht="15">
      <c r="A35" s="40" t="s">
        <v>78</v>
      </c>
    </row>
    <row r="36" s="44" customFormat="1" ht="15"/>
    <row r="37" s="44" customFormat="1" ht="15">
      <c r="A37" s="40" t="s">
        <v>159</v>
      </c>
    </row>
    <row r="38" spans="1:3" s="44" customFormat="1" ht="15">
      <c r="A38" s="59" t="s">
        <v>79</v>
      </c>
      <c r="B38" s="46"/>
      <c r="C38" s="47"/>
    </row>
    <row r="39" spans="1:3" s="44" customFormat="1" ht="15">
      <c r="A39" s="59" t="s">
        <v>80</v>
      </c>
      <c r="B39" s="46"/>
      <c r="C39" s="47"/>
    </row>
    <row r="40" spans="2:4" s="44" customFormat="1" ht="15">
      <c r="B40" s="48" t="s">
        <v>111</v>
      </c>
      <c r="C40" s="61">
        <v>0.5</v>
      </c>
      <c r="D40" s="50"/>
    </row>
    <row r="41" spans="2:4" s="44" customFormat="1" ht="15">
      <c r="B41" s="60" t="s">
        <v>81</v>
      </c>
      <c r="C41" s="61">
        <v>0.53</v>
      </c>
      <c r="D41" s="49"/>
    </row>
    <row r="42" spans="2:4" s="44" customFormat="1" ht="15">
      <c r="B42" s="60" t="s">
        <v>160</v>
      </c>
      <c r="C42" s="61">
        <v>0.6</v>
      </c>
      <c r="D42" s="49"/>
    </row>
    <row r="43" s="44" customFormat="1" ht="15">
      <c r="A43" s="58" t="s">
        <v>82</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C13"/>
  <sheetViews>
    <sheetView zoomScalePageLayoutView="0" workbookViewId="0" topLeftCell="A1">
      <selection activeCell="A15" sqref="A15"/>
    </sheetView>
  </sheetViews>
  <sheetFormatPr defaultColWidth="8.7109375" defaultRowHeight="12.75"/>
  <cols>
    <col min="1" max="1" width="17.421875" style="0" customWidth="1"/>
    <col min="2" max="2" width="16.8515625" style="0" customWidth="1"/>
    <col min="3" max="3" width="13.7109375" style="0" customWidth="1"/>
  </cols>
  <sheetData>
    <row r="2" spans="1:3" ht="15">
      <c r="A2" s="56" t="s">
        <v>120</v>
      </c>
      <c r="B2" s="39"/>
      <c r="C2" s="39"/>
    </row>
    <row r="3" spans="1:3" ht="15">
      <c r="A3" s="39"/>
      <c r="B3" s="39"/>
      <c r="C3" s="39"/>
    </row>
    <row r="4" spans="1:3" ht="15">
      <c r="A4" s="41" t="s">
        <v>113</v>
      </c>
      <c r="B4" s="41" t="s">
        <v>113</v>
      </c>
      <c r="C4" s="41" t="s">
        <v>114</v>
      </c>
    </row>
    <row r="5" spans="1:3" ht="15">
      <c r="A5" s="42" t="s">
        <v>115</v>
      </c>
      <c r="B5" s="42" t="s">
        <v>161</v>
      </c>
      <c r="C5" s="42" t="s">
        <v>121</v>
      </c>
    </row>
    <row r="6" spans="1:3" ht="15">
      <c r="A6" s="39"/>
      <c r="B6" s="39" t="s">
        <v>191</v>
      </c>
      <c r="C6" s="39" t="s">
        <v>191</v>
      </c>
    </row>
    <row r="7" spans="1:3" ht="15">
      <c r="A7" s="39"/>
      <c r="B7" s="39" t="s">
        <v>192</v>
      </c>
      <c r="C7" s="39" t="s">
        <v>192</v>
      </c>
    </row>
    <row r="8" spans="1:3" ht="15">
      <c r="A8" s="39" t="s">
        <v>193</v>
      </c>
      <c r="B8" s="39"/>
      <c r="C8" s="39" t="s">
        <v>193</v>
      </c>
    </row>
    <row r="9" spans="1:3" ht="15">
      <c r="A9" s="39"/>
      <c r="B9" s="39" t="s">
        <v>194</v>
      </c>
      <c r="C9" s="39" t="s">
        <v>194</v>
      </c>
    </row>
    <row r="10" spans="1:3" ht="15">
      <c r="A10" s="39"/>
      <c r="B10" s="39" t="s">
        <v>195</v>
      </c>
      <c r="C10" s="39" t="s">
        <v>195</v>
      </c>
    </row>
    <row r="12" ht="12">
      <c r="A12" s="57" t="s">
        <v>198</v>
      </c>
    </row>
    <row r="13" ht="12">
      <c r="A13" t="s">
        <v>122</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CO130"/>
  <sheetViews>
    <sheetView zoomScale="110" zoomScaleNormal="110" zoomScalePageLayoutView="0" workbookViewId="0" topLeftCell="A1">
      <pane xSplit="1" ySplit="6" topLeftCell="AP70" activePane="bottomRight" state="frozen"/>
      <selection pane="topLeft" activeCell="A1" sqref="A1"/>
      <selection pane="topRight" activeCell="B1" sqref="B1"/>
      <selection pane="bottomLeft" activeCell="A7" sqref="A7"/>
      <selection pane="bottomRight" activeCell="BA76" sqref="BA76"/>
    </sheetView>
  </sheetViews>
  <sheetFormatPr defaultColWidth="8.7109375" defaultRowHeight="12.75"/>
  <cols>
    <col min="1" max="1" width="44.140625" style="0" customWidth="1"/>
    <col min="2" max="2" width="14.28125" style="0" customWidth="1"/>
    <col min="3" max="3" width="12.421875" style="0" customWidth="1"/>
    <col min="4" max="9" width="10.28125" style="0" customWidth="1"/>
    <col min="10" max="10" width="10.28125" style="7" customWidth="1"/>
    <col min="11" max="11" width="14.421875" style="7" customWidth="1"/>
    <col min="12" max="12" width="12.7109375" style="0" customWidth="1"/>
    <col min="13" max="13" width="13.421875" style="0" customWidth="1"/>
    <col min="14" max="14" width="11.00390625" style="0" customWidth="1"/>
    <col min="15" max="15" width="13.28125" style="0" customWidth="1"/>
    <col min="16" max="19" width="12.28125" style="0" customWidth="1"/>
    <col min="20" max="20" width="13.00390625" style="0" customWidth="1"/>
    <col min="21" max="28" width="12.28125" style="0" customWidth="1"/>
    <col min="29" max="29" width="10.140625" style="0" customWidth="1"/>
    <col min="30" max="30" width="11.140625" style="7" customWidth="1"/>
    <col min="31" max="31" width="12.28125" style="0" customWidth="1"/>
    <col min="32" max="32" width="9.421875" style="0" customWidth="1"/>
    <col min="33" max="36" width="12.28125" style="0" customWidth="1"/>
    <col min="37" max="37" width="11.421875" style="0" customWidth="1"/>
    <col min="39" max="39" width="10.7109375" style="0" bestFit="1" customWidth="1"/>
    <col min="40" max="40" width="11.28125" style="23" customWidth="1"/>
    <col min="42" max="42" width="10.7109375" style="0" bestFit="1" customWidth="1"/>
    <col min="48" max="48" width="10.7109375" style="0" bestFit="1" customWidth="1"/>
    <col min="50" max="50" width="9.8515625" style="7" bestFit="1" customWidth="1"/>
  </cols>
  <sheetData>
    <row r="1" ht="18">
      <c r="A1" s="32" t="s">
        <v>83</v>
      </c>
    </row>
    <row r="2" spans="1:93" ht="13.5">
      <c r="A2" s="15"/>
      <c r="E2" s="2"/>
      <c r="F2" s="2"/>
      <c r="G2" s="2"/>
      <c r="H2" s="2"/>
      <c r="I2" s="2"/>
      <c r="J2" s="71"/>
      <c r="K2" s="71"/>
      <c r="O2" s="99"/>
      <c r="P2" s="99"/>
      <c r="Q2" s="99"/>
      <c r="R2" s="99"/>
      <c r="S2" s="99"/>
      <c r="T2" s="99"/>
      <c r="U2" s="99"/>
      <c r="V2" s="99"/>
      <c r="W2" s="99"/>
      <c r="X2" s="99"/>
      <c r="Y2" s="99"/>
      <c r="Z2" s="99"/>
      <c r="AA2" s="99"/>
      <c r="AB2" s="99"/>
      <c r="AC2" s="99"/>
      <c r="AD2" s="99"/>
      <c r="AE2" s="99"/>
      <c r="AF2" s="99"/>
      <c r="AG2" s="99"/>
      <c r="AH2" s="99"/>
      <c r="AI2" s="99"/>
      <c r="AJ2" s="99"/>
      <c r="AK2" s="100"/>
      <c r="AL2" s="100"/>
      <c r="AM2" s="100"/>
      <c r="AN2" s="2"/>
      <c r="AO2" s="1"/>
      <c r="AP2" s="1"/>
      <c r="AQ2" s="1"/>
      <c r="AR2" s="1"/>
      <c r="AS2" s="1"/>
      <c r="AT2" s="1"/>
      <c r="AU2" s="1"/>
      <c r="AV2" s="1"/>
      <c r="AW2" s="1"/>
      <c r="AX2" s="83"/>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row>
    <row r="3" spans="1:93" ht="15" customHeight="1">
      <c r="A3" s="1"/>
      <c r="B3" s="99" t="s">
        <v>116</v>
      </c>
      <c r="C3" s="99"/>
      <c r="D3" s="99"/>
      <c r="E3" s="2"/>
      <c r="F3" s="108" t="s">
        <v>117</v>
      </c>
      <c r="G3" s="108"/>
      <c r="H3" s="108"/>
      <c r="I3" s="109"/>
      <c r="J3" s="109"/>
      <c r="K3" s="109"/>
      <c r="L3" s="109"/>
      <c r="M3" s="109"/>
      <c r="N3" s="109"/>
      <c r="P3" s="103" t="s">
        <v>118</v>
      </c>
      <c r="Q3" s="104"/>
      <c r="R3" s="104"/>
      <c r="S3" s="23"/>
      <c r="T3" s="101" t="s">
        <v>64</v>
      </c>
      <c r="U3" s="101"/>
      <c r="V3" s="101"/>
      <c r="W3" s="102"/>
      <c r="X3" s="102"/>
      <c r="Y3" s="102"/>
      <c r="Z3" s="102"/>
      <c r="AA3" s="102"/>
      <c r="AB3" s="102"/>
      <c r="AC3" s="102"/>
      <c r="AD3" s="102"/>
      <c r="AE3" s="102"/>
      <c r="AF3" s="102"/>
      <c r="AG3" s="102"/>
      <c r="AH3" s="102"/>
      <c r="AI3" s="70"/>
      <c r="AJ3" s="54"/>
      <c r="AK3" s="105" t="s">
        <v>112</v>
      </c>
      <c r="AL3" s="105"/>
      <c r="AM3" s="105"/>
      <c r="AN3" s="106"/>
      <c r="AO3" s="106"/>
      <c r="AP3" s="106"/>
      <c r="AQ3" s="106"/>
      <c r="AR3" s="106"/>
      <c r="AS3" s="106"/>
      <c r="AT3" s="106"/>
      <c r="AU3" s="106"/>
      <c r="AV3" s="106"/>
      <c r="AW3" s="107"/>
      <c r="AX3" s="107"/>
      <c r="AY3" s="107"/>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row>
    <row r="4" spans="1:93" ht="15" customHeight="1">
      <c r="A4" s="1"/>
      <c r="B4" s="2"/>
      <c r="C4" s="2"/>
      <c r="D4" s="2"/>
      <c r="E4" s="2"/>
      <c r="T4" s="99" t="s">
        <v>190</v>
      </c>
      <c r="U4" s="99"/>
      <c r="V4" s="99"/>
      <c r="W4" s="99" t="s">
        <v>191</v>
      </c>
      <c r="X4" s="99"/>
      <c r="Y4" s="99"/>
      <c r="Z4" s="99" t="s">
        <v>192</v>
      </c>
      <c r="AA4" s="99"/>
      <c r="AB4" s="99"/>
      <c r="AC4" s="99" t="s">
        <v>5</v>
      </c>
      <c r="AD4" s="99"/>
      <c r="AE4" s="99"/>
      <c r="AF4" s="99" t="s">
        <v>6</v>
      </c>
      <c r="AG4" s="99"/>
      <c r="AH4" s="99"/>
      <c r="AI4" s="2"/>
      <c r="AJ4" s="2"/>
      <c r="AK4" s="99" t="s">
        <v>190</v>
      </c>
      <c r="AL4" s="99"/>
      <c r="AM4" s="99"/>
      <c r="AN4" s="99" t="s">
        <v>191</v>
      </c>
      <c r="AO4" s="99"/>
      <c r="AP4" s="99"/>
      <c r="AQ4" s="99" t="s">
        <v>192</v>
      </c>
      <c r="AR4" s="99"/>
      <c r="AS4" s="99"/>
      <c r="AT4" s="99" t="s">
        <v>35</v>
      </c>
      <c r="AU4" s="99"/>
      <c r="AV4" s="99"/>
      <c r="AW4" s="99" t="s">
        <v>36</v>
      </c>
      <c r="AX4" s="99"/>
      <c r="AY4" s="99"/>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1:93" ht="15" customHeight="1">
      <c r="A5" s="1"/>
      <c r="B5" s="99" t="s">
        <v>189</v>
      </c>
      <c r="C5" s="99" t="s">
        <v>186</v>
      </c>
      <c r="D5" s="99"/>
      <c r="E5" s="2"/>
      <c r="F5" s="99" t="s">
        <v>70</v>
      </c>
      <c r="G5" s="99" t="s">
        <v>71</v>
      </c>
      <c r="H5" s="99"/>
      <c r="I5" s="99" t="s">
        <v>69</v>
      </c>
      <c r="J5" s="99" t="s">
        <v>66</v>
      </c>
      <c r="K5" s="99"/>
      <c r="L5" s="99" t="s">
        <v>68</v>
      </c>
      <c r="M5" s="99" t="s">
        <v>67</v>
      </c>
      <c r="N5" s="99"/>
      <c r="Q5" s="99" t="s">
        <v>186</v>
      </c>
      <c r="R5" s="99"/>
      <c r="S5" s="2"/>
      <c r="T5" s="99" t="s">
        <v>189</v>
      </c>
      <c r="U5" s="99" t="s">
        <v>186</v>
      </c>
      <c r="V5" s="99"/>
      <c r="W5" s="99" t="s">
        <v>189</v>
      </c>
      <c r="X5" s="99" t="s">
        <v>186</v>
      </c>
      <c r="Y5" s="99"/>
      <c r="Z5" s="99" t="s">
        <v>189</v>
      </c>
      <c r="AA5" s="99" t="s">
        <v>186</v>
      </c>
      <c r="AB5" s="99"/>
      <c r="AC5" s="99" t="s">
        <v>189</v>
      </c>
      <c r="AD5" s="99" t="s">
        <v>186</v>
      </c>
      <c r="AE5" s="99"/>
      <c r="AF5" s="99" t="s">
        <v>189</v>
      </c>
      <c r="AG5" s="99" t="s">
        <v>186</v>
      </c>
      <c r="AH5" s="99"/>
      <c r="AI5" s="2"/>
      <c r="AJ5" s="2"/>
      <c r="AK5" s="99" t="s">
        <v>189</v>
      </c>
      <c r="AL5" s="99" t="s">
        <v>186</v>
      </c>
      <c r="AM5" s="99"/>
      <c r="AN5" s="99" t="s">
        <v>189</v>
      </c>
      <c r="AO5" s="99" t="s">
        <v>186</v>
      </c>
      <c r="AP5" s="99"/>
      <c r="AQ5" s="99" t="s">
        <v>189</v>
      </c>
      <c r="AR5" s="99" t="s">
        <v>186</v>
      </c>
      <c r="AS5" s="99"/>
      <c r="AT5" s="99" t="s">
        <v>189</v>
      </c>
      <c r="AU5" s="99" t="s">
        <v>186</v>
      </c>
      <c r="AV5" s="99"/>
      <c r="AW5" s="99" t="s">
        <v>189</v>
      </c>
      <c r="AX5" s="99" t="s">
        <v>186</v>
      </c>
      <c r="AY5" s="99"/>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ht="27.75">
      <c r="A6" s="1" t="s">
        <v>165</v>
      </c>
      <c r="B6" s="100"/>
      <c r="C6" s="2" t="s">
        <v>187</v>
      </c>
      <c r="D6" s="2" t="s">
        <v>188</v>
      </c>
      <c r="E6" s="2"/>
      <c r="F6" s="100"/>
      <c r="G6" s="2" t="s">
        <v>187</v>
      </c>
      <c r="H6" s="2" t="s">
        <v>188</v>
      </c>
      <c r="I6" s="100"/>
      <c r="J6" s="71" t="s">
        <v>187</v>
      </c>
      <c r="K6" s="71" t="s">
        <v>188</v>
      </c>
      <c r="L6" s="100"/>
      <c r="M6" s="2" t="s">
        <v>187</v>
      </c>
      <c r="N6" s="2" t="s">
        <v>188</v>
      </c>
      <c r="P6" s="2" t="s">
        <v>189</v>
      </c>
      <c r="Q6" s="2" t="s">
        <v>187</v>
      </c>
      <c r="R6" s="2" t="s">
        <v>188</v>
      </c>
      <c r="S6" s="2"/>
      <c r="T6" s="100"/>
      <c r="U6" s="2" t="s">
        <v>187</v>
      </c>
      <c r="V6" s="2" t="s">
        <v>188</v>
      </c>
      <c r="W6" s="100"/>
      <c r="X6" s="2" t="s">
        <v>187</v>
      </c>
      <c r="Y6" s="2" t="s">
        <v>188</v>
      </c>
      <c r="Z6" s="100"/>
      <c r="AA6" s="2" t="s">
        <v>187</v>
      </c>
      <c r="AB6" s="2" t="s">
        <v>188</v>
      </c>
      <c r="AC6" s="100"/>
      <c r="AD6" s="71" t="s">
        <v>187</v>
      </c>
      <c r="AE6" s="2" t="s">
        <v>188</v>
      </c>
      <c r="AF6" s="100"/>
      <c r="AG6" s="2" t="s">
        <v>187</v>
      </c>
      <c r="AH6" s="2" t="s">
        <v>188</v>
      </c>
      <c r="AI6" s="2"/>
      <c r="AJ6" s="2"/>
      <c r="AK6" s="100"/>
      <c r="AL6" s="2" t="s">
        <v>187</v>
      </c>
      <c r="AM6" s="2" t="s">
        <v>188</v>
      </c>
      <c r="AN6" s="100"/>
      <c r="AO6" s="2" t="s">
        <v>187</v>
      </c>
      <c r="AP6" s="2" t="s">
        <v>188</v>
      </c>
      <c r="AQ6" s="100"/>
      <c r="AR6" s="2" t="s">
        <v>187</v>
      </c>
      <c r="AS6" s="2" t="s">
        <v>188</v>
      </c>
      <c r="AT6" s="100"/>
      <c r="AU6" s="2" t="s">
        <v>187</v>
      </c>
      <c r="AV6" s="2" t="s">
        <v>188</v>
      </c>
      <c r="AW6" s="100"/>
      <c r="AX6" s="71" t="s">
        <v>187</v>
      </c>
      <c r="AY6" s="2" t="s">
        <v>188</v>
      </c>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row>
    <row r="7" spans="1:50" ht="12">
      <c r="A7" t="s">
        <v>166</v>
      </c>
      <c r="B7" s="12">
        <v>0</v>
      </c>
      <c r="C7" s="27">
        <v>0</v>
      </c>
      <c r="D7" s="12">
        <v>0</v>
      </c>
      <c r="E7" s="12"/>
      <c r="F7" s="12">
        <v>0</v>
      </c>
      <c r="G7" s="7"/>
      <c r="H7" s="12"/>
      <c r="I7" s="12">
        <v>0</v>
      </c>
      <c r="J7" s="12">
        <v>0</v>
      </c>
      <c r="L7" s="12">
        <v>0</v>
      </c>
      <c r="M7" s="12">
        <v>0</v>
      </c>
      <c r="N7" s="12"/>
      <c r="P7" s="12">
        <v>0</v>
      </c>
      <c r="Q7" s="7">
        <v>0</v>
      </c>
      <c r="R7" s="12">
        <f aca="true" t="shared" si="0" ref="R7:R13">D7-N7</f>
        <v>0</v>
      </c>
      <c r="S7" s="12"/>
      <c r="T7" s="12">
        <v>0</v>
      </c>
      <c r="U7" s="7">
        <v>0</v>
      </c>
      <c r="V7" s="12">
        <f>Y7+AB7+AH7</f>
        <v>0</v>
      </c>
      <c r="W7">
        <f>0.16*T7*0.5</f>
        <v>0</v>
      </c>
      <c r="X7">
        <f>0.16*U7*0.5</f>
        <v>0</v>
      </c>
      <c r="Y7">
        <f aca="true" t="shared" si="1" ref="Y7:Y12">W7*X7</f>
        <v>0</v>
      </c>
      <c r="Z7">
        <f>0.16*T7*0.5</f>
        <v>0</v>
      </c>
      <c r="AA7">
        <f>0.16*X7*0.5</f>
        <v>0</v>
      </c>
      <c r="AB7">
        <f aca="true" t="shared" si="2" ref="AB7:AB12">Z7*AA7</f>
        <v>0</v>
      </c>
      <c r="AD7">
        <f>0.16*AA7*0.5</f>
        <v>0</v>
      </c>
      <c r="AF7" s="12">
        <f>T7-W7-Z7</f>
        <v>0</v>
      </c>
      <c r="AG7" s="12">
        <f>U7-X7-AA7</f>
        <v>0</v>
      </c>
      <c r="AH7">
        <f aca="true" t="shared" si="3" ref="AH7:AH12">AF7*AG7</f>
        <v>0</v>
      </c>
      <c r="AK7" s="12">
        <v>0</v>
      </c>
      <c r="AL7" s="7">
        <v>0</v>
      </c>
      <c r="AM7" s="12">
        <f>AS7+AV7+AP7</f>
        <v>0</v>
      </c>
      <c r="AN7" s="12">
        <f>AK7*0.16*0.5</f>
        <v>0</v>
      </c>
      <c r="AO7" s="7">
        <v>0</v>
      </c>
      <c r="AP7" s="12">
        <f aca="true" t="shared" si="4" ref="AP7:AP12">AN7*AO7</f>
        <v>0</v>
      </c>
      <c r="AQ7" s="12">
        <f>AK7*0.16*0.5</f>
        <v>0</v>
      </c>
      <c r="AR7" s="7">
        <v>0</v>
      </c>
      <c r="AS7" s="12">
        <f aca="true" t="shared" si="5" ref="AS7:AS12">AQ7*AR7</f>
        <v>0</v>
      </c>
      <c r="AT7" s="12">
        <f>AK7-AN7-AQ7</f>
        <v>0</v>
      </c>
      <c r="AU7" s="7">
        <v>0</v>
      </c>
      <c r="AV7" s="12">
        <f aca="true" t="shared" si="6" ref="AV7:AV12">AT7*AU7</f>
        <v>0</v>
      </c>
      <c r="AX7" s="7">
        <v>0</v>
      </c>
    </row>
    <row r="8" spans="1:50" ht="12">
      <c r="A8" t="s">
        <v>167</v>
      </c>
      <c r="B8" s="12">
        <v>0</v>
      </c>
      <c r="C8" s="27">
        <v>0</v>
      </c>
      <c r="D8" s="12">
        <v>0</v>
      </c>
      <c r="E8" s="12"/>
      <c r="F8" s="12">
        <v>0</v>
      </c>
      <c r="G8" s="7"/>
      <c r="H8" s="12"/>
      <c r="I8" s="12">
        <v>0</v>
      </c>
      <c r="J8" s="12">
        <v>0</v>
      </c>
      <c r="L8" s="12">
        <v>0</v>
      </c>
      <c r="M8" s="12">
        <v>0</v>
      </c>
      <c r="N8" s="12"/>
      <c r="P8" s="12">
        <v>0</v>
      </c>
      <c r="Q8" s="7">
        <v>0</v>
      </c>
      <c r="R8" s="12">
        <f t="shared" si="0"/>
        <v>0</v>
      </c>
      <c r="S8" s="12"/>
      <c r="T8" s="12">
        <v>0</v>
      </c>
      <c r="U8" s="7">
        <v>0</v>
      </c>
      <c r="V8" s="12">
        <f aca="true" t="shared" si="7" ref="V8:V13">Y8+AB8+AH8</f>
        <v>0</v>
      </c>
      <c r="W8">
        <f aca="true" t="shared" si="8" ref="W8:X13">0.16*T8*0.5</f>
        <v>0</v>
      </c>
      <c r="X8">
        <f t="shared" si="8"/>
        <v>0</v>
      </c>
      <c r="Y8" s="12">
        <f t="shared" si="1"/>
        <v>0</v>
      </c>
      <c r="Z8">
        <f aca="true" t="shared" si="9" ref="Z8:Z13">0.16*T8*0.5</f>
        <v>0</v>
      </c>
      <c r="AA8">
        <f aca="true" t="shared" si="10" ref="AA8:AA13">0.16*X8*0.5</f>
        <v>0</v>
      </c>
      <c r="AB8" s="12">
        <f t="shared" si="2"/>
        <v>0</v>
      </c>
      <c r="AC8" s="12"/>
      <c r="AD8">
        <f aca="true" t="shared" si="11" ref="AD8:AD13">0.16*AA8*0.5</f>
        <v>0</v>
      </c>
      <c r="AE8" s="12"/>
      <c r="AF8" s="12">
        <f aca="true" t="shared" si="12" ref="AF8:AG13">T8-W8-Z8</f>
        <v>0</v>
      </c>
      <c r="AG8" s="12">
        <f t="shared" si="12"/>
        <v>0</v>
      </c>
      <c r="AH8" s="12">
        <f t="shared" si="3"/>
        <v>0</v>
      </c>
      <c r="AI8" s="12"/>
      <c r="AJ8" s="12"/>
      <c r="AK8" s="12">
        <v>0</v>
      </c>
      <c r="AL8" s="7">
        <v>0</v>
      </c>
      <c r="AM8" s="12">
        <f aca="true" t="shared" si="13" ref="AM8:AM13">AS8+AV8+AP8</f>
        <v>0</v>
      </c>
      <c r="AN8" s="12">
        <f aca="true" t="shared" si="14" ref="AN8:AN13">AK8*0.16*0.5</f>
        <v>0</v>
      </c>
      <c r="AO8" s="7">
        <v>0</v>
      </c>
      <c r="AP8" s="12">
        <f t="shared" si="4"/>
        <v>0</v>
      </c>
      <c r="AQ8" s="12">
        <f aca="true" t="shared" si="15" ref="AQ8:AQ13">AK8*0.16*0.5</f>
        <v>0</v>
      </c>
      <c r="AR8" s="7">
        <v>0</v>
      </c>
      <c r="AS8" s="12">
        <f t="shared" si="5"/>
        <v>0</v>
      </c>
      <c r="AT8" s="12">
        <f aca="true" t="shared" si="16" ref="AT8:AT13">AK8-AN8-AQ8</f>
        <v>0</v>
      </c>
      <c r="AU8" s="7">
        <v>0</v>
      </c>
      <c r="AV8" s="12">
        <f t="shared" si="6"/>
        <v>0</v>
      </c>
      <c r="AX8" s="7">
        <v>0</v>
      </c>
    </row>
    <row r="9" spans="1:50" ht="12">
      <c r="A9" t="s">
        <v>168</v>
      </c>
      <c r="B9" s="12">
        <v>0</v>
      </c>
      <c r="C9" s="27">
        <v>0</v>
      </c>
      <c r="D9" s="12">
        <v>0</v>
      </c>
      <c r="E9" s="12"/>
      <c r="F9" s="12">
        <v>0</v>
      </c>
      <c r="G9" s="7"/>
      <c r="H9" s="12"/>
      <c r="I9" s="12">
        <v>0</v>
      </c>
      <c r="J9" s="12">
        <v>0</v>
      </c>
      <c r="L9" s="12">
        <v>0</v>
      </c>
      <c r="M9" s="12">
        <v>0</v>
      </c>
      <c r="N9" s="12"/>
      <c r="P9" s="12">
        <v>0</v>
      </c>
      <c r="Q9" s="7">
        <v>0</v>
      </c>
      <c r="R9" s="12">
        <f t="shared" si="0"/>
        <v>0</v>
      </c>
      <c r="S9" s="12"/>
      <c r="T9" s="12">
        <v>0</v>
      </c>
      <c r="U9" s="7">
        <v>0</v>
      </c>
      <c r="V9" s="12">
        <f t="shared" si="7"/>
        <v>0</v>
      </c>
      <c r="W9">
        <f t="shared" si="8"/>
        <v>0</v>
      </c>
      <c r="X9">
        <f t="shared" si="8"/>
        <v>0</v>
      </c>
      <c r="Y9" s="12">
        <f t="shared" si="1"/>
        <v>0</v>
      </c>
      <c r="Z9">
        <f t="shared" si="9"/>
        <v>0</v>
      </c>
      <c r="AA9">
        <f t="shared" si="10"/>
        <v>0</v>
      </c>
      <c r="AB9" s="12">
        <f t="shared" si="2"/>
        <v>0</v>
      </c>
      <c r="AC9" s="12"/>
      <c r="AD9">
        <f t="shared" si="11"/>
        <v>0</v>
      </c>
      <c r="AE9" s="12"/>
      <c r="AF9" s="12">
        <f t="shared" si="12"/>
        <v>0</v>
      </c>
      <c r="AG9" s="12">
        <f t="shared" si="12"/>
        <v>0</v>
      </c>
      <c r="AH9" s="12">
        <f t="shared" si="3"/>
        <v>0</v>
      </c>
      <c r="AI9" s="12"/>
      <c r="AJ9" s="12"/>
      <c r="AK9" s="12">
        <v>0</v>
      </c>
      <c r="AL9" s="7">
        <v>0</v>
      </c>
      <c r="AM9" s="12">
        <f t="shared" si="13"/>
        <v>0</v>
      </c>
      <c r="AN9" s="12">
        <f t="shared" si="14"/>
        <v>0</v>
      </c>
      <c r="AO9" s="7">
        <v>0</v>
      </c>
      <c r="AP9" s="12">
        <f t="shared" si="4"/>
        <v>0</v>
      </c>
      <c r="AQ9" s="12">
        <f t="shared" si="15"/>
        <v>0</v>
      </c>
      <c r="AR9" s="7">
        <v>0</v>
      </c>
      <c r="AS9" s="12">
        <f t="shared" si="5"/>
        <v>0</v>
      </c>
      <c r="AT9" s="12">
        <f t="shared" si="16"/>
        <v>0</v>
      </c>
      <c r="AU9" s="7">
        <v>0</v>
      </c>
      <c r="AV9" s="12">
        <f t="shared" si="6"/>
        <v>0</v>
      </c>
      <c r="AX9" s="7">
        <v>0</v>
      </c>
    </row>
    <row r="10" spans="1:50" ht="12">
      <c r="A10" t="s">
        <v>169</v>
      </c>
      <c r="B10" s="12">
        <v>0</v>
      </c>
      <c r="C10" s="27">
        <v>0</v>
      </c>
      <c r="D10" s="12">
        <v>0</v>
      </c>
      <c r="E10" s="12"/>
      <c r="F10" s="12">
        <v>0</v>
      </c>
      <c r="G10" s="7"/>
      <c r="H10" s="12"/>
      <c r="I10" s="12">
        <v>0</v>
      </c>
      <c r="J10" s="12">
        <v>0</v>
      </c>
      <c r="L10" s="12">
        <v>0</v>
      </c>
      <c r="M10" s="12">
        <v>0</v>
      </c>
      <c r="N10" s="12"/>
      <c r="P10" s="12">
        <v>0</v>
      </c>
      <c r="Q10" s="7">
        <v>0</v>
      </c>
      <c r="R10" s="12">
        <f t="shared" si="0"/>
        <v>0</v>
      </c>
      <c r="S10" s="12"/>
      <c r="T10" s="12">
        <v>0</v>
      </c>
      <c r="U10" s="7">
        <v>0</v>
      </c>
      <c r="V10" s="12">
        <f t="shared" si="7"/>
        <v>0</v>
      </c>
      <c r="W10">
        <f t="shared" si="8"/>
        <v>0</v>
      </c>
      <c r="X10">
        <f t="shared" si="8"/>
        <v>0</v>
      </c>
      <c r="Y10" s="12">
        <f t="shared" si="1"/>
        <v>0</v>
      </c>
      <c r="Z10">
        <f t="shared" si="9"/>
        <v>0</v>
      </c>
      <c r="AA10">
        <f t="shared" si="10"/>
        <v>0</v>
      </c>
      <c r="AB10" s="12">
        <f t="shared" si="2"/>
        <v>0</v>
      </c>
      <c r="AC10" s="12"/>
      <c r="AD10">
        <f t="shared" si="11"/>
        <v>0</v>
      </c>
      <c r="AE10" s="12"/>
      <c r="AF10" s="12">
        <f t="shared" si="12"/>
        <v>0</v>
      </c>
      <c r="AG10" s="12">
        <f t="shared" si="12"/>
        <v>0</v>
      </c>
      <c r="AH10" s="12">
        <f t="shared" si="3"/>
        <v>0</v>
      </c>
      <c r="AI10" s="12"/>
      <c r="AJ10" s="12"/>
      <c r="AK10" s="12">
        <v>0</v>
      </c>
      <c r="AL10" s="7">
        <v>0</v>
      </c>
      <c r="AM10" s="12">
        <f t="shared" si="13"/>
        <v>0</v>
      </c>
      <c r="AN10" s="12">
        <f t="shared" si="14"/>
        <v>0</v>
      </c>
      <c r="AO10" s="7">
        <v>0</v>
      </c>
      <c r="AP10" s="12">
        <f t="shared" si="4"/>
        <v>0</v>
      </c>
      <c r="AQ10" s="12">
        <f t="shared" si="15"/>
        <v>0</v>
      </c>
      <c r="AR10" s="7">
        <v>0</v>
      </c>
      <c r="AS10" s="12">
        <f t="shared" si="5"/>
        <v>0</v>
      </c>
      <c r="AT10" s="12">
        <f t="shared" si="16"/>
        <v>0</v>
      </c>
      <c r="AU10" s="7">
        <v>0</v>
      </c>
      <c r="AV10" s="12">
        <f t="shared" si="6"/>
        <v>0</v>
      </c>
      <c r="AX10" s="7">
        <v>0</v>
      </c>
    </row>
    <row r="11" spans="1:50" ht="12">
      <c r="A11" t="s">
        <v>170</v>
      </c>
      <c r="B11" s="12">
        <v>0</v>
      </c>
      <c r="C11" s="27">
        <v>0</v>
      </c>
      <c r="D11" s="12">
        <v>0</v>
      </c>
      <c r="E11" s="12"/>
      <c r="F11" s="12">
        <v>0</v>
      </c>
      <c r="G11" s="7"/>
      <c r="H11" s="12"/>
      <c r="I11" s="12">
        <v>0</v>
      </c>
      <c r="J11" s="12">
        <v>0</v>
      </c>
      <c r="L11" s="12">
        <v>0</v>
      </c>
      <c r="M11" s="12">
        <v>0</v>
      </c>
      <c r="N11" s="12"/>
      <c r="P11" s="12">
        <v>0</v>
      </c>
      <c r="Q11" s="7">
        <v>0</v>
      </c>
      <c r="R11" s="12">
        <f t="shared" si="0"/>
        <v>0</v>
      </c>
      <c r="S11" s="12"/>
      <c r="T11" s="12">
        <v>0</v>
      </c>
      <c r="U11" s="7">
        <v>0</v>
      </c>
      <c r="V11" s="12">
        <f t="shared" si="7"/>
        <v>0</v>
      </c>
      <c r="W11">
        <f t="shared" si="8"/>
        <v>0</v>
      </c>
      <c r="X11">
        <f t="shared" si="8"/>
        <v>0</v>
      </c>
      <c r="Y11" s="12">
        <f t="shared" si="1"/>
        <v>0</v>
      </c>
      <c r="Z11">
        <f t="shared" si="9"/>
        <v>0</v>
      </c>
      <c r="AA11">
        <f t="shared" si="10"/>
        <v>0</v>
      </c>
      <c r="AB11" s="12">
        <f t="shared" si="2"/>
        <v>0</v>
      </c>
      <c r="AC11" s="12"/>
      <c r="AD11">
        <f t="shared" si="11"/>
        <v>0</v>
      </c>
      <c r="AE11" s="12"/>
      <c r="AF11" s="12">
        <f t="shared" si="12"/>
        <v>0</v>
      </c>
      <c r="AG11" s="12">
        <f t="shared" si="12"/>
        <v>0</v>
      </c>
      <c r="AH11" s="12">
        <f t="shared" si="3"/>
        <v>0</v>
      </c>
      <c r="AI11" s="12"/>
      <c r="AJ11" s="12"/>
      <c r="AK11" s="12">
        <v>0</v>
      </c>
      <c r="AL11" s="7">
        <v>0</v>
      </c>
      <c r="AM11" s="12">
        <f t="shared" si="13"/>
        <v>0</v>
      </c>
      <c r="AN11" s="12">
        <f t="shared" si="14"/>
        <v>0</v>
      </c>
      <c r="AO11" s="7">
        <v>0</v>
      </c>
      <c r="AP11" s="12">
        <f t="shared" si="4"/>
        <v>0</v>
      </c>
      <c r="AQ11" s="12">
        <f t="shared" si="15"/>
        <v>0</v>
      </c>
      <c r="AR11" s="7">
        <v>0</v>
      </c>
      <c r="AS11" s="12">
        <f t="shared" si="5"/>
        <v>0</v>
      </c>
      <c r="AT11" s="12">
        <f t="shared" si="16"/>
        <v>0</v>
      </c>
      <c r="AU11" s="7">
        <v>0</v>
      </c>
      <c r="AV11" s="12">
        <f t="shared" si="6"/>
        <v>0</v>
      </c>
      <c r="AX11" s="7">
        <v>0</v>
      </c>
    </row>
    <row r="12" spans="1:50" ht="12">
      <c r="A12" t="s">
        <v>171</v>
      </c>
      <c r="B12" s="12">
        <v>0</v>
      </c>
      <c r="C12" s="27">
        <v>0</v>
      </c>
      <c r="D12" s="12">
        <v>0</v>
      </c>
      <c r="E12" s="12"/>
      <c r="F12" s="12">
        <v>0</v>
      </c>
      <c r="G12" s="7"/>
      <c r="H12" s="12"/>
      <c r="I12" s="12">
        <v>0</v>
      </c>
      <c r="J12" s="12">
        <v>0</v>
      </c>
      <c r="L12" s="12">
        <v>0</v>
      </c>
      <c r="M12" s="12">
        <v>0</v>
      </c>
      <c r="N12" s="12"/>
      <c r="P12" s="12">
        <v>0</v>
      </c>
      <c r="Q12" s="7">
        <v>0</v>
      </c>
      <c r="R12" s="12">
        <f t="shared" si="0"/>
        <v>0</v>
      </c>
      <c r="S12" s="12"/>
      <c r="T12" s="12">
        <v>0</v>
      </c>
      <c r="U12" s="7">
        <v>0</v>
      </c>
      <c r="V12" s="12">
        <f t="shared" si="7"/>
        <v>0</v>
      </c>
      <c r="W12">
        <f t="shared" si="8"/>
        <v>0</v>
      </c>
      <c r="X12">
        <f t="shared" si="8"/>
        <v>0</v>
      </c>
      <c r="Y12" s="12">
        <f t="shared" si="1"/>
        <v>0</v>
      </c>
      <c r="Z12">
        <f t="shared" si="9"/>
        <v>0</v>
      </c>
      <c r="AA12">
        <f t="shared" si="10"/>
        <v>0</v>
      </c>
      <c r="AB12" s="12">
        <f t="shared" si="2"/>
        <v>0</v>
      </c>
      <c r="AC12" s="12"/>
      <c r="AD12">
        <f t="shared" si="11"/>
        <v>0</v>
      </c>
      <c r="AE12" s="12"/>
      <c r="AF12" s="12">
        <f t="shared" si="12"/>
        <v>0</v>
      </c>
      <c r="AG12" s="12">
        <f t="shared" si="12"/>
        <v>0</v>
      </c>
      <c r="AH12" s="12">
        <f t="shared" si="3"/>
        <v>0</v>
      </c>
      <c r="AI12" s="12"/>
      <c r="AJ12" s="12"/>
      <c r="AK12" s="12">
        <v>0</v>
      </c>
      <c r="AL12" s="7">
        <v>0</v>
      </c>
      <c r="AM12" s="12">
        <f t="shared" si="13"/>
        <v>0</v>
      </c>
      <c r="AN12" s="12">
        <f t="shared" si="14"/>
        <v>0</v>
      </c>
      <c r="AO12" s="7">
        <v>0</v>
      </c>
      <c r="AP12" s="12">
        <f t="shared" si="4"/>
        <v>0</v>
      </c>
      <c r="AQ12" s="12">
        <f t="shared" si="15"/>
        <v>0</v>
      </c>
      <c r="AR12" s="7">
        <v>0</v>
      </c>
      <c r="AS12" s="12">
        <f t="shared" si="5"/>
        <v>0</v>
      </c>
      <c r="AT12" s="12">
        <f t="shared" si="16"/>
        <v>0</v>
      </c>
      <c r="AU12" s="7">
        <v>0</v>
      </c>
      <c r="AV12" s="12">
        <f t="shared" si="6"/>
        <v>0</v>
      </c>
      <c r="AX12" s="7">
        <v>0</v>
      </c>
    </row>
    <row r="13" spans="1:50" ht="12">
      <c r="A13" s="62" t="s">
        <v>172</v>
      </c>
      <c r="B13" s="12">
        <f>SUM(B7:B12)</f>
        <v>0</v>
      </c>
      <c r="C13" s="28">
        <v>0</v>
      </c>
      <c r="D13" s="12">
        <v>0</v>
      </c>
      <c r="E13" s="29"/>
      <c r="F13" s="12">
        <v>0</v>
      </c>
      <c r="G13" s="7"/>
      <c r="H13" s="12"/>
      <c r="I13" s="12">
        <v>0</v>
      </c>
      <c r="J13" s="12">
        <v>0</v>
      </c>
      <c r="L13" s="12">
        <v>0</v>
      </c>
      <c r="M13" s="12">
        <v>0</v>
      </c>
      <c r="N13" s="12"/>
      <c r="P13" s="12">
        <f>SUM(P7:P12)</f>
        <v>0</v>
      </c>
      <c r="Q13" s="7">
        <v>0</v>
      </c>
      <c r="R13" s="12">
        <f t="shared" si="0"/>
        <v>0</v>
      </c>
      <c r="S13" s="12"/>
      <c r="T13" s="13">
        <f>SUM(T7:T12)</f>
        <v>0</v>
      </c>
      <c r="U13" s="7">
        <v>0</v>
      </c>
      <c r="V13" s="12">
        <f t="shared" si="7"/>
        <v>0</v>
      </c>
      <c r="W13">
        <f t="shared" si="8"/>
        <v>0</v>
      </c>
      <c r="X13">
        <f t="shared" si="8"/>
        <v>0</v>
      </c>
      <c r="Y13" s="37">
        <f>SUM(Y7:Y12)</f>
        <v>0</v>
      </c>
      <c r="Z13">
        <f t="shared" si="9"/>
        <v>0</v>
      </c>
      <c r="AA13">
        <f t="shared" si="10"/>
        <v>0</v>
      </c>
      <c r="AB13" s="12">
        <f>SUM(AB7:AB12)</f>
        <v>0</v>
      </c>
      <c r="AC13" s="12"/>
      <c r="AD13">
        <f t="shared" si="11"/>
        <v>0</v>
      </c>
      <c r="AE13" s="12"/>
      <c r="AF13" s="12">
        <f t="shared" si="12"/>
        <v>0</v>
      </c>
      <c r="AG13" s="12">
        <f t="shared" si="12"/>
        <v>0</v>
      </c>
      <c r="AH13" s="12">
        <f>SUM(AH7:AH12)</f>
        <v>0</v>
      </c>
      <c r="AI13" s="12"/>
      <c r="AJ13" s="12"/>
      <c r="AK13" s="12">
        <f>SUM(AK7:AK12)</f>
        <v>0</v>
      </c>
      <c r="AL13" s="7">
        <v>0</v>
      </c>
      <c r="AM13" s="12">
        <f t="shared" si="13"/>
        <v>0</v>
      </c>
      <c r="AN13" s="12">
        <f t="shared" si="14"/>
        <v>0</v>
      </c>
      <c r="AO13" s="7">
        <v>0</v>
      </c>
      <c r="AP13" s="12">
        <f>SUM(AP7:AP12)</f>
        <v>0</v>
      </c>
      <c r="AQ13" s="12">
        <f t="shared" si="15"/>
        <v>0</v>
      </c>
      <c r="AR13" s="38">
        <v>0</v>
      </c>
      <c r="AS13" s="12">
        <f>SUM(AS7:AS12)</f>
        <v>0</v>
      </c>
      <c r="AT13" s="12">
        <f t="shared" si="16"/>
        <v>0</v>
      </c>
      <c r="AU13" s="7">
        <v>0</v>
      </c>
      <c r="AV13" s="12">
        <f>SUM(AV7:AV12)</f>
        <v>0</v>
      </c>
      <c r="AX13" s="7">
        <v>0</v>
      </c>
    </row>
    <row r="14" spans="1:48" ht="18">
      <c r="A14" s="3"/>
      <c r="C14" s="3"/>
      <c r="D14" s="12"/>
      <c r="E14" s="12"/>
      <c r="G14" s="7"/>
      <c r="H14" s="12"/>
      <c r="J14"/>
      <c r="N14" s="12"/>
      <c r="Q14" s="7"/>
      <c r="R14" s="12"/>
      <c r="T14" s="11"/>
      <c r="U14" s="7"/>
      <c r="V14" s="12"/>
      <c r="Y14" s="12"/>
      <c r="AB14" s="12"/>
      <c r="AC14" s="12"/>
      <c r="AD14"/>
      <c r="AE14" s="12"/>
      <c r="AF14" s="12"/>
      <c r="AG14" s="12"/>
      <c r="AH14" s="12"/>
      <c r="AI14" s="12"/>
      <c r="AJ14" s="12"/>
      <c r="AL14" s="7"/>
      <c r="AM14" s="12"/>
      <c r="AN14" s="12"/>
      <c r="AO14" s="7"/>
      <c r="AP14" s="12"/>
      <c r="AQ14" s="12"/>
      <c r="AS14" s="12"/>
      <c r="AT14" s="12"/>
      <c r="AU14" s="7"/>
      <c r="AV14" s="12"/>
    </row>
    <row r="15" spans="1:50" ht="12">
      <c r="A15" t="s">
        <v>176</v>
      </c>
      <c r="B15" s="12">
        <v>0</v>
      </c>
      <c r="C15" s="27">
        <v>0</v>
      </c>
      <c r="D15" s="12">
        <v>0</v>
      </c>
      <c r="E15" s="12"/>
      <c r="F15" s="12">
        <v>0</v>
      </c>
      <c r="G15" s="7"/>
      <c r="H15" s="12"/>
      <c r="I15" s="12">
        <v>0</v>
      </c>
      <c r="J15" s="12">
        <v>0</v>
      </c>
      <c r="L15" s="12">
        <v>0</v>
      </c>
      <c r="M15" s="12">
        <v>0</v>
      </c>
      <c r="N15" s="12">
        <f>L15*M15</f>
        <v>0</v>
      </c>
      <c r="P15" s="12">
        <v>0</v>
      </c>
      <c r="Q15" s="7">
        <v>0</v>
      </c>
      <c r="R15" s="12">
        <f>D15-N15</f>
        <v>0</v>
      </c>
      <c r="S15" s="12"/>
      <c r="T15" s="12">
        <v>0</v>
      </c>
      <c r="U15" s="7">
        <v>0</v>
      </c>
      <c r="V15" s="12">
        <f>Y15+AB15+AH15</f>
        <v>0</v>
      </c>
      <c r="W15">
        <f aca="true" t="shared" si="17" ref="W15:X18">0.16*T15*0.5</f>
        <v>0</v>
      </c>
      <c r="X15">
        <f t="shared" si="17"/>
        <v>0</v>
      </c>
      <c r="Y15">
        <f>W15*X15</f>
        <v>0</v>
      </c>
      <c r="Z15">
        <f>0.16*T15*0.5</f>
        <v>0</v>
      </c>
      <c r="AA15">
        <f>0.16*X15*0.5</f>
        <v>0</v>
      </c>
      <c r="AB15">
        <f>Z15*AA15</f>
        <v>0</v>
      </c>
      <c r="AD15">
        <f>0.16*AA15*0.5</f>
        <v>0</v>
      </c>
      <c r="AF15" s="12">
        <f aca="true" t="shared" si="18" ref="AF15:AG18">T15-W15-Z15</f>
        <v>0</v>
      </c>
      <c r="AG15" s="12">
        <f t="shared" si="18"/>
        <v>0</v>
      </c>
      <c r="AH15">
        <f>AF15*AG15</f>
        <v>0</v>
      </c>
      <c r="AK15" s="12">
        <v>0</v>
      </c>
      <c r="AL15" s="7">
        <v>0</v>
      </c>
      <c r="AM15" s="12">
        <f>AS15+AV15+AP15</f>
        <v>0</v>
      </c>
      <c r="AN15" s="12">
        <f>AK15*0.16*0.5</f>
        <v>0</v>
      </c>
      <c r="AO15" s="7">
        <v>0</v>
      </c>
      <c r="AP15" s="12">
        <f>AN15*AO15</f>
        <v>0</v>
      </c>
      <c r="AQ15" s="12">
        <f>AK15*0.16*0.5</f>
        <v>0</v>
      </c>
      <c r="AR15" s="7">
        <v>0</v>
      </c>
      <c r="AS15" s="12">
        <f>AQ15*AR15</f>
        <v>0</v>
      </c>
      <c r="AT15" s="12">
        <f>AK15-AN15-AQ15</f>
        <v>0</v>
      </c>
      <c r="AU15" s="7">
        <v>0</v>
      </c>
      <c r="AV15" s="12">
        <f>AT15*AU15</f>
        <v>0</v>
      </c>
      <c r="AX15" s="7">
        <v>0</v>
      </c>
    </row>
    <row r="16" spans="1:50" ht="12">
      <c r="A16" t="s">
        <v>177</v>
      </c>
      <c r="B16" s="12">
        <v>0</v>
      </c>
      <c r="C16" s="27">
        <v>0</v>
      </c>
      <c r="D16" s="12">
        <v>0</v>
      </c>
      <c r="E16" s="12"/>
      <c r="F16" s="12">
        <v>0</v>
      </c>
      <c r="G16" s="7"/>
      <c r="H16" s="12"/>
      <c r="I16" s="12">
        <v>0</v>
      </c>
      <c r="J16" s="12">
        <v>0</v>
      </c>
      <c r="L16" s="12">
        <v>0</v>
      </c>
      <c r="M16" s="12">
        <v>0</v>
      </c>
      <c r="N16" s="12">
        <f>L16*M16</f>
        <v>0</v>
      </c>
      <c r="P16" s="12">
        <v>0</v>
      </c>
      <c r="Q16" s="7">
        <v>0</v>
      </c>
      <c r="R16" s="12">
        <f>D16-N16</f>
        <v>0</v>
      </c>
      <c r="S16" s="12"/>
      <c r="T16" s="12">
        <v>0</v>
      </c>
      <c r="U16" s="7">
        <v>0</v>
      </c>
      <c r="V16" s="12">
        <f>Y16+AB16+AH16</f>
        <v>0</v>
      </c>
      <c r="W16">
        <f t="shared" si="17"/>
        <v>0</v>
      </c>
      <c r="X16">
        <f t="shared" si="17"/>
        <v>0</v>
      </c>
      <c r="Y16">
        <f>W16*X16</f>
        <v>0</v>
      </c>
      <c r="Z16">
        <f>0.16*T16*0.5</f>
        <v>0</v>
      </c>
      <c r="AA16">
        <f>0.16*X16*0.5</f>
        <v>0</v>
      </c>
      <c r="AB16">
        <f>Z16*AA16</f>
        <v>0</v>
      </c>
      <c r="AD16">
        <f>0.16*AA16*0.5</f>
        <v>0</v>
      </c>
      <c r="AF16" s="12">
        <f t="shared" si="18"/>
        <v>0</v>
      </c>
      <c r="AG16" s="12">
        <f t="shared" si="18"/>
        <v>0</v>
      </c>
      <c r="AH16">
        <f>AF16*AG16</f>
        <v>0</v>
      </c>
      <c r="AK16" s="12">
        <v>0</v>
      </c>
      <c r="AL16" s="7">
        <v>0</v>
      </c>
      <c r="AM16" s="12">
        <f>AS16+AV16+AP16</f>
        <v>0</v>
      </c>
      <c r="AN16" s="12">
        <f>AK16*0.16*0.5</f>
        <v>0</v>
      </c>
      <c r="AO16" s="7">
        <v>0</v>
      </c>
      <c r="AP16" s="12">
        <f>AN16*AO16</f>
        <v>0</v>
      </c>
      <c r="AQ16" s="12">
        <f>AK16*0.16*0.5</f>
        <v>0</v>
      </c>
      <c r="AR16" s="7">
        <v>0</v>
      </c>
      <c r="AS16" s="12">
        <f>AQ16*AR16</f>
        <v>0</v>
      </c>
      <c r="AT16" s="12">
        <f>AK16-AN16-AQ16</f>
        <v>0</v>
      </c>
      <c r="AU16" s="7">
        <v>0</v>
      </c>
      <c r="AV16" s="12">
        <f>AT16*AU16</f>
        <v>0</v>
      </c>
      <c r="AX16" s="7">
        <v>0</v>
      </c>
    </row>
    <row r="17" spans="1:50" ht="12">
      <c r="A17" t="s">
        <v>178</v>
      </c>
      <c r="B17" s="12">
        <v>0</v>
      </c>
      <c r="C17" s="27">
        <v>0</v>
      </c>
      <c r="D17" s="12">
        <v>0</v>
      </c>
      <c r="E17" s="12"/>
      <c r="F17" s="12">
        <v>0</v>
      </c>
      <c r="G17" s="7"/>
      <c r="H17" s="12"/>
      <c r="I17" s="12">
        <v>0</v>
      </c>
      <c r="J17" s="12">
        <v>0</v>
      </c>
      <c r="L17" s="12">
        <v>0</v>
      </c>
      <c r="M17" s="12">
        <v>0</v>
      </c>
      <c r="N17" s="12">
        <f>L17*M17</f>
        <v>0</v>
      </c>
      <c r="P17" s="12">
        <v>0</v>
      </c>
      <c r="Q17" s="7">
        <v>0</v>
      </c>
      <c r="R17" s="12">
        <f>D17-N17</f>
        <v>0</v>
      </c>
      <c r="S17" s="12"/>
      <c r="T17" s="12">
        <v>0</v>
      </c>
      <c r="U17" s="7">
        <v>0</v>
      </c>
      <c r="V17" s="12">
        <f>Y17+AB17+AH17</f>
        <v>0</v>
      </c>
      <c r="W17">
        <f t="shared" si="17"/>
        <v>0</v>
      </c>
      <c r="X17">
        <f t="shared" si="17"/>
        <v>0</v>
      </c>
      <c r="Y17">
        <f>W17*X17</f>
        <v>0</v>
      </c>
      <c r="Z17">
        <f>0.16*T17*0.5</f>
        <v>0</v>
      </c>
      <c r="AA17">
        <f>0.16*X17*0.5</f>
        <v>0</v>
      </c>
      <c r="AB17">
        <f>Z17*AA17</f>
        <v>0</v>
      </c>
      <c r="AD17">
        <f>0.16*AA17*0.5</f>
        <v>0</v>
      </c>
      <c r="AF17" s="12">
        <f t="shared" si="18"/>
        <v>0</v>
      </c>
      <c r="AG17" s="12">
        <f t="shared" si="18"/>
        <v>0</v>
      </c>
      <c r="AH17">
        <f>AF17*AG17</f>
        <v>0</v>
      </c>
      <c r="AK17" s="12">
        <v>0</v>
      </c>
      <c r="AL17" s="7">
        <v>0</v>
      </c>
      <c r="AM17" s="12">
        <f>AS17+AV17+AP17</f>
        <v>0</v>
      </c>
      <c r="AN17" s="12">
        <f>AK17*0.16*0.5</f>
        <v>0</v>
      </c>
      <c r="AO17" s="7">
        <v>0</v>
      </c>
      <c r="AP17" s="12">
        <f>AN17*AO17</f>
        <v>0</v>
      </c>
      <c r="AQ17" s="12">
        <f>AK17*0.16*0.5</f>
        <v>0</v>
      </c>
      <c r="AR17" s="7">
        <v>0</v>
      </c>
      <c r="AS17" s="12">
        <f>AQ17*AR17</f>
        <v>0</v>
      </c>
      <c r="AT17" s="12">
        <f>AK17-AN17-AQ17</f>
        <v>0</v>
      </c>
      <c r="AU17" s="7">
        <v>0</v>
      </c>
      <c r="AV17" s="12">
        <f>AT17*AU17</f>
        <v>0</v>
      </c>
      <c r="AX17" s="7">
        <v>0</v>
      </c>
    </row>
    <row r="18" spans="1:50" ht="12">
      <c r="A18" s="62" t="s">
        <v>57</v>
      </c>
      <c r="B18" s="12">
        <v>0</v>
      </c>
      <c r="C18" s="27">
        <v>0</v>
      </c>
      <c r="D18" s="12">
        <v>0</v>
      </c>
      <c r="E18" s="12"/>
      <c r="F18" s="12">
        <v>0</v>
      </c>
      <c r="G18" s="7"/>
      <c r="H18" s="12"/>
      <c r="I18" s="12">
        <v>0</v>
      </c>
      <c r="J18" s="12">
        <v>0</v>
      </c>
      <c r="L18" s="12">
        <v>0</v>
      </c>
      <c r="M18" s="12">
        <v>0</v>
      </c>
      <c r="N18" s="12">
        <f>L18*M18</f>
        <v>0</v>
      </c>
      <c r="P18" s="12">
        <v>0</v>
      </c>
      <c r="Q18" s="7">
        <v>0</v>
      </c>
      <c r="R18" s="12">
        <f>D18-N18</f>
        <v>0</v>
      </c>
      <c r="S18" s="12"/>
      <c r="T18" s="12">
        <v>0</v>
      </c>
      <c r="U18" s="7">
        <v>0</v>
      </c>
      <c r="V18" s="12">
        <f>Y18+AB18+AH18</f>
        <v>0</v>
      </c>
      <c r="W18">
        <f t="shared" si="17"/>
        <v>0</v>
      </c>
      <c r="X18">
        <f t="shared" si="17"/>
        <v>0</v>
      </c>
      <c r="Y18">
        <f>W18*X18</f>
        <v>0</v>
      </c>
      <c r="Z18">
        <f>0.16*T18*0.5</f>
        <v>0</v>
      </c>
      <c r="AA18">
        <f>0.16*X18*0.5</f>
        <v>0</v>
      </c>
      <c r="AB18">
        <f>Z18*AA18</f>
        <v>0</v>
      </c>
      <c r="AD18">
        <f>0.16*AA18*0.5</f>
        <v>0</v>
      </c>
      <c r="AF18" s="12">
        <f t="shared" si="18"/>
        <v>0</v>
      </c>
      <c r="AG18" s="12">
        <f t="shared" si="18"/>
        <v>0</v>
      </c>
      <c r="AH18">
        <f>AF18*AG18</f>
        <v>0</v>
      </c>
      <c r="AK18" s="12">
        <v>0</v>
      </c>
      <c r="AL18" s="7">
        <v>0</v>
      </c>
      <c r="AM18" s="12">
        <f>AS18+AV18+AP18</f>
        <v>0</v>
      </c>
      <c r="AN18" s="12">
        <f>AK18*0.16*0.5</f>
        <v>0</v>
      </c>
      <c r="AO18" s="7">
        <v>0</v>
      </c>
      <c r="AP18" s="12">
        <f>AN18*AO18</f>
        <v>0</v>
      </c>
      <c r="AQ18" s="12">
        <f>AK18*0.16*0.5</f>
        <v>0</v>
      </c>
      <c r="AR18" s="7">
        <v>0</v>
      </c>
      <c r="AS18" s="12">
        <f>AQ18*AR18</f>
        <v>0</v>
      </c>
      <c r="AT18" s="12">
        <f>AK18-AN18-AQ18</f>
        <v>0</v>
      </c>
      <c r="AU18" s="7">
        <v>0</v>
      </c>
      <c r="AV18" s="12">
        <f>AT18*AU18</f>
        <v>0</v>
      </c>
      <c r="AX18" s="7">
        <v>0</v>
      </c>
    </row>
    <row r="19" spans="1:62" ht="12">
      <c r="A19" s="62" t="s">
        <v>131</v>
      </c>
      <c r="B19" s="12"/>
      <c r="C19" s="28"/>
      <c r="D19" s="12"/>
      <c r="E19" s="12"/>
      <c r="F19" s="12"/>
      <c r="G19" s="12"/>
      <c r="H19" s="12"/>
      <c r="I19" s="12"/>
      <c r="J19" s="9">
        <f>0.6*M19</f>
        <v>57.56399999999999</v>
      </c>
      <c r="L19" s="12"/>
      <c r="M19" s="9">
        <v>95.94</v>
      </c>
      <c r="N19" s="12"/>
      <c r="O19" s="12"/>
      <c r="P19" s="12"/>
      <c r="Q19" s="7"/>
      <c r="R19" s="12"/>
      <c r="S19" s="12"/>
      <c r="T19" s="12"/>
      <c r="U19" s="7"/>
      <c r="V19" s="12"/>
      <c r="W19" s="12"/>
      <c r="X19" s="9">
        <f>579.05*0.6</f>
        <v>347.42999999999995</v>
      </c>
      <c r="Y19" s="12"/>
      <c r="Z19" s="12"/>
      <c r="AA19" s="9">
        <f>537.36*0.6</f>
        <v>322.416</v>
      </c>
      <c r="AB19" s="12"/>
      <c r="AC19" s="12"/>
      <c r="AD19" s="9">
        <f>95.68*0.6</f>
        <v>57.408</v>
      </c>
      <c r="AE19" s="12"/>
      <c r="AF19" s="12"/>
      <c r="AG19" s="9">
        <f>272.31*0.6</f>
        <v>163.386</v>
      </c>
      <c r="AH19" s="12"/>
      <c r="AI19" s="12"/>
      <c r="AJ19" s="12"/>
      <c r="AK19" s="12"/>
      <c r="AL19" s="7"/>
      <c r="AM19" s="12"/>
      <c r="AN19" s="12"/>
      <c r="AO19" s="9">
        <f>447.75*0.53</f>
        <v>237.3075</v>
      </c>
      <c r="AP19" s="12"/>
      <c r="AQ19" s="12"/>
      <c r="AR19" s="9">
        <f>415.51*0.53</f>
        <v>220.2203</v>
      </c>
      <c r="AS19" s="12"/>
      <c r="AT19" s="12"/>
      <c r="AU19" s="9">
        <f>262.92*0.53</f>
        <v>139.34760000000003</v>
      </c>
      <c r="AV19" s="12"/>
      <c r="AW19" s="12"/>
      <c r="AX19" s="9">
        <f>95.68*0.53</f>
        <v>50.71040000000001</v>
      </c>
      <c r="AY19" s="12"/>
      <c r="AZ19" s="12"/>
      <c r="BA19" s="12"/>
      <c r="BB19" s="12"/>
      <c r="BC19" s="12"/>
      <c r="BD19" s="12"/>
      <c r="BE19" s="12"/>
      <c r="BF19" s="12"/>
      <c r="BG19" s="12"/>
      <c r="BH19" s="12"/>
      <c r="BI19" s="12"/>
      <c r="BJ19" s="12"/>
    </row>
    <row r="20" spans="1:62" ht="12">
      <c r="A20" s="62" t="s">
        <v>130</v>
      </c>
      <c r="B20" s="12"/>
      <c r="C20" s="28"/>
      <c r="D20" s="12"/>
      <c r="E20" s="12"/>
      <c r="F20" s="12"/>
      <c r="G20" s="12"/>
      <c r="H20" s="12"/>
      <c r="I20" s="12"/>
      <c r="J20" s="9">
        <f>0.6*M20</f>
        <v>57.56399999999999</v>
      </c>
      <c r="L20" s="12"/>
      <c r="M20" s="9">
        <v>95.94</v>
      </c>
      <c r="N20" s="12"/>
      <c r="O20" s="12"/>
      <c r="P20" s="12"/>
      <c r="Q20" s="7"/>
      <c r="R20" s="12"/>
      <c r="S20" s="12"/>
      <c r="T20" s="12"/>
      <c r="U20" s="7"/>
      <c r="V20" s="12"/>
      <c r="W20" s="12"/>
      <c r="X20" s="9">
        <f>(X22+X23+X25)/3</f>
        <v>347.43</v>
      </c>
      <c r="Y20" s="12"/>
      <c r="Z20" s="12"/>
      <c r="AA20" s="9">
        <f>(AA22+AA23+AA25)/3</f>
        <v>322.416</v>
      </c>
      <c r="AB20" s="12"/>
      <c r="AC20" s="12"/>
      <c r="AD20" s="9">
        <f>(AD22+AD23+AD25)/3</f>
        <v>73.54199999999999</v>
      </c>
      <c r="AE20" s="12"/>
      <c r="AF20" s="12"/>
      <c r="AG20" s="9">
        <f>(AG22+AG23+AG25)/3</f>
        <v>169.646</v>
      </c>
      <c r="AH20" s="12"/>
      <c r="AI20" s="12"/>
      <c r="AJ20" s="12"/>
      <c r="AK20" s="12"/>
      <c r="AL20" s="7"/>
      <c r="AM20" s="12"/>
      <c r="AN20" s="12"/>
      <c r="AO20" s="9">
        <f>(AO22+AO23+AO25)/3</f>
        <v>237.3075</v>
      </c>
      <c r="AP20" s="12"/>
      <c r="AQ20" s="12"/>
      <c r="AR20" s="9">
        <f>(AR22+AR23+AR25)/3</f>
        <v>220.22030000000004</v>
      </c>
      <c r="AS20" s="12"/>
      <c r="AT20" s="12"/>
      <c r="AU20" s="9">
        <f>(AU22+AU23+AU25)/3</f>
        <v>139.34760000000003</v>
      </c>
      <c r="AV20" s="12"/>
      <c r="AW20" s="12"/>
      <c r="AX20" s="9">
        <f>(AX22+AX23+AX25)/3</f>
        <v>59.89706666666668</v>
      </c>
      <c r="AY20" s="12"/>
      <c r="AZ20" s="12"/>
      <c r="BA20" s="12"/>
      <c r="BB20" s="12"/>
      <c r="BC20" s="12"/>
      <c r="BD20" s="12"/>
      <c r="BE20" s="12"/>
      <c r="BF20" s="12"/>
      <c r="BG20" s="12"/>
      <c r="BH20" s="12"/>
      <c r="BI20" s="12"/>
      <c r="BJ20" s="12"/>
    </row>
    <row r="21" spans="1:48" ht="18">
      <c r="A21" s="8"/>
      <c r="C21" s="3"/>
      <c r="D21" s="12"/>
      <c r="E21" s="12"/>
      <c r="F21" s="12"/>
      <c r="G21" s="12"/>
      <c r="H21" s="12"/>
      <c r="I21" s="12"/>
      <c r="M21" s="22"/>
      <c r="N21" s="12"/>
      <c r="Q21" s="7"/>
      <c r="R21" s="12"/>
      <c r="T21" s="11"/>
      <c r="U21" s="7"/>
      <c r="V21" s="12"/>
      <c r="X21" s="7"/>
      <c r="Y21" s="12"/>
      <c r="AA21" s="3"/>
      <c r="AB21" s="12"/>
      <c r="AC21" s="12"/>
      <c r="AE21" s="12"/>
      <c r="AF21" s="12"/>
      <c r="AG21" s="7"/>
      <c r="AH21" s="12"/>
      <c r="AI21" s="12"/>
      <c r="AJ21" s="12"/>
      <c r="AL21" s="7"/>
      <c r="AM21" s="12"/>
      <c r="AN21" s="12"/>
      <c r="AP21" s="12"/>
      <c r="AQ21" s="12"/>
      <c r="AS21" s="12"/>
      <c r="AT21" s="12"/>
      <c r="AU21" s="7"/>
      <c r="AV21" s="12"/>
    </row>
    <row r="22" spans="1:50" ht="12">
      <c r="A22" t="s">
        <v>173</v>
      </c>
      <c r="B22" s="12"/>
      <c r="C22" s="27"/>
      <c r="D22" s="12"/>
      <c r="E22" s="12"/>
      <c r="F22" s="12"/>
      <c r="G22" s="12"/>
      <c r="H22" s="12"/>
      <c r="I22" s="7"/>
      <c r="J22" s="7">
        <f aca="true" t="shared" si="19" ref="J22:J35">0.6*M22</f>
        <v>57.56399999999999</v>
      </c>
      <c r="L22" s="12"/>
      <c r="M22" s="7">
        <f>191.88*0.5</f>
        <v>95.94</v>
      </c>
      <c r="N22" s="12"/>
      <c r="P22" s="12"/>
      <c r="Q22" s="7"/>
      <c r="R22" s="12"/>
      <c r="S22" s="12"/>
      <c r="T22" s="12"/>
      <c r="U22" s="7"/>
      <c r="V22" s="12"/>
      <c r="X22" s="7">
        <f>579.05*0.6</f>
        <v>347.42999999999995</v>
      </c>
      <c r="Y22" s="12"/>
      <c r="AA22" s="7">
        <f>537.36*0.6</f>
        <v>322.416</v>
      </c>
      <c r="AB22" s="12"/>
      <c r="AC22" s="12"/>
      <c r="AD22" s="74">
        <f>95.68*0.6</f>
        <v>57.408</v>
      </c>
      <c r="AE22" s="12"/>
      <c r="AF22" s="12"/>
      <c r="AG22" s="74">
        <f>272.31*0.6</f>
        <v>163.386</v>
      </c>
      <c r="AH22" s="12"/>
      <c r="AI22" s="12"/>
      <c r="AJ22" s="12"/>
      <c r="AK22" s="12"/>
      <c r="AL22" s="7"/>
      <c r="AM22" s="12"/>
      <c r="AN22" s="12"/>
      <c r="AO22" s="7">
        <f>447.75*0.53</f>
        <v>237.3075</v>
      </c>
      <c r="AP22" s="12"/>
      <c r="AQ22" s="12"/>
      <c r="AR22" s="7">
        <f>415.51*0.53</f>
        <v>220.2203</v>
      </c>
      <c r="AS22" s="12"/>
      <c r="AT22" s="12"/>
      <c r="AU22" s="7">
        <f>262.92*0.53</f>
        <v>139.34760000000003</v>
      </c>
      <c r="AV22" s="12"/>
      <c r="AX22" s="7">
        <f>95.68*0.53</f>
        <v>50.71040000000001</v>
      </c>
    </row>
    <row r="23" spans="1:50" ht="12">
      <c r="A23" t="s">
        <v>174</v>
      </c>
      <c r="B23" s="12"/>
      <c r="C23" s="27"/>
      <c r="D23" s="12"/>
      <c r="E23" s="12"/>
      <c r="F23" s="12"/>
      <c r="G23" s="12"/>
      <c r="H23" s="12"/>
      <c r="I23" s="7"/>
      <c r="J23" s="7">
        <f t="shared" si="19"/>
        <v>52.434</v>
      </c>
      <c r="L23" s="12"/>
      <c r="M23" s="7">
        <f>174.78*0.5</f>
        <v>87.39</v>
      </c>
      <c r="N23" s="12"/>
      <c r="P23" s="12"/>
      <c r="Q23" s="7"/>
      <c r="R23" s="12"/>
      <c r="S23" s="12"/>
      <c r="T23" s="12"/>
      <c r="U23" s="7"/>
      <c r="V23" s="12"/>
      <c r="X23" s="7">
        <f aca="true" t="shared" si="20" ref="X23:X32">579.05*0.6</f>
        <v>347.42999999999995</v>
      </c>
      <c r="Y23" s="12"/>
      <c r="AA23" s="7">
        <f aca="true" t="shared" si="21" ref="AA23:AA32">537.36*0.6</f>
        <v>322.416</v>
      </c>
      <c r="AB23" s="12"/>
      <c r="AC23" s="12"/>
      <c r="AD23" s="74">
        <f>150.35*0.6</f>
        <v>90.21</v>
      </c>
      <c r="AE23" s="12"/>
      <c r="AF23" s="12"/>
      <c r="AG23" s="74">
        <f>313*0.6</f>
        <v>187.79999999999998</v>
      </c>
      <c r="AH23" s="12"/>
      <c r="AI23" s="12"/>
      <c r="AJ23" s="12"/>
      <c r="AK23" s="12"/>
      <c r="AL23" s="7"/>
      <c r="AM23" s="12"/>
      <c r="AN23" s="12"/>
      <c r="AO23" s="7">
        <f aca="true" t="shared" si="22" ref="AO23:AO29">447.75*0.53</f>
        <v>237.3075</v>
      </c>
      <c r="AP23" s="12"/>
      <c r="AQ23" s="12"/>
      <c r="AR23" s="7">
        <f aca="true" t="shared" si="23" ref="AR23:AR29">415.51*0.53</f>
        <v>220.2203</v>
      </c>
      <c r="AS23" s="12"/>
      <c r="AT23" s="12"/>
      <c r="AU23" s="7">
        <f aca="true" t="shared" si="24" ref="AU23:AU29">262.92*0.53</f>
        <v>139.34760000000003</v>
      </c>
      <c r="AV23" s="12"/>
      <c r="AX23" s="7">
        <f>121.68*0.53</f>
        <v>64.49040000000001</v>
      </c>
    </row>
    <row r="24" spans="1:50" ht="12">
      <c r="A24" t="s">
        <v>179</v>
      </c>
      <c r="B24" s="12"/>
      <c r="C24" s="27"/>
      <c r="D24" s="12"/>
      <c r="E24" s="12"/>
      <c r="F24" s="12"/>
      <c r="G24" s="12"/>
      <c r="H24" s="12"/>
      <c r="I24" s="7"/>
      <c r="J24" s="7">
        <f t="shared" si="19"/>
        <v>64.53</v>
      </c>
      <c r="L24" s="12"/>
      <c r="M24" s="7">
        <f>215.1*0.5</f>
        <v>107.55</v>
      </c>
      <c r="N24" s="12"/>
      <c r="P24" s="12"/>
      <c r="Q24" s="7"/>
      <c r="R24" s="12"/>
      <c r="S24" s="12"/>
      <c r="T24" s="12"/>
      <c r="U24" s="7"/>
      <c r="V24" s="12"/>
      <c r="X24" s="7">
        <f t="shared" si="20"/>
        <v>347.42999999999995</v>
      </c>
      <c r="Y24" s="12"/>
      <c r="AA24" s="7">
        <f t="shared" si="21"/>
        <v>322.416</v>
      </c>
      <c r="AB24" s="12"/>
      <c r="AC24" s="12"/>
      <c r="AD24" s="74">
        <f>173.68*0.6</f>
        <v>104.208</v>
      </c>
      <c r="AE24" s="12"/>
      <c r="AF24" s="12"/>
      <c r="AG24" s="74">
        <f>278.57*0.6</f>
        <v>167.142</v>
      </c>
      <c r="AH24" s="12"/>
      <c r="AI24" s="12"/>
      <c r="AJ24" s="12"/>
      <c r="AK24" s="12"/>
      <c r="AL24" s="7"/>
      <c r="AM24" s="12"/>
      <c r="AN24" s="12"/>
      <c r="AO24" s="7">
        <f t="shared" si="22"/>
        <v>237.3075</v>
      </c>
      <c r="AP24" s="12"/>
      <c r="AQ24" s="12"/>
      <c r="AR24" s="7">
        <f t="shared" si="23"/>
        <v>220.2203</v>
      </c>
      <c r="AS24" s="12"/>
      <c r="AT24" s="12"/>
      <c r="AU24" s="7">
        <f t="shared" si="24"/>
        <v>139.34760000000003</v>
      </c>
      <c r="AV24" s="12"/>
      <c r="AX24" s="7">
        <f>173.68*0.53</f>
        <v>92.05040000000001</v>
      </c>
    </row>
    <row r="25" spans="1:50" ht="12">
      <c r="A25" t="s">
        <v>175</v>
      </c>
      <c r="B25" s="12"/>
      <c r="C25" s="27"/>
      <c r="D25" s="12"/>
      <c r="E25" s="12"/>
      <c r="F25" s="12"/>
      <c r="G25" s="12"/>
      <c r="H25" s="12"/>
      <c r="I25" s="7"/>
      <c r="J25" s="7">
        <f t="shared" si="19"/>
        <v>52.434</v>
      </c>
      <c r="L25" s="12"/>
      <c r="M25" s="7">
        <f>174.78*0.5</f>
        <v>87.39</v>
      </c>
      <c r="N25" s="12"/>
      <c r="P25" s="12"/>
      <c r="Q25" s="7"/>
      <c r="R25" s="12"/>
      <c r="S25" s="12"/>
      <c r="T25" s="12"/>
      <c r="U25" s="7"/>
      <c r="V25" s="12"/>
      <c r="X25" s="7">
        <f t="shared" si="20"/>
        <v>347.42999999999995</v>
      </c>
      <c r="Y25" s="12"/>
      <c r="AA25" s="7">
        <f t="shared" si="21"/>
        <v>322.416</v>
      </c>
      <c r="AB25" s="12"/>
      <c r="AC25" s="12"/>
      <c r="AD25" s="74">
        <f>121.68*0.6</f>
        <v>73.008</v>
      </c>
      <c r="AE25" s="12"/>
      <c r="AF25" s="12"/>
      <c r="AG25" s="74">
        <f>262.92*0.6</f>
        <v>157.752</v>
      </c>
      <c r="AH25" s="12"/>
      <c r="AI25" s="12"/>
      <c r="AJ25" s="12"/>
      <c r="AK25" s="12"/>
      <c r="AL25" s="7"/>
      <c r="AM25" s="12"/>
      <c r="AN25" s="12"/>
      <c r="AO25" s="7">
        <f t="shared" si="22"/>
        <v>237.3075</v>
      </c>
      <c r="AP25" s="12"/>
      <c r="AQ25" s="12"/>
      <c r="AR25" s="7">
        <f t="shared" si="23"/>
        <v>220.2203</v>
      </c>
      <c r="AS25" s="12"/>
      <c r="AT25" s="12"/>
      <c r="AU25" s="7">
        <f t="shared" si="24"/>
        <v>139.34760000000003</v>
      </c>
      <c r="AV25" s="12"/>
      <c r="AX25" s="7">
        <f>121.68*0.53</f>
        <v>64.49040000000001</v>
      </c>
    </row>
    <row r="26" spans="1:50" ht="12">
      <c r="A26" t="s">
        <v>182</v>
      </c>
      <c r="B26" s="12"/>
      <c r="C26" s="27"/>
      <c r="D26" s="12"/>
      <c r="E26" s="12"/>
      <c r="F26" s="12"/>
      <c r="G26" s="12"/>
      <c r="H26" s="12"/>
      <c r="I26" s="7"/>
      <c r="J26" s="7">
        <f t="shared" si="19"/>
        <v>55.998</v>
      </c>
      <c r="L26" s="12"/>
      <c r="M26" s="7">
        <f>186.66*0.5</f>
        <v>93.33</v>
      </c>
      <c r="N26" s="12"/>
      <c r="P26" s="12"/>
      <c r="Q26" s="7"/>
      <c r="R26" s="12"/>
      <c r="S26" s="12"/>
      <c r="T26" s="12"/>
      <c r="U26" s="7"/>
      <c r="V26" s="12"/>
      <c r="X26" s="7">
        <f t="shared" si="20"/>
        <v>347.42999999999995</v>
      </c>
      <c r="Y26" s="12"/>
      <c r="AA26" s="7">
        <f t="shared" si="21"/>
        <v>322.416</v>
      </c>
      <c r="AB26" s="12"/>
      <c r="AC26" s="12"/>
      <c r="AD26" s="74">
        <f>112.32*0.6</f>
        <v>67.392</v>
      </c>
      <c r="AE26" s="12"/>
      <c r="AF26" s="12"/>
      <c r="AG26" s="74">
        <f>241.01*0.6</f>
        <v>144.606</v>
      </c>
      <c r="AH26" s="12"/>
      <c r="AI26" s="12"/>
      <c r="AJ26" s="12"/>
      <c r="AK26" s="12"/>
      <c r="AL26" s="7"/>
      <c r="AM26" s="12"/>
      <c r="AN26" s="12"/>
      <c r="AO26" s="7">
        <f t="shared" si="22"/>
        <v>237.3075</v>
      </c>
      <c r="AP26" s="12"/>
      <c r="AQ26" s="12"/>
      <c r="AR26" s="7">
        <f t="shared" si="23"/>
        <v>220.2203</v>
      </c>
      <c r="AS26" s="12"/>
      <c r="AT26" s="12"/>
      <c r="AU26" s="7">
        <f t="shared" si="24"/>
        <v>139.34760000000003</v>
      </c>
      <c r="AV26" s="12"/>
      <c r="AX26" s="7">
        <f>112.32*0.53</f>
        <v>59.5296</v>
      </c>
    </row>
    <row r="27" spans="1:50" ht="12">
      <c r="A27" t="s">
        <v>183</v>
      </c>
      <c r="B27" s="12"/>
      <c r="C27" s="27"/>
      <c r="D27" s="12"/>
      <c r="E27" s="12"/>
      <c r="F27" s="12"/>
      <c r="G27" s="12"/>
      <c r="H27" s="12"/>
      <c r="I27" s="7"/>
      <c r="J27" s="7">
        <f t="shared" si="19"/>
        <v>61.397999999999996</v>
      </c>
      <c r="L27" s="12"/>
      <c r="M27" s="7">
        <f>204.66*0.5</f>
        <v>102.33</v>
      </c>
      <c r="N27" s="12"/>
      <c r="P27" s="12"/>
      <c r="Q27" s="7"/>
      <c r="R27" s="12"/>
      <c r="S27" s="12"/>
      <c r="T27" s="12"/>
      <c r="U27" s="7"/>
      <c r="V27" s="12"/>
      <c r="X27" s="7">
        <f t="shared" si="20"/>
        <v>347.42999999999995</v>
      </c>
      <c r="Y27" s="12"/>
      <c r="AA27" s="7">
        <f t="shared" si="21"/>
        <v>322.416</v>
      </c>
      <c r="AB27" s="12"/>
      <c r="AC27" s="12"/>
      <c r="AD27" s="74">
        <f>189.28*0.6</f>
        <v>113.568</v>
      </c>
      <c r="AE27" s="12"/>
      <c r="AF27" s="12"/>
      <c r="AG27" s="74">
        <f>256.66*0.6</f>
        <v>153.996</v>
      </c>
      <c r="AH27" s="12"/>
      <c r="AI27" s="12"/>
      <c r="AJ27" s="12"/>
      <c r="AK27" s="12"/>
      <c r="AL27" s="7"/>
      <c r="AM27" s="12"/>
      <c r="AN27" s="12"/>
      <c r="AO27" s="7">
        <f t="shared" si="22"/>
        <v>237.3075</v>
      </c>
      <c r="AP27" s="12"/>
      <c r="AQ27" s="12"/>
      <c r="AR27" s="7">
        <f t="shared" si="23"/>
        <v>220.2203</v>
      </c>
      <c r="AS27" s="12"/>
      <c r="AT27" s="12"/>
      <c r="AU27" s="7">
        <f t="shared" si="24"/>
        <v>139.34760000000003</v>
      </c>
      <c r="AV27" s="12"/>
      <c r="AX27" s="7">
        <f>189.28*0.53</f>
        <v>100.31840000000001</v>
      </c>
    </row>
    <row r="28" spans="1:50" ht="12">
      <c r="A28" t="s">
        <v>185</v>
      </c>
      <c r="B28" s="12"/>
      <c r="C28" s="27"/>
      <c r="D28" s="12"/>
      <c r="E28" s="12"/>
      <c r="F28" s="12"/>
      <c r="G28" s="12"/>
      <c r="H28" s="12"/>
      <c r="I28" s="7"/>
      <c r="J28" s="7">
        <f t="shared" si="19"/>
        <v>61.722</v>
      </c>
      <c r="L28" s="12"/>
      <c r="M28" s="7">
        <f>205.74*0.5</f>
        <v>102.87</v>
      </c>
      <c r="N28" s="12"/>
      <c r="P28" s="12"/>
      <c r="Q28" s="7"/>
      <c r="R28" s="12"/>
      <c r="S28" s="12"/>
      <c r="T28" s="12"/>
      <c r="U28" s="7"/>
      <c r="V28" s="12"/>
      <c r="X28" s="7">
        <f t="shared" si="20"/>
        <v>347.42999999999995</v>
      </c>
      <c r="Y28" s="12"/>
      <c r="AA28" s="7">
        <f t="shared" si="21"/>
        <v>322.416</v>
      </c>
      <c r="AB28" s="12"/>
      <c r="AC28" s="12"/>
      <c r="AD28" s="74">
        <f>118.56*0.6</f>
        <v>71.136</v>
      </c>
      <c r="AE28" s="12"/>
      <c r="AF28" s="12"/>
      <c r="AG28" s="74">
        <f>253.53*0.6</f>
        <v>152.118</v>
      </c>
      <c r="AH28" s="12"/>
      <c r="AI28" s="12"/>
      <c r="AJ28" s="12"/>
      <c r="AK28" s="12"/>
      <c r="AL28" s="7"/>
      <c r="AM28" s="12"/>
      <c r="AN28" s="12"/>
      <c r="AO28" s="7">
        <f t="shared" si="22"/>
        <v>237.3075</v>
      </c>
      <c r="AP28" s="12"/>
      <c r="AQ28" s="12"/>
      <c r="AR28" s="7">
        <f t="shared" si="23"/>
        <v>220.2203</v>
      </c>
      <c r="AS28" s="12"/>
      <c r="AT28" s="12"/>
      <c r="AU28" s="7">
        <f t="shared" si="24"/>
        <v>139.34760000000003</v>
      </c>
      <c r="AV28" s="12"/>
      <c r="AX28" s="7">
        <f>118.56*0.53</f>
        <v>62.836800000000004</v>
      </c>
    </row>
    <row r="29" spans="1:50" ht="12">
      <c r="A29" s="57" t="s">
        <v>73</v>
      </c>
      <c r="B29" s="12"/>
      <c r="C29" s="27"/>
      <c r="D29" s="12"/>
      <c r="E29" s="12"/>
      <c r="F29" s="12"/>
      <c r="G29" s="12"/>
      <c r="H29" s="12"/>
      <c r="I29" s="7"/>
      <c r="J29" s="7">
        <f t="shared" si="19"/>
        <v>77.16600000000001</v>
      </c>
      <c r="L29" s="12"/>
      <c r="M29" s="7">
        <f>257.22*0.5</f>
        <v>128.61</v>
      </c>
      <c r="N29" s="12"/>
      <c r="P29" s="12"/>
      <c r="Q29" s="7"/>
      <c r="R29" s="12"/>
      <c r="S29" s="12"/>
      <c r="T29" s="12"/>
      <c r="U29" s="7"/>
      <c r="V29" s="12"/>
      <c r="X29" s="7">
        <f t="shared" si="20"/>
        <v>347.42999999999995</v>
      </c>
      <c r="Y29" s="12"/>
      <c r="AA29" s="7">
        <f t="shared" si="21"/>
        <v>322.416</v>
      </c>
      <c r="AB29" s="12"/>
      <c r="AC29" s="12"/>
      <c r="AD29" s="74">
        <f>241.28*0.6</f>
        <v>144.768</v>
      </c>
      <c r="AE29" s="12"/>
      <c r="AF29" s="12"/>
      <c r="AG29" s="74">
        <f>363.08*0.6</f>
        <v>217.84799999999998</v>
      </c>
      <c r="AH29" s="12"/>
      <c r="AI29" s="12"/>
      <c r="AJ29" s="12"/>
      <c r="AK29" s="12"/>
      <c r="AL29" s="7"/>
      <c r="AM29" s="12"/>
      <c r="AN29" s="12"/>
      <c r="AO29" s="7">
        <f t="shared" si="22"/>
        <v>237.3075</v>
      </c>
      <c r="AP29" s="12"/>
      <c r="AQ29" s="12"/>
      <c r="AR29" s="7">
        <f t="shared" si="23"/>
        <v>220.2203</v>
      </c>
      <c r="AS29" s="12"/>
      <c r="AT29" s="12"/>
      <c r="AU29" s="7">
        <f t="shared" si="24"/>
        <v>139.34760000000003</v>
      </c>
      <c r="AV29" s="12"/>
      <c r="AX29" s="7">
        <f>241.28*0.53</f>
        <v>127.87840000000001</v>
      </c>
    </row>
    <row r="30" spans="1:50" ht="13.5">
      <c r="A30" s="62" t="s">
        <v>65</v>
      </c>
      <c r="B30" s="12"/>
      <c r="C30" s="27"/>
      <c r="D30" s="12"/>
      <c r="E30" s="17"/>
      <c r="F30" s="17"/>
      <c r="G30" s="17"/>
      <c r="H30" s="17"/>
      <c r="I30" s="7"/>
      <c r="J30" s="9">
        <f t="shared" si="19"/>
        <v>60.40575</v>
      </c>
      <c r="K30" s="21"/>
      <c r="L30" s="12"/>
      <c r="M30" s="9">
        <f>SUM(M22:M29)/8</f>
        <v>100.67625</v>
      </c>
      <c r="N30" s="12"/>
      <c r="P30" s="12"/>
      <c r="Q30" s="7"/>
      <c r="R30" s="12"/>
      <c r="S30" s="12"/>
      <c r="T30" s="37"/>
      <c r="U30" s="7"/>
      <c r="V30" s="12"/>
      <c r="X30" s="9">
        <f t="shared" si="20"/>
        <v>347.42999999999995</v>
      </c>
      <c r="Y30" s="12"/>
      <c r="AA30" s="9">
        <f t="shared" si="21"/>
        <v>322.416</v>
      </c>
      <c r="AB30" s="12"/>
      <c r="AC30" s="12"/>
      <c r="AD30" s="9">
        <f>SUM(AD22:AD29)/8</f>
        <v>90.21225</v>
      </c>
      <c r="AE30" s="12"/>
      <c r="AF30" s="12"/>
      <c r="AG30" s="9">
        <f>SUM(AG22:AG29)/8</f>
        <v>168.081</v>
      </c>
      <c r="AH30" s="52"/>
      <c r="AI30" s="52"/>
      <c r="AJ30" s="52"/>
      <c r="AK30" s="12"/>
      <c r="AL30" s="7"/>
      <c r="AM30" s="12"/>
      <c r="AN30" s="12"/>
      <c r="AO30" s="9">
        <f>SUM(AO22:AO29)/8</f>
        <v>237.30749999999995</v>
      </c>
      <c r="AP30" s="12"/>
      <c r="AQ30" s="12"/>
      <c r="AR30" s="9">
        <f>SUM(AR22:AR29)/8</f>
        <v>220.22029999999998</v>
      </c>
      <c r="AS30" s="37"/>
      <c r="AT30" s="12"/>
      <c r="AU30" s="9">
        <f>SUM(AU22:AU29)/8</f>
        <v>139.34760000000003</v>
      </c>
      <c r="AV30" s="37"/>
      <c r="AX30" s="9">
        <f>SUM(AX22:AX29)/8</f>
        <v>77.78810000000001</v>
      </c>
    </row>
    <row r="31" spans="1:50" ht="13.5">
      <c r="A31" s="62" t="s">
        <v>74</v>
      </c>
      <c r="B31" s="12"/>
      <c r="C31" s="27"/>
      <c r="D31" s="12"/>
      <c r="E31" s="17"/>
      <c r="F31" s="17"/>
      <c r="G31" s="17"/>
      <c r="H31" s="17"/>
      <c r="I31" s="7"/>
      <c r="J31" s="9">
        <f t="shared" si="19"/>
        <v>59.2164</v>
      </c>
      <c r="K31" s="21"/>
      <c r="L31" s="12"/>
      <c r="M31" s="65">
        <f>(M30*8-M22-M23-M29)/5</f>
        <v>98.694</v>
      </c>
      <c r="N31" s="12"/>
      <c r="P31" s="12"/>
      <c r="Q31" s="7"/>
      <c r="R31" s="12"/>
      <c r="S31" s="12"/>
      <c r="T31" s="12"/>
      <c r="U31" s="7"/>
      <c r="V31" s="12"/>
      <c r="W31" s="12"/>
      <c r="X31" s="9">
        <f t="shared" si="20"/>
        <v>347.42999999999995</v>
      </c>
      <c r="Y31" s="12"/>
      <c r="Z31" s="12"/>
      <c r="AA31" s="9">
        <f t="shared" si="21"/>
        <v>322.416</v>
      </c>
      <c r="AB31" s="12"/>
      <c r="AC31" s="12"/>
      <c r="AD31" s="9">
        <f>(AD30*8-AD22-AD23-AD29)/5</f>
        <v>85.86239999999998</v>
      </c>
      <c r="AE31" s="12"/>
      <c r="AF31" s="12"/>
      <c r="AG31" s="9">
        <f>(AG30*8-AG22-AG23-AG29)/5</f>
        <v>155.1228</v>
      </c>
      <c r="AH31" s="12"/>
      <c r="AI31" s="12"/>
      <c r="AJ31" s="12"/>
      <c r="AK31" s="12"/>
      <c r="AL31" s="7"/>
      <c r="AM31" s="12"/>
      <c r="AN31" s="12"/>
      <c r="AO31" s="9">
        <f>(AO30*8-AO22-AO23-AO29)/5</f>
        <v>237.30749999999998</v>
      </c>
      <c r="AP31" s="12"/>
      <c r="AQ31" s="12"/>
      <c r="AR31" s="9">
        <f>(AR30*8-AR22-AR23-AR29)/5</f>
        <v>220.2203</v>
      </c>
      <c r="AS31" s="12"/>
      <c r="AT31" s="12"/>
      <c r="AU31" s="9">
        <f>(AU30*8-AU22-AU23-AU29)/5</f>
        <v>139.3476</v>
      </c>
      <c r="AV31" s="12"/>
      <c r="AX31" s="9">
        <f>(AX30*8-AX22-AX23-AX29)/5</f>
        <v>75.84512000000001</v>
      </c>
    </row>
    <row r="32" spans="1:50" ht="13.5">
      <c r="A32" s="62" t="s">
        <v>52</v>
      </c>
      <c r="B32" s="12"/>
      <c r="C32" s="27"/>
      <c r="D32" s="12"/>
      <c r="E32" s="17"/>
      <c r="F32" s="17"/>
      <c r="G32" s="17"/>
      <c r="H32" s="17"/>
      <c r="I32" s="7"/>
      <c r="J32" s="9">
        <f t="shared" si="19"/>
        <v>64.1628</v>
      </c>
      <c r="K32" s="21"/>
      <c r="L32" s="12"/>
      <c r="M32" s="65">
        <f>(M30*8-M22-M23-M25)/5</f>
        <v>106.93800000000002</v>
      </c>
      <c r="N32" s="12"/>
      <c r="P32" s="12"/>
      <c r="Q32" s="7"/>
      <c r="R32" s="12"/>
      <c r="S32" s="12"/>
      <c r="T32" s="12"/>
      <c r="U32" s="7"/>
      <c r="V32" s="12"/>
      <c r="W32" s="12"/>
      <c r="X32" s="9">
        <f t="shared" si="20"/>
        <v>347.42999999999995</v>
      </c>
      <c r="Y32" s="12"/>
      <c r="Z32" s="12"/>
      <c r="AA32" s="9">
        <f t="shared" si="21"/>
        <v>322.416</v>
      </c>
      <c r="AB32" s="12"/>
      <c r="AC32" s="12"/>
      <c r="AD32" s="9">
        <f>(AD30*8-AD22-AD23-AD25)/5</f>
        <v>100.21439999999998</v>
      </c>
      <c r="AE32" s="12"/>
      <c r="AF32" s="12"/>
      <c r="AG32" s="9">
        <f>(AG30*8-AG22-AG23-AG25)/5</f>
        <v>167.142</v>
      </c>
      <c r="AH32" s="12"/>
      <c r="AI32" s="12"/>
      <c r="AJ32" s="12"/>
      <c r="AK32" s="12"/>
      <c r="AL32" s="7"/>
      <c r="AM32" s="12"/>
      <c r="AN32" s="12"/>
      <c r="AO32" s="9">
        <f>(AO30*8-AO22-AO23-AO25)/5</f>
        <v>237.30749999999998</v>
      </c>
      <c r="AP32" s="12"/>
      <c r="AQ32" s="12"/>
      <c r="AR32" s="9">
        <f>(AR30*8-AR22-AR23-AR25)/5</f>
        <v>220.2203</v>
      </c>
      <c r="AS32" s="12"/>
      <c r="AT32" s="12"/>
      <c r="AU32" s="9">
        <f>(AU30*8-AU22-AU23-AU25)/5</f>
        <v>139.3476</v>
      </c>
      <c r="AV32" s="12"/>
      <c r="AX32" s="9">
        <f>(AX30*8-AX22-AX23-AX25)/5</f>
        <v>88.52272</v>
      </c>
    </row>
    <row r="33" spans="1:46" ht="12">
      <c r="A33" s="57"/>
      <c r="C33" s="27"/>
      <c r="D33" s="12"/>
      <c r="I33" s="7"/>
      <c r="M33" s="7"/>
      <c r="N33" s="12"/>
      <c r="Q33" s="7"/>
      <c r="R33" s="12"/>
      <c r="T33" s="10"/>
      <c r="U33" s="7"/>
      <c r="V33" s="12"/>
      <c r="X33" s="7"/>
      <c r="AF33" s="12"/>
      <c r="AH33" s="12"/>
      <c r="AI33" s="12"/>
      <c r="AJ33" s="12"/>
      <c r="AL33" s="7"/>
      <c r="AM33" s="12"/>
      <c r="AN33" s="12"/>
      <c r="AQ33" s="12"/>
      <c r="AT33" s="12"/>
    </row>
    <row r="34" spans="1:93" ht="18">
      <c r="A34" s="62" t="s">
        <v>58</v>
      </c>
      <c r="B34" s="12"/>
      <c r="C34" s="28"/>
      <c r="D34" s="12"/>
      <c r="E34" s="19"/>
      <c r="F34" s="19"/>
      <c r="G34" s="19"/>
      <c r="H34" s="19"/>
      <c r="I34" s="7"/>
      <c r="J34" s="9">
        <f t="shared" si="19"/>
        <v>58.01142857142857</v>
      </c>
      <c r="K34" s="16"/>
      <c r="L34" s="12"/>
      <c r="M34" s="65">
        <f>(M30*8-M29)/7</f>
        <v>96.68571428571428</v>
      </c>
      <c r="N34" s="12"/>
      <c r="P34" s="12"/>
      <c r="Q34" s="9"/>
      <c r="R34" s="12"/>
      <c r="S34" s="12"/>
      <c r="T34" s="36"/>
      <c r="U34" s="9"/>
      <c r="V34" s="12"/>
      <c r="X34" s="9">
        <f>X30</f>
        <v>347.42999999999995</v>
      </c>
      <c r="Y34" s="19"/>
      <c r="AA34" s="9">
        <f>AA30</f>
        <v>322.416</v>
      </c>
      <c r="AB34" s="19"/>
      <c r="AC34" s="19"/>
      <c r="AD34" s="65">
        <f>(AD30*8-AD29)/7</f>
        <v>82.41857142857143</v>
      </c>
      <c r="AE34" s="36"/>
      <c r="AF34" s="64"/>
      <c r="AG34" s="65">
        <f>(AG30*8-AG29)/7</f>
        <v>160.97142857142856</v>
      </c>
      <c r="AH34" s="19"/>
      <c r="AI34" s="19"/>
      <c r="AJ34" s="19"/>
      <c r="AK34" s="12"/>
      <c r="AL34" s="9"/>
      <c r="AM34" s="12"/>
      <c r="AN34" s="12"/>
      <c r="AO34" s="9">
        <f>(AO30*8-AO29)/7</f>
        <v>237.30749999999995</v>
      </c>
      <c r="AP34" s="17"/>
      <c r="AQ34" s="12"/>
      <c r="AR34" s="9">
        <f>(AR30*8-AR29)/7</f>
        <v>220.22029999999998</v>
      </c>
      <c r="AS34" s="17"/>
      <c r="AT34" s="12"/>
      <c r="AU34" s="9">
        <f>(AU30*8-AU29)/7</f>
        <v>139.34760000000003</v>
      </c>
      <c r="AV34" s="17"/>
      <c r="AW34" s="4"/>
      <c r="AX34" s="9">
        <f>(AX30*8-AX29)/7</f>
        <v>70.63234285714287</v>
      </c>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row>
    <row r="35" spans="1:93" ht="18">
      <c r="A35" s="62" t="s">
        <v>59</v>
      </c>
      <c r="B35" s="12"/>
      <c r="C35" s="28"/>
      <c r="D35" s="12"/>
      <c r="E35" s="12"/>
      <c r="F35" s="12"/>
      <c r="G35" s="12"/>
      <c r="H35" s="12"/>
      <c r="I35" s="12"/>
      <c r="J35" s="9">
        <f t="shared" si="19"/>
        <v>64.63309090909091</v>
      </c>
      <c r="L35" s="12"/>
      <c r="M35" s="65">
        <f>(M30*8+M40*3)/11</f>
        <v>107.7218181818182</v>
      </c>
      <c r="N35" s="12"/>
      <c r="O35" s="12"/>
      <c r="P35" s="12"/>
      <c r="Q35" s="9"/>
      <c r="R35" s="12"/>
      <c r="S35" s="12"/>
      <c r="T35" s="12"/>
      <c r="U35" s="9"/>
      <c r="V35" s="12"/>
      <c r="W35" s="12"/>
      <c r="X35" s="9">
        <f>(X30*8+X40*3)/11</f>
        <v>367.9172727272727</v>
      </c>
      <c r="Y35" s="12"/>
      <c r="Z35" s="12"/>
      <c r="AA35" s="9">
        <f>(AA30*8+AA40*3)/11</f>
        <v>341.42727272727274</v>
      </c>
      <c r="AB35" s="12"/>
      <c r="AC35" s="12"/>
      <c r="AD35" s="65">
        <f>(AD34*8+AD40*3)/11</f>
        <v>88.30441558441558</v>
      </c>
      <c r="AE35" s="64"/>
      <c r="AF35" s="64"/>
      <c r="AG35" s="65">
        <f>(AG34*8+AG40*3)/11</f>
        <v>169.4834025974026</v>
      </c>
      <c r="AH35" s="12"/>
      <c r="AI35" s="12"/>
      <c r="AJ35" s="12"/>
      <c r="AK35" s="12"/>
      <c r="AL35" s="9"/>
      <c r="AM35" s="12"/>
      <c r="AN35" s="12"/>
      <c r="AO35" s="9">
        <f>(AO34*7+AO40*3)/10</f>
        <v>230.54999999999995</v>
      </c>
      <c r="AP35" s="12"/>
      <c r="AQ35" s="12"/>
      <c r="AR35" s="9">
        <f>(AR34*7+AR40*3)/10</f>
        <v>213.94933999999998</v>
      </c>
      <c r="AS35" s="12"/>
      <c r="AT35" s="12"/>
      <c r="AU35" s="9">
        <f>(AU34*7+AU40*3)/10</f>
        <v>143.32896</v>
      </c>
      <c r="AV35" s="12"/>
      <c r="AW35" s="12"/>
      <c r="AX35" s="9">
        <f>(AX34*7+AX40*3)/10</f>
        <v>77.00264000000001</v>
      </c>
      <c r="AY35" s="12"/>
      <c r="AZ35" s="12"/>
      <c r="BA35" s="12"/>
      <c r="BB35" s="12"/>
      <c r="BC35" s="12"/>
      <c r="BD35" s="12"/>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row>
    <row r="36" spans="1:93" ht="18">
      <c r="A36" s="8"/>
      <c r="B36" s="12"/>
      <c r="C36" s="28"/>
      <c r="D36" s="12"/>
      <c r="E36" s="12"/>
      <c r="F36" s="12"/>
      <c r="G36" s="12"/>
      <c r="H36" s="12"/>
      <c r="I36" s="12"/>
      <c r="L36" s="12"/>
      <c r="M36" s="16"/>
      <c r="N36" s="12"/>
      <c r="O36" s="12"/>
      <c r="P36" s="12"/>
      <c r="Q36" s="9"/>
      <c r="R36" s="12"/>
      <c r="S36" s="12"/>
      <c r="T36" s="12"/>
      <c r="U36" s="9"/>
      <c r="V36" s="12"/>
      <c r="W36" s="12"/>
      <c r="X36" s="9"/>
      <c r="Y36" s="12"/>
      <c r="Z36" s="12"/>
      <c r="AA36" s="21"/>
      <c r="AB36" s="12"/>
      <c r="AC36" s="12"/>
      <c r="AE36" s="12"/>
      <c r="AF36" s="12"/>
      <c r="AG36" s="21"/>
      <c r="AH36" s="12"/>
      <c r="AI36" s="12"/>
      <c r="AJ36" s="12"/>
      <c r="AK36" s="12"/>
      <c r="AL36" s="9"/>
      <c r="AM36" s="12"/>
      <c r="AN36" s="12"/>
      <c r="AO36" s="31"/>
      <c r="AP36" s="12"/>
      <c r="AQ36" s="12"/>
      <c r="AR36" s="31"/>
      <c r="AS36" s="12"/>
      <c r="AT36" s="12"/>
      <c r="AU36" s="31"/>
      <c r="AV36" s="12"/>
      <c r="AW36" s="12"/>
      <c r="AY36" s="12"/>
      <c r="AZ36" s="12"/>
      <c r="BA36" s="12"/>
      <c r="BB36" s="12"/>
      <c r="BC36" s="12"/>
      <c r="BD36" s="12"/>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row>
    <row r="37" spans="1:50" ht="12">
      <c r="A37" t="s">
        <v>180</v>
      </c>
      <c r="B37" s="12"/>
      <c r="C37" s="27"/>
      <c r="D37" s="12"/>
      <c r="E37" s="12"/>
      <c r="F37" s="12"/>
      <c r="G37" s="12"/>
      <c r="H37" s="12"/>
      <c r="I37" s="12"/>
      <c r="J37" s="7">
        <f>0.6*M37</f>
        <v>73.27799999999999</v>
      </c>
      <c r="L37" s="12"/>
      <c r="M37" s="7">
        <f>244.26*0.5</f>
        <v>122.13</v>
      </c>
      <c r="N37" s="12"/>
      <c r="P37" s="12"/>
      <c r="Q37" s="7"/>
      <c r="R37" s="12"/>
      <c r="S37" s="12"/>
      <c r="T37" s="12"/>
      <c r="U37" s="7"/>
      <c r="V37" s="12"/>
      <c r="X37" s="78">
        <f>704.25*0.6</f>
        <v>422.55</v>
      </c>
      <c r="Y37" s="12"/>
      <c r="AA37" s="78">
        <f>653.54*0.6</f>
        <v>392.12399999999997</v>
      </c>
      <c r="AB37" s="12"/>
      <c r="AC37" s="12"/>
      <c r="AD37" s="74">
        <f>152.88*0.6</f>
        <v>91.728</v>
      </c>
      <c r="AE37" s="12"/>
      <c r="AF37" s="12"/>
      <c r="AG37" s="78">
        <f>303.61*0.6</f>
        <v>182.166</v>
      </c>
      <c r="AH37" s="12"/>
      <c r="AI37" s="12"/>
      <c r="AJ37" s="12"/>
      <c r="AK37" s="12"/>
      <c r="AL37" s="7"/>
      <c r="AM37" s="12"/>
      <c r="AN37" s="12"/>
      <c r="AO37" s="7">
        <f>405.25*0.53</f>
        <v>214.7825</v>
      </c>
      <c r="AP37" s="12"/>
      <c r="AQ37" s="12"/>
      <c r="AR37" s="7">
        <f>376.07*0.53</f>
        <v>199.3171</v>
      </c>
      <c r="AS37" s="12"/>
      <c r="AT37" s="12"/>
      <c r="AU37" s="7">
        <f>287.96*0.53</f>
        <v>152.6188</v>
      </c>
      <c r="AV37" s="12"/>
      <c r="AX37" s="7">
        <f>152.88*0.53</f>
        <v>81.0264</v>
      </c>
    </row>
    <row r="38" spans="1:50" ht="12">
      <c r="A38" t="s">
        <v>181</v>
      </c>
      <c r="B38" s="12"/>
      <c r="C38" s="27"/>
      <c r="D38" s="12"/>
      <c r="E38" s="12"/>
      <c r="F38" s="12"/>
      <c r="G38" s="12"/>
      <c r="H38" s="12"/>
      <c r="I38" s="12"/>
      <c r="J38" s="7">
        <f>0.6*M38</f>
        <v>89.964</v>
      </c>
      <c r="L38" s="12"/>
      <c r="M38" s="7">
        <f>299.88*0.5</f>
        <v>149.94</v>
      </c>
      <c r="N38" s="12"/>
      <c r="P38" s="12"/>
      <c r="Q38" s="7"/>
      <c r="R38" s="12"/>
      <c r="S38" s="12"/>
      <c r="T38" s="12"/>
      <c r="U38" s="7"/>
      <c r="V38" s="12"/>
      <c r="X38" s="78">
        <f>704.25*0.6</f>
        <v>422.55</v>
      </c>
      <c r="Y38" s="12"/>
      <c r="AA38" s="78">
        <f>653.54*0.6</f>
        <v>392.12399999999997</v>
      </c>
      <c r="AB38" s="12"/>
      <c r="AC38" s="12"/>
      <c r="AD38" s="74">
        <f>234*0.6</f>
        <v>140.4</v>
      </c>
      <c r="AE38" s="12"/>
      <c r="AF38" s="12"/>
      <c r="AG38" s="78">
        <f>394.38*0.6</f>
        <v>236.628</v>
      </c>
      <c r="AH38" s="12"/>
      <c r="AI38" s="12"/>
      <c r="AJ38" s="12"/>
      <c r="AK38" s="12"/>
      <c r="AL38" s="7"/>
      <c r="AM38" s="12"/>
      <c r="AN38" s="12"/>
      <c r="AO38" s="7">
        <f>405.25*0.53</f>
        <v>214.7825</v>
      </c>
      <c r="AP38" s="12"/>
      <c r="AQ38" s="12"/>
      <c r="AR38" s="7">
        <f>376.07*0.53</f>
        <v>199.3171</v>
      </c>
      <c r="AS38" s="12"/>
      <c r="AT38" s="12"/>
      <c r="AU38" s="7">
        <f>287.96*0.53</f>
        <v>152.6188</v>
      </c>
      <c r="AV38" s="12"/>
      <c r="AX38" s="7">
        <f>234*0.53</f>
        <v>124.02000000000001</v>
      </c>
    </row>
    <row r="39" spans="1:50" ht="12">
      <c r="A39" t="s">
        <v>184</v>
      </c>
      <c r="B39" s="12"/>
      <c r="C39" s="27"/>
      <c r="D39" s="12"/>
      <c r="E39" s="12"/>
      <c r="F39" s="12"/>
      <c r="G39" s="12"/>
      <c r="H39" s="12"/>
      <c r="I39" s="12"/>
      <c r="J39" s="7">
        <f>0.6*M39</f>
        <v>64.476</v>
      </c>
      <c r="L39" s="12"/>
      <c r="M39" s="7">
        <f>214.92*0.5</f>
        <v>107.46</v>
      </c>
      <c r="N39" s="12"/>
      <c r="P39" s="12"/>
      <c r="Q39" s="7"/>
      <c r="R39" s="12"/>
      <c r="S39" s="12"/>
      <c r="T39" s="12"/>
      <c r="U39" s="7"/>
      <c r="V39" s="12"/>
      <c r="X39" s="78">
        <f>704.25*0.6</f>
        <v>422.55</v>
      </c>
      <c r="Y39" s="12"/>
      <c r="AA39" s="78">
        <f>653.54*0.6</f>
        <v>392.12399999999997</v>
      </c>
      <c r="AB39" s="12"/>
      <c r="AC39" s="12"/>
      <c r="AD39" s="74">
        <f>133.12*0.6</f>
        <v>79.872</v>
      </c>
      <c r="AE39" s="12"/>
      <c r="AF39" s="12"/>
      <c r="AG39" s="78">
        <f>262.92*0.6</f>
        <v>157.752</v>
      </c>
      <c r="AH39" s="12"/>
      <c r="AI39" s="12"/>
      <c r="AJ39" s="12"/>
      <c r="AK39" s="12"/>
      <c r="AL39" s="7"/>
      <c r="AM39" s="12"/>
      <c r="AN39" s="12"/>
      <c r="AO39" s="7">
        <f>405.25*0.53</f>
        <v>214.7825</v>
      </c>
      <c r="AP39" s="12"/>
      <c r="AQ39" s="12"/>
      <c r="AR39" s="7">
        <f>376.07*0.53</f>
        <v>199.3171</v>
      </c>
      <c r="AS39" s="12"/>
      <c r="AT39" s="12"/>
      <c r="AU39" s="7">
        <f>287.96*0.53</f>
        <v>152.6188</v>
      </c>
      <c r="AV39" s="12"/>
      <c r="AX39" s="7">
        <f>133.12*0.53</f>
        <v>70.5536</v>
      </c>
    </row>
    <row r="40" spans="1:93" ht="18">
      <c r="A40" s="8" t="s">
        <v>119</v>
      </c>
      <c r="B40" s="12"/>
      <c r="C40" s="28"/>
      <c r="D40" s="12"/>
      <c r="E40" s="12"/>
      <c r="F40" s="12"/>
      <c r="G40" s="12"/>
      <c r="H40" s="12"/>
      <c r="I40" s="12"/>
      <c r="J40" s="9">
        <f>0.6*M40</f>
        <v>75.90599999999999</v>
      </c>
      <c r="L40" s="12"/>
      <c r="M40" s="65">
        <f>SUM(M37:M39)/3</f>
        <v>126.50999999999999</v>
      </c>
      <c r="N40" s="12"/>
      <c r="O40" s="12"/>
      <c r="P40" s="12"/>
      <c r="Q40" s="9"/>
      <c r="R40" s="12"/>
      <c r="S40" s="12"/>
      <c r="T40" s="12"/>
      <c r="U40" s="43"/>
      <c r="V40" s="12"/>
      <c r="W40" s="12"/>
      <c r="X40" s="66">
        <f>704.25*0.6</f>
        <v>422.55</v>
      </c>
      <c r="Y40" s="12"/>
      <c r="Z40" s="12"/>
      <c r="AA40" s="66">
        <f>653.54*0.6</f>
        <v>392.12399999999997</v>
      </c>
      <c r="AB40" s="12"/>
      <c r="AC40" s="12"/>
      <c r="AD40" s="9">
        <f>SUM(AD37:AD39)/3</f>
        <v>104</v>
      </c>
      <c r="AE40" s="12"/>
      <c r="AF40" s="12"/>
      <c r="AG40" s="9">
        <f>SUM(AG37:AG39)/3</f>
        <v>192.18200000000002</v>
      </c>
      <c r="AH40" s="12"/>
      <c r="AI40" s="12"/>
      <c r="AJ40" s="12"/>
      <c r="AK40" s="12"/>
      <c r="AL40" s="9"/>
      <c r="AM40" s="12"/>
      <c r="AN40" s="12"/>
      <c r="AO40" s="65">
        <f>SUM(AO37:AO39)/3</f>
        <v>214.7825</v>
      </c>
      <c r="AP40" s="12"/>
      <c r="AQ40" s="12"/>
      <c r="AR40" s="65">
        <f>SUM(AR37:AR39)/3</f>
        <v>199.3171</v>
      </c>
      <c r="AS40" s="12"/>
      <c r="AT40" s="12"/>
      <c r="AU40" s="65">
        <f>SUM(AU37:AU39)/3</f>
        <v>152.6188</v>
      </c>
      <c r="AV40" s="12"/>
      <c r="AW40" s="4"/>
      <c r="AX40" s="65">
        <f>SUM(AX37:AX39)/3</f>
        <v>91.86666666666667</v>
      </c>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row>
    <row r="41" spans="1:93" ht="18">
      <c r="A41" s="8"/>
      <c r="B41" s="12"/>
      <c r="C41" s="28"/>
      <c r="D41" s="12"/>
      <c r="E41" s="12"/>
      <c r="F41" s="12"/>
      <c r="G41" s="12"/>
      <c r="H41" s="12"/>
      <c r="I41" s="12"/>
      <c r="L41" s="12"/>
      <c r="M41" s="16"/>
      <c r="N41" s="12"/>
      <c r="O41" s="12"/>
      <c r="P41" s="12"/>
      <c r="Q41" s="9"/>
      <c r="R41" s="12"/>
      <c r="S41" s="12"/>
      <c r="T41" s="12"/>
      <c r="U41" s="43"/>
      <c r="V41" s="12"/>
      <c r="W41" s="12"/>
      <c r="X41" s="43"/>
      <c r="Y41" s="12"/>
      <c r="Z41" s="12"/>
      <c r="AA41" s="43"/>
      <c r="AB41" s="12"/>
      <c r="AC41" s="12"/>
      <c r="AE41" s="12"/>
      <c r="AF41" s="12"/>
      <c r="AG41" s="43"/>
      <c r="AH41" s="12"/>
      <c r="AI41" s="12"/>
      <c r="AJ41" s="12"/>
      <c r="AK41" s="12"/>
      <c r="AL41" s="9"/>
      <c r="AM41" s="12"/>
      <c r="AN41" s="12"/>
      <c r="AO41" s="31"/>
      <c r="AP41" s="12"/>
      <c r="AQ41" s="12"/>
      <c r="AR41" s="31"/>
      <c r="AS41" s="12"/>
      <c r="AT41" s="12"/>
      <c r="AU41" s="31"/>
      <c r="AV41" s="12"/>
      <c r="AW41" s="4"/>
      <c r="AX41" s="76"/>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row>
    <row r="42" spans="1:93" ht="18">
      <c r="A42" s="63" t="s">
        <v>91</v>
      </c>
      <c r="B42" s="12">
        <v>0</v>
      </c>
      <c r="C42" s="27">
        <v>0</v>
      </c>
      <c r="D42" s="12">
        <v>0</v>
      </c>
      <c r="E42" s="12"/>
      <c r="F42" s="12"/>
      <c r="G42" s="12"/>
      <c r="H42" s="12"/>
      <c r="I42" s="12">
        <v>0</v>
      </c>
      <c r="J42" s="12">
        <v>0</v>
      </c>
      <c r="L42" s="12">
        <v>0</v>
      </c>
      <c r="M42" s="12">
        <v>0</v>
      </c>
      <c r="N42" s="12">
        <f aca="true" t="shared" si="25" ref="N42:N47">L42*M42</f>
        <v>0</v>
      </c>
      <c r="P42" s="12">
        <v>0</v>
      </c>
      <c r="Q42" s="7">
        <v>0</v>
      </c>
      <c r="R42" s="12">
        <f aca="true" t="shared" si="26" ref="R42:R47">D42-N42</f>
        <v>0</v>
      </c>
      <c r="S42" s="12"/>
      <c r="T42" s="12">
        <v>0</v>
      </c>
      <c r="U42" s="7">
        <v>0</v>
      </c>
      <c r="V42" s="12"/>
      <c r="W42">
        <f aca="true" t="shared" si="27" ref="W42:W47">0.16*T42*0.5</f>
        <v>0</v>
      </c>
      <c r="X42" s="7">
        <v>0</v>
      </c>
      <c r="Y42">
        <f aca="true" t="shared" si="28" ref="Y42:Y47">W42*X42</f>
        <v>0</v>
      </c>
      <c r="Z42">
        <f aca="true" t="shared" si="29" ref="Z42:Z47">0.16*T42*0.5</f>
        <v>0</v>
      </c>
      <c r="AA42" s="7">
        <v>0</v>
      </c>
      <c r="AB42">
        <f aca="true" t="shared" si="30" ref="AB42:AB47">Z42*AA42</f>
        <v>0</v>
      </c>
      <c r="AD42" s="7">
        <v>0</v>
      </c>
      <c r="AF42" s="12">
        <f aca="true" t="shared" si="31" ref="AF42:AF47">T42-W42-Z42</f>
        <v>0</v>
      </c>
      <c r="AG42" s="7">
        <v>0</v>
      </c>
      <c r="AH42">
        <f aca="true" t="shared" si="32" ref="AH42:AH47">AF42*AG42</f>
        <v>0</v>
      </c>
      <c r="AK42" s="12">
        <v>0</v>
      </c>
      <c r="AL42" s="7">
        <v>0</v>
      </c>
      <c r="AM42" s="12">
        <f aca="true" t="shared" si="33" ref="AM42:AM47">AS42+AV42+AP42</f>
        <v>0</v>
      </c>
      <c r="AN42" s="12">
        <f aca="true" t="shared" si="34" ref="AN42:AN47">AK42*0.16*0.5</f>
        <v>0</v>
      </c>
      <c r="AO42" s="7">
        <v>0</v>
      </c>
      <c r="AP42" s="12">
        <f aca="true" t="shared" si="35" ref="AP42:AP47">AN42*AO42</f>
        <v>0</v>
      </c>
      <c r="AQ42" s="12">
        <f aca="true" t="shared" si="36" ref="AQ42:AQ47">AK42*0.16*0.5</f>
        <v>0</v>
      </c>
      <c r="AR42" s="7">
        <v>0</v>
      </c>
      <c r="AS42" s="12">
        <f aca="true" t="shared" si="37" ref="AS42:AS47">AQ42*AR42</f>
        <v>0</v>
      </c>
      <c r="AT42" s="12">
        <f aca="true" t="shared" si="38" ref="AT42:AT47">AK42-AN42-AQ42</f>
        <v>0</v>
      </c>
      <c r="AU42" s="7">
        <v>0</v>
      </c>
      <c r="AV42" s="12">
        <f aca="true" t="shared" si="39" ref="AV42:AV47">AT42*AU42</f>
        <v>0</v>
      </c>
      <c r="AW42" s="4"/>
      <c r="AX42" s="7">
        <v>0</v>
      </c>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row>
    <row r="43" spans="1:93" ht="18">
      <c r="A43" s="63" t="s">
        <v>92</v>
      </c>
      <c r="B43" s="12">
        <v>0</v>
      </c>
      <c r="C43" s="27">
        <v>0</v>
      </c>
      <c r="D43" s="12">
        <v>0</v>
      </c>
      <c r="E43" s="12"/>
      <c r="F43" s="12"/>
      <c r="G43" s="12"/>
      <c r="H43" s="12"/>
      <c r="I43" s="12">
        <v>0</v>
      </c>
      <c r="J43" s="12">
        <v>0</v>
      </c>
      <c r="L43" s="12">
        <v>0</v>
      </c>
      <c r="M43" s="12">
        <v>0</v>
      </c>
      <c r="N43" s="12">
        <f t="shared" si="25"/>
        <v>0</v>
      </c>
      <c r="P43" s="12">
        <v>0</v>
      </c>
      <c r="Q43" s="7">
        <v>0</v>
      </c>
      <c r="R43" s="12">
        <f t="shared" si="26"/>
        <v>0</v>
      </c>
      <c r="S43" s="12"/>
      <c r="T43" s="12">
        <v>0</v>
      </c>
      <c r="U43" s="7">
        <v>0</v>
      </c>
      <c r="V43" s="12"/>
      <c r="W43">
        <f t="shared" si="27"/>
        <v>0</v>
      </c>
      <c r="X43" s="7">
        <v>0</v>
      </c>
      <c r="Y43">
        <f t="shared" si="28"/>
        <v>0</v>
      </c>
      <c r="Z43">
        <f t="shared" si="29"/>
        <v>0</v>
      </c>
      <c r="AA43" s="7">
        <v>0</v>
      </c>
      <c r="AB43">
        <f t="shared" si="30"/>
        <v>0</v>
      </c>
      <c r="AD43" s="7">
        <v>0</v>
      </c>
      <c r="AF43" s="12">
        <f t="shared" si="31"/>
        <v>0</v>
      </c>
      <c r="AG43" s="7">
        <v>0</v>
      </c>
      <c r="AH43">
        <f t="shared" si="32"/>
        <v>0</v>
      </c>
      <c r="AK43" s="12">
        <v>0</v>
      </c>
      <c r="AL43" s="7">
        <v>0</v>
      </c>
      <c r="AM43" s="12">
        <f t="shared" si="33"/>
        <v>0</v>
      </c>
      <c r="AN43" s="12">
        <f t="shared" si="34"/>
        <v>0</v>
      </c>
      <c r="AO43" s="7">
        <v>0</v>
      </c>
      <c r="AP43" s="12">
        <f t="shared" si="35"/>
        <v>0</v>
      </c>
      <c r="AQ43" s="12">
        <f t="shared" si="36"/>
        <v>0</v>
      </c>
      <c r="AR43" s="7">
        <v>0</v>
      </c>
      <c r="AS43" s="12">
        <f t="shared" si="37"/>
        <v>0</v>
      </c>
      <c r="AT43" s="12">
        <f t="shared" si="38"/>
        <v>0</v>
      </c>
      <c r="AU43" s="7">
        <v>0</v>
      </c>
      <c r="AV43" s="12">
        <f t="shared" si="39"/>
        <v>0</v>
      </c>
      <c r="AW43" s="4"/>
      <c r="AX43" s="7">
        <v>0</v>
      </c>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row>
    <row r="44" spans="1:93" ht="18">
      <c r="A44" s="63" t="s">
        <v>53</v>
      </c>
      <c r="B44" s="12">
        <v>0</v>
      </c>
      <c r="C44" s="27">
        <v>0</v>
      </c>
      <c r="D44" s="12">
        <v>0</v>
      </c>
      <c r="E44" s="12"/>
      <c r="F44" s="12"/>
      <c r="G44" s="12"/>
      <c r="H44" s="12"/>
      <c r="I44" s="12">
        <v>0</v>
      </c>
      <c r="J44" s="12">
        <v>0</v>
      </c>
      <c r="L44" s="12">
        <v>0</v>
      </c>
      <c r="M44" s="12">
        <v>0</v>
      </c>
      <c r="N44" s="12">
        <f t="shared" si="25"/>
        <v>0</v>
      </c>
      <c r="P44" s="12">
        <v>0</v>
      </c>
      <c r="Q44" s="7">
        <v>0</v>
      </c>
      <c r="R44" s="12">
        <f t="shared" si="26"/>
        <v>0</v>
      </c>
      <c r="S44" s="12"/>
      <c r="T44" s="12">
        <v>0</v>
      </c>
      <c r="U44" s="7">
        <v>0</v>
      </c>
      <c r="V44" s="12"/>
      <c r="W44">
        <f t="shared" si="27"/>
        <v>0</v>
      </c>
      <c r="X44" s="7">
        <v>0</v>
      </c>
      <c r="Y44">
        <f t="shared" si="28"/>
        <v>0</v>
      </c>
      <c r="Z44">
        <f t="shared" si="29"/>
        <v>0</v>
      </c>
      <c r="AA44" s="7">
        <v>0</v>
      </c>
      <c r="AB44">
        <f t="shared" si="30"/>
        <v>0</v>
      </c>
      <c r="AD44" s="7">
        <v>0</v>
      </c>
      <c r="AF44" s="12">
        <f t="shared" si="31"/>
        <v>0</v>
      </c>
      <c r="AG44" s="7">
        <v>0</v>
      </c>
      <c r="AH44">
        <f t="shared" si="32"/>
        <v>0</v>
      </c>
      <c r="AK44" s="12">
        <v>0</v>
      </c>
      <c r="AL44" s="7">
        <v>0</v>
      </c>
      <c r="AM44" s="12">
        <f t="shared" si="33"/>
        <v>0</v>
      </c>
      <c r="AN44" s="12">
        <f t="shared" si="34"/>
        <v>0</v>
      </c>
      <c r="AO44" s="7">
        <v>0</v>
      </c>
      <c r="AP44" s="12">
        <f t="shared" si="35"/>
        <v>0</v>
      </c>
      <c r="AQ44" s="12">
        <f t="shared" si="36"/>
        <v>0</v>
      </c>
      <c r="AR44" s="7">
        <v>0</v>
      </c>
      <c r="AS44" s="12">
        <f t="shared" si="37"/>
        <v>0</v>
      </c>
      <c r="AT44" s="12">
        <f t="shared" si="38"/>
        <v>0</v>
      </c>
      <c r="AU44" s="7">
        <v>0</v>
      </c>
      <c r="AV44" s="12">
        <f t="shared" si="39"/>
        <v>0</v>
      </c>
      <c r="AW44" s="4"/>
      <c r="AX44" s="7">
        <v>0</v>
      </c>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row>
    <row r="45" spans="1:93" ht="18">
      <c r="A45" s="63" t="s">
        <v>93</v>
      </c>
      <c r="B45" s="12">
        <v>0</v>
      </c>
      <c r="C45" s="27">
        <v>0</v>
      </c>
      <c r="D45" s="12">
        <v>0</v>
      </c>
      <c r="E45" s="12"/>
      <c r="F45" s="12"/>
      <c r="G45" s="12"/>
      <c r="H45" s="12"/>
      <c r="I45" s="12">
        <v>0</v>
      </c>
      <c r="J45" s="12">
        <v>0</v>
      </c>
      <c r="L45" s="12">
        <v>0</v>
      </c>
      <c r="M45" s="12">
        <v>0</v>
      </c>
      <c r="N45" s="12">
        <f t="shared" si="25"/>
        <v>0</v>
      </c>
      <c r="P45" s="12">
        <v>0</v>
      </c>
      <c r="Q45" s="7">
        <v>0</v>
      </c>
      <c r="R45" s="12">
        <f t="shared" si="26"/>
        <v>0</v>
      </c>
      <c r="S45" s="12"/>
      <c r="T45" s="12">
        <v>0</v>
      </c>
      <c r="U45" s="7">
        <v>0</v>
      </c>
      <c r="V45" s="12"/>
      <c r="W45">
        <f t="shared" si="27"/>
        <v>0</v>
      </c>
      <c r="X45" s="7">
        <v>0</v>
      </c>
      <c r="Y45">
        <f t="shared" si="28"/>
        <v>0</v>
      </c>
      <c r="Z45">
        <f t="shared" si="29"/>
        <v>0</v>
      </c>
      <c r="AA45" s="7">
        <v>0</v>
      </c>
      <c r="AB45">
        <f t="shared" si="30"/>
        <v>0</v>
      </c>
      <c r="AD45" s="7">
        <v>0</v>
      </c>
      <c r="AF45" s="12">
        <f t="shared" si="31"/>
        <v>0</v>
      </c>
      <c r="AG45" s="7">
        <v>0</v>
      </c>
      <c r="AH45">
        <f t="shared" si="32"/>
        <v>0</v>
      </c>
      <c r="AK45" s="12">
        <v>0</v>
      </c>
      <c r="AL45" s="7">
        <v>0</v>
      </c>
      <c r="AM45" s="12">
        <f t="shared" si="33"/>
        <v>0</v>
      </c>
      <c r="AN45" s="12">
        <f t="shared" si="34"/>
        <v>0</v>
      </c>
      <c r="AO45" s="7">
        <v>0</v>
      </c>
      <c r="AP45" s="12">
        <f t="shared" si="35"/>
        <v>0</v>
      </c>
      <c r="AQ45" s="12">
        <f t="shared" si="36"/>
        <v>0</v>
      </c>
      <c r="AR45" s="7">
        <v>0</v>
      </c>
      <c r="AS45" s="12">
        <f t="shared" si="37"/>
        <v>0</v>
      </c>
      <c r="AT45" s="12">
        <f t="shared" si="38"/>
        <v>0</v>
      </c>
      <c r="AU45" s="7">
        <v>0</v>
      </c>
      <c r="AV45" s="12">
        <f t="shared" si="39"/>
        <v>0</v>
      </c>
      <c r="AW45" s="4"/>
      <c r="AX45" s="7">
        <v>0</v>
      </c>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row>
    <row r="46" spans="1:93" ht="18">
      <c r="A46" s="63" t="s">
        <v>94</v>
      </c>
      <c r="B46" s="12">
        <v>0</v>
      </c>
      <c r="C46" s="27">
        <v>0</v>
      </c>
      <c r="D46" s="12">
        <v>0</v>
      </c>
      <c r="E46" s="12"/>
      <c r="F46" s="12"/>
      <c r="G46" s="12"/>
      <c r="H46" s="12"/>
      <c r="I46" s="12">
        <v>0</v>
      </c>
      <c r="J46" s="12">
        <v>0</v>
      </c>
      <c r="L46" s="12">
        <v>0</v>
      </c>
      <c r="M46" s="12">
        <v>0</v>
      </c>
      <c r="N46" s="12">
        <f t="shared" si="25"/>
        <v>0</v>
      </c>
      <c r="P46" s="12">
        <v>0</v>
      </c>
      <c r="Q46" s="7">
        <v>0</v>
      </c>
      <c r="R46" s="12">
        <f t="shared" si="26"/>
        <v>0</v>
      </c>
      <c r="S46" s="12"/>
      <c r="T46" s="12">
        <v>0</v>
      </c>
      <c r="U46" s="7">
        <v>0</v>
      </c>
      <c r="V46" s="12"/>
      <c r="W46">
        <f t="shared" si="27"/>
        <v>0</v>
      </c>
      <c r="X46" s="7">
        <v>0</v>
      </c>
      <c r="Y46">
        <f t="shared" si="28"/>
        <v>0</v>
      </c>
      <c r="Z46">
        <f t="shared" si="29"/>
        <v>0</v>
      </c>
      <c r="AA46" s="7">
        <v>0</v>
      </c>
      <c r="AB46">
        <f t="shared" si="30"/>
        <v>0</v>
      </c>
      <c r="AD46" s="7">
        <v>0</v>
      </c>
      <c r="AF46" s="12">
        <f t="shared" si="31"/>
        <v>0</v>
      </c>
      <c r="AG46" s="7">
        <v>0</v>
      </c>
      <c r="AH46">
        <f t="shared" si="32"/>
        <v>0</v>
      </c>
      <c r="AK46" s="12">
        <v>0</v>
      </c>
      <c r="AL46" s="7">
        <v>0</v>
      </c>
      <c r="AM46" s="12">
        <f t="shared" si="33"/>
        <v>0</v>
      </c>
      <c r="AN46" s="12">
        <f t="shared" si="34"/>
        <v>0</v>
      </c>
      <c r="AO46" s="7">
        <v>0</v>
      </c>
      <c r="AP46" s="12">
        <f t="shared" si="35"/>
        <v>0</v>
      </c>
      <c r="AQ46" s="12">
        <f t="shared" si="36"/>
        <v>0</v>
      </c>
      <c r="AR46" s="7">
        <v>0</v>
      </c>
      <c r="AS46" s="12">
        <f t="shared" si="37"/>
        <v>0</v>
      </c>
      <c r="AT46" s="12">
        <f t="shared" si="38"/>
        <v>0</v>
      </c>
      <c r="AU46" s="7">
        <v>0</v>
      </c>
      <c r="AV46" s="12">
        <f t="shared" si="39"/>
        <v>0</v>
      </c>
      <c r="AW46" s="4"/>
      <c r="AX46" s="7">
        <v>0</v>
      </c>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row>
    <row r="47" spans="1:93" ht="18">
      <c r="A47" s="62" t="s">
        <v>84</v>
      </c>
      <c r="B47" s="12">
        <v>0</v>
      </c>
      <c r="C47" s="27">
        <v>0</v>
      </c>
      <c r="D47" s="12">
        <v>0</v>
      </c>
      <c r="E47" s="12"/>
      <c r="F47" s="12"/>
      <c r="G47" s="12"/>
      <c r="H47" s="12"/>
      <c r="I47" s="12">
        <v>0</v>
      </c>
      <c r="J47" s="12">
        <v>0</v>
      </c>
      <c r="L47" s="12">
        <v>0</v>
      </c>
      <c r="M47" s="12">
        <v>0</v>
      </c>
      <c r="N47" s="12">
        <f t="shared" si="25"/>
        <v>0</v>
      </c>
      <c r="P47" s="12">
        <v>0</v>
      </c>
      <c r="Q47" s="7">
        <v>0</v>
      </c>
      <c r="R47" s="12">
        <f t="shared" si="26"/>
        <v>0</v>
      </c>
      <c r="S47" s="12"/>
      <c r="T47" s="12">
        <v>0</v>
      </c>
      <c r="U47" s="7">
        <v>0</v>
      </c>
      <c r="V47" s="12"/>
      <c r="W47">
        <f t="shared" si="27"/>
        <v>0</v>
      </c>
      <c r="X47" s="7">
        <v>0</v>
      </c>
      <c r="Y47">
        <f t="shared" si="28"/>
        <v>0</v>
      </c>
      <c r="Z47">
        <f t="shared" si="29"/>
        <v>0</v>
      </c>
      <c r="AA47" s="7">
        <v>0</v>
      </c>
      <c r="AB47">
        <f t="shared" si="30"/>
        <v>0</v>
      </c>
      <c r="AD47" s="7">
        <v>0</v>
      </c>
      <c r="AF47" s="12">
        <f t="shared" si="31"/>
        <v>0</v>
      </c>
      <c r="AG47" s="7">
        <v>0</v>
      </c>
      <c r="AH47">
        <f t="shared" si="32"/>
        <v>0</v>
      </c>
      <c r="AK47" s="12">
        <v>0</v>
      </c>
      <c r="AL47" s="7">
        <v>0</v>
      </c>
      <c r="AM47" s="12">
        <f t="shared" si="33"/>
        <v>0</v>
      </c>
      <c r="AN47" s="12">
        <f t="shared" si="34"/>
        <v>0</v>
      </c>
      <c r="AO47" s="7">
        <v>0</v>
      </c>
      <c r="AP47" s="12">
        <f t="shared" si="35"/>
        <v>0</v>
      </c>
      <c r="AQ47" s="12">
        <f t="shared" si="36"/>
        <v>0</v>
      </c>
      <c r="AR47" s="7">
        <v>0</v>
      </c>
      <c r="AS47" s="12">
        <f t="shared" si="37"/>
        <v>0</v>
      </c>
      <c r="AT47" s="12">
        <f t="shared" si="38"/>
        <v>0</v>
      </c>
      <c r="AU47" s="7">
        <v>0</v>
      </c>
      <c r="AV47" s="12">
        <f t="shared" si="39"/>
        <v>0</v>
      </c>
      <c r="AW47" s="4"/>
      <c r="AX47" s="7">
        <v>0</v>
      </c>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row>
    <row r="48" spans="1:93" ht="18">
      <c r="A48" s="63"/>
      <c r="B48" s="12"/>
      <c r="C48" s="27"/>
      <c r="D48" s="12"/>
      <c r="E48" s="12"/>
      <c r="F48" s="12"/>
      <c r="G48" s="12"/>
      <c r="H48" s="12"/>
      <c r="I48" s="12"/>
      <c r="J48" s="12"/>
      <c r="L48" s="12"/>
      <c r="M48" s="12"/>
      <c r="N48" s="12"/>
      <c r="P48" s="12"/>
      <c r="Q48" s="7"/>
      <c r="R48" s="12"/>
      <c r="S48" s="12"/>
      <c r="T48" s="12"/>
      <c r="U48" s="7"/>
      <c r="V48" s="12"/>
      <c r="X48" s="7"/>
      <c r="AA48" s="7"/>
      <c r="AF48" s="12"/>
      <c r="AG48" s="7"/>
      <c r="AK48" s="12"/>
      <c r="AL48" s="7"/>
      <c r="AM48" s="12"/>
      <c r="AN48" s="12"/>
      <c r="AO48" s="7"/>
      <c r="AP48" s="12"/>
      <c r="AQ48" s="12"/>
      <c r="AR48" s="7"/>
      <c r="AS48" s="12"/>
      <c r="AT48" s="12"/>
      <c r="AU48" s="7"/>
      <c r="AV48" s="12"/>
      <c r="AW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row>
    <row r="49" spans="1:93" s="57" customFormat="1" ht="16.5">
      <c r="A49" s="63" t="s">
        <v>96</v>
      </c>
      <c r="B49" s="12">
        <v>0</v>
      </c>
      <c r="C49" s="27">
        <v>0</v>
      </c>
      <c r="D49" s="12">
        <v>0</v>
      </c>
      <c r="E49" s="12"/>
      <c r="F49" s="12"/>
      <c r="G49" s="12"/>
      <c r="H49" s="12"/>
      <c r="I49" s="12">
        <v>0</v>
      </c>
      <c r="J49" s="12">
        <v>0</v>
      </c>
      <c r="K49" s="7"/>
      <c r="L49" s="12">
        <v>0</v>
      </c>
      <c r="M49" s="12">
        <v>0</v>
      </c>
      <c r="N49" s="12">
        <f aca="true" t="shared" si="40" ref="N49:N54">L49*M49</f>
        <v>0</v>
      </c>
      <c r="O49"/>
      <c r="P49" s="12">
        <v>0</v>
      </c>
      <c r="Q49" s="7">
        <v>0</v>
      </c>
      <c r="R49" s="12">
        <f aca="true" t="shared" si="41" ref="R49:R54">D49-N49</f>
        <v>0</v>
      </c>
      <c r="S49" s="12"/>
      <c r="T49" s="12">
        <v>0</v>
      </c>
      <c r="U49" s="7">
        <v>0</v>
      </c>
      <c r="V49" s="12"/>
      <c r="W49">
        <f aca="true" t="shared" si="42" ref="W49:W54">0.16*T49*0.5</f>
        <v>0</v>
      </c>
      <c r="X49" s="7">
        <v>0</v>
      </c>
      <c r="Y49">
        <f aca="true" t="shared" si="43" ref="Y49:Y54">W49*X49</f>
        <v>0</v>
      </c>
      <c r="Z49">
        <f aca="true" t="shared" si="44" ref="Z49:Z54">0.16*T49*0.5</f>
        <v>0</v>
      </c>
      <c r="AA49" s="7">
        <v>0</v>
      </c>
      <c r="AB49">
        <f aca="true" t="shared" si="45" ref="AB49:AB54">Z49*AA49</f>
        <v>0</v>
      </c>
      <c r="AC49"/>
      <c r="AD49" s="7">
        <v>0</v>
      </c>
      <c r="AE49"/>
      <c r="AF49" s="12">
        <f aca="true" t="shared" si="46" ref="AF49:AF54">T49-W49-Z49</f>
        <v>0</v>
      </c>
      <c r="AG49" s="7">
        <v>0</v>
      </c>
      <c r="AH49">
        <f>AF49*AG49</f>
        <v>0</v>
      </c>
      <c r="AI49"/>
      <c r="AJ49"/>
      <c r="AK49" s="12">
        <v>0</v>
      </c>
      <c r="AL49" s="7">
        <v>0</v>
      </c>
      <c r="AM49" s="12">
        <f aca="true" t="shared" si="47" ref="AM49:AM54">AS49+AV49+AP49</f>
        <v>0</v>
      </c>
      <c r="AN49" s="12">
        <f aca="true" t="shared" si="48" ref="AN49:AN54">AK49*0.16*0.5</f>
        <v>0</v>
      </c>
      <c r="AO49" s="7">
        <v>0</v>
      </c>
      <c r="AP49" s="12">
        <f aca="true" t="shared" si="49" ref="AP49:AP54">AN49*AO49</f>
        <v>0</v>
      </c>
      <c r="AQ49" s="12">
        <f aca="true" t="shared" si="50" ref="AQ49:AQ54">AK49*0.16*0.5</f>
        <v>0</v>
      </c>
      <c r="AR49" s="7">
        <v>0</v>
      </c>
      <c r="AS49" s="12">
        <f aca="true" t="shared" si="51" ref="AS49:AS54">AQ49*AR49</f>
        <v>0</v>
      </c>
      <c r="AT49" s="12">
        <f aca="true" t="shared" si="52" ref="AT49:AT54">AK49-AN49-AQ49</f>
        <v>0</v>
      </c>
      <c r="AU49" s="7">
        <v>0</v>
      </c>
      <c r="AV49" s="12">
        <f aca="true" t="shared" si="53" ref="AV49:AV54">AT49*AU49</f>
        <v>0</v>
      </c>
      <c r="AW49" s="51"/>
      <c r="AX49" s="7">
        <v>0</v>
      </c>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row>
    <row r="50" spans="1:93" ht="18">
      <c r="A50" s="63" t="s">
        <v>97</v>
      </c>
      <c r="B50" s="12">
        <v>0</v>
      </c>
      <c r="C50" s="27">
        <v>0</v>
      </c>
      <c r="D50" s="12">
        <v>0</v>
      </c>
      <c r="E50" s="12"/>
      <c r="F50" s="12"/>
      <c r="G50" s="12"/>
      <c r="H50" s="12"/>
      <c r="I50" s="12">
        <v>0</v>
      </c>
      <c r="J50" s="12">
        <v>0</v>
      </c>
      <c r="L50" s="12">
        <v>0</v>
      </c>
      <c r="M50" s="12">
        <v>0</v>
      </c>
      <c r="N50" s="12">
        <f t="shared" si="40"/>
        <v>0</v>
      </c>
      <c r="P50" s="12">
        <v>0</v>
      </c>
      <c r="Q50" s="7">
        <v>0</v>
      </c>
      <c r="R50" s="12">
        <f t="shared" si="41"/>
        <v>0</v>
      </c>
      <c r="S50" s="12"/>
      <c r="T50" s="12">
        <v>0</v>
      </c>
      <c r="U50" s="7">
        <v>0</v>
      </c>
      <c r="V50" s="12"/>
      <c r="W50">
        <f t="shared" si="42"/>
        <v>0</v>
      </c>
      <c r="X50" s="7">
        <v>0</v>
      </c>
      <c r="Y50">
        <f t="shared" si="43"/>
        <v>0</v>
      </c>
      <c r="Z50">
        <f t="shared" si="44"/>
        <v>0</v>
      </c>
      <c r="AA50" s="7">
        <v>0</v>
      </c>
      <c r="AB50">
        <f t="shared" si="45"/>
        <v>0</v>
      </c>
      <c r="AD50" s="7">
        <v>0</v>
      </c>
      <c r="AF50" s="12">
        <f t="shared" si="46"/>
        <v>0</v>
      </c>
      <c r="AG50" s="7">
        <v>0</v>
      </c>
      <c r="AH50">
        <f>AF50*AG50</f>
        <v>0</v>
      </c>
      <c r="AK50" s="12">
        <v>0</v>
      </c>
      <c r="AL50" s="7">
        <v>0</v>
      </c>
      <c r="AM50" s="12">
        <f t="shared" si="47"/>
        <v>0</v>
      </c>
      <c r="AN50" s="12">
        <f t="shared" si="48"/>
        <v>0</v>
      </c>
      <c r="AO50" s="7">
        <v>0</v>
      </c>
      <c r="AP50" s="12">
        <f t="shared" si="49"/>
        <v>0</v>
      </c>
      <c r="AQ50" s="12">
        <f t="shared" si="50"/>
        <v>0</v>
      </c>
      <c r="AR50" s="7">
        <v>0</v>
      </c>
      <c r="AS50" s="12">
        <f t="shared" si="51"/>
        <v>0</v>
      </c>
      <c r="AT50" s="12">
        <f t="shared" si="52"/>
        <v>0</v>
      </c>
      <c r="AU50" s="7">
        <v>0</v>
      </c>
      <c r="AV50" s="12">
        <f t="shared" si="53"/>
        <v>0</v>
      </c>
      <c r="AW50" s="4"/>
      <c r="AX50" s="7">
        <v>0</v>
      </c>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row>
    <row r="51" spans="1:93" ht="18">
      <c r="A51" s="63" t="s">
        <v>95</v>
      </c>
      <c r="B51" s="12">
        <v>0</v>
      </c>
      <c r="C51" s="27">
        <v>0</v>
      </c>
      <c r="D51" s="12">
        <v>0</v>
      </c>
      <c r="E51" s="12"/>
      <c r="F51" s="12"/>
      <c r="G51" s="12"/>
      <c r="H51" s="12"/>
      <c r="I51" s="12">
        <v>0</v>
      </c>
      <c r="J51" s="12">
        <v>0</v>
      </c>
      <c r="L51" s="12">
        <v>0</v>
      </c>
      <c r="M51" s="12">
        <v>0</v>
      </c>
      <c r="N51" s="12">
        <f t="shared" si="40"/>
        <v>0</v>
      </c>
      <c r="P51" s="12">
        <v>0</v>
      </c>
      <c r="Q51" s="7">
        <v>0</v>
      </c>
      <c r="R51" s="12">
        <f t="shared" si="41"/>
        <v>0</v>
      </c>
      <c r="S51" s="12"/>
      <c r="T51" s="12">
        <v>0</v>
      </c>
      <c r="U51" s="7">
        <v>0</v>
      </c>
      <c r="V51" s="12"/>
      <c r="W51">
        <f t="shared" si="42"/>
        <v>0</v>
      </c>
      <c r="X51" s="7">
        <v>0</v>
      </c>
      <c r="Y51">
        <f t="shared" si="43"/>
        <v>0</v>
      </c>
      <c r="Z51">
        <f t="shared" si="44"/>
        <v>0</v>
      </c>
      <c r="AA51" s="7">
        <v>0</v>
      </c>
      <c r="AB51">
        <f t="shared" si="45"/>
        <v>0</v>
      </c>
      <c r="AD51" s="7">
        <v>0</v>
      </c>
      <c r="AF51" s="12">
        <f t="shared" si="46"/>
        <v>0</v>
      </c>
      <c r="AG51" s="7">
        <v>0</v>
      </c>
      <c r="AH51">
        <f>AF51*AG51</f>
        <v>0</v>
      </c>
      <c r="AK51" s="12">
        <v>0</v>
      </c>
      <c r="AL51" s="7">
        <v>0</v>
      </c>
      <c r="AM51" s="12">
        <f t="shared" si="47"/>
        <v>0</v>
      </c>
      <c r="AN51" s="12">
        <f t="shared" si="48"/>
        <v>0</v>
      </c>
      <c r="AO51" s="7">
        <v>0</v>
      </c>
      <c r="AP51" s="12">
        <f t="shared" si="49"/>
        <v>0</v>
      </c>
      <c r="AQ51" s="12">
        <f t="shared" si="50"/>
        <v>0</v>
      </c>
      <c r="AR51" s="7">
        <v>0</v>
      </c>
      <c r="AS51" s="12">
        <f t="shared" si="51"/>
        <v>0</v>
      </c>
      <c r="AT51" s="12">
        <f t="shared" si="52"/>
        <v>0</v>
      </c>
      <c r="AU51" s="7">
        <v>0</v>
      </c>
      <c r="AV51" s="12">
        <f t="shared" si="53"/>
        <v>0</v>
      </c>
      <c r="AW51" s="4"/>
      <c r="AX51" s="7">
        <v>0</v>
      </c>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row>
    <row r="52" spans="1:93" ht="18">
      <c r="A52" s="63" t="s">
        <v>98</v>
      </c>
      <c r="B52" s="12">
        <v>0</v>
      </c>
      <c r="C52" s="27">
        <v>0</v>
      </c>
      <c r="D52" s="12">
        <v>0</v>
      </c>
      <c r="E52" s="12"/>
      <c r="F52" s="12"/>
      <c r="G52" s="12"/>
      <c r="H52" s="12"/>
      <c r="I52" s="12">
        <v>0</v>
      </c>
      <c r="J52" s="7">
        <f>M52*0.6</f>
        <v>73.602</v>
      </c>
      <c r="L52" s="12">
        <v>0</v>
      </c>
      <c r="M52" s="7">
        <f>245.34*0.5</f>
        <v>122.67</v>
      </c>
      <c r="N52" s="12">
        <f t="shared" si="40"/>
        <v>0</v>
      </c>
      <c r="P52" s="12">
        <v>0</v>
      </c>
      <c r="Q52" s="7">
        <v>0</v>
      </c>
      <c r="R52" s="12">
        <f t="shared" si="41"/>
        <v>0</v>
      </c>
      <c r="S52" s="12"/>
      <c r="T52" s="12">
        <v>0</v>
      </c>
      <c r="U52" s="7">
        <v>0</v>
      </c>
      <c r="V52" s="12"/>
      <c r="W52">
        <f t="shared" si="42"/>
        <v>0</v>
      </c>
      <c r="X52" s="7">
        <f>547.75*0.6</f>
        <v>328.65</v>
      </c>
      <c r="Y52">
        <f t="shared" si="43"/>
        <v>0</v>
      </c>
      <c r="Z52">
        <f t="shared" si="44"/>
        <v>0</v>
      </c>
      <c r="AA52" s="7">
        <f>508.31*0.6</f>
        <v>304.986</v>
      </c>
      <c r="AB52">
        <f t="shared" si="45"/>
        <v>0</v>
      </c>
      <c r="AD52" s="7">
        <f>152.88*0.6</f>
        <v>91.728</v>
      </c>
      <c r="AF52" s="12">
        <f t="shared" si="46"/>
        <v>0</v>
      </c>
      <c r="AG52" s="7">
        <f>306.74*0.6</f>
        <v>184.044</v>
      </c>
      <c r="AH52">
        <f>AF52*AG52</f>
        <v>0</v>
      </c>
      <c r="AK52" s="12">
        <v>0</v>
      </c>
      <c r="AL52" s="7">
        <v>0</v>
      </c>
      <c r="AM52" s="12">
        <f t="shared" si="47"/>
        <v>0</v>
      </c>
      <c r="AN52" s="12">
        <f t="shared" si="48"/>
        <v>0</v>
      </c>
      <c r="AO52" s="7">
        <f>522.38*0.53</f>
        <v>276.8614</v>
      </c>
      <c r="AP52" s="12">
        <f t="shared" si="49"/>
        <v>0</v>
      </c>
      <c r="AQ52" s="12">
        <f t="shared" si="50"/>
        <v>0</v>
      </c>
      <c r="AR52" s="7">
        <f>484.77*0.53</f>
        <v>256.92810000000003</v>
      </c>
      <c r="AS52" s="12">
        <f t="shared" si="51"/>
        <v>0</v>
      </c>
      <c r="AT52" s="12">
        <f t="shared" si="52"/>
        <v>0</v>
      </c>
      <c r="AU52" s="7">
        <f>306.74*0.53</f>
        <v>162.5722</v>
      </c>
      <c r="AV52" s="12">
        <f t="shared" si="53"/>
        <v>0</v>
      </c>
      <c r="AW52" s="4"/>
      <c r="AX52" s="65">
        <f>152.88*0.53</f>
        <v>81.0264</v>
      </c>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row>
    <row r="53" spans="1:93" ht="18">
      <c r="A53" s="63" t="s">
        <v>99</v>
      </c>
      <c r="B53" s="12">
        <v>0</v>
      </c>
      <c r="C53" s="27">
        <v>0</v>
      </c>
      <c r="D53" s="12">
        <v>0</v>
      </c>
      <c r="E53" s="12"/>
      <c r="F53" s="12"/>
      <c r="G53" s="12"/>
      <c r="H53" s="12"/>
      <c r="I53" s="12">
        <v>0</v>
      </c>
      <c r="J53" s="12">
        <v>0</v>
      </c>
      <c r="L53" s="12">
        <v>0</v>
      </c>
      <c r="M53" s="12">
        <v>0</v>
      </c>
      <c r="N53" s="12">
        <f t="shared" si="40"/>
        <v>0</v>
      </c>
      <c r="P53" s="12">
        <v>0</v>
      </c>
      <c r="Q53" s="7">
        <v>0</v>
      </c>
      <c r="R53" s="12">
        <f t="shared" si="41"/>
        <v>0</v>
      </c>
      <c r="S53" s="12"/>
      <c r="T53" s="12">
        <v>0</v>
      </c>
      <c r="U53" s="7">
        <v>0</v>
      </c>
      <c r="V53" s="12"/>
      <c r="W53">
        <f t="shared" si="42"/>
        <v>0</v>
      </c>
      <c r="X53" s="7">
        <v>0</v>
      </c>
      <c r="Y53">
        <f t="shared" si="43"/>
        <v>0</v>
      </c>
      <c r="Z53">
        <f t="shared" si="44"/>
        <v>0</v>
      </c>
      <c r="AA53" s="7">
        <v>0</v>
      </c>
      <c r="AB53">
        <f t="shared" si="45"/>
        <v>0</v>
      </c>
      <c r="AD53" s="7">
        <v>0</v>
      </c>
      <c r="AF53" s="12">
        <f t="shared" si="46"/>
        <v>0</v>
      </c>
      <c r="AG53" s="7">
        <v>0</v>
      </c>
      <c r="AH53">
        <f>AF53*AG53</f>
        <v>0</v>
      </c>
      <c r="AK53" s="12">
        <v>0</v>
      </c>
      <c r="AL53" s="7">
        <v>0</v>
      </c>
      <c r="AM53" s="12">
        <f t="shared" si="47"/>
        <v>0</v>
      </c>
      <c r="AN53" s="12">
        <f t="shared" si="48"/>
        <v>0</v>
      </c>
      <c r="AO53" s="7">
        <v>0</v>
      </c>
      <c r="AP53" s="12">
        <f t="shared" si="49"/>
        <v>0</v>
      </c>
      <c r="AQ53" s="12">
        <f t="shared" si="50"/>
        <v>0</v>
      </c>
      <c r="AR53" s="7">
        <v>0</v>
      </c>
      <c r="AS53" s="12">
        <f t="shared" si="51"/>
        <v>0</v>
      </c>
      <c r="AT53" s="12">
        <f t="shared" si="52"/>
        <v>0</v>
      </c>
      <c r="AU53" s="7">
        <v>0</v>
      </c>
      <c r="AV53" s="12">
        <f t="shared" si="53"/>
        <v>0</v>
      </c>
      <c r="AW53" s="4"/>
      <c r="AX53" s="12">
        <f>AV53*AW53</f>
        <v>0</v>
      </c>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row>
    <row r="54" spans="1:93" ht="18">
      <c r="A54" s="62" t="s">
        <v>85</v>
      </c>
      <c r="B54" s="12">
        <v>0</v>
      </c>
      <c r="C54" s="27">
        <v>0</v>
      </c>
      <c r="D54" s="12">
        <v>0</v>
      </c>
      <c r="E54" s="12"/>
      <c r="F54" s="12"/>
      <c r="G54" s="12"/>
      <c r="H54" s="12"/>
      <c r="I54" s="12">
        <v>0</v>
      </c>
      <c r="J54" s="9">
        <f>M54*0.6</f>
        <v>73.602</v>
      </c>
      <c r="K54" s="9"/>
      <c r="L54" s="12">
        <v>0</v>
      </c>
      <c r="M54" s="9">
        <f>M52</f>
        <v>122.67</v>
      </c>
      <c r="N54" s="12">
        <f t="shared" si="40"/>
        <v>0</v>
      </c>
      <c r="P54" s="12">
        <v>0</v>
      </c>
      <c r="Q54" s="7">
        <v>0</v>
      </c>
      <c r="R54" s="12">
        <f t="shared" si="41"/>
        <v>0</v>
      </c>
      <c r="S54" s="12"/>
      <c r="T54" s="12">
        <v>0</v>
      </c>
      <c r="U54" s="7">
        <v>0</v>
      </c>
      <c r="V54" s="12"/>
      <c r="W54">
        <f t="shared" si="42"/>
        <v>0</v>
      </c>
      <c r="X54" s="9">
        <f>547.75*0.6</f>
        <v>328.65</v>
      </c>
      <c r="Y54">
        <f t="shared" si="43"/>
        <v>0</v>
      </c>
      <c r="Z54">
        <f t="shared" si="44"/>
        <v>0</v>
      </c>
      <c r="AA54" s="9">
        <f>508.31*0.6</f>
        <v>304.986</v>
      </c>
      <c r="AB54">
        <f t="shared" si="45"/>
        <v>0</v>
      </c>
      <c r="AD54" s="9">
        <f>152.88*0.6</f>
        <v>91.728</v>
      </c>
      <c r="AF54" s="12">
        <f t="shared" si="46"/>
        <v>0</v>
      </c>
      <c r="AG54" s="9">
        <f>306.74*0.6</f>
        <v>184.044</v>
      </c>
      <c r="AH54" t="e">
        <f>AF54*#REF!</f>
        <v>#REF!</v>
      </c>
      <c r="AK54" s="12">
        <v>0</v>
      </c>
      <c r="AL54" s="7">
        <v>0</v>
      </c>
      <c r="AM54" s="12">
        <f t="shared" si="47"/>
        <v>0</v>
      </c>
      <c r="AN54" s="12">
        <f t="shared" si="48"/>
        <v>0</v>
      </c>
      <c r="AO54" s="9">
        <f>522.38*0.53</f>
        <v>276.8614</v>
      </c>
      <c r="AP54" s="12">
        <f t="shared" si="49"/>
        <v>0</v>
      </c>
      <c r="AQ54" s="12">
        <f t="shared" si="50"/>
        <v>0</v>
      </c>
      <c r="AR54" s="9">
        <f>484.77*0.53</f>
        <v>256.92810000000003</v>
      </c>
      <c r="AS54" s="12">
        <f t="shared" si="51"/>
        <v>0</v>
      </c>
      <c r="AT54" s="12">
        <f t="shared" si="52"/>
        <v>0</v>
      </c>
      <c r="AU54" s="9">
        <f>306.74*0.53</f>
        <v>162.5722</v>
      </c>
      <c r="AV54" s="12">
        <f t="shared" si="53"/>
        <v>0</v>
      </c>
      <c r="AW54" s="4"/>
      <c r="AX54" s="65">
        <f>152.88*0.53</f>
        <v>81.0264</v>
      </c>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row>
    <row r="55" spans="1:93" ht="18">
      <c r="A55" s="63"/>
      <c r="B55" s="12"/>
      <c r="C55" s="27"/>
      <c r="D55" s="12"/>
      <c r="E55" s="12"/>
      <c r="F55" s="12"/>
      <c r="G55" s="12"/>
      <c r="H55" s="12"/>
      <c r="I55" s="12"/>
      <c r="L55" s="12"/>
      <c r="M55" s="7"/>
      <c r="N55" s="12"/>
      <c r="P55" s="12"/>
      <c r="Q55" s="7"/>
      <c r="R55" s="12"/>
      <c r="S55" s="12"/>
      <c r="T55" s="12"/>
      <c r="U55" s="7"/>
      <c r="V55" s="12"/>
      <c r="X55" s="7"/>
      <c r="AA55" s="7"/>
      <c r="AF55" s="12"/>
      <c r="AG55" s="7"/>
      <c r="AK55" s="12"/>
      <c r="AL55" s="7"/>
      <c r="AM55" s="12"/>
      <c r="AN55" s="12"/>
      <c r="AO55" s="7"/>
      <c r="AP55" s="12"/>
      <c r="AQ55" s="12"/>
      <c r="AR55" s="7"/>
      <c r="AS55" s="12"/>
      <c r="AT55" s="12"/>
      <c r="AU55" s="7"/>
      <c r="AV55" s="12"/>
      <c r="AW55" s="4"/>
      <c r="AX55" s="76"/>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row>
    <row r="56" spans="1:93" ht="18">
      <c r="A56" s="63" t="s">
        <v>100</v>
      </c>
      <c r="B56" s="12"/>
      <c r="C56" s="28"/>
      <c r="D56" s="12"/>
      <c r="E56" s="12"/>
      <c r="F56" s="12"/>
      <c r="G56" s="12"/>
      <c r="H56" s="12"/>
      <c r="I56" s="12"/>
      <c r="J56" s="74">
        <f>M56*0.6</f>
        <v>67.014</v>
      </c>
      <c r="L56" s="12"/>
      <c r="M56" s="77">
        <f>223.38*0.5</f>
        <v>111.69</v>
      </c>
      <c r="N56" s="12"/>
      <c r="O56" s="12"/>
      <c r="P56" s="12"/>
      <c r="Q56" s="9"/>
      <c r="R56" s="12"/>
      <c r="S56" s="12"/>
      <c r="T56" s="12"/>
      <c r="U56" s="43"/>
      <c r="V56" s="12"/>
      <c r="W56" s="12"/>
      <c r="X56" s="78">
        <f>704.25*0.6</f>
        <v>422.55</v>
      </c>
      <c r="Y56" s="12"/>
      <c r="Z56" s="12"/>
      <c r="AA56" s="78">
        <f>653.54*0.6</f>
        <v>392.12399999999997</v>
      </c>
      <c r="AB56" s="12"/>
      <c r="AC56" s="12"/>
      <c r="AD56" s="7">
        <f>216.32*0.6</f>
        <v>129.792</v>
      </c>
      <c r="AE56" s="12"/>
      <c r="AF56" s="12"/>
      <c r="AG56" s="78">
        <f>300.48*0.6</f>
        <v>180.288</v>
      </c>
      <c r="AH56" s="12"/>
      <c r="AI56" s="12"/>
      <c r="AJ56" s="12"/>
      <c r="AK56" s="12"/>
      <c r="AL56" s="9"/>
      <c r="AM56" s="12"/>
      <c r="AN56" s="12"/>
      <c r="AO56" s="74">
        <f>405.25*0.53</f>
        <v>214.7825</v>
      </c>
      <c r="AP56" s="12"/>
      <c r="AQ56" s="12"/>
      <c r="AR56" s="74">
        <f>376.07*0.53</f>
        <v>199.3171</v>
      </c>
      <c r="AS56" s="12"/>
      <c r="AT56" s="12"/>
      <c r="AU56" s="74">
        <f>287.96*0.53</f>
        <v>152.6188</v>
      </c>
      <c r="AV56" s="12"/>
      <c r="AW56" s="4"/>
      <c r="AX56" s="77">
        <f>216.32*0.53</f>
        <v>114.6496</v>
      </c>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row>
    <row r="57" spans="1:93" ht="18">
      <c r="A57" s="63" t="s">
        <v>180</v>
      </c>
      <c r="B57" s="12"/>
      <c r="C57" s="28"/>
      <c r="D57" s="12"/>
      <c r="E57" s="12"/>
      <c r="F57" s="12"/>
      <c r="G57" s="12"/>
      <c r="H57" s="12"/>
      <c r="I57" s="12"/>
      <c r="J57" s="74">
        <f>M57*0.6</f>
        <v>73.27799999999999</v>
      </c>
      <c r="L57" s="12"/>
      <c r="M57" s="7">
        <f>244.26*0.5</f>
        <v>122.13</v>
      </c>
      <c r="N57" s="12"/>
      <c r="O57" s="12"/>
      <c r="P57" s="12"/>
      <c r="Q57" s="9"/>
      <c r="R57" s="12"/>
      <c r="S57" s="12"/>
      <c r="T57" s="12"/>
      <c r="U57" s="43"/>
      <c r="V57" s="12"/>
      <c r="W57" s="12"/>
      <c r="X57" s="78">
        <f>704.25*0.6</f>
        <v>422.55</v>
      </c>
      <c r="Y57" s="12"/>
      <c r="Z57" s="12"/>
      <c r="AA57" s="78">
        <f>653.54*0.6</f>
        <v>392.12399999999997</v>
      </c>
      <c r="AB57" s="12"/>
      <c r="AC57" s="12"/>
      <c r="AD57" s="74">
        <f>152.88*0.6</f>
        <v>91.728</v>
      </c>
      <c r="AE57" s="12"/>
      <c r="AF57" s="12"/>
      <c r="AG57" s="78">
        <f>303.61*0.6</f>
        <v>182.166</v>
      </c>
      <c r="AH57" s="12"/>
      <c r="AI57" s="12"/>
      <c r="AJ57" s="12"/>
      <c r="AK57" s="12"/>
      <c r="AL57" s="9"/>
      <c r="AM57" s="12"/>
      <c r="AN57" s="12"/>
      <c r="AO57" s="74">
        <f>405.25*0.53</f>
        <v>214.7825</v>
      </c>
      <c r="AP57" s="12"/>
      <c r="AQ57" s="12"/>
      <c r="AR57" s="74">
        <f>376.07*0.53</f>
        <v>199.3171</v>
      </c>
      <c r="AS57" s="12"/>
      <c r="AT57" s="12"/>
      <c r="AU57" s="7">
        <f>287.96*0.53</f>
        <v>152.6188</v>
      </c>
      <c r="AV57" s="12"/>
      <c r="AW57" s="4"/>
      <c r="AX57" s="7">
        <f>152.88*0.53</f>
        <v>81.0264</v>
      </c>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row>
    <row r="58" spans="1:93" ht="18">
      <c r="A58" s="63" t="s">
        <v>181</v>
      </c>
      <c r="B58" s="12"/>
      <c r="C58" s="28"/>
      <c r="D58" s="12"/>
      <c r="E58" s="12"/>
      <c r="F58" s="12"/>
      <c r="G58" s="12"/>
      <c r="H58" s="12"/>
      <c r="I58" s="12"/>
      <c r="J58" s="74">
        <f>M58*0.6</f>
        <v>89.964</v>
      </c>
      <c r="L58" s="12"/>
      <c r="M58" s="7">
        <f>299.88*0.5</f>
        <v>149.94</v>
      </c>
      <c r="N58" s="12"/>
      <c r="O58" s="12"/>
      <c r="P58" s="12"/>
      <c r="Q58" s="9"/>
      <c r="R58" s="12"/>
      <c r="S58" s="12"/>
      <c r="T58" s="12"/>
      <c r="U58" s="43"/>
      <c r="V58" s="12"/>
      <c r="W58" s="12"/>
      <c r="X58" s="78">
        <f>704.25*0.6</f>
        <v>422.55</v>
      </c>
      <c r="Y58" s="12"/>
      <c r="Z58" s="12"/>
      <c r="AA58" s="78">
        <f>653.54*0.6</f>
        <v>392.12399999999997</v>
      </c>
      <c r="AB58" s="12"/>
      <c r="AC58" s="12"/>
      <c r="AD58" s="74">
        <f>234*0.6</f>
        <v>140.4</v>
      </c>
      <c r="AE58" s="12"/>
      <c r="AF58" s="12"/>
      <c r="AG58" s="78">
        <f>394.38*0.6</f>
        <v>236.628</v>
      </c>
      <c r="AH58" s="12"/>
      <c r="AI58" s="12"/>
      <c r="AJ58" s="12"/>
      <c r="AK58" s="12"/>
      <c r="AL58" s="9"/>
      <c r="AM58" s="12"/>
      <c r="AN58" s="12"/>
      <c r="AO58" s="74">
        <f>405.25*0.53</f>
        <v>214.7825</v>
      </c>
      <c r="AP58" s="12"/>
      <c r="AQ58" s="12"/>
      <c r="AR58" s="74">
        <f>376.07*0.53</f>
        <v>199.3171</v>
      </c>
      <c r="AS58" s="12"/>
      <c r="AT58" s="12"/>
      <c r="AU58" s="7">
        <f>287.96*0.53</f>
        <v>152.6188</v>
      </c>
      <c r="AV58" s="12"/>
      <c r="AW58" s="4"/>
      <c r="AX58" s="7">
        <f>234*0.53</f>
        <v>124.02000000000001</v>
      </c>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row>
    <row r="59" spans="1:93" ht="18">
      <c r="A59" s="63" t="s">
        <v>184</v>
      </c>
      <c r="B59" s="12"/>
      <c r="C59" s="28"/>
      <c r="D59" s="12"/>
      <c r="E59" s="12"/>
      <c r="F59" s="12"/>
      <c r="G59" s="12"/>
      <c r="H59" s="12"/>
      <c r="I59" s="12"/>
      <c r="J59" s="74">
        <f>M59*0.6</f>
        <v>64.476</v>
      </c>
      <c r="L59" s="12"/>
      <c r="M59" s="7">
        <f>214.92*0.5</f>
        <v>107.46</v>
      </c>
      <c r="N59" s="12"/>
      <c r="O59" s="12"/>
      <c r="P59" s="12"/>
      <c r="Q59" s="9"/>
      <c r="R59" s="12"/>
      <c r="S59" s="12"/>
      <c r="T59" s="12"/>
      <c r="U59" s="43"/>
      <c r="V59" s="12"/>
      <c r="W59" s="12"/>
      <c r="X59" s="78">
        <f>704.25*0.6</f>
        <v>422.55</v>
      </c>
      <c r="Y59" s="12"/>
      <c r="Z59" s="12"/>
      <c r="AA59" s="78">
        <f>653.54*0.6</f>
        <v>392.12399999999997</v>
      </c>
      <c r="AB59" s="12"/>
      <c r="AC59" s="12"/>
      <c r="AD59" s="74">
        <f>133.12*0.6</f>
        <v>79.872</v>
      </c>
      <c r="AE59" s="12"/>
      <c r="AF59" s="12"/>
      <c r="AG59" s="78">
        <f>262.92*0.6</f>
        <v>157.752</v>
      </c>
      <c r="AH59" s="12"/>
      <c r="AI59" s="12"/>
      <c r="AJ59" s="12"/>
      <c r="AK59" s="12"/>
      <c r="AL59" s="9"/>
      <c r="AM59" s="12"/>
      <c r="AN59" s="12"/>
      <c r="AO59" s="74">
        <f>405.25*0.53</f>
        <v>214.7825</v>
      </c>
      <c r="AP59" s="12"/>
      <c r="AQ59" s="12"/>
      <c r="AR59" s="74">
        <f>376.07*0.53</f>
        <v>199.3171</v>
      </c>
      <c r="AS59" s="12"/>
      <c r="AT59" s="12"/>
      <c r="AU59" s="7">
        <f>287.96*0.53</f>
        <v>152.6188</v>
      </c>
      <c r="AV59" s="12"/>
      <c r="AW59" s="4"/>
      <c r="AX59" s="7">
        <f>133.12*0.53</f>
        <v>70.5536</v>
      </c>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row>
    <row r="60" spans="1:93" ht="18">
      <c r="A60" s="62" t="s">
        <v>86</v>
      </c>
      <c r="B60" s="12"/>
      <c r="C60" s="28"/>
      <c r="D60" s="12"/>
      <c r="E60" s="12"/>
      <c r="F60" s="12"/>
      <c r="G60" s="12"/>
      <c r="H60" s="12"/>
      <c r="I60" s="12"/>
      <c r="J60" s="9">
        <f>M60*0.6</f>
        <v>73.68299999999999</v>
      </c>
      <c r="L60" s="12"/>
      <c r="M60" s="65">
        <f>SUM(M56:M59)/4</f>
        <v>122.80499999999999</v>
      </c>
      <c r="N60" s="12"/>
      <c r="O60" s="12"/>
      <c r="P60" s="12"/>
      <c r="Q60" s="9"/>
      <c r="R60" s="12"/>
      <c r="S60" s="12"/>
      <c r="T60" s="12"/>
      <c r="U60" s="43"/>
      <c r="V60" s="12"/>
      <c r="W60" s="12"/>
      <c r="X60" s="66">
        <f>704.25*0.6</f>
        <v>422.55</v>
      </c>
      <c r="Y60" s="12"/>
      <c r="Z60" s="12"/>
      <c r="AA60" s="66">
        <f>653.54*0.6</f>
        <v>392.12399999999997</v>
      </c>
      <c r="AB60" s="12"/>
      <c r="AC60" s="12"/>
      <c r="AD60" s="9">
        <f>SUM(AD56:AD59)/4</f>
        <v>110.448</v>
      </c>
      <c r="AE60" s="12"/>
      <c r="AF60" s="12"/>
      <c r="AG60" s="9">
        <f>SUM(AG56:AG59)/4</f>
        <v>189.20850000000002</v>
      </c>
      <c r="AH60" s="12"/>
      <c r="AI60" s="12"/>
      <c r="AJ60" s="12"/>
      <c r="AK60" s="12"/>
      <c r="AL60" s="9"/>
      <c r="AM60" s="12"/>
      <c r="AN60" s="12"/>
      <c r="AO60" s="65">
        <f>SUM(AO56:AO59)/4</f>
        <v>214.7825</v>
      </c>
      <c r="AP60" s="12"/>
      <c r="AQ60" s="12"/>
      <c r="AR60" s="65">
        <f>SUM(AR56:AR59)/4</f>
        <v>199.3171</v>
      </c>
      <c r="AS60" s="12"/>
      <c r="AT60" s="12"/>
      <c r="AU60" s="65">
        <f>SUM(AU56:AU59)/4</f>
        <v>152.6188</v>
      </c>
      <c r="AV60" s="12"/>
      <c r="AW60" s="4"/>
      <c r="AX60" s="65">
        <f>SUM(AX56:AX59)/4</f>
        <v>97.56240000000001</v>
      </c>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row>
    <row r="62" spans="1:93" ht="18">
      <c r="A62" s="63" t="s">
        <v>101</v>
      </c>
      <c r="B62" s="12"/>
      <c r="C62" s="28"/>
      <c r="D62" s="12"/>
      <c r="E62" s="12"/>
      <c r="F62" s="12"/>
      <c r="G62" s="12"/>
      <c r="H62" s="12"/>
      <c r="I62" s="12"/>
      <c r="J62" s="74">
        <f>M62*0.6</f>
        <v>76.95</v>
      </c>
      <c r="L62" s="12"/>
      <c r="M62" s="77">
        <f>256.5*0.5</f>
        <v>128.25</v>
      </c>
      <c r="N62" s="12"/>
      <c r="O62" s="12"/>
      <c r="P62" s="12"/>
      <c r="Q62" s="9"/>
      <c r="R62" s="12"/>
      <c r="S62" s="12"/>
      <c r="T62" s="12"/>
      <c r="U62" s="43"/>
      <c r="V62" s="12"/>
      <c r="W62" s="12"/>
      <c r="X62" s="74">
        <v>422.55</v>
      </c>
      <c r="Y62" s="12"/>
      <c r="Z62" s="12"/>
      <c r="AA62" s="7">
        <f>653.53*0.6</f>
        <v>392.118</v>
      </c>
      <c r="AB62" s="12"/>
      <c r="AC62" s="12"/>
      <c r="AD62" s="7">
        <f>198.64*0.6</f>
        <v>119.18399999999998</v>
      </c>
      <c r="AE62" s="12"/>
      <c r="AF62" s="12"/>
      <c r="AG62" s="78">
        <f>325.52*0.6</f>
        <v>195.31199999999998</v>
      </c>
      <c r="AH62" s="12"/>
      <c r="AI62" s="12"/>
      <c r="AJ62" s="12"/>
      <c r="AK62" s="12"/>
      <c r="AL62" s="9"/>
      <c r="AM62" s="12"/>
      <c r="AN62" s="12"/>
      <c r="AO62" s="74">
        <f>676.96*0.53</f>
        <v>358.78880000000004</v>
      </c>
      <c r="AP62" s="12"/>
      <c r="AQ62" s="12"/>
      <c r="AR62" s="74">
        <f>628.22*0.53</f>
        <v>332.95660000000004</v>
      </c>
      <c r="AS62" s="12"/>
      <c r="AT62" s="12"/>
      <c r="AU62" s="74">
        <f>397.51*0.53</f>
        <v>210.68030000000002</v>
      </c>
      <c r="AV62" s="12"/>
      <c r="AW62" s="4"/>
      <c r="AX62" s="77">
        <f>198.64*0.53</f>
        <v>105.2792</v>
      </c>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row>
    <row r="63" spans="1:93" ht="18">
      <c r="A63" s="63" t="s">
        <v>102</v>
      </c>
      <c r="B63" s="12"/>
      <c r="C63" s="28"/>
      <c r="D63" s="12"/>
      <c r="E63" s="12"/>
      <c r="F63" s="12"/>
      <c r="G63" s="12"/>
      <c r="H63" s="12"/>
      <c r="I63" s="12"/>
      <c r="J63" s="74">
        <f>M63*0.6</f>
        <v>91.8</v>
      </c>
      <c r="L63" s="12"/>
      <c r="M63" s="77">
        <f>306*0.5</f>
        <v>153</v>
      </c>
      <c r="N63" s="12"/>
      <c r="O63" s="12"/>
      <c r="P63" s="12"/>
      <c r="Q63" s="9"/>
      <c r="R63" s="12"/>
      <c r="S63" s="12"/>
      <c r="T63" s="12"/>
      <c r="U63" s="43"/>
      <c r="V63" s="12"/>
      <c r="W63" s="12"/>
      <c r="X63" s="74">
        <v>422.55</v>
      </c>
      <c r="Y63" s="12"/>
      <c r="Z63" s="12"/>
      <c r="AA63" s="7">
        <f>653.53*0.6</f>
        <v>392.118</v>
      </c>
      <c r="AB63" s="12"/>
      <c r="AC63" s="12"/>
      <c r="AD63" s="7">
        <f>349.44*0.6</f>
        <v>209.664</v>
      </c>
      <c r="AE63" s="12"/>
      <c r="AF63" s="12"/>
      <c r="AG63" s="78">
        <f>435.07*0.6</f>
        <v>261.042</v>
      </c>
      <c r="AH63" s="12"/>
      <c r="AI63" s="12"/>
      <c r="AJ63" s="12"/>
      <c r="AK63" s="12"/>
      <c r="AL63" s="9"/>
      <c r="AM63" s="12"/>
      <c r="AN63" s="12"/>
      <c r="AO63" s="74">
        <f>676.96*0.53</f>
        <v>358.78880000000004</v>
      </c>
      <c r="AP63" s="12"/>
      <c r="AQ63" s="12"/>
      <c r="AR63" s="74">
        <f>628.22*0.53</f>
        <v>332.95660000000004</v>
      </c>
      <c r="AS63" s="12"/>
      <c r="AT63" s="12"/>
      <c r="AU63" s="74">
        <f>397.51*0.53</f>
        <v>210.68030000000002</v>
      </c>
      <c r="AV63" s="12"/>
      <c r="AW63" s="4"/>
      <c r="AX63" s="77">
        <f>349.44*0.53</f>
        <v>185.2032</v>
      </c>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row>
    <row r="64" spans="1:93" ht="18">
      <c r="A64" s="63" t="s">
        <v>103</v>
      </c>
      <c r="B64" s="12"/>
      <c r="C64" s="28"/>
      <c r="D64" s="12"/>
      <c r="E64" s="12"/>
      <c r="F64" s="12"/>
      <c r="G64" s="12"/>
      <c r="H64" s="12"/>
      <c r="I64" s="12"/>
      <c r="J64" s="74">
        <f>M64*0.6</f>
        <v>86.508</v>
      </c>
      <c r="L64" s="12"/>
      <c r="M64" s="77">
        <f>288.36*0.5</f>
        <v>144.18</v>
      </c>
      <c r="N64" s="12"/>
      <c r="O64" s="12"/>
      <c r="P64" s="12"/>
      <c r="Q64" s="9"/>
      <c r="R64" s="12"/>
      <c r="S64" s="12"/>
      <c r="T64" s="12"/>
      <c r="U64" s="43"/>
      <c r="V64" s="12"/>
      <c r="W64" s="12"/>
      <c r="X64" s="74">
        <v>422.55</v>
      </c>
      <c r="Y64" s="12"/>
      <c r="Z64" s="12"/>
      <c r="AA64" s="7">
        <f>653.53*0.6</f>
        <v>392.118</v>
      </c>
      <c r="AB64" s="12"/>
      <c r="AC64" s="12"/>
      <c r="AD64" s="7">
        <f>260*0.6</f>
        <v>156</v>
      </c>
      <c r="AE64" s="12"/>
      <c r="AF64" s="12"/>
      <c r="AG64" s="78">
        <f>391.25*0.6</f>
        <v>234.75</v>
      </c>
      <c r="AH64" s="12"/>
      <c r="AI64" s="12"/>
      <c r="AJ64" s="12"/>
      <c r="AK64" s="12"/>
      <c r="AL64" s="9"/>
      <c r="AM64" s="12"/>
      <c r="AN64" s="12"/>
      <c r="AO64" s="74">
        <f>676.96*0.53</f>
        <v>358.78880000000004</v>
      </c>
      <c r="AP64" s="12"/>
      <c r="AQ64" s="12"/>
      <c r="AR64" s="74">
        <f>628.22*0.53</f>
        <v>332.95660000000004</v>
      </c>
      <c r="AS64" s="12"/>
      <c r="AT64" s="12"/>
      <c r="AU64" s="74">
        <f>397.51*0.53</f>
        <v>210.68030000000002</v>
      </c>
      <c r="AV64" s="12"/>
      <c r="AW64" s="4"/>
      <c r="AX64" s="77">
        <f>260*0.53</f>
        <v>137.8</v>
      </c>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row>
    <row r="65" spans="1:93" ht="18">
      <c r="A65" s="62" t="s">
        <v>87</v>
      </c>
      <c r="B65" s="12"/>
      <c r="C65" s="27"/>
      <c r="D65" s="12"/>
      <c r="E65" s="12"/>
      <c r="F65" s="12"/>
      <c r="G65" s="12"/>
      <c r="H65" s="12"/>
      <c r="I65" s="12"/>
      <c r="J65" s="9">
        <f>M65*0.6</f>
        <v>85.086</v>
      </c>
      <c r="L65" s="12"/>
      <c r="M65" s="9">
        <f>SUM(M62:M64)/3</f>
        <v>141.81</v>
      </c>
      <c r="N65" s="12"/>
      <c r="P65" s="12"/>
      <c r="Q65" s="7"/>
      <c r="R65" s="12"/>
      <c r="S65" s="12"/>
      <c r="T65" s="12"/>
      <c r="U65" s="7"/>
      <c r="V65" s="12"/>
      <c r="X65" s="9">
        <v>422.55</v>
      </c>
      <c r="AA65" s="9">
        <f>653.53*0.6</f>
        <v>392.118</v>
      </c>
      <c r="AD65" s="9">
        <f>SUM(AD62:AD64)/3</f>
        <v>161.61599999999999</v>
      </c>
      <c r="AF65" s="12"/>
      <c r="AG65" s="9">
        <f>SUM(AG62:AG64)/3</f>
        <v>230.36799999999997</v>
      </c>
      <c r="AK65" s="12"/>
      <c r="AL65" s="7"/>
      <c r="AM65" s="12"/>
      <c r="AN65" s="12"/>
      <c r="AO65" s="65">
        <f>SUM(AO62:AO64)/3</f>
        <v>358.78880000000004</v>
      </c>
      <c r="AP65" s="12"/>
      <c r="AQ65" s="12"/>
      <c r="AR65" s="65">
        <f>SUM(AR62:AR64)/3</f>
        <v>332.95660000000004</v>
      </c>
      <c r="AS65" s="12"/>
      <c r="AT65" s="12"/>
      <c r="AU65" s="65">
        <f>SUM(AU62:AU64)/3</f>
        <v>210.68030000000002</v>
      </c>
      <c r="AV65" s="12"/>
      <c r="AX65" s="65">
        <f>SUM(AX62:AX64)/3</f>
        <v>142.7608</v>
      </c>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row>
    <row r="67" spans="1:93" ht="18">
      <c r="A67" s="63" t="s">
        <v>104</v>
      </c>
      <c r="B67" s="12">
        <v>0</v>
      </c>
      <c r="C67" s="27">
        <v>0</v>
      </c>
      <c r="D67" s="12">
        <v>0</v>
      </c>
      <c r="E67" s="12"/>
      <c r="F67" s="12"/>
      <c r="G67" s="12"/>
      <c r="H67" s="12"/>
      <c r="I67" s="12">
        <v>0</v>
      </c>
      <c r="J67" s="12">
        <v>0</v>
      </c>
      <c r="L67" s="12">
        <v>0</v>
      </c>
      <c r="M67" s="12">
        <v>0</v>
      </c>
      <c r="N67" s="12">
        <f>L67*M67</f>
        <v>0</v>
      </c>
      <c r="P67" s="12">
        <v>0</v>
      </c>
      <c r="Q67" s="7">
        <v>0</v>
      </c>
      <c r="R67" s="12">
        <f>D67-N67</f>
        <v>0</v>
      </c>
      <c r="S67" s="12"/>
      <c r="T67" s="12">
        <v>0</v>
      </c>
      <c r="U67" s="7">
        <v>0</v>
      </c>
      <c r="V67" s="12">
        <f aca="true" t="shared" si="54" ref="V67:V72">Y67+AB67+AH67</f>
        <v>0</v>
      </c>
      <c r="W67">
        <f aca="true" t="shared" si="55" ref="W67:W72">0.16*T67*0.5</f>
        <v>0</v>
      </c>
      <c r="X67" s="7">
        <v>0</v>
      </c>
      <c r="Y67">
        <f aca="true" t="shared" si="56" ref="Y67:Y72">W67*X67</f>
        <v>0</v>
      </c>
      <c r="Z67">
        <f aca="true" t="shared" si="57" ref="Z67:Z72">0.16*T67*0.5</f>
        <v>0</v>
      </c>
      <c r="AA67" s="7">
        <v>0</v>
      </c>
      <c r="AB67">
        <f aca="true" t="shared" si="58" ref="AB67:AB72">Z67*AA67</f>
        <v>0</v>
      </c>
      <c r="AD67" s="7">
        <v>0</v>
      </c>
      <c r="AF67" s="12">
        <f aca="true" t="shared" si="59" ref="AF67:AF72">T67-W67-Z67</f>
        <v>0</v>
      </c>
      <c r="AG67" s="7">
        <v>0</v>
      </c>
      <c r="AH67">
        <f aca="true" t="shared" si="60" ref="AH67:AH72">AF67*AG67</f>
        <v>0</v>
      </c>
      <c r="AK67" s="12">
        <v>0</v>
      </c>
      <c r="AL67" s="7">
        <v>0</v>
      </c>
      <c r="AM67" s="12">
        <f aca="true" t="shared" si="61" ref="AM67:AM72">AS67+AV67+AP67</f>
        <v>0</v>
      </c>
      <c r="AN67" s="12">
        <f aca="true" t="shared" si="62" ref="AN67:AN72">AK67*0.16*0.5</f>
        <v>0</v>
      </c>
      <c r="AO67" s="7">
        <v>0</v>
      </c>
      <c r="AP67" s="12">
        <f aca="true" t="shared" si="63" ref="AP67:AP72">AN67*AO67</f>
        <v>0</v>
      </c>
      <c r="AQ67" s="12">
        <f aca="true" t="shared" si="64" ref="AQ67:AQ72">AK67*0.16*0.5</f>
        <v>0</v>
      </c>
      <c r="AR67" s="7">
        <v>0</v>
      </c>
      <c r="AS67" s="12">
        <f aca="true" t="shared" si="65" ref="AS67:AS72">AQ67*AR67</f>
        <v>0</v>
      </c>
      <c r="AT67" s="12">
        <f aca="true" t="shared" si="66" ref="AT67:AT72">AK67-AN67-AQ67</f>
        <v>0</v>
      </c>
      <c r="AU67" s="7">
        <v>0</v>
      </c>
      <c r="AV67" s="12">
        <f aca="true" t="shared" si="67" ref="AV67:AV72">AT67*AU67</f>
        <v>0</v>
      </c>
      <c r="AW67" s="4"/>
      <c r="AX67" s="7">
        <v>0</v>
      </c>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row>
    <row r="68" spans="1:93" ht="18">
      <c r="A68" s="63" t="s">
        <v>105</v>
      </c>
      <c r="B68" s="12">
        <v>0</v>
      </c>
      <c r="C68" s="27">
        <v>0</v>
      </c>
      <c r="D68" s="12">
        <v>0</v>
      </c>
      <c r="E68" s="12"/>
      <c r="F68" s="12"/>
      <c r="G68" s="12"/>
      <c r="H68" s="12"/>
      <c r="I68" s="12">
        <v>0</v>
      </c>
      <c r="J68" s="12">
        <v>0</v>
      </c>
      <c r="L68" s="12">
        <v>0</v>
      </c>
      <c r="M68" s="12">
        <v>0</v>
      </c>
      <c r="N68" s="12">
        <f>L68*M68</f>
        <v>0</v>
      </c>
      <c r="P68" s="12">
        <v>0</v>
      </c>
      <c r="Q68" s="7">
        <v>0</v>
      </c>
      <c r="R68" s="12">
        <f>D68-N68</f>
        <v>0</v>
      </c>
      <c r="S68" s="12"/>
      <c r="T68" s="12">
        <v>0</v>
      </c>
      <c r="U68" s="7">
        <v>0</v>
      </c>
      <c r="V68" s="12">
        <f t="shared" si="54"/>
        <v>0</v>
      </c>
      <c r="W68">
        <f t="shared" si="55"/>
        <v>0</v>
      </c>
      <c r="X68" s="7">
        <v>0</v>
      </c>
      <c r="Y68">
        <f t="shared" si="56"/>
        <v>0</v>
      </c>
      <c r="Z68">
        <f t="shared" si="57"/>
        <v>0</v>
      </c>
      <c r="AA68" s="7">
        <v>0</v>
      </c>
      <c r="AB68">
        <f t="shared" si="58"/>
        <v>0</v>
      </c>
      <c r="AD68" s="7">
        <v>0</v>
      </c>
      <c r="AF68" s="12">
        <f t="shared" si="59"/>
        <v>0</v>
      </c>
      <c r="AG68" s="7">
        <v>0</v>
      </c>
      <c r="AH68">
        <f t="shared" si="60"/>
        <v>0</v>
      </c>
      <c r="AK68" s="12">
        <v>0</v>
      </c>
      <c r="AL68" s="7">
        <v>0</v>
      </c>
      <c r="AM68" s="12">
        <f t="shared" si="61"/>
        <v>0</v>
      </c>
      <c r="AN68" s="12">
        <f t="shared" si="62"/>
        <v>0</v>
      </c>
      <c r="AO68" s="7">
        <v>0</v>
      </c>
      <c r="AP68" s="12">
        <f t="shared" si="63"/>
        <v>0</v>
      </c>
      <c r="AQ68" s="12">
        <f t="shared" si="64"/>
        <v>0</v>
      </c>
      <c r="AR68" s="7">
        <v>0</v>
      </c>
      <c r="AS68" s="12">
        <f t="shared" si="65"/>
        <v>0</v>
      </c>
      <c r="AT68" s="12">
        <f t="shared" si="66"/>
        <v>0</v>
      </c>
      <c r="AU68" s="7">
        <v>0</v>
      </c>
      <c r="AV68" s="12">
        <f t="shared" si="67"/>
        <v>0</v>
      </c>
      <c r="AW68" s="4"/>
      <c r="AX68" s="7">
        <v>0</v>
      </c>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row>
    <row r="69" spans="1:93" ht="18">
      <c r="A69" s="62" t="s">
        <v>88</v>
      </c>
      <c r="B69" s="12">
        <v>0</v>
      </c>
      <c r="C69" s="27">
        <v>0</v>
      </c>
      <c r="D69" s="12">
        <v>0</v>
      </c>
      <c r="E69" s="12"/>
      <c r="F69" s="12"/>
      <c r="G69" s="12"/>
      <c r="H69" s="12"/>
      <c r="I69" s="12">
        <v>0</v>
      </c>
      <c r="J69" s="12">
        <v>0</v>
      </c>
      <c r="L69" s="12">
        <v>0</v>
      </c>
      <c r="M69" s="12">
        <v>0</v>
      </c>
      <c r="N69" s="12">
        <f>L69*M69</f>
        <v>0</v>
      </c>
      <c r="P69" s="12">
        <v>0</v>
      </c>
      <c r="Q69" s="7">
        <v>0</v>
      </c>
      <c r="R69" s="12">
        <f>D69-N69</f>
        <v>0</v>
      </c>
      <c r="S69" s="12"/>
      <c r="T69" s="12">
        <v>0</v>
      </c>
      <c r="U69" s="7">
        <v>0</v>
      </c>
      <c r="V69" s="12">
        <f>Y69+AB69+AH69</f>
        <v>0</v>
      </c>
      <c r="W69">
        <f>0.16*T69*0.5</f>
        <v>0</v>
      </c>
      <c r="X69" s="7">
        <v>0</v>
      </c>
      <c r="Y69">
        <f>W69*X69</f>
        <v>0</v>
      </c>
      <c r="Z69">
        <f>0.16*T69*0.5</f>
        <v>0</v>
      </c>
      <c r="AA69" s="7">
        <v>0</v>
      </c>
      <c r="AB69">
        <f>Z69*AA69</f>
        <v>0</v>
      </c>
      <c r="AD69" s="7">
        <v>0</v>
      </c>
      <c r="AF69" s="12">
        <f>T69-W69-Z69</f>
        <v>0</v>
      </c>
      <c r="AG69" s="7">
        <v>0</v>
      </c>
      <c r="AH69">
        <f>AF69*AG69</f>
        <v>0</v>
      </c>
      <c r="AK69" s="12">
        <v>0</v>
      </c>
      <c r="AL69" s="7">
        <v>0</v>
      </c>
      <c r="AM69" s="12">
        <f>AS69+AV69+AP69</f>
        <v>0</v>
      </c>
      <c r="AN69" s="12">
        <f>AK69*0.16*0.5</f>
        <v>0</v>
      </c>
      <c r="AO69" s="7">
        <v>0</v>
      </c>
      <c r="AP69" s="12">
        <f>AN69*AO69</f>
        <v>0</v>
      </c>
      <c r="AQ69" s="12">
        <f>AK69*0.16*0.5</f>
        <v>0</v>
      </c>
      <c r="AR69" s="7">
        <v>0</v>
      </c>
      <c r="AS69" s="12">
        <f>AQ69*AR69</f>
        <v>0</v>
      </c>
      <c r="AT69" s="12">
        <f>AK69-AN69-AQ69</f>
        <v>0</v>
      </c>
      <c r="AU69" s="7">
        <v>0</v>
      </c>
      <c r="AV69" s="12">
        <f>AT69*AU69</f>
        <v>0</v>
      </c>
      <c r="AX69" s="7">
        <v>0</v>
      </c>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row>
    <row r="70" spans="9:50" ht="12">
      <c r="I70" s="12"/>
      <c r="J70" s="12"/>
      <c r="M70" s="12"/>
      <c r="AD70"/>
      <c r="AX70"/>
    </row>
    <row r="71" spans="1:50" ht="12">
      <c r="A71" s="63" t="s">
        <v>106</v>
      </c>
      <c r="B71" s="12">
        <v>0</v>
      </c>
      <c r="C71" s="27">
        <v>0</v>
      </c>
      <c r="D71" s="12">
        <v>0</v>
      </c>
      <c r="E71" s="12"/>
      <c r="F71" s="12"/>
      <c r="G71" s="12"/>
      <c r="H71" s="12"/>
      <c r="I71" s="12">
        <v>0</v>
      </c>
      <c r="J71" s="12">
        <v>0</v>
      </c>
      <c r="L71" s="12">
        <v>0</v>
      </c>
      <c r="M71" s="12">
        <v>0</v>
      </c>
      <c r="N71" s="12">
        <f>L71*M71</f>
        <v>0</v>
      </c>
      <c r="P71" s="12">
        <v>0</v>
      </c>
      <c r="Q71" s="7">
        <v>0</v>
      </c>
      <c r="R71" s="12">
        <f>D71-N71</f>
        <v>0</v>
      </c>
      <c r="S71" s="12"/>
      <c r="T71" s="12">
        <v>0</v>
      </c>
      <c r="U71" s="7">
        <v>0</v>
      </c>
      <c r="V71" s="12">
        <f t="shared" si="54"/>
        <v>0</v>
      </c>
      <c r="W71">
        <f t="shared" si="55"/>
        <v>0</v>
      </c>
      <c r="X71" s="7">
        <v>0</v>
      </c>
      <c r="Y71">
        <f t="shared" si="56"/>
        <v>0</v>
      </c>
      <c r="Z71">
        <f t="shared" si="57"/>
        <v>0</v>
      </c>
      <c r="AA71" s="7">
        <v>0</v>
      </c>
      <c r="AB71">
        <f t="shared" si="58"/>
        <v>0</v>
      </c>
      <c r="AD71" s="7">
        <v>0</v>
      </c>
      <c r="AF71" s="12">
        <f t="shared" si="59"/>
        <v>0</v>
      </c>
      <c r="AG71" s="7">
        <v>0</v>
      </c>
      <c r="AH71">
        <f t="shared" si="60"/>
        <v>0</v>
      </c>
      <c r="AK71" s="12">
        <v>0</v>
      </c>
      <c r="AL71" s="7">
        <v>0</v>
      </c>
      <c r="AM71" s="12">
        <f t="shared" si="61"/>
        <v>0</v>
      </c>
      <c r="AN71" s="12">
        <f t="shared" si="62"/>
        <v>0</v>
      </c>
      <c r="AO71" s="7">
        <v>0</v>
      </c>
      <c r="AP71" s="12">
        <f t="shared" si="63"/>
        <v>0</v>
      </c>
      <c r="AQ71" s="12">
        <f t="shared" si="64"/>
        <v>0</v>
      </c>
      <c r="AR71" s="7">
        <v>0</v>
      </c>
      <c r="AS71" s="12">
        <f t="shared" si="65"/>
        <v>0</v>
      </c>
      <c r="AT71" s="12">
        <f t="shared" si="66"/>
        <v>0</v>
      </c>
      <c r="AU71" s="7">
        <v>0</v>
      </c>
      <c r="AV71" s="12">
        <f t="shared" si="67"/>
        <v>0</v>
      </c>
      <c r="AX71" s="7">
        <v>0</v>
      </c>
    </row>
    <row r="72" spans="1:50" ht="12">
      <c r="A72" s="63" t="s">
        <v>107</v>
      </c>
      <c r="B72" s="12">
        <v>0</v>
      </c>
      <c r="C72" s="27">
        <v>0</v>
      </c>
      <c r="D72" s="12">
        <v>0</v>
      </c>
      <c r="E72" s="12"/>
      <c r="F72" s="12"/>
      <c r="G72" s="12"/>
      <c r="H72" s="12"/>
      <c r="I72" s="12">
        <v>0</v>
      </c>
      <c r="J72" s="12">
        <v>0</v>
      </c>
      <c r="L72" s="12">
        <v>0</v>
      </c>
      <c r="M72" s="12">
        <v>0</v>
      </c>
      <c r="N72" s="12">
        <f>L72*M72</f>
        <v>0</v>
      </c>
      <c r="P72" s="12">
        <v>0</v>
      </c>
      <c r="Q72" s="7">
        <v>0</v>
      </c>
      <c r="R72" s="12">
        <f>D72-N72</f>
        <v>0</v>
      </c>
      <c r="S72" s="12"/>
      <c r="T72" s="12">
        <v>0</v>
      </c>
      <c r="U72" s="7">
        <v>0</v>
      </c>
      <c r="V72" s="12">
        <f t="shared" si="54"/>
        <v>0</v>
      </c>
      <c r="W72">
        <f t="shared" si="55"/>
        <v>0</v>
      </c>
      <c r="X72" s="7">
        <v>0</v>
      </c>
      <c r="Y72">
        <f t="shared" si="56"/>
        <v>0</v>
      </c>
      <c r="Z72">
        <f t="shared" si="57"/>
        <v>0</v>
      </c>
      <c r="AA72" s="7">
        <v>0</v>
      </c>
      <c r="AB72">
        <f t="shared" si="58"/>
        <v>0</v>
      </c>
      <c r="AD72" s="7">
        <v>0</v>
      </c>
      <c r="AF72" s="12">
        <f t="shared" si="59"/>
        <v>0</v>
      </c>
      <c r="AG72" s="7">
        <v>0</v>
      </c>
      <c r="AH72">
        <f t="shared" si="60"/>
        <v>0</v>
      </c>
      <c r="AK72" s="12">
        <v>0</v>
      </c>
      <c r="AL72" s="7">
        <v>0</v>
      </c>
      <c r="AM72" s="12">
        <f t="shared" si="61"/>
        <v>0</v>
      </c>
      <c r="AN72" s="12">
        <f t="shared" si="62"/>
        <v>0</v>
      </c>
      <c r="AO72" s="7">
        <v>0</v>
      </c>
      <c r="AP72" s="12">
        <f t="shared" si="63"/>
        <v>0</v>
      </c>
      <c r="AQ72" s="12">
        <f t="shared" si="64"/>
        <v>0</v>
      </c>
      <c r="AR72" s="7">
        <v>0</v>
      </c>
      <c r="AS72" s="12">
        <f t="shared" si="65"/>
        <v>0</v>
      </c>
      <c r="AT72" s="12">
        <f t="shared" si="66"/>
        <v>0</v>
      </c>
      <c r="AU72" s="7">
        <v>0</v>
      </c>
      <c r="AV72" s="12">
        <f t="shared" si="67"/>
        <v>0</v>
      </c>
      <c r="AX72" s="7">
        <v>0</v>
      </c>
    </row>
    <row r="73" spans="1:50" ht="12">
      <c r="A73" s="63" t="s">
        <v>108</v>
      </c>
      <c r="B73" s="12">
        <v>0</v>
      </c>
      <c r="C73" s="27">
        <v>0</v>
      </c>
      <c r="D73" s="12">
        <v>0</v>
      </c>
      <c r="E73" s="12"/>
      <c r="F73" s="12"/>
      <c r="G73" s="12"/>
      <c r="H73" s="12"/>
      <c r="I73" s="12">
        <v>0</v>
      </c>
      <c r="J73" s="12">
        <v>0</v>
      </c>
      <c r="L73" s="12">
        <v>0</v>
      </c>
      <c r="M73" s="12">
        <v>0</v>
      </c>
      <c r="N73" s="12">
        <f>L73*M73</f>
        <v>0</v>
      </c>
      <c r="P73" s="12">
        <v>0</v>
      </c>
      <c r="Q73" s="7">
        <v>0</v>
      </c>
      <c r="R73" s="12">
        <f>D73-N73</f>
        <v>0</v>
      </c>
      <c r="S73" s="12"/>
      <c r="T73" s="12">
        <v>0</v>
      </c>
      <c r="U73" s="7">
        <v>0</v>
      </c>
      <c r="V73" s="12">
        <f>Y73+AB73+AH73</f>
        <v>0</v>
      </c>
      <c r="W73">
        <f>0.16*T73*0.5</f>
        <v>0</v>
      </c>
      <c r="X73" s="7">
        <v>0</v>
      </c>
      <c r="Y73">
        <f>W73*X73</f>
        <v>0</v>
      </c>
      <c r="Z73">
        <f>0.16*T73*0.5</f>
        <v>0</v>
      </c>
      <c r="AA73" s="7">
        <v>0</v>
      </c>
      <c r="AB73">
        <f>Z73*AA73</f>
        <v>0</v>
      </c>
      <c r="AD73" s="7">
        <v>0</v>
      </c>
      <c r="AF73" s="12">
        <f>T73-W73-Z73</f>
        <v>0</v>
      </c>
      <c r="AG73" s="7">
        <v>0</v>
      </c>
      <c r="AH73">
        <f>AF73*AG73</f>
        <v>0</v>
      </c>
      <c r="AK73" s="12">
        <v>0</v>
      </c>
      <c r="AL73" s="7">
        <v>0</v>
      </c>
      <c r="AM73" s="12">
        <f>AS73+AV73+AP73</f>
        <v>0</v>
      </c>
      <c r="AN73" s="12">
        <f>AK73*0.16*0.5</f>
        <v>0</v>
      </c>
      <c r="AO73" s="7">
        <v>0</v>
      </c>
      <c r="AP73" s="12">
        <f>AN73*AO73</f>
        <v>0</v>
      </c>
      <c r="AQ73" s="12">
        <f>AK73*0.16*0.5</f>
        <v>0</v>
      </c>
      <c r="AR73" s="7">
        <v>0</v>
      </c>
      <c r="AS73" s="12">
        <f>AQ73*AR73</f>
        <v>0</v>
      </c>
      <c r="AT73" s="12">
        <f>AK73-AN73-AQ73</f>
        <v>0</v>
      </c>
      <c r="AU73" s="7">
        <v>0</v>
      </c>
      <c r="AV73" s="12">
        <f>AT73*AU73</f>
        <v>0</v>
      </c>
      <c r="AX73" s="7">
        <v>0</v>
      </c>
    </row>
    <row r="74" spans="1:50" ht="12">
      <c r="A74" s="62" t="s">
        <v>89</v>
      </c>
      <c r="B74" s="12">
        <v>0</v>
      </c>
      <c r="C74" s="27">
        <v>0</v>
      </c>
      <c r="D74" s="12">
        <v>0</v>
      </c>
      <c r="E74" s="12"/>
      <c r="F74" s="12"/>
      <c r="G74" s="12"/>
      <c r="H74" s="12"/>
      <c r="I74" s="12">
        <v>0</v>
      </c>
      <c r="J74" s="12">
        <v>0</v>
      </c>
      <c r="L74" s="12">
        <v>0</v>
      </c>
      <c r="M74" s="12">
        <v>0</v>
      </c>
      <c r="N74" s="12">
        <f>L74*M74</f>
        <v>0</v>
      </c>
      <c r="P74" s="12">
        <v>0</v>
      </c>
      <c r="Q74" s="7">
        <v>0</v>
      </c>
      <c r="R74" s="12">
        <f>D74-N74</f>
        <v>0</v>
      </c>
      <c r="S74" s="12"/>
      <c r="T74" s="12">
        <v>0</v>
      </c>
      <c r="U74" s="7">
        <v>0</v>
      </c>
      <c r="V74" s="12">
        <f>Y74+AB74+AH74</f>
        <v>0</v>
      </c>
      <c r="W74">
        <f>0.16*T74*0.5</f>
        <v>0</v>
      </c>
      <c r="X74" s="7">
        <v>0</v>
      </c>
      <c r="Y74">
        <f>W74*X74</f>
        <v>0</v>
      </c>
      <c r="Z74">
        <f>0.16*T74*0.5</f>
        <v>0</v>
      </c>
      <c r="AA74" s="7">
        <v>0</v>
      </c>
      <c r="AB74">
        <f>Z74*AA74</f>
        <v>0</v>
      </c>
      <c r="AD74" s="7">
        <v>0</v>
      </c>
      <c r="AF74" s="12">
        <f>T74-W74-Z74</f>
        <v>0</v>
      </c>
      <c r="AG74" s="7">
        <v>0</v>
      </c>
      <c r="AH74">
        <f>AF74*AG74</f>
        <v>0</v>
      </c>
      <c r="AK74" s="12">
        <v>0</v>
      </c>
      <c r="AL74" s="7">
        <v>0</v>
      </c>
      <c r="AM74" s="12">
        <f>AS74+AV74+AP74</f>
        <v>0</v>
      </c>
      <c r="AN74" s="12">
        <f>AK74*0.16*0.5</f>
        <v>0</v>
      </c>
      <c r="AO74" s="7">
        <v>0</v>
      </c>
      <c r="AP74" s="12">
        <f>AN74*AO74</f>
        <v>0</v>
      </c>
      <c r="AQ74" s="12">
        <f>AK74*0.16*0.5</f>
        <v>0</v>
      </c>
      <c r="AR74" s="7">
        <v>0</v>
      </c>
      <c r="AS74" s="12">
        <f>AQ74*AR74</f>
        <v>0</v>
      </c>
      <c r="AT74" s="12">
        <f>AK74-AN74-AQ74</f>
        <v>0</v>
      </c>
      <c r="AU74" s="7">
        <v>0</v>
      </c>
      <c r="AV74" s="12">
        <f>AT74*AU74</f>
        <v>0</v>
      </c>
      <c r="AX74" s="7">
        <v>0</v>
      </c>
    </row>
    <row r="75" spans="1:48" ht="12">
      <c r="A75" s="62"/>
      <c r="B75" s="12"/>
      <c r="C75" s="27"/>
      <c r="D75" s="12"/>
      <c r="E75" s="12"/>
      <c r="F75" s="12"/>
      <c r="G75" s="12"/>
      <c r="H75" s="12"/>
      <c r="I75" s="12"/>
      <c r="L75" s="12"/>
      <c r="M75" s="7"/>
      <c r="N75" s="12"/>
      <c r="P75" s="12"/>
      <c r="Q75" s="7"/>
      <c r="R75" s="12"/>
      <c r="S75" s="12"/>
      <c r="T75" s="12"/>
      <c r="U75" s="7"/>
      <c r="V75" s="12"/>
      <c r="X75" s="7"/>
      <c r="AA75" s="7"/>
      <c r="AF75" s="12"/>
      <c r="AG75" s="7"/>
      <c r="AK75" s="12"/>
      <c r="AL75" s="7"/>
      <c r="AM75" s="12"/>
      <c r="AN75" s="12"/>
      <c r="AO75" s="7"/>
      <c r="AP75" s="12"/>
      <c r="AQ75" s="12"/>
      <c r="AR75" s="7"/>
      <c r="AS75" s="12"/>
      <c r="AT75" s="12"/>
      <c r="AU75" s="7"/>
      <c r="AV75" s="12"/>
    </row>
    <row r="76" spans="1:50" s="7" customFormat="1" ht="12">
      <c r="A76" s="65" t="s">
        <v>90</v>
      </c>
      <c r="J76" s="9"/>
      <c r="M76" s="9"/>
      <c r="X76" s="9"/>
      <c r="AA76" s="9"/>
      <c r="AD76" s="9"/>
      <c r="AG76" s="9"/>
      <c r="AN76" s="73"/>
      <c r="AO76" s="9"/>
      <c r="AR76" s="9"/>
      <c r="AU76" s="9"/>
      <c r="AX76" s="9"/>
    </row>
    <row r="77" ht="13.5">
      <c r="A77" s="8"/>
    </row>
    <row r="78" ht="12">
      <c r="A78" s="5" t="s">
        <v>196</v>
      </c>
    </row>
    <row r="79" ht="12">
      <c r="A79" s="5"/>
    </row>
    <row r="80" ht="12">
      <c r="A80" s="57" t="s">
        <v>56</v>
      </c>
    </row>
    <row r="81" ht="12">
      <c r="A81" s="57" t="s">
        <v>55</v>
      </c>
    </row>
    <row r="82" ht="12">
      <c r="A82" s="67" t="s">
        <v>46</v>
      </c>
    </row>
    <row r="83" spans="1:11" ht="12">
      <c r="A83" s="34" t="s">
        <v>111</v>
      </c>
      <c r="B83" s="69">
        <v>50</v>
      </c>
      <c r="C83" s="34"/>
      <c r="D83" s="33"/>
      <c r="E83" s="33"/>
      <c r="F83" s="33"/>
      <c r="G83" s="33"/>
      <c r="H83" s="33"/>
      <c r="I83" s="33"/>
      <c r="J83" s="38"/>
      <c r="K83" s="38"/>
    </row>
    <row r="84" spans="1:4" ht="12">
      <c r="A84" s="34" t="s">
        <v>110</v>
      </c>
      <c r="B84" s="69">
        <v>53</v>
      </c>
      <c r="C84" s="34"/>
      <c r="D84" s="33"/>
    </row>
    <row r="85" spans="1:19" ht="12">
      <c r="A85" s="68" t="s">
        <v>109</v>
      </c>
      <c r="B85" s="35">
        <v>60</v>
      </c>
      <c r="C85" s="14"/>
      <c r="D85" s="6"/>
      <c r="E85" s="6"/>
      <c r="F85" s="6"/>
      <c r="G85" s="6"/>
      <c r="H85" s="6"/>
      <c r="I85" s="6"/>
      <c r="J85" s="75"/>
      <c r="K85" s="75"/>
      <c r="L85" s="6"/>
      <c r="M85" s="6"/>
      <c r="N85" s="6"/>
      <c r="O85" s="6"/>
      <c r="P85" s="6"/>
      <c r="Q85" s="6"/>
      <c r="R85" s="6"/>
      <c r="S85" s="6"/>
    </row>
    <row r="86" spans="1:19" ht="12">
      <c r="A86" s="111" t="s">
        <v>72</v>
      </c>
      <c r="B86" s="112"/>
      <c r="C86" s="112"/>
      <c r="D86" s="112"/>
      <c r="E86" s="112"/>
      <c r="F86" s="112"/>
      <c r="G86" s="112"/>
      <c r="H86" s="112"/>
      <c r="I86" s="112"/>
      <c r="J86" s="112"/>
      <c r="K86" s="112"/>
      <c r="L86" s="112"/>
      <c r="M86" s="112"/>
      <c r="N86" s="112"/>
      <c r="O86" s="112"/>
      <c r="P86" s="112"/>
      <c r="Q86" s="23"/>
      <c r="R86" s="23"/>
      <c r="S86" s="23"/>
    </row>
    <row r="87" spans="1:19" ht="13.5">
      <c r="A87" s="110"/>
      <c r="B87" s="113"/>
      <c r="C87" s="113"/>
      <c r="D87" s="113"/>
      <c r="E87" s="113"/>
      <c r="F87" s="113"/>
      <c r="G87" s="113"/>
      <c r="H87" s="113"/>
      <c r="I87" s="113"/>
      <c r="J87" s="113"/>
      <c r="K87" s="113"/>
      <c r="L87" s="113"/>
      <c r="M87" s="113"/>
      <c r="N87" s="113"/>
      <c r="O87" s="113"/>
      <c r="P87" s="6"/>
      <c r="Q87" s="6"/>
      <c r="R87" s="6"/>
      <c r="S87" s="6"/>
    </row>
    <row r="88" spans="1:19" ht="13.5">
      <c r="A88" s="110"/>
      <c r="B88" s="107"/>
      <c r="C88" s="107"/>
      <c r="D88" s="107"/>
      <c r="E88" s="107"/>
      <c r="F88" s="107"/>
      <c r="G88" s="107"/>
      <c r="H88" s="107"/>
      <c r="I88" s="107"/>
      <c r="J88" s="107"/>
      <c r="K88" s="107"/>
      <c r="L88" s="107"/>
      <c r="M88" s="107"/>
      <c r="N88" s="107"/>
      <c r="O88" s="107"/>
      <c r="P88" s="6"/>
      <c r="Q88" s="6"/>
      <c r="R88" s="6"/>
      <c r="S88" s="6"/>
    </row>
    <row r="89" spans="1:19" ht="13.5">
      <c r="A89" s="110"/>
      <c r="B89" s="107"/>
      <c r="C89" s="107"/>
      <c r="D89" s="107"/>
      <c r="E89" s="107"/>
      <c r="F89" s="107"/>
      <c r="G89" s="107"/>
      <c r="H89" s="107"/>
      <c r="I89" s="107"/>
      <c r="J89" s="107"/>
      <c r="K89" s="107"/>
      <c r="L89" s="107"/>
      <c r="M89" s="107"/>
      <c r="N89" s="107"/>
      <c r="O89" s="107"/>
      <c r="P89" s="6"/>
      <c r="Q89" s="6"/>
      <c r="R89" s="6"/>
      <c r="S89" s="6"/>
    </row>
    <row r="90" spans="1:19" ht="13.5">
      <c r="A90" s="114"/>
      <c r="B90" s="107"/>
      <c r="C90" s="107"/>
      <c r="D90" s="107"/>
      <c r="E90" s="107"/>
      <c r="F90" s="107"/>
      <c r="G90" s="107"/>
      <c r="H90" s="107"/>
      <c r="I90" s="107"/>
      <c r="J90" s="107"/>
      <c r="K90" s="107"/>
      <c r="L90" s="107"/>
      <c r="M90" s="107"/>
      <c r="N90" s="107"/>
      <c r="O90" s="107"/>
      <c r="P90" s="6"/>
      <c r="Q90" s="6"/>
      <c r="R90" s="6"/>
      <c r="S90" s="6"/>
    </row>
    <row r="91" spans="1:19" ht="13.5">
      <c r="A91" s="20"/>
      <c r="B91" s="25"/>
      <c r="C91" s="25"/>
      <c r="D91" s="25"/>
      <c r="E91" s="25"/>
      <c r="F91" s="25"/>
      <c r="G91" s="25"/>
      <c r="H91" s="25"/>
      <c r="I91" s="25"/>
      <c r="J91" s="72"/>
      <c r="K91" s="72"/>
      <c r="L91" s="25"/>
      <c r="M91" s="25"/>
      <c r="N91" s="25"/>
      <c r="O91" s="25"/>
      <c r="P91" s="6"/>
      <c r="Q91" s="6"/>
      <c r="R91" s="6"/>
      <c r="S91" s="6"/>
    </row>
    <row r="92" spans="1:19" ht="13.5">
      <c r="A92" s="110"/>
      <c r="B92" s="107"/>
      <c r="C92" s="107"/>
      <c r="D92" s="107"/>
      <c r="E92" s="107"/>
      <c r="F92" s="107"/>
      <c r="G92" s="107"/>
      <c r="H92" s="107"/>
      <c r="I92" s="107"/>
      <c r="J92" s="107"/>
      <c r="K92" s="107"/>
      <c r="L92" s="107"/>
      <c r="M92" s="107"/>
      <c r="N92" s="107"/>
      <c r="O92" s="107"/>
      <c r="P92" s="6"/>
      <c r="Q92" s="6"/>
      <c r="R92" s="6"/>
      <c r="S92" s="6"/>
    </row>
    <row r="93" spans="1:19" ht="13.5">
      <c r="A93" s="110"/>
      <c r="B93" s="107"/>
      <c r="C93" s="107"/>
      <c r="D93" s="107"/>
      <c r="E93" s="107"/>
      <c r="F93" s="107"/>
      <c r="G93" s="107"/>
      <c r="H93" s="107"/>
      <c r="I93" s="107"/>
      <c r="J93" s="107"/>
      <c r="K93" s="107"/>
      <c r="L93" s="107"/>
      <c r="M93" s="107"/>
      <c r="N93" s="107"/>
      <c r="O93" s="107"/>
      <c r="P93" s="6"/>
      <c r="Q93" s="6"/>
      <c r="R93" s="6"/>
      <c r="S93" s="6"/>
    </row>
    <row r="94" spans="1:19" ht="13.5">
      <c r="A94" s="110"/>
      <c r="B94" s="107"/>
      <c r="C94" s="107"/>
      <c r="D94" s="107"/>
      <c r="E94" s="107"/>
      <c r="F94" s="107"/>
      <c r="G94" s="107"/>
      <c r="H94" s="107"/>
      <c r="I94" s="107"/>
      <c r="J94" s="107"/>
      <c r="K94" s="107"/>
      <c r="L94" s="107"/>
      <c r="M94" s="107"/>
      <c r="N94" s="107"/>
      <c r="O94" s="107"/>
      <c r="P94" s="6"/>
      <c r="Q94" s="6"/>
      <c r="R94" s="6"/>
      <c r="S94" s="6"/>
    </row>
    <row r="95" spans="1:19" ht="13.5">
      <c r="A95" s="110"/>
      <c r="B95" s="107"/>
      <c r="C95" s="107"/>
      <c r="D95" s="107"/>
      <c r="E95" s="107"/>
      <c r="F95" s="107"/>
      <c r="G95" s="107"/>
      <c r="H95" s="107"/>
      <c r="I95" s="107"/>
      <c r="J95" s="107"/>
      <c r="K95" s="107"/>
      <c r="L95" s="107"/>
      <c r="M95" s="107"/>
      <c r="N95" s="107"/>
      <c r="O95" s="107"/>
      <c r="P95" s="6"/>
      <c r="Q95" s="6"/>
      <c r="R95" s="6"/>
      <c r="S95" s="6"/>
    </row>
    <row r="96" spans="1:19" ht="13.5">
      <c r="A96" s="110"/>
      <c r="B96" s="107"/>
      <c r="C96" s="107"/>
      <c r="D96" s="107"/>
      <c r="E96" s="107"/>
      <c r="F96" s="107"/>
      <c r="G96" s="107"/>
      <c r="H96" s="107"/>
      <c r="I96" s="107"/>
      <c r="J96" s="107"/>
      <c r="K96" s="107"/>
      <c r="L96" s="107"/>
      <c r="M96" s="107"/>
      <c r="N96" s="107"/>
      <c r="O96" s="107"/>
      <c r="P96" s="6"/>
      <c r="Q96" s="6"/>
      <c r="R96" s="6"/>
      <c r="S96" s="6"/>
    </row>
    <row r="97" spans="1:19" ht="13.5">
      <c r="A97" s="110"/>
      <c r="B97" s="107"/>
      <c r="C97" s="107"/>
      <c r="D97" s="107"/>
      <c r="E97" s="107"/>
      <c r="F97" s="107"/>
      <c r="G97" s="107"/>
      <c r="H97" s="107"/>
      <c r="I97" s="107"/>
      <c r="J97" s="107"/>
      <c r="K97" s="107"/>
      <c r="L97" s="107"/>
      <c r="M97" s="107"/>
      <c r="N97" s="107"/>
      <c r="O97" s="107"/>
      <c r="P97" s="6"/>
      <c r="Q97" s="6"/>
      <c r="R97" s="6"/>
      <c r="S97" s="6"/>
    </row>
    <row r="98" spans="1:19" ht="13.5">
      <c r="A98" s="24"/>
      <c r="B98" s="23"/>
      <c r="C98" s="23"/>
      <c r="D98" s="23"/>
      <c r="E98" s="23"/>
      <c r="F98" s="23"/>
      <c r="G98" s="23"/>
      <c r="H98" s="23"/>
      <c r="I98" s="23"/>
      <c r="J98" s="73"/>
      <c r="K98" s="73"/>
      <c r="L98" s="23"/>
      <c r="M98" s="23"/>
      <c r="N98" s="23"/>
      <c r="O98" s="23"/>
      <c r="P98" s="6"/>
      <c r="Q98" s="6"/>
      <c r="R98" s="6"/>
      <c r="S98" s="6"/>
    </row>
    <row r="99" ht="12">
      <c r="A99" s="5"/>
    </row>
    <row r="106" spans="1:14" ht="18">
      <c r="A106" s="3"/>
      <c r="B106" s="3"/>
      <c r="C106" s="3"/>
      <c r="D106" s="3"/>
      <c r="E106" s="3"/>
      <c r="F106" s="3"/>
      <c r="G106" s="3"/>
      <c r="H106" s="3"/>
      <c r="I106" s="3"/>
      <c r="J106" s="22"/>
      <c r="K106" s="22"/>
      <c r="L106" s="3"/>
      <c r="M106" s="3"/>
      <c r="N106" s="3"/>
    </row>
    <row r="112" spans="1:14" ht="18">
      <c r="A112" s="3"/>
      <c r="B112" s="3"/>
      <c r="C112" s="3"/>
      <c r="D112" s="3"/>
      <c r="E112" s="3"/>
      <c r="F112" s="3"/>
      <c r="G112" s="3"/>
      <c r="H112" s="3"/>
      <c r="I112" s="3"/>
      <c r="J112" s="22"/>
      <c r="K112" s="22"/>
      <c r="L112" s="3"/>
      <c r="M112" s="3"/>
      <c r="N112" s="3"/>
    </row>
    <row r="113" spans="1:14" ht="18">
      <c r="A113" s="3"/>
      <c r="B113" s="3"/>
      <c r="C113" s="3"/>
      <c r="D113" s="3"/>
      <c r="E113" s="3"/>
      <c r="F113" s="3"/>
      <c r="G113" s="3"/>
      <c r="H113" s="3"/>
      <c r="I113" s="3"/>
      <c r="J113" s="22"/>
      <c r="K113" s="22"/>
      <c r="L113" s="3"/>
      <c r="M113" s="3"/>
      <c r="N113" s="3"/>
    </row>
    <row r="114" spans="1:14" ht="18">
      <c r="A114" s="3"/>
      <c r="B114" s="3"/>
      <c r="C114" s="3"/>
      <c r="D114" s="3"/>
      <c r="E114" s="3"/>
      <c r="F114" s="3"/>
      <c r="G114" s="3"/>
      <c r="H114" s="3"/>
      <c r="I114" s="3"/>
      <c r="J114" s="22"/>
      <c r="K114" s="22"/>
      <c r="L114" s="3"/>
      <c r="M114" s="3"/>
      <c r="N114" s="3"/>
    </row>
    <row r="115" spans="1:14" ht="18">
      <c r="A115" s="3"/>
      <c r="B115" s="3"/>
      <c r="C115" s="3"/>
      <c r="D115" s="3"/>
      <c r="E115" s="3"/>
      <c r="F115" s="3"/>
      <c r="G115" s="3"/>
      <c r="H115" s="3"/>
      <c r="I115" s="3"/>
      <c r="J115" s="22"/>
      <c r="K115" s="22"/>
      <c r="L115" s="3"/>
      <c r="M115" s="3"/>
      <c r="N115" s="3"/>
    </row>
    <row r="124" spans="1:14" ht="18">
      <c r="A124" s="3"/>
      <c r="B124" s="3"/>
      <c r="C124" s="3"/>
      <c r="D124" s="3"/>
      <c r="E124" s="3"/>
      <c r="F124" s="3"/>
      <c r="G124" s="3"/>
      <c r="H124" s="3"/>
      <c r="I124" s="3"/>
      <c r="J124" s="22"/>
      <c r="K124" s="22"/>
      <c r="L124" s="3"/>
      <c r="M124" s="3"/>
      <c r="N124" s="3"/>
    </row>
    <row r="125" spans="1:14" ht="18">
      <c r="A125" s="3"/>
      <c r="B125" s="3"/>
      <c r="C125" s="3"/>
      <c r="D125" s="3"/>
      <c r="E125" s="3"/>
      <c r="F125" s="3"/>
      <c r="G125" s="3"/>
      <c r="H125" s="3"/>
      <c r="I125" s="3"/>
      <c r="J125" s="22"/>
      <c r="K125" s="22"/>
      <c r="L125" s="3"/>
      <c r="M125" s="3"/>
      <c r="N125" s="3"/>
    </row>
    <row r="128" spans="1:14" ht="18">
      <c r="A128" s="3"/>
      <c r="B128" s="3"/>
      <c r="C128" s="3"/>
      <c r="D128" s="3"/>
      <c r="E128" s="3"/>
      <c r="F128" s="3"/>
      <c r="G128" s="3"/>
      <c r="H128" s="3"/>
      <c r="I128" s="3"/>
      <c r="J128" s="22"/>
      <c r="K128" s="22"/>
      <c r="L128" s="3"/>
      <c r="M128" s="3"/>
      <c r="N128" s="3"/>
    </row>
    <row r="130" spans="1:14" ht="18">
      <c r="A130" s="4"/>
      <c r="B130" s="4"/>
      <c r="C130" s="4"/>
      <c r="D130" s="4"/>
      <c r="E130" s="4"/>
      <c r="F130" s="4"/>
      <c r="G130" s="4"/>
      <c r="H130" s="4"/>
      <c r="I130" s="4"/>
      <c r="J130" s="76"/>
      <c r="K130" s="76"/>
      <c r="L130" s="4"/>
      <c r="M130" s="4"/>
      <c r="N130" s="4"/>
    </row>
  </sheetData>
  <sheetProtection/>
  <mergeCells count="56">
    <mergeCell ref="A96:O96"/>
    <mergeCell ref="A97:O97"/>
    <mergeCell ref="A86:P86"/>
    <mergeCell ref="A87:O87"/>
    <mergeCell ref="A88:O88"/>
    <mergeCell ref="A89:O89"/>
    <mergeCell ref="A90:O90"/>
    <mergeCell ref="A92:O92"/>
    <mergeCell ref="A93:O93"/>
    <mergeCell ref="A94:O94"/>
    <mergeCell ref="A95:O95"/>
    <mergeCell ref="AA5:AB5"/>
    <mergeCell ref="B5:B6"/>
    <mergeCell ref="X5:Y5"/>
    <mergeCell ref="AU5:AV5"/>
    <mergeCell ref="AL5:AM5"/>
    <mergeCell ref="AN5:AN6"/>
    <mergeCell ref="AO5:AP5"/>
    <mergeCell ref="AQ5:AQ6"/>
    <mergeCell ref="AR5:AS5"/>
    <mergeCell ref="W4:Y4"/>
    <mergeCell ref="U5:V5"/>
    <mergeCell ref="W5:W6"/>
    <mergeCell ref="AC5:AC6"/>
    <mergeCell ref="AD5:AE5"/>
    <mergeCell ref="Z5:Z6"/>
    <mergeCell ref="AT4:AV4"/>
    <mergeCell ref="AK3:AY3"/>
    <mergeCell ref="F5:F6"/>
    <mergeCell ref="G5:H5"/>
    <mergeCell ref="I5:I6"/>
    <mergeCell ref="J5:K5"/>
    <mergeCell ref="F3:N3"/>
    <mergeCell ref="AC4:AE4"/>
    <mergeCell ref="Q5:R5"/>
    <mergeCell ref="T5:T6"/>
    <mergeCell ref="AK5:AK6"/>
    <mergeCell ref="AN4:AP4"/>
    <mergeCell ref="AQ4:AS4"/>
    <mergeCell ref="B3:D3"/>
    <mergeCell ref="C5:D5"/>
    <mergeCell ref="L5:L6"/>
    <mergeCell ref="M5:N5"/>
    <mergeCell ref="Z4:AB4"/>
    <mergeCell ref="AF5:AF6"/>
    <mergeCell ref="AG5:AH5"/>
    <mergeCell ref="AW4:AY4"/>
    <mergeCell ref="AW5:AW6"/>
    <mergeCell ref="AX5:AY5"/>
    <mergeCell ref="O2:AM2"/>
    <mergeCell ref="T3:AH3"/>
    <mergeCell ref="T4:V4"/>
    <mergeCell ref="AF4:AH4"/>
    <mergeCell ref="AK4:AM4"/>
    <mergeCell ref="P3:R3"/>
    <mergeCell ref="AT5:AT6"/>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EW90"/>
  <sheetViews>
    <sheetView tabSelected="1" zoomScalePageLayoutView="0" workbookViewId="0" topLeftCell="A1">
      <pane xSplit="1" ySplit="8" topLeftCell="AD10" activePane="bottomRight" state="frozen"/>
      <selection pane="topLeft" activeCell="A1" sqref="A1"/>
      <selection pane="topRight" activeCell="B1" sqref="B1"/>
      <selection pane="bottomLeft" activeCell="A9" sqref="A9"/>
      <selection pane="bottomRight" activeCell="AF3" sqref="AF3"/>
    </sheetView>
  </sheetViews>
  <sheetFormatPr defaultColWidth="8.7109375" defaultRowHeight="12.75"/>
  <cols>
    <col min="1" max="1" width="45.00390625" style="0" customWidth="1"/>
    <col min="5" max="5" width="6.140625" style="0" customWidth="1"/>
    <col min="13" max="13" width="8.7109375" style="7" customWidth="1"/>
    <col min="16" max="16" width="8.7109375" style="7" customWidth="1"/>
    <col min="21" max="21" width="14.00390625" style="0" customWidth="1"/>
    <col min="22" max="22" width="11.140625" style="0" customWidth="1"/>
    <col min="29" max="29" width="10.421875" style="0" customWidth="1"/>
    <col min="31" max="31" width="8.7109375" style="7" customWidth="1"/>
    <col min="34" max="34" width="8.7109375" style="7" customWidth="1"/>
    <col min="38" max="38" width="8.7109375" style="7" customWidth="1"/>
    <col min="42" max="42" width="8.7109375" style="7" customWidth="1"/>
    <col min="50" max="50" width="8.7109375" style="7" customWidth="1"/>
    <col min="54" max="54" width="11.28125" style="0" customWidth="1"/>
    <col min="56" max="56" width="8.7109375" style="7" customWidth="1"/>
    <col min="59" max="59" width="8.7109375" style="7" customWidth="1"/>
    <col min="62" max="62" width="8.7109375" style="7" customWidth="1"/>
    <col min="66" max="66" width="8.7109375" style="7" customWidth="1"/>
    <col min="67" max="68" width="14.7109375" style="0" customWidth="1"/>
    <col min="73" max="77" width="8.7109375" style="7" customWidth="1"/>
    <col min="79" max="79" width="8.7109375" style="7" customWidth="1"/>
    <col min="82" max="82" width="8.7109375" style="7" customWidth="1"/>
    <col min="85" max="85" width="8.7109375" style="7" customWidth="1"/>
    <col min="88" max="88" width="8.7109375" style="7" customWidth="1"/>
    <col min="91" max="91" width="8.7109375" style="7" customWidth="1"/>
    <col min="94" max="94" width="8.7109375" style="7" customWidth="1"/>
    <col min="100" max="100" width="8.7109375" style="7" customWidth="1"/>
    <col min="103" max="103" width="8.7109375" style="7" customWidth="1"/>
    <col min="106" max="106" width="8.7109375" style="7" customWidth="1"/>
    <col min="113" max="113" width="10.421875" style="7" bestFit="1" customWidth="1"/>
    <col min="116" max="116" width="9.8515625" style="0" bestFit="1" customWidth="1"/>
    <col min="119" max="119" width="10.421875" style="7" bestFit="1" customWidth="1"/>
    <col min="123" max="123" width="11.28125" style="0" customWidth="1"/>
    <col min="125" max="125" width="8.7109375" style="7" customWidth="1"/>
    <col min="126" max="126" width="10.421875" style="0" customWidth="1"/>
    <col min="134" max="134" width="8.7109375" style="7" customWidth="1"/>
    <col min="137" max="137" width="8.7109375" style="7" customWidth="1"/>
    <col min="138" max="139" width="8.7109375" style="0" customWidth="1"/>
    <col min="140" max="140" width="8.7109375" style="7" customWidth="1"/>
    <col min="141" max="141" width="8.7109375" style="0" customWidth="1"/>
    <col min="152" max="152" width="8.7109375" style="7" customWidth="1"/>
  </cols>
  <sheetData>
    <row r="1" spans="1:152" s="96" customFormat="1" ht="18">
      <c r="A1" s="96" t="s">
        <v>2</v>
      </c>
      <c r="M1" s="97"/>
      <c r="P1" s="97"/>
      <c r="AE1" s="97"/>
      <c r="AH1" s="97"/>
      <c r="AL1" s="97"/>
      <c r="AP1" s="97"/>
      <c r="AX1" s="97"/>
      <c r="BD1" s="97"/>
      <c r="BG1" s="97"/>
      <c r="BJ1" s="97"/>
      <c r="BN1" s="97"/>
      <c r="BU1" s="97"/>
      <c r="BV1" s="97"/>
      <c r="BW1" s="97"/>
      <c r="BX1" s="97"/>
      <c r="BY1" s="97"/>
      <c r="CA1" s="97"/>
      <c r="CD1" s="97"/>
      <c r="CG1" s="97"/>
      <c r="CJ1" s="97"/>
      <c r="CM1" s="97"/>
      <c r="CP1" s="97"/>
      <c r="CV1" s="97"/>
      <c r="CY1" s="97"/>
      <c r="DB1" s="97"/>
      <c r="DI1" s="97"/>
      <c r="DO1" s="97"/>
      <c r="DU1" s="97"/>
      <c r="ED1" s="97"/>
      <c r="EG1" s="97"/>
      <c r="EJ1" s="97"/>
      <c r="EV1" s="97"/>
    </row>
    <row r="2" spans="1:112" ht="18">
      <c r="A2" s="32" t="s">
        <v>3</v>
      </c>
      <c r="DH2" s="23"/>
    </row>
    <row r="3" spans="1:112" ht="12.75">
      <c r="A3" s="15" t="s">
        <v>62</v>
      </c>
      <c r="DH3" s="23"/>
    </row>
    <row r="4" spans="5:123" ht="15" thickBot="1">
      <c r="E4" s="2"/>
      <c r="R4" s="2"/>
      <c r="S4" s="2"/>
      <c r="T4" s="2"/>
      <c r="U4" s="2"/>
      <c r="V4" s="2"/>
      <c r="W4" s="2"/>
      <c r="X4" s="2"/>
      <c r="Y4" s="2"/>
      <c r="Z4" s="2"/>
      <c r="AA4" s="2"/>
      <c r="AB4" s="2"/>
      <c r="AC4" s="2"/>
      <c r="AD4" s="2"/>
      <c r="AE4" s="71"/>
      <c r="AF4" s="2"/>
      <c r="AG4" s="2"/>
      <c r="AH4" s="71"/>
      <c r="AI4" s="2"/>
      <c r="AJ4" s="2"/>
      <c r="AK4" s="2"/>
      <c r="AL4" s="71"/>
      <c r="AM4" s="2"/>
      <c r="AN4" s="2"/>
      <c r="AO4" s="2"/>
      <c r="AP4" s="71"/>
      <c r="AQ4" s="2"/>
      <c r="AR4" s="2"/>
      <c r="AS4" s="2"/>
      <c r="AT4" s="2"/>
      <c r="AU4" s="2"/>
      <c r="AV4" s="2"/>
      <c r="AW4" s="2"/>
      <c r="AX4" s="71"/>
      <c r="AY4" s="2"/>
      <c r="AZ4" s="2"/>
      <c r="BA4" s="2"/>
      <c r="BB4" s="2"/>
      <c r="BC4" s="2"/>
      <c r="BD4" s="71"/>
      <c r="BE4" s="2"/>
      <c r="BF4" s="2"/>
      <c r="BG4" s="71"/>
      <c r="BH4" s="2"/>
      <c r="BI4" s="2"/>
      <c r="BJ4" s="71"/>
      <c r="BK4" s="2"/>
      <c r="BL4" s="2"/>
      <c r="BM4" s="2"/>
      <c r="BN4" s="71"/>
      <c r="BO4" s="2"/>
      <c r="BP4" s="2"/>
      <c r="BQ4" s="2"/>
      <c r="BR4" s="2"/>
      <c r="BS4" s="2"/>
      <c r="BT4" s="2"/>
      <c r="BU4" s="71"/>
      <c r="BV4" s="71"/>
      <c r="BW4" s="71"/>
      <c r="BX4" s="71"/>
      <c r="BY4" s="71"/>
      <c r="BZ4" s="2"/>
      <c r="CA4" s="71"/>
      <c r="DE4" s="55"/>
      <c r="DF4" s="55"/>
      <c r="DG4" s="55"/>
      <c r="DH4" s="2"/>
      <c r="DI4" s="83"/>
      <c r="DJ4" s="1"/>
      <c r="DK4" s="1"/>
      <c r="DL4" s="1"/>
      <c r="DM4" s="1"/>
      <c r="DN4" s="1"/>
      <c r="DO4" s="83"/>
      <c r="DP4" s="1"/>
      <c r="DQ4" s="1"/>
      <c r="DR4" s="1"/>
      <c r="DS4" s="1"/>
    </row>
    <row r="5" spans="1:153" ht="15" customHeight="1" thickBot="1">
      <c r="A5" s="1"/>
      <c r="B5" s="122" t="s">
        <v>116</v>
      </c>
      <c r="C5" s="123"/>
      <c r="D5" s="124"/>
      <c r="E5" s="2"/>
      <c r="F5" s="105" t="s">
        <v>117</v>
      </c>
      <c r="G5" s="105"/>
      <c r="H5" s="105"/>
      <c r="I5" s="125"/>
      <c r="J5" s="125"/>
      <c r="K5" s="125"/>
      <c r="L5" s="125"/>
      <c r="M5" s="125"/>
      <c r="N5" s="125"/>
      <c r="O5" s="125"/>
      <c r="P5" s="125"/>
      <c r="Q5" s="125"/>
      <c r="S5" s="117" t="s">
        <v>118</v>
      </c>
      <c r="T5" s="118"/>
      <c r="U5" s="118"/>
      <c r="V5" s="23"/>
      <c r="W5" s="101" t="s">
        <v>160</v>
      </c>
      <c r="X5" s="101"/>
      <c r="Y5" s="101"/>
      <c r="Z5" s="101"/>
      <c r="AA5" s="101"/>
      <c r="AB5" s="101"/>
      <c r="AC5" s="101"/>
      <c r="AD5" s="101"/>
      <c r="AE5" s="101"/>
      <c r="AF5" s="101"/>
      <c r="AG5" s="101"/>
      <c r="AH5" s="101"/>
      <c r="AI5" s="101"/>
      <c r="AJ5" s="101"/>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9"/>
      <c r="BU5" s="109"/>
      <c r="BV5" s="109"/>
      <c r="BW5" s="109"/>
      <c r="BX5" s="109"/>
      <c r="BY5" s="109"/>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E5" s="128" t="s">
        <v>112</v>
      </c>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07"/>
      <c r="EV5" s="107"/>
      <c r="EW5" s="107"/>
    </row>
    <row r="6" spans="1:153" s="23" customFormat="1" ht="15" customHeight="1">
      <c r="A6" s="79"/>
      <c r="B6" s="80"/>
      <c r="C6" s="80"/>
      <c r="D6" s="80"/>
      <c r="E6" s="80"/>
      <c r="F6" s="119" t="s">
        <v>63</v>
      </c>
      <c r="G6" s="126"/>
      <c r="H6" s="127"/>
      <c r="I6" s="115" t="s">
        <v>156</v>
      </c>
      <c r="J6" s="116"/>
      <c r="K6" s="116"/>
      <c r="L6" s="115" t="s">
        <v>75</v>
      </c>
      <c r="M6" s="116"/>
      <c r="N6" s="116"/>
      <c r="O6" s="115" t="s">
        <v>76</v>
      </c>
      <c r="P6" s="116"/>
      <c r="Q6" s="116"/>
      <c r="R6" s="93"/>
      <c r="S6" s="93"/>
      <c r="T6" s="93"/>
      <c r="U6" s="93"/>
      <c r="V6" s="80"/>
      <c r="W6" s="119" t="s">
        <v>63</v>
      </c>
      <c r="X6" s="120"/>
      <c r="Y6" s="121"/>
      <c r="Z6" s="82"/>
      <c r="AA6" s="115" t="s">
        <v>9</v>
      </c>
      <c r="AB6" s="115"/>
      <c r="AC6" s="115"/>
      <c r="AD6" s="115" t="s">
        <v>7</v>
      </c>
      <c r="AE6" s="115"/>
      <c r="AF6" s="115"/>
      <c r="AG6" s="115" t="s">
        <v>8</v>
      </c>
      <c r="AH6" s="115"/>
      <c r="AI6" s="115"/>
      <c r="AJ6" s="80"/>
      <c r="AK6" s="115" t="s">
        <v>191</v>
      </c>
      <c r="AL6" s="115"/>
      <c r="AM6" s="115"/>
      <c r="AN6" s="80"/>
      <c r="AO6" s="115" t="s">
        <v>192</v>
      </c>
      <c r="AP6" s="115"/>
      <c r="AQ6" s="115"/>
      <c r="AR6" s="80"/>
      <c r="AS6" s="115" t="s">
        <v>193</v>
      </c>
      <c r="AT6" s="115"/>
      <c r="AU6" s="115"/>
      <c r="AV6" s="80"/>
      <c r="AW6" s="115" t="s">
        <v>51</v>
      </c>
      <c r="AX6" s="116"/>
      <c r="AY6" s="116"/>
      <c r="AZ6" s="115" t="s">
        <v>20</v>
      </c>
      <c r="BA6" s="115"/>
      <c r="BB6" s="115"/>
      <c r="BC6" s="115" t="s">
        <v>21</v>
      </c>
      <c r="BD6" s="115"/>
      <c r="BE6" s="115"/>
      <c r="BF6" s="115" t="s">
        <v>22</v>
      </c>
      <c r="BG6" s="115"/>
      <c r="BH6" s="115"/>
      <c r="BI6" s="115" t="s">
        <v>42</v>
      </c>
      <c r="BJ6" s="115"/>
      <c r="BK6" s="115"/>
      <c r="BL6" s="80"/>
      <c r="BM6" s="115" t="s">
        <v>17</v>
      </c>
      <c r="BN6" s="116"/>
      <c r="BO6" s="116"/>
      <c r="BP6" s="81"/>
      <c r="BQ6" s="115" t="s">
        <v>10</v>
      </c>
      <c r="BR6" s="115"/>
      <c r="BS6" s="115"/>
      <c r="BT6" s="115" t="s">
        <v>11</v>
      </c>
      <c r="BU6" s="115"/>
      <c r="BV6" s="115"/>
      <c r="BW6" s="115" t="s">
        <v>41</v>
      </c>
      <c r="BX6" s="115"/>
      <c r="BY6" s="115"/>
      <c r="BZ6" s="115" t="s">
        <v>12</v>
      </c>
      <c r="CA6" s="115"/>
      <c r="CB6" s="115"/>
      <c r="CC6" s="115" t="s">
        <v>13</v>
      </c>
      <c r="CD6" s="115"/>
      <c r="CE6" s="115"/>
      <c r="CF6" s="115" t="s">
        <v>14</v>
      </c>
      <c r="CG6" s="115"/>
      <c r="CH6" s="115"/>
      <c r="CI6" s="115" t="s">
        <v>15</v>
      </c>
      <c r="CJ6" s="115"/>
      <c r="CK6" s="115"/>
      <c r="CL6" s="115" t="s">
        <v>16</v>
      </c>
      <c r="CM6" s="115"/>
      <c r="CN6" s="115"/>
      <c r="CO6" s="115" t="s">
        <v>38</v>
      </c>
      <c r="CP6" s="115"/>
      <c r="CQ6" s="115"/>
      <c r="CR6" s="115" t="s">
        <v>18</v>
      </c>
      <c r="CS6" s="115"/>
      <c r="CT6" s="115"/>
      <c r="CU6" s="115" t="s">
        <v>19</v>
      </c>
      <c r="CV6" s="115"/>
      <c r="CW6" s="115"/>
      <c r="CX6" s="115" t="s">
        <v>39</v>
      </c>
      <c r="CY6" s="115"/>
      <c r="CZ6" s="115"/>
      <c r="DA6" s="115" t="s">
        <v>40</v>
      </c>
      <c r="DB6" s="115"/>
      <c r="DC6" s="115"/>
      <c r="DD6" s="93"/>
      <c r="DE6" s="119" t="s">
        <v>190</v>
      </c>
      <c r="DF6" s="120"/>
      <c r="DG6" s="121"/>
      <c r="DH6" s="115" t="s">
        <v>191</v>
      </c>
      <c r="DI6" s="115"/>
      <c r="DJ6" s="115"/>
      <c r="DK6" s="115" t="s">
        <v>192</v>
      </c>
      <c r="DL6" s="115"/>
      <c r="DM6" s="115"/>
      <c r="DN6" s="115" t="s">
        <v>24</v>
      </c>
      <c r="DO6" s="115"/>
      <c r="DP6" s="115"/>
      <c r="DQ6" s="115" t="s">
        <v>25</v>
      </c>
      <c r="DR6" s="115"/>
      <c r="DS6" s="115"/>
      <c r="DT6" s="115" t="s">
        <v>31</v>
      </c>
      <c r="DU6" s="115"/>
      <c r="DV6" s="115"/>
      <c r="DW6" s="115" t="s">
        <v>26</v>
      </c>
      <c r="DX6" s="115"/>
      <c r="DY6" s="115"/>
      <c r="DZ6" s="115" t="s">
        <v>32</v>
      </c>
      <c r="EA6" s="115"/>
      <c r="EB6" s="115"/>
      <c r="EC6" s="115" t="s">
        <v>33</v>
      </c>
      <c r="ED6" s="115"/>
      <c r="EE6" s="115"/>
      <c r="EF6" s="115" t="s">
        <v>34</v>
      </c>
      <c r="EG6" s="115"/>
      <c r="EH6" s="115"/>
      <c r="EI6" s="115" t="s">
        <v>50</v>
      </c>
      <c r="EJ6" s="115"/>
      <c r="EK6" s="115"/>
      <c r="EL6" s="115" t="s">
        <v>10</v>
      </c>
      <c r="EM6" s="115"/>
      <c r="EN6" s="115"/>
      <c r="EO6" s="115" t="s">
        <v>28</v>
      </c>
      <c r="EP6" s="115"/>
      <c r="EQ6" s="115"/>
      <c r="ER6" s="115" t="s">
        <v>19</v>
      </c>
      <c r="ES6" s="115"/>
      <c r="ET6" s="115"/>
      <c r="EU6" s="115" t="s">
        <v>18</v>
      </c>
      <c r="EV6" s="115"/>
      <c r="EW6" s="115"/>
    </row>
    <row r="7" spans="1:153" ht="13.5" customHeight="1">
      <c r="A7" s="1"/>
      <c r="B7" s="99" t="s">
        <v>134</v>
      </c>
      <c r="C7" s="99" t="s">
        <v>186</v>
      </c>
      <c r="D7" s="99"/>
      <c r="E7" s="2"/>
      <c r="F7" s="99" t="s">
        <v>146</v>
      </c>
      <c r="G7" s="99" t="s">
        <v>186</v>
      </c>
      <c r="H7" s="99"/>
      <c r="I7" s="99" t="s">
        <v>147</v>
      </c>
      <c r="J7" s="99" t="s">
        <v>186</v>
      </c>
      <c r="K7" s="99"/>
      <c r="L7" s="99" t="s">
        <v>69</v>
      </c>
      <c r="M7" s="99" t="s">
        <v>186</v>
      </c>
      <c r="N7" s="99"/>
      <c r="O7" s="99" t="s">
        <v>68</v>
      </c>
      <c r="P7" s="99" t="s">
        <v>186</v>
      </c>
      <c r="Q7" s="99"/>
      <c r="S7" s="99" t="s">
        <v>134</v>
      </c>
      <c r="T7" s="99" t="s">
        <v>186</v>
      </c>
      <c r="U7" s="99"/>
      <c r="V7" s="2"/>
      <c r="W7" s="99" t="s">
        <v>134</v>
      </c>
      <c r="X7" s="99" t="s">
        <v>186</v>
      </c>
      <c r="Y7" s="99"/>
      <c r="Z7" s="2"/>
      <c r="AA7" s="99" t="s">
        <v>134</v>
      </c>
      <c r="AB7" s="99" t="s">
        <v>186</v>
      </c>
      <c r="AC7" s="99"/>
      <c r="AD7" s="99" t="s">
        <v>134</v>
      </c>
      <c r="AE7" s="99" t="s">
        <v>186</v>
      </c>
      <c r="AF7" s="99"/>
      <c r="AG7" s="99" t="s">
        <v>134</v>
      </c>
      <c r="AH7" s="99" t="s">
        <v>186</v>
      </c>
      <c r="AI7" s="99"/>
      <c r="AJ7" s="2"/>
      <c r="AK7" s="99" t="s">
        <v>134</v>
      </c>
      <c r="AL7" s="99" t="s">
        <v>186</v>
      </c>
      <c r="AM7" s="99"/>
      <c r="AN7" s="2"/>
      <c r="AO7" s="99" t="s">
        <v>134</v>
      </c>
      <c r="AP7" s="99" t="s">
        <v>186</v>
      </c>
      <c r="AQ7" s="99"/>
      <c r="AR7" s="2"/>
      <c r="AS7" s="99" t="s">
        <v>134</v>
      </c>
      <c r="AT7" s="99" t="s">
        <v>186</v>
      </c>
      <c r="AU7" s="99"/>
      <c r="AV7" s="2"/>
      <c r="AW7" s="99" t="s">
        <v>134</v>
      </c>
      <c r="AX7" s="99" t="s">
        <v>186</v>
      </c>
      <c r="AY7" s="99"/>
      <c r="AZ7" s="99" t="s">
        <v>134</v>
      </c>
      <c r="BA7" s="99" t="s">
        <v>186</v>
      </c>
      <c r="BB7" s="99"/>
      <c r="BC7" s="99" t="s">
        <v>134</v>
      </c>
      <c r="BD7" s="99" t="s">
        <v>186</v>
      </c>
      <c r="BE7" s="99"/>
      <c r="BF7" s="99" t="s">
        <v>134</v>
      </c>
      <c r="BG7" s="99" t="s">
        <v>186</v>
      </c>
      <c r="BH7" s="99"/>
      <c r="BI7" s="99" t="s">
        <v>134</v>
      </c>
      <c r="BJ7" s="99" t="s">
        <v>186</v>
      </c>
      <c r="BK7" s="99"/>
      <c r="BL7" s="2"/>
      <c r="BM7" s="99" t="s">
        <v>134</v>
      </c>
      <c r="BN7" s="99" t="s">
        <v>186</v>
      </c>
      <c r="BO7" s="99"/>
      <c r="BP7" s="2"/>
      <c r="BQ7" s="99" t="s">
        <v>134</v>
      </c>
      <c r="BR7" s="99" t="s">
        <v>186</v>
      </c>
      <c r="BS7" s="99"/>
      <c r="BT7" s="99" t="s">
        <v>134</v>
      </c>
      <c r="BU7" s="99" t="s">
        <v>186</v>
      </c>
      <c r="BV7" s="99"/>
      <c r="BW7" s="99" t="s">
        <v>134</v>
      </c>
      <c r="BX7" s="99" t="s">
        <v>186</v>
      </c>
      <c r="BY7" s="99"/>
      <c r="BZ7" s="99" t="s">
        <v>134</v>
      </c>
      <c r="CA7" s="99" t="s">
        <v>186</v>
      </c>
      <c r="CB7" s="99"/>
      <c r="CC7" s="99" t="s">
        <v>134</v>
      </c>
      <c r="CD7" s="99" t="s">
        <v>186</v>
      </c>
      <c r="CE7" s="99"/>
      <c r="CF7" s="99" t="s">
        <v>134</v>
      </c>
      <c r="CG7" s="99" t="s">
        <v>186</v>
      </c>
      <c r="CH7" s="99"/>
      <c r="CI7" s="99" t="s">
        <v>134</v>
      </c>
      <c r="CJ7" s="99" t="s">
        <v>186</v>
      </c>
      <c r="CK7" s="99"/>
      <c r="CL7" s="99" t="s">
        <v>134</v>
      </c>
      <c r="CM7" s="99" t="s">
        <v>186</v>
      </c>
      <c r="CN7" s="99"/>
      <c r="CO7" s="99" t="s">
        <v>134</v>
      </c>
      <c r="CP7" s="99" t="s">
        <v>186</v>
      </c>
      <c r="CQ7" s="99"/>
      <c r="CR7" s="99" t="s">
        <v>134</v>
      </c>
      <c r="CS7" s="99" t="s">
        <v>186</v>
      </c>
      <c r="CT7" s="99"/>
      <c r="CU7" s="99" t="s">
        <v>134</v>
      </c>
      <c r="CV7" s="99" t="s">
        <v>186</v>
      </c>
      <c r="CW7" s="99"/>
      <c r="CX7" s="99" t="s">
        <v>134</v>
      </c>
      <c r="CY7" s="99" t="s">
        <v>186</v>
      </c>
      <c r="CZ7" s="99"/>
      <c r="DA7" s="99" t="s">
        <v>134</v>
      </c>
      <c r="DB7" s="99" t="s">
        <v>186</v>
      </c>
      <c r="DC7" s="99"/>
      <c r="DE7" s="99" t="s">
        <v>134</v>
      </c>
      <c r="DF7" s="99" t="s">
        <v>186</v>
      </c>
      <c r="DG7" s="99"/>
      <c r="DH7" s="99" t="s">
        <v>134</v>
      </c>
      <c r="DI7" s="99" t="s">
        <v>186</v>
      </c>
      <c r="DJ7" s="99"/>
      <c r="DK7" s="99" t="s">
        <v>134</v>
      </c>
      <c r="DL7" s="99" t="s">
        <v>186</v>
      </c>
      <c r="DM7" s="99"/>
      <c r="DN7" s="99" t="s">
        <v>134</v>
      </c>
      <c r="DO7" s="99" t="s">
        <v>186</v>
      </c>
      <c r="DP7" s="99"/>
      <c r="DQ7" s="99" t="s">
        <v>134</v>
      </c>
      <c r="DR7" s="99" t="s">
        <v>186</v>
      </c>
      <c r="DS7" s="99"/>
      <c r="DT7" s="99" t="s">
        <v>134</v>
      </c>
      <c r="DU7" s="99" t="s">
        <v>186</v>
      </c>
      <c r="DV7" s="99"/>
      <c r="DW7" s="99" t="s">
        <v>134</v>
      </c>
      <c r="DX7" s="99" t="s">
        <v>186</v>
      </c>
      <c r="DY7" s="99"/>
      <c r="DZ7" s="99" t="s">
        <v>134</v>
      </c>
      <c r="EA7" s="99" t="s">
        <v>186</v>
      </c>
      <c r="EB7" s="99"/>
      <c r="EC7" s="99" t="s">
        <v>134</v>
      </c>
      <c r="ED7" s="99" t="s">
        <v>186</v>
      </c>
      <c r="EE7" s="99"/>
      <c r="EF7" s="99" t="s">
        <v>134</v>
      </c>
      <c r="EG7" s="99" t="s">
        <v>186</v>
      </c>
      <c r="EH7" s="99"/>
      <c r="EI7" s="99" t="s">
        <v>134</v>
      </c>
      <c r="EJ7" s="99" t="s">
        <v>186</v>
      </c>
      <c r="EK7" s="99"/>
      <c r="EL7" s="99" t="s">
        <v>134</v>
      </c>
      <c r="EM7" s="99" t="s">
        <v>186</v>
      </c>
      <c r="EN7" s="99"/>
      <c r="EO7" s="99" t="s">
        <v>134</v>
      </c>
      <c r="EP7" s="99" t="s">
        <v>186</v>
      </c>
      <c r="EQ7" s="99"/>
      <c r="ER7" s="99" t="s">
        <v>134</v>
      </c>
      <c r="ES7" s="99" t="s">
        <v>186</v>
      </c>
      <c r="ET7" s="99"/>
      <c r="EU7" s="99" t="s">
        <v>134</v>
      </c>
      <c r="EV7" s="99" t="s">
        <v>186</v>
      </c>
      <c r="EW7" s="99"/>
    </row>
    <row r="8" spans="1:153" ht="27.75">
      <c r="A8" s="1" t="s">
        <v>165</v>
      </c>
      <c r="B8" s="100"/>
      <c r="C8" s="2" t="s">
        <v>129</v>
      </c>
      <c r="D8" s="2" t="s">
        <v>135</v>
      </c>
      <c r="E8" s="2"/>
      <c r="F8" s="100"/>
      <c r="G8" s="2" t="s">
        <v>129</v>
      </c>
      <c r="H8" s="2" t="s">
        <v>135</v>
      </c>
      <c r="I8" s="100"/>
      <c r="J8" s="2" t="s">
        <v>129</v>
      </c>
      <c r="K8" s="2" t="s">
        <v>188</v>
      </c>
      <c r="L8" s="99"/>
      <c r="M8" s="71" t="s">
        <v>129</v>
      </c>
      <c r="N8" s="2" t="s">
        <v>188</v>
      </c>
      <c r="O8" s="99"/>
      <c r="P8" s="71" t="s">
        <v>129</v>
      </c>
      <c r="Q8" s="2" t="s">
        <v>188</v>
      </c>
      <c r="S8" s="100"/>
      <c r="T8" s="2" t="s">
        <v>129</v>
      </c>
      <c r="U8" s="2" t="s">
        <v>135</v>
      </c>
      <c r="V8" s="26"/>
      <c r="W8" s="100"/>
      <c r="X8" s="2" t="s">
        <v>129</v>
      </c>
      <c r="Y8" s="2" t="s">
        <v>135</v>
      </c>
      <c r="Z8" s="2"/>
      <c r="AA8" s="100"/>
      <c r="AB8" s="71" t="s">
        <v>129</v>
      </c>
      <c r="AC8" s="2" t="s">
        <v>135</v>
      </c>
      <c r="AD8" s="100"/>
      <c r="AE8" s="71" t="s">
        <v>129</v>
      </c>
      <c r="AF8" s="2" t="s">
        <v>135</v>
      </c>
      <c r="AG8" s="100"/>
      <c r="AH8" s="71" t="s">
        <v>129</v>
      </c>
      <c r="AI8" s="2" t="s">
        <v>135</v>
      </c>
      <c r="AJ8" s="2"/>
      <c r="AK8" s="100"/>
      <c r="AL8" s="71" t="s">
        <v>129</v>
      </c>
      <c r="AM8" s="2" t="s">
        <v>135</v>
      </c>
      <c r="AN8" s="2"/>
      <c r="AO8" s="100"/>
      <c r="AP8" s="71" t="s">
        <v>129</v>
      </c>
      <c r="AQ8" s="2" t="s">
        <v>135</v>
      </c>
      <c r="AR8" s="2"/>
      <c r="AS8" s="100"/>
      <c r="AT8" s="2" t="s">
        <v>129</v>
      </c>
      <c r="AU8" s="2" t="s">
        <v>135</v>
      </c>
      <c r="AV8" s="2"/>
      <c r="AW8" s="100"/>
      <c r="AX8" s="71" t="s">
        <v>129</v>
      </c>
      <c r="AY8" s="2" t="s">
        <v>135</v>
      </c>
      <c r="AZ8" s="100"/>
      <c r="BA8" s="71" t="s">
        <v>129</v>
      </c>
      <c r="BB8" s="2" t="s">
        <v>135</v>
      </c>
      <c r="BC8" s="100"/>
      <c r="BD8" s="71" t="s">
        <v>129</v>
      </c>
      <c r="BE8" s="2" t="s">
        <v>135</v>
      </c>
      <c r="BF8" s="100"/>
      <c r="BG8" s="71" t="s">
        <v>129</v>
      </c>
      <c r="BH8" s="2" t="s">
        <v>135</v>
      </c>
      <c r="BI8" s="100"/>
      <c r="BJ8" s="71" t="s">
        <v>129</v>
      </c>
      <c r="BK8" s="2" t="s">
        <v>135</v>
      </c>
      <c r="BL8" s="2"/>
      <c r="BM8" s="100"/>
      <c r="BN8" s="71" t="s">
        <v>129</v>
      </c>
      <c r="BO8" s="2" t="s">
        <v>135</v>
      </c>
      <c r="BP8" s="2"/>
      <c r="BQ8" s="100"/>
      <c r="BR8" s="2" t="s">
        <v>129</v>
      </c>
      <c r="BS8" s="2" t="s">
        <v>135</v>
      </c>
      <c r="BT8" s="100"/>
      <c r="BU8" s="71" t="s">
        <v>129</v>
      </c>
      <c r="BV8" s="71" t="s">
        <v>135</v>
      </c>
      <c r="BW8" s="100"/>
      <c r="BX8" s="71" t="s">
        <v>129</v>
      </c>
      <c r="BY8" s="71" t="s">
        <v>135</v>
      </c>
      <c r="BZ8" s="100"/>
      <c r="CA8" s="71" t="s">
        <v>129</v>
      </c>
      <c r="CB8" s="2" t="s">
        <v>135</v>
      </c>
      <c r="CC8" s="100"/>
      <c r="CD8" s="71" t="s">
        <v>129</v>
      </c>
      <c r="CE8" s="2" t="s">
        <v>135</v>
      </c>
      <c r="CF8" s="100"/>
      <c r="CG8" s="71" t="s">
        <v>129</v>
      </c>
      <c r="CH8" s="2" t="s">
        <v>135</v>
      </c>
      <c r="CI8" s="100"/>
      <c r="CJ8" s="71" t="s">
        <v>129</v>
      </c>
      <c r="CK8" s="2" t="s">
        <v>135</v>
      </c>
      <c r="CL8" s="100"/>
      <c r="CM8" s="71" t="s">
        <v>129</v>
      </c>
      <c r="CN8" s="2" t="s">
        <v>135</v>
      </c>
      <c r="CO8" s="100"/>
      <c r="CP8" s="71" t="s">
        <v>129</v>
      </c>
      <c r="CQ8" s="2" t="s">
        <v>135</v>
      </c>
      <c r="CR8" s="100"/>
      <c r="CS8" s="2" t="s">
        <v>129</v>
      </c>
      <c r="CT8" s="2" t="s">
        <v>135</v>
      </c>
      <c r="CU8" s="100"/>
      <c r="CV8" s="71" t="s">
        <v>129</v>
      </c>
      <c r="CW8" s="2" t="s">
        <v>135</v>
      </c>
      <c r="CX8" s="100"/>
      <c r="CY8" s="71" t="s">
        <v>129</v>
      </c>
      <c r="CZ8" s="2" t="s">
        <v>135</v>
      </c>
      <c r="DA8" s="100"/>
      <c r="DB8" s="71" t="s">
        <v>129</v>
      </c>
      <c r="DC8" s="2" t="s">
        <v>135</v>
      </c>
      <c r="DE8" s="100"/>
      <c r="DF8" s="2" t="s">
        <v>187</v>
      </c>
      <c r="DG8" s="2" t="s">
        <v>135</v>
      </c>
      <c r="DH8" s="100"/>
      <c r="DI8" s="71" t="s">
        <v>129</v>
      </c>
      <c r="DJ8" s="2" t="s">
        <v>135</v>
      </c>
      <c r="DK8" s="100"/>
      <c r="DL8" s="2" t="s">
        <v>129</v>
      </c>
      <c r="DM8" s="2" t="s">
        <v>135</v>
      </c>
      <c r="DN8" s="100"/>
      <c r="DO8" s="71" t="s">
        <v>129</v>
      </c>
      <c r="DP8" s="2" t="s">
        <v>135</v>
      </c>
      <c r="DQ8" s="100"/>
      <c r="DR8" s="2" t="s">
        <v>129</v>
      </c>
      <c r="DS8" s="2" t="s">
        <v>135</v>
      </c>
      <c r="DT8" s="100"/>
      <c r="DU8" s="2" t="s">
        <v>129</v>
      </c>
      <c r="DV8" s="2" t="s">
        <v>135</v>
      </c>
      <c r="DW8" s="100"/>
      <c r="DX8" s="71" t="s">
        <v>129</v>
      </c>
      <c r="DY8" s="2" t="s">
        <v>135</v>
      </c>
      <c r="DZ8" s="100"/>
      <c r="EA8" s="71" t="s">
        <v>129</v>
      </c>
      <c r="EB8" s="2" t="s">
        <v>135</v>
      </c>
      <c r="EC8" s="100"/>
      <c r="ED8" s="71" t="s">
        <v>129</v>
      </c>
      <c r="EE8" s="2" t="s">
        <v>135</v>
      </c>
      <c r="EF8" s="100"/>
      <c r="EG8" s="71" t="s">
        <v>129</v>
      </c>
      <c r="EH8" s="2" t="s">
        <v>135</v>
      </c>
      <c r="EI8" s="100"/>
      <c r="EJ8" s="71" t="s">
        <v>129</v>
      </c>
      <c r="EK8" s="2" t="s">
        <v>135</v>
      </c>
      <c r="EL8" s="100"/>
      <c r="EM8" s="2" t="s">
        <v>129</v>
      </c>
      <c r="EN8" s="2" t="s">
        <v>135</v>
      </c>
      <c r="EO8" s="100"/>
      <c r="EP8" s="71" t="s">
        <v>129</v>
      </c>
      <c r="EQ8" s="2" t="s">
        <v>135</v>
      </c>
      <c r="ER8" s="100"/>
      <c r="ES8" s="2" t="s">
        <v>129</v>
      </c>
      <c r="ET8" s="2" t="s">
        <v>135</v>
      </c>
      <c r="EU8" s="100"/>
      <c r="EV8" s="71" t="s">
        <v>129</v>
      </c>
      <c r="EW8" s="2" t="s">
        <v>135</v>
      </c>
    </row>
    <row r="9" spans="1:152" ht="13.5">
      <c r="A9" t="s">
        <v>166</v>
      </c>
      <c r="B9" s="12"/>
      <c r="C9" s="27"/>
      <c r="D9" s="12"/>
      <c r="E9" s="2"/>
      <c r="F9" s="12"/>
      <c r="G9" s="7"/>
      <c r="H9" s="12"/>
      <c r="I9" s="53"/>
      <c r="J9" s="7"/>
      <c r="K9" s="12"/>
      <c r="L9" s="12"/>
      <c r="M9" s="7">
        <f>P9*0.6</f>
        <v>169.884</v>
      </c>
      <c r="N9" s="12"/>
      <c r="O9" s="12"/>
      <c r="P9" s="7">
        <v>283.14</v>
      </c>
      <c r="Q9" s="12"/>
      <c r="R9" s="12"/>
      <c r="S9" s="12"/>
      <c r="T9" s="7"/>
      <c r="U9" s="12"/>
      <c r="V9" s="12"/>
      <c r="W9" s="12"/>
      <c r="Y9" s="12"/>
      <c r="Z9" s="12"/>
      <c r="AA9" s="12"/>
      <c r="AB9" s="12"/>
      <c r="AC9" s="12"/>
      <c r="AD9" s="12"/>
      <c r="AE9" s="74">
        <v>188.59</v>
      </c>
      <c r="AF9" s="12"/>
      <c r="AG9" s="12"/>
      <c r="AH9" s="95">
        <v>372.7</v>
      </c>
      <c r="AI9" s="12"/>
      <c r="AJ9" s="12"/>
      <c r="AK9" s="12"/>
      <c r="AL9" s="77">
        <v>563.4</v>
      </c>
      <c r="AO9" s="12"/>
      <c r="AP9" s="77">
        <v>522.84</v>
      </c>
      <c r="AS9" s="12"/>
      <c r="AT9" s="89" t="s">
        <v>54</v>
      </c>
      <c r="AX9" s="77">
        <f>(1.5/1.5)*164.32</f>
        <v>164.32</v>
      </c>
      <c r="BC9" s="12"/>
      <c r="BD9" s="77">
        <f>1.05*313</f>
        <v>328.65000000000003</v>
      </c>
      <c r="BG9" s="7">
        <v>270</v>
      </c>
      <c r="BJ9" s="7">
        <v>324.3</v>
      </c>
      <c r="BN9" s="7">
        <v>334.27</v>
      </c>
      <c r="BQ9" s="12"/>
      <c r="BR9" s="12"/>
      <c r="BS9" s="12"/>
      <c r="BT9" s="12"/>
      <c r="BU9" s="7">
        <v>590.28</v>
      </c>
      <c r="BX9" s="7">
        <v>1265</v>
      </c>
      <c r="BZ9" s="12"/>
      <c r="CA9" s="7">
        <v>2000</v>
      </c>
      <c r="CD9" s="7">
        <v>1200</v>
      </c>
      <c r="CG9" s="7">
        <v>900</v>
      </c>
      <c r="CJ9" s="7">
        <v>1125</v>
      </c>
      <c r="CM9" s="7">
        <v>1600</v>
      </c>
      <c r="CP9" s="74">
        <v>2620.28</v>
      </c>
      <c r="CS9" s="94">
        <v>1033.29</v>
      </c>
      <c r="CV9" s="7">
        <v>791.25</v>
      </c>
      <c r="CY9" s="7">
        <v>2007.9</v>
      </c>
      <c r="DB9" s="7">
        <v>1949.25</v>
      </c>
      <c r="DE9" s="12"/>
      <c r="DF9" s="7"/>
      <c r="DG9" s="12"/>
      <c r="DH9" s="12"/>
      <c r="DI9" s="74">
        <v>538.37</v>
      </c>
      <c r="DJ9" s="12"/>
      <c r="DK9" s="12"/>
      <c r="DL9">
        <v>499.61</v>
      </c>
      <c r="DM9" s="12"/>
      <c r="DN9" s="12"/>
      <c r="DO9" s="7">
        <v>384</v>
      </c>
      <c r="DP9" s="12"/>
      <c r="DQ9" s="12"/>
      <c r="DR9" s="7">
        <v>316.13</v>
      </c>
      <c r="DS9" s="12"/>
      <c r="DU9" s="7">
        <f>(1.5/1.5)*147.68</f>
        <v>147.68</v>
      </c>
      <c r="DX9" s="7"/>
      <c r="ED9" s="95">
        <v>351.9</v>
      </c>
      <c r="EG9" s="95">
        <v>178.06</v>
      </c>
      <c r="EJ9" s="7">
        <v>196.5</v>
      </c>
      <c r="EP9" s="7">
        <v>454.67</v>
      </c>
      <c r="ES9">
        <v>433.33</v>
      </c>
      <c r="EV9" s="95">
        <v>359.81</v>
      </c>
    </row>
    <row r="10" spans="1:152" ht="13.5">
      <c r="A10" t="s">
        <v>167</v>
      </c>
      <c r="B10" s="12"/>
      <c r="C10" s="27"/>
      <c r="D10" s="12"/>
      <c r="E10" s="2"/>
      <c r="F10" s="12"/>
      <c r="G10" s="7"/>
      <c r="H10" s="12"/>
      <c r="I10" s="53"/>
      <c r="J10" s="7"/>
      <c r="K10" s="12"/>
      <c r="L10" s="12"/>
      <c r="M10" s="7">
        <f aca="true" t="shared" si="0" ref="M10:M74">P10*0.6</f>
        <v>154.87199999999999</v>
      </c>
      <c r="N10" s="12"/>
      <c r="O10" s="12"/>
      <c r="P10" s="7">
        <v>258.12</v>
      </c>
      <c r="Q10" s="12"/>
      <c r="R10" s="12"/>
      <c r="S10" s="12"/>
      <c r="T10" s="7"/>
      <c r="U10" s="12"/>
      <c r="V10" s="12"/>
      <c r="W10" s="12"/>
      <c r="Y10" s="12"/>
      <c r="Z10" s="12"/>
      <c r="AA10" s="12"/>
      <c r="AB10" s="12"/>
      <c r="AC10" s="12"/>
      <c r="AD10" s="12"/>
      <c r="AE10" s="74">
        <v>188.59</v>
      </c>
      <c r="AF10" s="12"/>
      <c r="AG10" s="12"/>
      <c r="AH10" s="95">
        <v>372.7</v>
      </c>
      <c r="AI10" s="12"/>
      <c r="AJ10" s="12"/>
      <c r="AK10" s="12"/>
      <c r="AL10" s="77">
        <v>563.4</v>
      </c>
      <c r="AO10" s="12"/>
      <c r="AP10" s="77">
        <v>522.84</v>
      </c>
      <c r="AQ10" s="12"/>
      <c r="AR10" s="12"/>
      <c r="AS10" s="12"/>
      <c r="AT10" s="89" t="s">
        <v>54</v>
      </c>
      <c r="AX10" s="77">
        <f>(1.32/1.5)*164.32</f>
        <v>144.6016</v>
      </c>
      <c r="BC10" s="12"/>
      <c r="BD10" s="77">
        <f>1.05*313</f>
        <v>328.65000000000003</v>
      </c>
      <c r="BG10" s="7">
        <v>270</v>
      </c>
      <c r="BJ10" s="7">
        <v>324.3</v>
      </c>
      <c r="BN10" s="7">
        <v>334.27</v>
      </c>
      <c r="BQ10" s="12"/>
      <c r="BR10" s="12"/>
      <c r="BS10" s="12"/>
      <c r="BT10" s="12"/>
      <c r="BU10" s="7">
        <v>462</v>
      </c>
      <c r="BX10" s="7">
        <v>1265</v>
      </c>
      <c r="BZ10" s="12"/>
      <c r="CA10" s="7">
        <v>1800</v>
      </c>
      <c r="CD10" s="7">
        <v>1000</v>
      </c>
      <c r="CG10" s="7">
        <v>1600</v>
      </c>
      <c r="CJ10" s="7">
        <v>1275</v>
      </c>
      <c r="CM10" s="7">
        <v>1600</v>
      </c>
      <c r="CP10" s="74">
        <v>2620.28</v>
      </c>
      <c r="CS10" s="94">
        <v>1033.29</v>
      </c>
      <c r="CV10" s="7">
        <v>791.25</v>
      </c>
      <c r="CY10" s="7">
        <v>2007.9</v>
      </c>
      <c r="DB10" s="7">
        <v>1949.25</v>
      </c>
      <c r="DE10" s="12"/>
      <c r="DF10" s="7"/>
      <c r="DG10" s="12"/>
      <c r="DH10" s="12"/>
      <c r="DI10" s="74">
        <v>538.37</v>
      </c>
      <c r="DJ10" s="12"/>
      <c r="DK10" s="12"/>
      <c r="DL10">
        <v>499.61</v>
      </c>
      <c r="DM10" s="12"/>
      <c r="DN10" s="12"/>
      <c r="DO10" s="7">
        <v>384</v>
      </c>
      <c r="DP10" s="12"/>
      <c r="DQ10" s="12"/>
      <c r="DR10" s="7">
        <v>328.65</v>
      </c>
      <c r="DS10" s="12"/>
      <c r="DU10" s="7">
        <f>(1.32/1.5)*147.68</f>
        <v>129.9584</v>
      </c>
      <c r="DX10" s="7"/>
      <c r="ED10" s="95">
        <v>351.9</v>
      </c>
      <c r="EG10" s="95">
        <v>178.06</v>
      </c>
      <c r="EJ10" s="7">
        <v>196.5</v>
      </c>
      <c r="EP10" s="7">
        <v>454.67</v>
      </c>
      <c r="ES10">
        <v>433.33</v>
      </c>
      <c r="EV10" s="95">
        <v>359.81</v>
      </c>
    </row>
    <row r="11" spans="1:152" ht="13.5">
      <c r="A11" t="s">
        <v>168</v>
      </c>
      <c r="B11" s="12"/>
      <c r="C11" s="27"/>
      <c r="D11" s="12"/>
      <c r="E11" s="2"/>
      <c r="F11" s="12"/>
      <c r="G11" s="7"/>
      <c r="H11" s="12"/>
      <c r="I11" s="53"/>
      <c r="J11" s="7"/>
      <c r="K11" s="12"/>
      <c r="L11" s="12"/>
      <c r="M11" s="7">
        <f t="shared" si="0"/>
        <v>157.032</v>
      </c>
      <c r="N11" s="12"/>
      <c r="O11" s="12"/>
      <c r="P11" s="7">
        <v>261.72</v>
      </c>
      <c r="Q11" s="12"/>
      <c r="R11" s="12"/>
      <c r="S11" s="12"/>
      <c r="T11" s="7"/>
      <c r="U11" s="12"/>
      <c r="V11" s="12"/>
      <c r="W11" s="12"/>
      <c r="X11" s="7"/>
      <c r="Y11" s="12"/>
      <c r="Z11" s="12"/>
      <c r="AA11" s="12"/>
      <c r="AB11" s="12"/>
      <c r="AC11" s="12"/>
      <c r="AD11" s="12"/>
      <c r="AE11" s="74">
        <v>188.59</v>
      </c>
      <c r="AF11" s="12"/>
      <c r="AG11" s="12"/>
      <c r="AH11" s="95">
        <v>372.7</v>
      </c>
      <c r="AI11" s="12"/>
      <c r="AJ11" s="12"/>
      <c r="AK11" s="12"/>
      <c r="AL11" s="77">
        <v>563.4</v>
      </c>
      <c r="AM11" s="12"/>
      <c r="AN11" s="12"/>
      <c r="AO11" s="12"/>
      <c r="AP11" s="77">
        <v>522.84</v>
      </c>
      <c r="AQ11" s="12"/>
      <c r="AR11" s="12"/>
      <c r="AS11" s="12"/>
      <c r="AT11" s="89" t="s">
        <v>54</v>
      </c>
      <c r="AU11" s="12"/>
      <c r="AV11" s="12"/>
      <c r="AW11" s="12"/>
      <c r="AX11" s="77">
        <f>(1.58/1.5)*164.32</f>
        <v>173.08373333333336</v>
      </c>
      <c r="AY11" s="12"/>
      <c r="AZ11" s="12"/>
      <c r="BA11" s="12"/>
      <c r="BB11" s="12"/>
      <c r="BC11" s="12"/>
      <c r="BD11" s="77">
        <f>1.02*313</f>
        <v>319.26</v>
      </c>
      <c r="BE11" s="12"/>
      <c r="BF11" s="12"/>
      <c r="BG11" s="7">
        <v>270</v>
      </c>
      <c r="BH11" s="12"/>
      <c r="BI11" s="12"/>
      <c r="BJ11" s="7">
        <v>324.3</v>
      </c>
      <c r="BK11" s="12"/>
      <c r="BL11" s="12"/>
      <c r="BM11" s="12"/>
      <c r="BN11" s="7">
        <v>334.27</v>
      </c>
      <c r="BO11" s="12"/>
      <c r="BP11" s="12"/>
      <c r="BQ11" s="12"/>
      <c r="BR11" s="7"/>
      <c r="BS11" s="12"/>
      <c r="BT11" s="12"/>
      <c r="BU11" s="7">
        <v>1375</v>
      </c>
      <c r="BX11" s="7">
        <v>1265</v>
      </c>
      <c r="BZ11" s="12"/>
      <c r="CA11" s="7">
        <v>3000</v>
      </c>
      <c r="CD11" s="7">
        <v>1550</v>
      </c>
      <c r="CG11" s="7">
        <v>2000</v>
      </c>
      <c r="CJ11" s="7">
        <v>1800</v>
      </c>
      <c r="CM11" s="7">
        <v>1600</v>
      </c>
      <c r="CP11" s="74">
        <v>2620.28</v>
      </c>
      <c r="CS11" s="94">
        <v>1033.29</v>
      </c>
      <c r="CV11" s="7">
        <v>791.25</v>
      </c>
      <c r="CY11" s="7">
        <v>2007.9</v>
      </c>
      <c r="DB11" s="7">
        <v>1949.25</v>
      </c>
      <c r="DE11" s="12"/>
      <c r="DF11" s="7"/>
      <c r="DG11" s="12"/>
      <c r="DH11" s="12"/>
      <c r="DI11" s="74">
        <v>538.37</v>
      </c>
      <c r="DJ11" s="12"/>
      <c r="DK11" s="12"/>
      <c r="DL11">
        <v>499.61</v>
      </c>
      <c r="DM11" s="12"/>
      <c r="DN11" s="12"/>
      <c r="DO11" s="7">
        <v>384</v>
      </c>
      <c r="DP11" s="12"/>
      <c r="DQ11" s="12"/>
      <c r="DR11" s="7">
        <v>316.13</v>
      </c>
      <c r="DS11" s="12"/>
      <c r="DU11" s="7">
        <f>(1.58/1.5)*147.68</f>
        <v>155.5562666666667</v>
      </c>
      <c r="DX11" s="7"/>
      <c r="ED11" s="95">
        <v>351.9</v>
      </c>
      <c r="EG11" s="95">
        <v>178.06</v>
      </c>
      <c r="EJ11" s="7">
        <v>196.5</v>
      </c>
      <c r="EP11" s="7">
        <v>454.67</v>
      </c>
      <c r="ES11">
        <v>433.33</v>
      </c>
      <c r="EV11" s="95">
        <v>359.81</v>
      </c>
    </row>
    <row r="12" spans="1:152" ht="13.5">
      <c r="A12" t="s">
        <v>169</v>
      </c>
      <c r="B12" s="12"/>
      <c r="C12" s="27"/>
      <c r="D12" s="12"/>
      <c r="E12" s="2"/>
      <c r="F12" s="12"/>
      <c r="G12" s="7"/>
      <c r="H12" s="12"/>
      <c r="I12" s="53"/>
      <c r="J12" s="7"/>
      <c r="K12" s="12"/>
      <c r="L12" s="12"/>
      <c r="M12" s="7">
        <f t="shared" si="0"/>
        <v>154.87199999999999</v>
      </c>
      <c r="N12" s="12"/>
      <c r="O12" s="12"/>
      <c r="P12" s="7">
        <v>258.12</v>
      </c>
      <c r="Q12" s="12"/>
      <c r="R12" s="12"/>
      <c r="S12" s="12"/>
      <c r="T12" s="7"/>
      <c r="U12" s="12"/>
      <c r="V12" s="12"/>
      <c r="W12" s="12"/>
      <c r="X12" s="7"/>
      <c r="Y12" s="12"/>
      <c r="Z12" s="12"/>
      <c r="AA12" s="12"/>
      <c r="AB12" s="12"/>
      <c r="AC12" s="12"/>
      <c r="AD12" s="12"/>
      <c r="AE12" s="74">
        <v>188.59</v>
      </c>
      <c r="AF12" s="12"/>
      <c r="AG12" s="12"/>
      <c r="AH12" s="95">
        <v>372.7</v>
      </c>
      <c r="AI12" s="12"/>
      <c r="AJ12" s="12"/>
      <c r="AK12" s="12"/>
      <c r="AL12" s="77">
        <v>563.4</v>
      </c>
      <c r="AO12" s="12"/>
      <c r="AP12" s="77">
        <v>522.84</v>
      </c>
      <c r="AQ12" s="12"/>
      <c r="AR12" s="12"/>
      <c r="AS12" s="12"/>
      <c r="AT12" s="89" t="s">
        <v>54</v>
      </c>
      <c r="AX12" s="77">
        <f>(1.63/1.5)*164.32</f>
        <v>178.56106666666665</v>
      </c>
      <c r="BC12" s="12"/>
      <c r="BD12" s="77">
        <f>0.94*313</f>
        <v>294.21999999999997</v>
      </c>
      <c r="BG12" s="7">
        <v>270</v>
      </c>
      <c r="BJ12" s="7">
        <v>324.3</v>
      </c>
      <c r="BN12" s="7">
        <v>334.27</v>
      </c>
      <c r="BQ12" s="12"/>
      <c r="BR12" s="12"/>
      <c r="BS12" s="12"/>
      <c r="BT12" s="12"/>
      <c r="BU12" s="7">
        <v>339</v>
      </c>
      <c r="BX12" s="7">
        <v>1265</v>
      </c>
      <c r="BZ12" s="12"/>
      <c r="CA12" s="7">
        <v>1600</v>
      </c>
      <c r="CD12" s="7">
        <v>1800</v>
      </c>
      <c r="CG12" s="7">
        <v>600</v>
      </c>
      <c r="CJ12" s="7">
        <v>800</v>
      </c>
      <c r="CM12" s="7">
        <v>1600</v>
      </c>
      <c r="CP12" s="74">
        <v>2620.28</v>
      </c>
      <c r="CS12" s="94">
        <v>1033.29</v>
      </c>
      <c r="CV12" s="7">
        <v>791.25</v>
      </c>
      <c r="CY12" s="7">
        <v>2007.9</v>
      </c>
      <c r="DB12" s="7">
        <v>1949.25</v>
      </c>
      <c r="DE12" s="12"/>
      <c r="DF12" s="7"/>
      <c r="DG12" s="12"/>
      <c r="DH12" s="12"/>
      <c r="DI12" s="74">
        <v>538.37</v>
      </c>
      <c r="DJ12" s="12"/>
      <c r="DK12" s="12"/>
      <c r="DL12">
        <v>499.61</v>
      </c>
      <c r="DM12" s="12"/>
      <c r="DN12" s="12"/>
      <c r="DO12" s="7">
        <v>384</v>
      </c>
      <c r="DP12" s="12"/>
      <c r="DQ12" s="12"/>
      <c r="DR12" s="7">
        <v>294.22</v>
      </c>
      <c r="DS12" s="12"/>
      <c r="DU12" s="7">
        <f>(1.63/1.5)*147.68</f>
        <v>160.47893333333334</v>
      </c>
      <c r="DX12" s="7"/>
      <c r="ED12" s="95">
        <v>351.9</v>
      </c>
      <c r="EG12" s="95">
        <v>178.06</v>
      </c>
      <c r="EJ12" s="7">
        <v>196.5</v>
      </c>
      <c r="EP12" s="7">
        <v>454.67</v>
      </c>
      <c r="ES12">
        <v>433.33</v>
      </c>
      <c r="EV12" s="95">
        <v>359.81</v>
      </c>
    </row>
    <row r="13" spans="1:152" ht="13.5">
      <c r="A13" t="s">
        <v>170</v>
      </c>
      <c r="B13" s="12"/>
      <c r="C13" s="27"/>
      <c r="D13" s="12"/>
      <c r="E13" s="2"/>
      <c r="F13" s="12"/>
      <c r="G13" s="7"/>
      <c r="H13" s="12"/>
      <c r="I13" s="53"/>
      <c r="J13" s="7"/>
      <c r="K13" s="12"/>
      <c r="L13" s="12"/>
      <c r="M13" s="7">
        <f t="shared" si="0"/>
        <v>168.19199999999998</v>
      </c>
      <c r="N13" s="12"/>
      <c r="O13" s="12"/>
      <c r="P13" s="7">
        <v>280.32</v>
      </c>
      <c r="Q13" s="12"/>
      <c r="R13" s="12"/>
      <c r="S13" s="12"/>
      <c r="T13" s="7"/>
      <c r="U13" s="12"/>
      <c r="V13" s="12"/>
      <c r="W13" s="12"/>
      <c r="X13" s="7"/>
      <c r="Y13" s="12"/>
      <c r="Z13" s="12"/>
      <c r="AA13" s="12"/>
      <c r="AB13" s="12"/>
      <c r="AC13" s="12"/>
      <c r="AD13" s="12"/>
      <c r="AE13" s="74">
        <v>188.59</v>
      </c>
      <c r="AF13" s="12"/>
      <c r="AG13" s="12"/>
      <c r="AH13" s="95">
        <v>372.7</v>
      </c>
      <c r="AI13" s="12"/>
      <c r="AJ13" s="12"/>
      <c r="AK13" s="12"/>
      <c r="AL13" s="77">
        <v>563.4</v>
      </c>
      <c r="AO13" s="12"/>
      <c r="AP13" s="77">
        <v>522.84</v>
      </c>
      <c r="AQ13" s="12"/>
      <c r="AR13" s="12"/>
      <c r="AS13" s="12"/>
      <c r="AT13" s="89" t="s">
        <v>54</v>
      </c>
      <c r="AX13" s="77">
        <f>(1.5/1.5)*164.32</f>
        <v>164.32</v>
      </c>
      <c r="BC13" s="12"/>
      <c r="BD13" s="77">
        <f>1.05*313</f>
        <v>328.65000000000003</v>
      </c>
      <c r="BG13" s="7">
        <v>270</v>
      </c>
      <c r="BJ13" s="7">
        <v>324.3</v>
      </c>
      <c r="BN13" s="7">
        <v>334.27</v>
      </c>
      <c r="BQ13" s="12"/>
      <c r="BR13" s="12"/>
      <c r="BS13" s="12"/>
      <c r="BT13" s="12"/>
      <c r="BU13" s="7">
        <v>500</v>
      </c>
      <c r="BX13" s="7">
        <v>1265</v>
      </c>
      <c r="BZ13" s="12"/>
      <c r="CA13" s="7">
        <v>1975</v>
      </c>
      <c r="CD13" s="7">
        <v>1200</v>
      </c>
      <c r="CG13" s="7">
        <v>900</v>
      </c>
      <c r="CJ13" s="7">
        <v>1125</v>
      </c>
      <c r="CM13" s="7">
        <v>1600</v>
      </c>
      <c r="CP13" s="74">
        <v>2620.28</v>
      </c>
      <c r="CS13" s="94">
        <v>1033.29</v>
      </c>
      <c r="CV13" s="7">
        <v>791.25</v>
      </c>
      <c r="CY13" s="7">
        <v>2007.9</v>
      </c>
      <c r="DB13" s="7">
        <v>1949.25</v>
      </c>
      <c r="DE13" s="12"/>
      <c r="DF13" s="7"/>
      <c r="DG13" s="12"/>
      <c r="DH13" s="12"/>
      <c r="DI13" s="74">
        <v>538.37</v>
      </c>
      <c r="DJ13" s="12"/>
      <c r="DK13" s="12"/>
      <c r="DL13">
        <v>499.61</v>
      </c>
      <c r="DM13" s="12"/>
      <c r="DN13" s="12"/>
      <c r="DO13" s="7">
        <v>384</v>
      </c>
      <c r="DP13" s="12"/>
      <c r="DQ13" s="12"/>
      <c r="DR13" s="7">
        <v>316.13</v>
      </c>
      <c r="DS13" s="12"/>
      <c r="DU13" s="7">
        <f>(1.5/1.5)*147.68</f>
        <v>147.68</v>
      </c>
      <c r="DX13" s="7"/>
      <c r="ED13" s="95">
        <v>351.9</v>
      </c>
      <c r="EG13" s="95">
        <v>178.06</v>
      </c>
      <c r="EJ13" s="7">
        <v>196.5</v>
      </c>
      <c r="EP13" s="7">
        <v>454.67</v>
      </c>
      <c r="ES13">
        <v>433.33</v>
      </c>
      <c r="EV13" s="95">
        <v>359.81</v>
      </c>
    </row>
    <row r="14" spans="1:152" ht="13.5">
      <c r="A14" t="s">
        <v>171</v>
      </c>
      <c r="B14" s="12"/>
      <c r="C14" s="27"/>
      <c r="D14" s="12"/>
      <c r="E14" s="2"/>
      <c r="F14" s="12"/>
      <c r="G14" s="7"/>
      <c r="H14" s="12"/>
      <c r="I14" s="53"/>
      <c r="J14" s="7"/>
      <c r="K14" s="12"/>
      <c r="L14" s="12"/>
      <c r="M14" s="7">
        <f t="shared" si="0"/>
        <v>154.15200000000002</v>
      </c>
      <c r="N14" s="12"/>
      <c r="O14" s="12"/>
      <c r="P14" s="7">
        <v>256.92</v>
      </c>
      <c r="Q14" s="12"/>
      <c r="R14" s="12"/>
      <c r="S14" s="12"/>
      <c r="T14" s="7"/>
      <c r="U14" s="12"/>
      <c r="V14" s="12"/>
      <c r="W14" s="12"/>
      <c r="X14" s="7"/>
      <c r="Y14" s="12"/>
      <c r="Z14" s="12"/>
      <c r="AA14" s="12"/>
      <c r="AB14" s="12"/>
      <c r="AC14" s="12"/>
      <c r="AD14" s="12"/>
      <c r="AE14" s="74">
        <v>188.59</v>
      </c>
      <c r="AF14" s="12"/>
      <c r="AG14" s="12"/>
      <c r="AH14" s="95">
        <v>372.7</v>
      </c>
      <c r="AI14" s="12"/>
      <c r="AJ14" s="12"/>
      <c r="AK14" s="12"/>
      <c r="AL14" s="77">
        <v>563.4</v>
      </c>
      <c r="AO14" s="12"/>
      <c r="AP14" s="77">
        <v>522.84</v>
      </c>
      <c r="AQ14" s="12"/>
      <c r="AR14" s="12"/>
      <c r="AS14" s="12"/>
      <c r="AT14" s="89" t="s">
        <v>54</v>
      </c>
      <c r="AX14" s="77">
        <f>(1.31/1.5)*164.32</f>
        <v>143.50613333333334</v>
      </c>
      <c r="BC14" s="12"/>
      <c r="BD14" s="77">
        <f>1.04*313</f>
        <v>325.52000000000004</v>
      </c>
      <c r="BG14" s="88" t="s">
        <v>54</v>
      </c>
      <c r="BJ14" s="7">
        <v>324.3</v>
      </c>
      <c r="BN14" s="7">
        <v>334.27</v>
      </c>
      <c r="BQ14" s="12"/>
      <c r="BR14" s="12"/>
      <c r="BS14" s="12"/>
      <c r="BT14" s="12"/>
      <c r="BU14" s="7">
        <v>433</v>
      </c>
      <c r="BX14" s="7">
        <v>1265</v>
      </c>
      <c r="BZ14" s="12"/>
      <c r="CA14" s="7">
        <v>1500</v>
      </c>
      <c r="CD14" s="7">
        <v>1800</v>
      </c>
      <c r="CG14" s="7">
        <v>500</v>
      </c>
      <c r="CJ14" s="7">
        <v>542</v>
      </c>
      <c r="CM14" s="7">
        <v>1600</v>
      </c>
      <c r="CP14" s="74">
        <v>2620.28</v>
      </c>
      <c r="CS14" s="94">
        <v>1033.29</v>
      </c>
      <c r="CV14" s="7">
        <v>791.25</v>
      </c>
      <c r="CY14" s="7">
        <v>2007.9</v>
      </c>
      <c r="DB14" s="7">
        <v>1949.25</v>
      </c>
      <c r="DE14" s="12"/>
      <c r="DF14" s="7"/>
      <c r="DG14" s="12"/>
      <c r="DH14" s="12"/>
      <c r="DI14" s="74">
        <v>538.37</v>
      </c>
      <c r="DJ14" s="12"/>
      <c r="DK14" s="12"/>
      <c r="DL14">
        <v>499.61</v>
      </c>
      <c r="DM14" s="12"/>
      <c r="DN14" s="12"/>
      <c r="DO14" s="7">
        <v>384</v>
      </c>
      <c r="DP14" s="12"/>
      <c r="DQ14" s="12"/>
      <c r="DR14" s="7">
        <v>325.52</v>
      </c>
      <c r="DS14" s="12"/>
      <c r="DU14" s="7">
        <f>(1.31/1.5)*147.68</f>
        <v>128.97386666666668</v>
      </c>
      <c r="DX14" s="7"/>
      <c r="ED14" s="95">
        <v>351.9</v>
      </c>
      <c r="EG14" s="95">
        <v>178.06</v>
      </c>
      <c r="EJ14" s="7">
        <v>196.5</v>
      </c>
      <c r="EP14" s="7">
        <v>454.67</v>
      </c>
      <c r="ES14">
        <v>433.33</v>
      </c>
      <c r="EV14" s="95">
        <v>359.81</v>
      </c>
    </row>
    <row r="15" spans="1:152" s="57" customFormat="1" ht="12.75">
      <c r="A15" s="62" t="s">
        <v>172</v>
      </c>
      <c r="B15" s="13"/>
      <c r="C15" s="86"/>
      <c r="D15" s="13"/>
      <c r="E15" s="87"/>
      <c r="F15" s="64"/>
      <c r="G15" s="9"/>
      <c r="H15" s="13"/>
      <c r="I15" s="13"/>
      <c r="J15" s="9"/>
      <c r="K15" s="13"/>
      <c r="L15" s="13"/>
      <c r="M15" s="9">
        <f t="shared" si="0"/>
        <v>159.83399999999997</v>
      </c>
      <c r="N15" s="13"/>
      <c r="O15" s="13"/>
      <c r="P15" s="9">
        <f>SUM(P9:P14)/6</f>
        <v>266.39</v>
      </c>
      <c r="Q15" s="13"/>
      <c r="R15" s="64"/>
      <c r="S15" s="64"/>
      <c r="T15" s="74"/>
      <c r="U15" s="64"/>
      <c r="V15" s="64"/>
      <c r="W15" s="64"/>
      <c r="X15" s="9"/>
      <c r="Y15" s="13"/>
      <c r="Z15" s="13"/>
      <c r="AA15" s="13"/>
      <c r="AB15" s="13"/>
      <c r="AC15" s="13"/>
      <c r="AD15" s="13"/>
      <c r="AE15" s="9">
        <v>188.59</v>
      </c>
      <c r="AF15" s="13"/>
      <c r="AG15" s="13"/>
      <c r="AH15" s="95">
        <v>372.7</v>
      </c>
      <c r="AI15" s="13"/>
      <c r="AJ15" s="13"/>
      <c r="AK15" s="64"/>
      <c r="AL15" s="65">
        <v>563.4</v>
      </c>
      <c r="AM15" s="36"/>
      <c r="AN15" s="36"/>
      <c r="AO15" s="64"/>
      <c r="AP15" s="65">
        <v>522.84</v>
      </c>
      <c r="AQ15" s="64"/>
      <c r="AR15" s="64"/>
      <c r="AS15" s="64"/>
      <c r="AT15" s="89" t="s">
        <v>54</v>
      </c>
      <c r="AU15" s="36"/>
      <c r="AV15" s="36"/>
      <c r="AW15" s="36"/>
      <c r="AX15" s="65">
        <f>SUM(AX9:AX14)/6</f>
        <v>161.39875555555557</v>
      </c>
      <c r="AY15" s="36"/>
      <c r="AZ15" s="36"/>
      <c r="BA15" s="36"/>
      <c r="BB15" s="36"/>
      <c r="BC15" s="64"/>
      <c r="BD15" s="65">
        <f>SUM(BD9:BD14)/6</f>
        <v>320.825</v>
      </c>
      <c r="BE15" s="36"/>
      <c r="BF15" s="36"/>
      <c r="BG15" s="65">
        <v>270</v>
      </c>
      <c r="BH15" s="36"/>
      <c r="BI15" s="36"/>
      <c r="BJ15" s="65">
        <f>SUM(BJ9:BJ14)/6</f>
        <v>324.3</v>
      </c>
      <c r="BK15" s="36"/>
      <c r="BL15" s="36"/>
      <c r="BM15" s="36"/>
      <c r="BN15" s="65">
        <f>SUM(BN9:BN14)/6</f>
        <v>334.27</v>
      </c>
      <c r="BO15" s="36"/>
      <c r="BP15" s="36"/>
      <c r="BQ15" s="64"/>
      <c r="BR15" s="65"/>
      <c r="BS15" s="36"/>
      <c r="BT15" s="36"/>
      <c r="BU15" s="65">
        <f>SUM(BU9:BU14)/6</f>
        <v>616.5466666666666</v>
      </c>
      <c r="BV15" s="65"/>
      <c r="BW15" s="65"/>
      <c r="BX15" s="65">
        <f>SUM(BX9:BX14)/6</f>
        <v>1265</v>
      </c>
      <c r="BY15" s="65"/>
      <c r="BZ15" s="36"/>
      <c r="CA15" s="65">
        <f>SUM(CA9:CA14)/6</f>
        <v>1979.1666666666667</v>
      </c>
      <c r="CD15" s="9">
        <f>SUM(CD9:CD14)/6</f>
        <v>1425</v>
      </c>
      <c r="CG15" s="9">
        <f>SUM(CG9:CG14)/6</f>
        <v>1083.3333333333333</v>
      </c>
      <c r="CJ15" s="9">
        <f>SUM(CJ9:CJ14)/6</f>
        <v>1111.1666666666667</v>
      </c>
      <c r="CM15" s="9">
        <v>1600</v>
      </c>
      <c r="CP15" s="9">
        <f>SUM(CP9:CP14)/6</f>
        <v>2620.28</v>
      </c>
      <c r="CS15" s="94">
        <v>1033.29</v>
      </c>
      <c r="CV15" s="9">
        <v>791.25</v>
      </c>
      <c r="CY15" s="9">
        <f>SUM(CY9:CY14)/6</f>
        <v>2007.8999999999999</v>
      </c>
      <c r="DB15" s="9">
        <f>SUM(DB9:DB14)/6</f>
        <v>1949.25</v>
      </c>
      <c r="DE15" s="64"/>
      <c r="DF15" s="65"/>
      <c r="DG15" s="13"/>
      <c r="DH15" s="64"/>
      <c r="DI15" s="9">
        <v>538.37</v>
      </c>
      <c r="DJ15" s="13"/>
      <c r="DK15" s="64"/>
      <c r="DL15" s="5">
        <v>499.61</v>
      </c>
      <c r="DM15" s="13"/>
      <c r="DN15" s="64"/>
      <c r="DO15" s="9">
        <f>SUM(DO9:DO14)/6</f>
        <v>384</v>
      </c>
      <c r="DP15" s="13"/>
      <c r="DQ15" s="64"/>
      <c r="DR15" s="9">
        <f>SUM(DR9:DR14)/6</f>
        <v>316.13000000000005</v>
      </c>
      <c r="DS15" s="13"/>
      <c r="DU15" s="9">
        <f>SUM(DU9:DU14)/6</f>
        <v>145.0545777777778</v>
      </c>
      <c r="DX15" s="74"/>
      <c r="ED15" s="95">
        <v>351.9</v>
      </c>
      <c r="EG15" s="95">
        <v>178.06</v>
      </c>
      <c r="EJ15" s="9">
        <f>SUM(EJ9:EJ14)/6</f>
        <v>196.5</v>
      </c>
      <c r="EP15" s="9">
        <v>454.67</v>
      </c>
      <c r="ES15" s="5">
        <v>433.33</v>
      </c>
      <c r="EV15" s="95">
        <v>359.81</v>
      </c>
    </row>
    <row r="16" spans="1:146" ht="22.5" customHeight="1">
      <c r="A16" s="3"/>
      <c r="B16" s="12"/>
      <c r="C16" s="3"/>
      <c r="D16" s="12"/>
      <c r="E16" s="2"/>
      <c r="F16" s="12"/>
      <c r="G16" s="7"/>
      <c r="H16" s="12"/>
      <c r="I16" s="12"/>
      <c r="J16" s="7"/>
      <c r="K16" s="12"/>
      <c r="L16" s="12"/>
      <c r="N16" s="12"/>
      <c r="O16" s="12"/>
      <c r="Q16" s="12"/>
      <c r="R16" s="12"/>
      <c r="S16" s="12"/>
      <c r="T16" s="7"/>
      <c r="U16" s="12"/>
      <c r="V16" s="12"/>
      <c r="W16" s="12"/>
      <c r="X16" s="7"/>
      <c r="Y16" s="12"/>
      <c r="Z16" s="12"/>
      <c r="AA16" s="12"/>
      <c r="AB16" s="12"/>
      <c r="AC16" s="12"/>
      <c r="AD16" s="12"/>
      <c r="AF16" s="12"/>
      <c r="AG16" s="12"/>
      <c r="AI16" s="12"/>
      <c r="AJ16" s="12"/>
      <c r="AK16" s="12"/>
      <c r="AL16" s="22"/>
      <c r="AM16" s="3"/>
      <c r="AN16" s="3"/>
      <c r="AO16" s="12"/>
      <c r="AP16" s="22"/>
      <c r="AQ16" s="12"/>
      <c r="AR16" s="12"/>
      <c r="AS16" s="12"/>
      <c r="AT16" s="89"/>
      <c r="AU16" s="3"/>
      <c r="AV16" s="3"/>
      <c r="AW16" s="3"/>
      <c r="AX16" s="22"/>
      <c r="AY16" s="3"/>
      <c r="AZ16" s="3"/>
      <c r="BA16" s="3"/>
      <c r="BB16" s="3"/>
      <c r="BC16" s="12"/>
      <c r="BD16" s="22"/>
      <c r="BE16" s="3"/>
      <c r="BF16" s="3"/>
      <c r="BG16" s="22"/>
      <c r="BH16" s="3"/>
      <c r="BI16" s="3"/>
      <c r="BJ16" s="22"/>
      <c r="BK16" s="3"/>
      <c r="BL16" s="3"/>
      <c r="BM16" s="3"/>
      <c r="BN16" s="22"/>
      <c r="BO16" s="3"/>
      <c r="BP16" s="3"/>
      <c r="BQ16" s="12"/>
      <c r="BR16" s="22"/>
      <c r="BS16" s="18"/>
      <c r="BT16" s="18"/>
      <c r="BU16" s="22"/>
      <c r="BV16" s="22"/>
      <c r="BW16" s="22"/>
      <c r="BX16" s="22"/>
      <c r="BY16" s="22"/>
      <c r="BZ16" s="18"/>
      <c r="CA16" s="22"/>
      <c r="DE16" s="12"/>
      <c r="DF16" s="3"/>
      <c r="DG16" s="12"/>
      <c r="DH16" s="12"/>
      <c r="DJ16" s="12"/>
      <c r="DK16" s="12"/>
      <c r="DM16" s="12"/>
      <c r="DN16" s="12"/>
      <c r="DP16" s="12"/>
      <c r="DQ16" s="12"/>
      <c r="DR16" s="7"/>
      <c r="DS16" s="12"/>
      <c r="DX16" s="7"/>
      <c r="EP16" s="7"/>
    </row>
    <row r="17" spans="1:152" ht="13.5">
      <c r="A17" t="s">
        <v>176</v>
      </c>
      <c r="B17" s="12"/>
      <c r="C17" s="27"/>
      <c r="D17" s="12"/>
      <c r="E17" s="2"/>
      <c r="F17" s="12"/>
      <c r="G17" s="7"/>
      <c r="H17" s="12"/>
      <c r="I17" s="12"/>
      <c r="J17" s="7"/>
      <c r="K17" s="12"/>
      <c r="L17" s="12"/>
      <c r="M17" s="7">
        <f t="shared" si="0"/>
        <v>128.628</v>
      </c>
      <c r="N17" s="12"/>
      <c r="O17" s="12"/>
      <c r="P17" s="7">
        <v>214.38</v>
      </c>
      <c r="Q17" s="12"/>
      <c r="R17" s="12"/>
      <c r="S17" s="12"/>
      <c r="T17" s="7"/>
      <c r="U17" s="12"/>
      <c r="V17" s="12"/>
      <c r="W17" s="12"/>
      <c r="X17" s="7"/>
      <c r="Y17" s="12"/>
      <c r="Z17" s="12"/>
      <c r="AA17" s="12"/>
      <c r="AB17" s="12"/>
      <c r="AC17" s="12"/>
      <c r="AD17" s="12"/>
      <c r="AE17" s="74">
        <v>176.49</v>
      </c>
      <c r="AF17" s="12"/>
      <c r="AG17" s="12"/>
      <c r="AH17" s="95">
        <v>348.8</v>
      </c>
      <c r="AI17" s="12"/>
      <c r="AJ17" s="12"/>
      <c r="AK17" s="12"/>
      <c r="AL17" s="77">
        <v>565.02</v>
      </c>
      <c r="AO17" s="12"/>
      <c r="AP17" s="77">
        <v>524.34</v>
      </c>
      <c r="AQ17" s="12"/>
      <c r="AR17" s="12"/>
      <c r="AS17" s="12"/>
      <c r="AT17" s="89" t="s">
        <v>54</v>
      </c>
      <c r="AX17" s="77">
        <f>(1.23/1.24)*128.96</f>
        <v>127.92000000000002</v>
      </c>
      <c r="BC17" s="12"/>
      <c r="BD17" s="77">
        <f>1.07*313</f>
        <v>334.91</v>
      </c>
      <c r="BG17" s="7">
        <v>270</v>
      </c>
      <c r="BJ17" s="7">
        <v>324.3</v>
      </c>
      <c r="BN17" s="7">
        <v>578.85</v>
      </c>
      <c r="BQ17" s="12"/>
      <c r="BR17" s="12"/>
      <c r="BS17" s="12"/>
      <c r="BT17" s="12"/>
      <c r="BU17" s="7">
        <v>150</v>
      </c>
      <c r="BX17" s="7">
        <v>1265</v>
      </c>
      <c r="BZ17" s="12"/>
      <c r="CA17" s="7">
        <v>2075</v>
      </c>
      <c r="CD17" s="7">
        <v>1500</v>
      </c>
      <c r="CG17" s="7">
        <v>1500</v>
      </c>
      <c r="CJ17" s="7">
        <v>500</v>
      </c>
      <c r="CM17" s="7">
        <v>1600</v>
      </c>
      <c r="CP17" s="74">
        <v>2620.28</v>
      </c>
      <c r="CS17" s="94">
        <v>1567.17</v>
      </c>
      <c r="CV17" s="7">
        <v>641.25</v>
      </c>
      <c r="CY17" s="7">
        <v>2007.9</v>
      </c>
      <c r="DB17" s="7">
        <v>1949.25</v>
      </c>
      <c r="DE17" s="12"/>
      <c r="DF17" s="7"/>
      <c r="DG17" s="12"/>
      <c r="DH17" s="12"/>
      <c r="DI17" s="7">
        <v>565.02</v>
      </c>
      <c r="DJ17" s="12"/>
      <c r="DK17" s="12"/>
      <c r="DL17" s="57">
        <v>524.34</v>
      </c>
      <c r="DM17" s="12"/>
      <c r="DN17" s="12"/>
      <c r="DO17" s="7">
        <v>346.11</v>
      </c>
      <c r="DP17" s="12"/>
      <c r="DQ17" s="12"/>
      <c r="DR17" s="7">
        <v>331.78</v>
      </c>
      <c r="DS17" s="12"/>
      <c r="DU17" s="7">
        <f>(1.23/1.24)*128.96</f>
        <v>127.92000000000002</v>
      </c>
      <c r="DX17" s="7"/>
      <c r="ED17" s="95">
        <v>374.7</v>
      </c>
      <c r="EG17" s="95">
        <v>189.6</v>
      </c>
      <c r="EJ17" s="7">
        <v>340.27</v>
      </c>
      <c r="EP17" s="74">
        <v>454.67</v>
      </c>
      <c r="ES17" s="57">
        <v>433.33</v>
      </c>
      <c r="EV17" s="95">
        <v>545.71</v>
      </c>
    </row>
    <row r="18" spans="1:152" ht="13.5">
      <c r="A18" t="s">
        <v>177</v>
      </c>
      <c r="B18" s="12"/>
      <c r="C18" s="27"/>
      <c r="D18" s="12"/>
      <c r="E18" s="2"/>
      <c r="F18" s="12"/>
      <c r="G18" s="7"/>
      <c r="H18" s="12"/>
      <c r="I18" s="12"/>
      <c r="J18" s="7"/>
      <c r="K18" s="12"/>
      <c r="L18" s="12"/>
      <c r="M18" s="7">
        <f t="shared" si="0"/>
        <v>142.452</v>
      </c>
      <c r="N18" s="12"/>
      <c r="O18" s="12"/>
      <c r="P18" s="7">
        <v>237.42</v>
      </c>
      <c r="Q18" s="12"/>
      <c r="R18" s="12"/>
      <c r="S18" s="12"/>
      <c r="T18" s="7"/>
      <c r="U18" s="12"/>
      <c r="V18" s="12"/>
      <c r="W18" s="12"/>
      <c r="X18" s="7"/>
      <c r="Y18" s="12"/>
      <c r="Z18" s="12"/>
      <c r="AA18" s="12"/>
      <c r="AB18" s="12"/>
      <c r="AC18" s="12"/>
      <c r="AD18" s="12"/>
      <c r="AE18" s="74">
        <v>176.49</v>
      </c>
      <c r="AF18" s="12"/>
      <c r="AG18" s="12"/>
      <c r="AH18" s="95">
        <v>348.8</v>
      </c>
      <c r="AI18" s="12"/>
      <c r="AJ18" s="12"/>
      <c r="AK18" s="12"/>
      <c r="AL18" s="77">
        <v>565.02</v>
      </c>
      <c r="AM18" s="12"/>
      <c r="AN18" s="12"/>
      <c r="AO18" s="12"/>
      <c r="AP18" s="77">
        <v>524.34</v>
      </c>
      <c r="AQ18" s="12"/>
      <c r="AR18" s="12"/>
      <c r="AS18" s="12"/>
      <c r="AT18" s="89" t="s">
        <v>54</v>
      </c>
      <c r="AU18" s="12"/>
      <c r="AV18" s="12"/>
      <c r="AW18" s="12"/>
      <c r="AX18" s="77">
        <f>(1.25/1.24)*128.96</f>
        <v>130</v>
      </c>
      <c r="AY18" s="12"/>
      <c r="AZ18" s="12"/>
      <c r="BA18" s="12"/>
      <c r="BB18" s="12"/>
      <c r="BC18" s="12"/>
      <c r="BD18" s="77">
        <f>1.02*313</f>
        <v>319.26</v>
      </c>
      <c r="BE18" s="12"/>
      <c r="BF18" s="12"/>
      <c r="BG18" s="7">
        <v>270</v>
      </c>
      <c r="BH18" s="12"/>
      <c r="BI18" s="12"/>
      <c r="BJ18" s="7">
        <v>324.3</v>
      </c>
      <c r="BK18" s="12"/>
      <c r="BL18" s="12"/>
      <c r="BM18" s="12"/>
      <c r="BN18" s="7">
        <v>578.85</v>
      </c>
      <c r="BO18" s="12"/>
      <c r="BP18" s="12"/>
      <c r="BQ18" s="12"/>
      <c r="BR18" s="7"/>
      <c r="BS18" s="12"/>
      <c r="BT18" s="12"/>
      <c r="BU18" s="7">
        <v>2750</v>
      </c>
      <c r="BX18" s="7">
        <v>1265</v>
      </c>
      <c r="BZ18" s="12"/>
      <c r="CA18" s="7">
        <v>3633</v>
      </c>
      <c r="CD18" s="7">
        <v>3500</v>
      </c>
      <c r="CG18" s="7">
        <v>2500</v>
      </c>
      <c r="CJ18" s="7">
        <v>1500</v>
      </c>
      <c r="CM18" s="7">
        <v>2250</v>
      </c>
      <c r="CP18" s="74">
        <v>2620.28</v>
      </c>
      <c r="CS18" s="94">
        <v>1567.17</v>
      </c>
      <c r="CV18" s="7">
        <v>755.11</v>
      </c>
      <c r="CY18" s="7">
        <v>2007.9</v>
      </c>
      <c r="DB18" s="7">
        <v>1949.25</v>
      </c>
      <c r="DE18" s="12"/>
      <c r="DF18" s="7"/>
      <c r="DG18" s="12"/>
      <c r="DH18" s="12"/>
      <c r="DI18" s="7">
        <v>565.02</v>
      </c>
      <c r="DJ18" s="12"/>
      <c r="DK18" s="12"/>
      <c r="DL18" s="57">
        <v>524.34</v>
      </c>
      <c r="DM18" s="12"/>
      <c r="DN18" s="12"/>
      <c r="DO18" s="7">
        <v>371.37</v>
      </c>
      <c r="DP18" s="12"/>
      <c r="DQ18" s="12"/>
      <c r="DR18" s="7">
        <v>331.78</v>
      </c>
      <c r="DS18" s="12"/>
      <c r="DU18" s="7">
        <f>(1.25/1.24)*128.96</f>
        <v>130</v>
      </c>
      <c r="DX18" s="7"/>
      <c r="ED18" s="95">
        <v>374.7</v>
      </c>
      <c r="EG18" s="95">
        <v>189.6</v>
      </c>
      <c r="EJ18" s="7">
        <v>340.27</v>
      </c>
      <c r="EP18" s="74">
        <v>454.67</v>
      </c>
      <c r="ES18" s="57">
        <v>433.33</v>
      </c>
      <c r="EV18" s="95">
        <v>545.71</v>
      </c>
    </row>
    <row r="19" spans="1:152" ht="13.5">
      <c r="A19" t="s">
        <v>178</v>
      </c>
      <c r="B19" s="37"/>
      <c r="C19" s="27"/>
      <c r="D19" s="12"/>
      <c r="E19" s="2"/>
      <c r="F19" s="12"/>
      <c r="G19" s="7"/>
      <c r="H19" s="12"/>
      <c r="I19" s="12"/>
      <c r="J19" s="7"/>
      <c r="K19" s="12"/>
      <c r="L19" s="12"/>
      <c r="M19" s="7">
        <f t="shared" si="0"/>
        <v>132.19199999999998</v>
      </c>
      <c r="N19" s="12"/>
      <c r="O19" s="12"/>
      <c r="P19" s="7">
        <v>220.32</v>
      </c>
      <c r="Q19" s="12"/>
      <c r="R19" s="12"/>
      <c r="S19" s="12"/>
      <c r="T19" s="7"/>
      <c r="U19" s="12"/>
      <c r="V19" s="12"/>
      <c r="W19" s="12"/>
      <c r="X19" s="7"/>
      <c r="Y19" s="12"/>
      <c r="Z19" s="12"/>
      <c r="AA19" s="12"/>
      <c r="AB19" s="12"/>
      <c r="AC19" s="12"/>
      <c r="AD19" s="12"/>
      <c r="AE19" s="74">
        <v>176.49</v>
      </c>
      <c r="AF19" s="12"/>
      <c r="AG19" s="12"/>
      <c r="AH19" s="95">
        <v>348.8</v>
      </c>
      <c r="AI19" s="12"/>
      <c r="AJ19" s="12"/>
      <c r="AK19" s="12"/>
      <c r="AL19" s="77">
        <v>565.02</v>
      </c>
      <c r="AM19" s="12"/>
      <c r="AN19" s="12"/>
      <c r="AO19" s="12"/>
      <c r="AP19" s="77">
        <v>524.34</v>
      </c>
      <c r="AQ19" s="12"/>
      <c r="AR19" s="12"/>
      <c r="AS19" s="12"/>
      <c r="AT19" s="89" t="s">
        <v>54</v>
      </c>
      <c r="AU19" s="12"/>
      <c r="AV19" s="12"/>
      <c r="AW19" s="12"/>
      <c r="AX19" s="77">
        <f>(1.22/1.24)*128.96</f>
        <v>126.88000000000001</v>
      </c>
      <c r="AY19" s="12"/>
      <c r="AZ19" s="12"/>
      <c r="BA19" s="12"/>
      <c r="BB19" s="12"/>
      <c r="BC19" s="12"/>
      <c r="BD19" s="77">
        <f>1.11*313</f>
        <v>347.43</v>
      </c>
      <c r="BE19" s="12"/>
      <c r="BF19" s="12"/>
      <c r="BG19" s="7">
        <v>270</v>
      </c>
      <c r="BH19" s="12"/>
      <c r="BI19" s="12"/>
      <c r="BJ19" s="7">
        <v>324.3</v>
      </c>
      <c r="BK19" s="12"/>
      <c r="BL19" s="12"/>
      <c r="BM19" s="12"/>
      <c r="BN19" s="7">
        <v>578.85</v>
      </c>
      <c r="BO19" s="12"/>
      <c r="BP19" s="12"/>
      <c r="BQ19" s="12"/>
      <c r="BR19" s="7"/>
      <c r="BS19" s="12"/>
      <c r="BT19" s="12"/>
      <c r="BU19" s="7">
        <v>1200</v>
      </c>
      <c r="BX19" s="7">
        <v>1265</v>
      </c>
      <c r="BZ19" s="12"/>
      <c r="CA19" s="7">
        <v>2227</v>
      </c>
      <c r="CD19" s="7">
        <v>3500</v>
      </c>
      <c r="CG19" s="7">
        <v>2500</v>
      </c>
      <c r="CJ19" s="7">
        <v>1233</v>
      </c>
      <c r="CM19" s="7">
        <v>1600</v>
      </c>
      <c r="CP19" s="74">
        <v>2620.28</v>
      </c>
      <c r="CS19" s="94">
        <v>1567.17</v>
      </c>
      <c r="CV19" s="7">
        <v>532.5</v>
      </c>
      <c r="CY19" s="7">
        <v>2007.9</v>
      </c>
      <c r="DB19" s="7">
        <v>1949.25</v>
      </c>
      <c r="DD19" s="5"/>
      <c r="DE19" s="12"/>
      <c r="DF19" s="7"/>
      <c r="DG19" s="12"/>
      <c r="DH19" s="12"/>
      <c r="DI19" s="7">
        <v>565.02</v>
      </c>
      <c r="DJ19" s="12"/>
      <c r="DK19" s="12"/>
      <c r="DL19" s="57">
        <v>524.34</v>
      </c>
      <c r="DM19" s="12"/>
      <c r="DN19" s="12"/>
      <c r="DO19" s="7">
        <v>358.74</v>
      </c>
      <c r="DP19" s="12"/>
      <c r="DQ19" s="12"/>
      <c r="DR19" s="7">
        <v>331.78</v>
      </c>
      <c r="DS19" s="12"/>
      <c r="DU19" s="7">
        <f>(1.22/1.24)*128.96</f>
        <v>126.88000000000001</v>
      </c>
      <c r="DX19" s="7"/>
      <c r="ED19" s="95">
        <v>374.7</v>
      </c>
      <c r="EG19" s="95">
        <v>189.6</v>
      </c>
      <c r="EJ19" s="7">
        <v>340.27</v>
      </c>
      <c r="EP19" s="74">
        <v>454.67</v>
      </c>
      <c r="ES19" s="57">
        <v>433.33</v>
      </c>
      <c r="EV19" s="95">
        <v>545.71</v>
      </c>
    </row>
    <row r="20" spans="1:152" s="5" customFormat="1" ht="12.75">
      <c r="A20" s="62" t="s">
        <v>43</v>
      </c>
      <c r="B20" s="13"/>
      <c r="C20" s="86"/>
      <c r="D20" s="13"/>
      <c r="E20" s="87"/>
      <c r="F20" s="13"/>
      <c r="G20" s="65"/>
      <c r="H20" s="36"/>
      <c r="I20" s="36"/>
      <c r="J20" s="65"/>
      <c r="K20" s="36"/>
      <c r="L20" s="36"/>
      <c r="M20" s="9">
        <f t="shared" si="0"/>
        <v>134.42399999999998</v>
      </c>
      <c r="N20" s="36"/>
      <c r="O20" s="36"/>
      <c r="P20" s="65">
        <f>SUM(P17:P19)/3</f>
        <v>224.03999999999996</v>
      </c>
      <c r="Q20" s="36"/>
      <c r="R20" s="13"/>
      <c r="S20" s="13"/>
      <c r="T20" s="9"/>
      <c r="U20" s="13"/>
      <c r="V20" s="13"/>
      <c r="W20" s="13"/>
      <c r="X20" s="9"/>
      <c r="Y20" s="13"/>
      <c r="Z20" s="13"/>
      <c r="AA20" s="13"/>
      <c r="AB20" s="13"/>
      <c r="AC20" s="13"/>
      <c r="AD20" s="13"/>
      <c r="AE20" s="9">
        <v>176.49</v>
      </c>
      <c r="AF20" s="13"/>
      <c r="AG20" s="13"/>
      <c r="AH20" s="95">
        <v>348.8</v>
      </c>
      <c r="AI20" s="13"/>
      <c r="AJ20" s="13"/>
      <c r="AK20" s="13"/>
      <c r="AL20" s="65">
        <v>565.02</v>
      </c>
      <c r="AM20" s="36"/>
      <c r="AN20" s="36"/>
      <c r="AO20" s="13"/>
      <c r="AP20" s="65">
        <v>524.34</v>
      </c>
      <c r="AQ20" s="13"/>
      <c r="AR20" s="13"/>
      <c r="AS20" s="13"/>
      <c r="AT20" s="89" t="s">
        <v>54</v>
      </c>
      <c r="AU20" s="36"/>
      <c r="AV20" s="36"/>
      <c r="AW20" s="36"/>
      <c r="AX20" s="65">
        <f>SUM(AX17:AX19)/3</f>
        <v>128.26666666666668</v>
      </c>
      <c r="AY20" s="36"/>
      <c r="AZ20" s="36"/>
      <c r="BA20" s="36"/>
      <c r="BB20" s="36"/>
      <c r="BC20" s="13"/>
      <c r="BD20" s="65">
        <f>SUM(BD17:BD19)/3</f>
        <v>333.86666666666673</v>
      </c>
      <c r="BE20" s="36"/>
      <c r="BF20" s="36"/>
      <c r="BG20" s="9">
        <v>270</v>
      </c>
      <c r="BH20" s="36"/>
      <c r="BI20" s="36"/>
      <c r="BJ20" s="65">
        <f>SUM(BJ17:BJ19)/3</f>
        <v>324.3</v>
      </c>
      <c r="BK20" s="36"/>
      <c r="BL20" s="36"/>
      <c r="BM20" s="36"/>
      <c r="BN20" s="65">
        <f>SUM(BN17:BN19)/3</f>
        <v>578.85</v>
      </c>
      <c r="BO20" s="36"/>
      <c r="BP20" s="36"/>
      <c r="BQ20" s="13"/>
      <c r="BR20" s="65"/>
      <c r="BS20" s="36"/>
      <c r="BT20" s="36"/>
      <c r="BU20" s="65">
        <f>SUM(BU17:BU19)/3</f>
        <v>1366.6666666666667</v>
      </c>
      <c r="BV20" s="65"/>
      <c r="BW20" s="65"/>
      <c r="BX20" s="65">
        <f>SUM(BX17:BX19)/3</f>
        <v>1265</v>
      </c>
      <c r="BY20" s="65"/>
      <c r="BZ20" s="36"/>
      <c r="CA20" s="65">
        <f>SUM(CA17:CA19)/3</f>
        <v>2645</v>
      </c>
      <c r="CD20" s="9">
        <f>SUM(CD17:CD19)/3</f>
        <v>2833.3333333333335</v>
      </c>
      <c r="CG20" s="9">
        <f>SUM(CG17:CG19)/3</f>
        <v>2166.6666666666665</v>
      </c>
      <c r="CJ20" s="9">
        <f>SUM(CJ17:CJ19)/3</f>
        <v>1077.6666666666667</v>
      </c>
      <c r="CM20" s="9">
        <f>SUM(CM17:CM19)/3</f>
        <v>1816.6666666666667</v>
      </c>
      <c r="CP20" s="9">
        <f>SUM(CP17:CP19)/3</f>
        <v>2620.28</v>
      </c>
      <c r="CS20" s="94">
        <v>1567.17</v>
      </c>
      <c r="CV20" s="9">
        <f>SUM(CV17:CV19)/3</f>
        <v>642.9533333333334</v>
      </c>
      <c r="CY20" s="9">
        <f>SUM(CY17:CY19)/3</f>
        <v>2007.9000000000003</v>
      </c>
      <c r="DB20" s="9">
        <f>SUM(DB17:DB19)/3</f>
        <v>1949.25</v>
      </c>
      <c r="DD20" s="57"/>
      <c r="DE20" s="13"/>
      <c r="DF20" s="65"/>
      <c r="DG20" s="13"/>
      <c r="DH20" s="13"/>
      <c r="DI20" s="9">
        <v>565.02</v>
      </c>
      <c r="DJ20" s="13"/>
      <c r="DK20" s="13"/>
      <c r="DL20" s="5">
        <v>524.34</v>
      </c>
      <c r="DM20" s="13"/>
      <c r="DN20" s="13"/>
      <c r="DO20" s="9">
        <f>SUM(DO17:DO19)/3</f>
        <v>358.74</v>
      </c>
      <c r="DP20" s="13"/>
      <c r="DQ20" s="13"/>
      <c r="DR20" s="9">
        <f>SUM(DR17:DR19)/3</f>
        <v>331.78</v>
      </c>
      <c r="DS20" s="13"/>
      <c r="DU20" s="9">
        <f>SUM(DU17:DU19)/3</f>
        <v>128.26666666666668</v>
      </c>
      <c r="DX20" s="9"/>
      <c r="ED20" s="95">
        <v>374.7</v>
      </c>
      <c r="EG20" s="95">
        <v>189.6</v>
      </c>
      <c r="EJ20" s="9">
        <f>SUM(EJ17:EJ19)/3</f>
        <v>340.27</v>
      </c>
      <c r="EP20" s="9">
        <v>454.67</v>
      </c>
      <c r="ES20" s="5">
        <v>433.33</v>
      </c>
      <c r="EV20" s="95">
        <v>545.71</v>
      </c>
    </row>
    <row r="21" spans="1:152" s="57" customFormat="1" ht="12.75">
      <c r="A21" s="5" t="s">
        <v>132</v>
      </c>
      <c r="B21" s="13"/>
      <c r="C21" s="86"/>
      <c r="D21" s="13"/>
      <c r="E21" s="87"/>
      <c r="F21" s="13"/>
      <c r="G21" s="65"/>
      <c r="H21" s="13"/>
      <c r="I21" s="64"/>
      <c r="J21" s="74"/>
      <c r="K21" s="64"/>
      <c r="L21" s="64"/>
      <c r="M21" s="9">
        <f t="shared" si="0"/>
        <v>129.6</v>
      </c>
      <c r="N21" s="64"/>
      <c r="O21" s="64"/>
      <c r="P21" s="9">
        <f>(224.04*3+191.88)/4</f>
        <v>216</v>
      </c>
      <c r="Q21" s="64"/>
      <c r="R21" s="64"/>
      <c r="S21" s="13"/>
      <c r="T21" s="9"/>
      <c r="U21" s="13"/>
      <c r="V21" s="64"/>
      <c r="W21" s="13"/>
      <c r="X21" s="9"/>
      <c r="Y21" s="13"/>
      <c r="Z21" s="13"/>
      <c r="AA21" s="13"/>
      <c r="AB21" s="13"/>
      <c r="AC21" s="13"/>
      <c r="AD21" s="13"/>
      <c r="AE21" s="95">
        <f>(AE20*3+AE24)/4</f>
        <v>172.6525</v>
      </c>
      <c r="AF21" s="13"/>
      <c r="AG21" s="13"/>
      <c r="AH21" s="95">
        <f>(AH20*3+AH24)/4</f>
        <v>341.21250000000003</v>
      </c>
      <c r="AI21" s="13"/>
      <c r="AJ21" s="13"/>
      <c r="AK21" s="13"/>
      <c r="AL21" s="9">
        <f>(AL20*3+AL24)/4</f>
        <v>568.5274999999999</v>
      </c>
      <c r="AM21" s="13"/>
      <c r="AN21" s="13"/>
      <c r="AO21" s="13"/>
      <c r="AP21" s="9">
        <f>(AP20*3+AP24)/4</f>
        <v>527.595</v>
      </c>
      <c r="AQ21" s="13"/>
      <c r="AR21" s="13"/>
      <c r="AS21" s="13"/>
      <c r="AT21" s="89" t="s">
        <v>54</v>
      </c>
      <c r="AU21" s="13"/>
      <c r="AV21" s="13"/>
      <c r="AW21" s="13"/>
      <c r="AX21" s="65">
        <f>(AX20*3+AX24)/4</f>
        <v>120.12000000000002</v>
      </c>
      <c r="AY21" s="13"/>
      <c r="AZ21" s="13"/>
      <c r="BA21" s="13"/>
      <c r="BB21" s="13"/>
      <c r="BC21" s="13"/>
      <c r="BD21" s="65">
        <f>(BD20*3+BD24)/4</f>
        <v>318.4775</v>
      </c>
      <c r="BE21" s="13"/>
      <c r="BF21" s="13"/>
      <c r="BG21" s="9">
        <v>270</v>
      </c>
      <c r="BH21" s="13"/>
      <c r="BI21" s="13"/>
      <c r="BJ21" s="65">
        <f>(BJ20*3+BJ24)/4</f>
        <v>324.3</v>
      </c>
      <c r="BK21" s="13"/>
      <c r="BL21" s="13"/>
      <c r="BM21" s="13"/>
      <c r="BN21" s="95">
        <f>(BN20*3+BN24)/4</f>
        <v>500.2975</v>
      </c>
      <c r="BO21" s="13"/>
      <c r="BP21" s="13"/>
      <c r="BQ21" s="13"/>
      <c r="BR21" s="65"/>
      <c r="BS21" s="13"/>
      <c r="BT21" s="13"/>
      <c r="BU21" s="9">
        <f>(BU20*3+BU24)/4</f>
        <v>1300</v>
      </c>
      <c r="BV21" s="9"/>
      <c r="BW21" s="9"/>
      <c r="BX21" s="9">
        <f>(BX20*3+BX24)/4</f>
        <v>1265</v>
      </c>
      <c r="BY21" s="9"/>
      <c r="BZ21" s="13"/>
      <c r="CA21" s="9">
        <f>(CA20*3+CA24)/4</f>
        <v>2258.75</v>
      </c>
      <c r="CD21" s="9">
        <f>(CD20*3+CD24)/4</f>
        <v>2500</v>
      </c>
      <c r="CG21" s="9">
        <f>(CG20*3+CG24)/4</f>
        <v>2000</v>
      </c>
      <c r="CJ21" s="9">
        <f>(CJ20*3+CJ24)/4</f>
        <v>1209</v>
      </c>
      <c r="CM21" s="9">
        <f>(CM20*3+CM24)/4</f>
        <v>1862.5</v>
      </c>
      <c r="CP21" s="9">
        <f>(CP20*3+CP24)/4</f>
        <v>2620.28</v>
      </c>
      <c r="CS21" s="95">
        <f>(CS20*3+CS24)/4</f>
        <v>1360.205</v>
      </c>
      <c r="CV21" s="9">
        <f>(CV20*3+CV24)/4</f>
        <v>664.125</v>
      </c>
      <c r="CY21" s="9">
        <f>(CY20*3+CY24)/4</f>
        <v>2007.9</v>
      </c>
      <c r="DB21" s="9">
        <f>(DB20*3+DB24)/4</f>
        <v>1949.25</v>
      </c>
      <c r="DE21" s="13"/>
      <c r="DF21" s="65"/>
      <c r="DG21" s="13"/>
      <c r="DH21" s="13"/>
      <c r="DI21" s="9">
        <f>(DI20*3+DI24)/4</f>
        <v>535.7025</v>
      </c>
      <c r="DJ21" s="13"/>
      <c r="DK21" s="13"/>
      <c r="DL21" s="9">
        <f>(DL20*3+DL24)/4</f>
        <v>497.1325</v>
      </c>
      <c r="DM21" s="13"/>
      <c r="DN21" s="13"/>
      <c r="DO21" s="9">
        <f>(DO20*3+DO24)/4</f>
        <v>365.055</v>
      </c>
      <c r="DP21" s="13"/>
      <c r="DQ21" s="13"/>
      <c r="DR21" s="9">
        <f>(DR20*3+DR24)/4</f>
        <v>314.565</v>
      </c>
      <c r="DS21" s="13"/>
      <c r="DU21" s="9">
        <f>(DU20*3+DU24)/4</f>
        <v>120.12000000000002</v>
      </c>
      <c r="DX21" s="74"/>
      <c r="ED21" s="95">
        <f>(ED20*3+ED24)/4</f>
        <v>366.54999999999995</v>
      </c>
      <c r="EG21" s="95">
        <f>(EG20*3+EG24)/4</f>
        <v>185.475</v>
      </c>
      <c r="EJ21" s="9">
        <f>(EJ20*3+EJ24)/4</f>
        <v>294.0925</v>
      </c>
      <c r="EP21" s="9">
        <f>(EP20*3+EP24)/4</f>
        <v>515.9775</v>
      </c>
      <c r="ES21" s="5">
        <v>433.33</v>
      </c>
      <c r="EV21" s="95">
        <f>(EV20*3+EV24)/4</f>
        <v>473.64250000000004</v>
      </c>
    </row>
    <row r="22" spans="1:152" s="57" customFormat="1" ht="12.75">
      <c r="A22" s="5" t="s">
        <v>133</v>
      </c>
      <c r="B22" s="13"/>
      <c r="C22" s="86"/>
      <c r="D22" s="13"/>
      <c r="E22" s="87"/>
      <c r="F22" s="13"/>
      <c r="G22" s="65"/>
      <c r="H22" s="13"/>
      <c r="M22" s="9">
        <f t="shared" si="0"/>
        <v>124.6536</v>
      </c>
      <c r="P22" s="9">
        <f>(216*4+174.78)/5</f>
        <v>207.756</v>
      </c>
      <c r="S22" s="13"/>
      <c r="T22" s="9"/>
      <c r="U22" s="13"/>
      <c r="W22" s="13"/>
      <c r="X22" s="9"/>
      <c r="Y22" s="13"/>
      <c r="Z22" s="13"/>
      <c r="AA22" s="13"/>
      <c r="AB22" s="13"/>
      <c r="AC22" s="13"/>
      <c r="AD22" s="13"/>
      <c r="AE22" s="95">
        <f>(AE21*4+AE25)/5</f>
        <v>170.35</v>
      </c>
      <c r="AF22" s="13"/>
      <c r="AG22" s="13"/>
      <c r="AH22" s="95">
        <f>(AH21*4+AH25)/5</f>
        <v>336.66</v>
      </c>
      <c r="AI22" s="13"/>
      <c r="AJ22" s="13"/>
      <c r="AK22" s="13"/>
      <c r="AL22" s="9">
        <f>(AL21*4+AL25)/5</f>
        <v>570.632</v>
      </c>
      <c r="AM22" s="13"/>
      <c r="AN22" s="13"/>
      <c r="AO22" s="13"/>
      <c r="AP22" s="9">
        <f>(AP21*4+AP25)/5</f>
        <v>529.548</v>
      </c>
      <c r="AQ22" s="13"/>
      <c r="AR22" s="13"/>
      <c r="AS22" s="13"/>
      <c r="AT22" s="89" t="s">
        <v>54</v>
      </c>
      <c r="AU22" s="13"/>
      <c r="AV22" s="13"/>
      <c r="AW22" s="13"/>
      <c r="AX22" s="65">
        <f>(AX20*3+AX24+AX25+AX27)/6</f>
        <v>125.41904761904762</v>
      </c>
      <c r="AY22" s="13"/>
      <c r="AZ22" s="13"/>
      <c r="BA22" s="13"/>
      <c r="BB22" s="13"/>
      <c r="BC22" s="13"/>
      <c r="BD22" s="65">
        <f>(BD20*3+BD24+BD25+BD27)/6</f>
        <v>308.305</v>
      </c>
      <c r="BE22" s="13"/>
      <c r="BF22" s="13"/>
      <c r="BG22" s="9">
        <v>270</v>
      </c>
      <c r="BH22" s="13"/>
      <c r="BI22" s="13"/>
      <c r="BJ22" s="65">
        <f>(BJ20*3+BJ24+BJ25+BJ27)/6</f>
        <v>324.3</v>
      </c>
      <c r="BK22" s="13"/>
      <c r="BL22" s="13"/>
      <c r="BM22" s="13"/>
      <c r="BN22" s="95">
        <f>(BN20*3+BN24+BN25+BN27)/6</f>
        <v>421.74499999999995</v>
      </c>
      <c r="BO22" s="13"/>
      <c r="BP22" s="13"/>
      <c r="BQ22" s="13"/>
      <c r="BR22" s="65"/>
      <c r="BS22" s="13"/>
      <c r="BT22" s="13"/>
      <c r="BU22" s="9">
        <f>(BU21*4+BU25+BU27)/6</f>
        <v>1352.8333333333333</v>
      </c>
      <c r="BV22" s="9"/>
      <c r="BW22" s="9"/>
      <c r="BX22" s="9">
        <f>(BX21*4+BX25+BX27)/6</f>
        <v>1265</v>
      </c>
      <c r="BY22" s="9"/>
      <c r="BZ22" s="13"/>
      <c r="CA22" s="9">
        <f>(CA21*4+CA25+CA27)/6</f>
        <v>2524.1666666666665</v>
      </c>
      <c r="CD22" s="9">
        <f>(CD21*4+CD25+CD27)/6</f>
        <v>2450</v>
      </c>
      <c r="CG22" s="9">
        <f>(CG21*4+CG25+CG27)/6</f>
        <v>2149.5</v>
      </c>
      <c r="CJ22" s="9">
        <f>(CJ21*4+CJ25+CJ27)/6</f>
        <v>1604.3333333333333</v>
      </c>
      <c r="CM22" s="9">
        <f>(CM20*3+CM24+CM25+CM27)/6</f>
        <v>1871.6666666666667</v>
      </c>
      <c r="CP22" s="9">
        <f>(CP20*3+CP24+CP25+CP27)/6</f>
        <v>2620.28</v>
      </c>
      <c r="CS22" s="95">
        <f>(CS20*3+CS24+CS25+CS27)/6</f>
        <v>1153.2399999999998</v>
      </c>
      <c r="CV22" s="9">
        <f>(CV20*3+CV24+CV25+CV27)/6</f>
        <v>685.2966666666666</v>
      </c>
      <c r="CY22" s="9">
        <f>(CY20*3+CY24+CY25+CY27)/6</f>
        <v>2007.8999999999999</v>
      </c>
      <c r="DB22" s="9">
        <f>(DB20*3+DB24+DB25+DB27)/6</f>
        <v>1949.25</v>
      </c>
      <c r="DE22" s="13"/>
      <c r="DF22" s="65"/>
      <c r="DG22" s="13"/>
      <c r="DH22" s="13"/>
      <c r="DI22" s="9">
        <f>(DI20*3+DI24+DI25+DI27)/6</f>
        <v>506.385</v>
      </c>
      <c r="DJ22" s="13"/>
      <c r="DK22" s="13"/>
      <c r="DL22" s="9">
        <f>(DL20*3+DL24+DL25+DL27)/6</f>
        <v>469.925</v>
      </c>
      <c r="DM22" s="13"/>
      <c r="DN22" s="13"/>
      <c r="DO22" s="9">
        <f>(DO20*3+DO24+DO25+DO27)/6</f>
        <v>362.9483333333333</v>
      </c>
      <c r="DP22" s="13"/>
      <c r="DQ22" s="13"/>
      <c r="DR22" s="9">
        <f>(DR20*3+DR24+DR25+DR27)/6</f>
        <v>297.35</v>
      </c>
      <c r="DS22" s="13"/>
      <c r="DU22" s="9">
        <f>(DU20*3+DU24+DU25+DU27)/6</f>
        <v>120.64</v>
      </c>
      <c r="DX22" s="74"/>
      <c r="ED22" s="95">
        <f>(ED20*8-ED24-ED25-ED27)/5</f>
        <v>394.26000000000005</v>
      </c>
      <c r="EG22" s="95">
        <f>(EG20*3+EG24+EG25+EG27)/6</f>
        <v>181.35</v>
      </c>
      <c r="EJ22" s="9">
        <f>(EJ20*3+EJ24+EJ25+EJ27)/6</f>
        <v>247.91499999999996</v>
      </c>
      <c r="EP22" s="9">
        <f>(EP20*3+EP24+EP25+EP27)/6</f>
        <v>577.285</v>
      </c>
      <c r="ES22" s="5">
        <v>433.33</v>
      </c>
      <c r="EV22" s="95">
        <f>(EV20*3+EV24+EV25+EV27)/6</f>
        <v>401.57500000000005</v>
      </c>
    </row>
    <row r="23" spans="1:146" ht="18">
      <c r="A23" s="3"/>
      <c r="B23" s="12"/>
      <c r="C23" s="3"/>
      <c r="D23" s="12"/>
      <c r="E23" s="2"/>
      <c r="F23" s="12"/>
      <c r="G23" s="22"/>
      <c r="H23" s="18"/>
      <c r="I23" s="18"/>
      <c r="J23" s="22"/>
      <c r="K23" s="18"/>
      <c r="L23" s="18"/>
      <c r="M23" s="22"/>
      <c r="N23" s="18"/>
      <c r="O23" s="18"/>
      <c r="P23" s="22"/>
      <c r="Q23" s="18"/>
      <c r="R23" s="12"/>
      <c r="S23" s="12"/>
      <c r="T23" s="7"/>
      <c r="U23" s="12"/>
      <c r="V23" s="12"/>
      <c r="W23" s="12"/>
      <c r="X23" s="7"/>
      <c r="Y23" s="12"/>
      <c r="Z23" s="12"/>
      <c r="AA23" s="12"/>
      <c r="AB23" s="12"/>
      <c r="AC23" s="12"/>
      <c r="AD23" s="12"/>
      <c r="AF23" s="12"/>
      <c r="AG23" s="12"/>
      <c r="AI23" s="12"/>
      <c r="AJ23" s="12"/>
      <c r="AK23" s="12"/>
      <c r="AL23" s="22"/>
      <c r="AM23" s="3"/>
      <c r="AN23" s="3"/>
      <c r="AO23" s="12"/>
      <c r="AP23" s="77"/>
      <c r="AQ23" s="12"/>
      <c r="AR23" s="12"/>
      <c r="AS23" s="12"/>
      <c r="AT23" s="89"/>
      <c r="AU23" s="3"/>
      <c r="AV23" s="3"/>
      <c r="AW23" s="3"/>
      <c r="AX23" s="22"/>
      <c r="AY23" s="3"/>
      <c r="AZ23" s="3"/>
      <c r="BA23" s="3"/>
      <c r="BB23" s="3"/>
      <c r="BC23" s="12"/>
      <c r="BD23" s="22"/>
      <c r="BE23" s="3"/>
      <c r="BF23" s="3"/>
      <c r="BG23" s="22"/>
      <c r="BH23" s="3"/>
      <c r="BI23" s="3"/>
      <c r="BJ23" s="22"/>
      <c r="BK23" s="3"/>
      <c r="BL23" s="3"/>
      <c r="BM23" s="3"/>
      <c r="BN23" s="22"/>
      <c r="BO23" s="3"/>
      <c r="BP23" s="3"/>
      <c r="BQ23" s="12"/>
      <c r="BR23" s="22"/>
      <c r="BS23" s="18"/>
      <c r="BT23" s="18"/>
      <c r="BU23" s="22"/>
      <c r="BV23" s="22"/>
      <c r="BW23" s="22"/>
      <c r="BX23" s="22"/>
      <c r="BY23" s="22"/>
      <c r="BZ23" s="18"/>
      <c r="CA23" s="22"/>
      <c r="DE23" s="12"/>
      <c r="DF23" s="3"/>
      <c r="DG23" s="12"/>
      <c r="DH23" s="12"/>
      <c r="DJ23" s="12"/>
      <c r="DK23" s="12"/>
      <c r="DM23" s="12"/>
      <c r="DN23" s="12"/>
      <c r="DP23" s="12"/>
      <c r="DQ23" s="12"/>
      <c r="DR23" s="7"/>
      <c r="DS23" s="12"/>
      <c r="DX23" s="7"/>
      <c r="EJ23" s="74"/>
      <c r="EP23" s="7"/>
    </row>
    <row r="24" spans="1:152" ht="13.5">
      <c r="A24" t="s">
        <v>173</v>
      </c>
      <c r="B24" s="12"/>
      <c r="C24" s="27"/>
      <c r="D24" s="12"/>
      <c r="E24" s="2"/>
      <c r="F24" s="12"/>
      <c r="G24" s="7"/>
      <c r="H24" s="12"/>
      <c r="I24" s="12"/>
      <c r="J24" s="7"/>
      <c r="K24" s="12"/>
      <c r="L24" s="12"/>
      <c r="M24" s="74">
        <f t="shared" si="0"/>
        <v>115.12799999999999</v>
      </c>
      <c r="N24" s="12"/>
      <c r="O24" s="12"/>
      <c r="P24" s="7">
        <v>191.88</v>
      </c>
      <c r="Q24" s="12"/>
      <c r="R24" s="12"/>
      <c r="S24" s="12"/>
      <c r="T24" s="7"/>
      <c r="U24" s="12"/>
      <c r="V24" s="12"/>
      <c r="W24" s="12"/>
      <c r="X24" s="7"/>
      <c r="Y24" s="12"/>
      <c r="Z24" s="12"/>
      <c r="AA24" s="12"/>
      <c r="AB24" s="12"/>
      <c r="AC24" s="12"/>
      <c r="AD24" s="12"/>
      <c r="AE24" s="95">
        <v>161.14</v>
      </c>
      <c r="AF24" s="12"/>
      <c r="AG24" s="12"/>
      <c r="AH24" s="95">
        <v>318.45</v>
      </c>
      <c r="AI24" s="12"/>
      <c r="AJ24" s="12"/>
      <c r="AK24" s="12"/>
      <c r="AL24" s="77">
        <v>579.05</v>
      </c>
      <c r="AO24" s="12"/>
      <c r="AP24" s="77">
        <v>537.36</v>
      </c>
      <c r="AQ24" s="12"/>
      <c r="AR24" s="12"/>
      <c r="AS24" s="12"/>
      <c r="AT24" s="89" t="s">
        <v>54</v>
      </c>
      <c r="AX24" s="77">
        <f>(0.92/1.2)*124.8</f>
        <v>95.68</v>
      </c>
      <c r="BC24" s="12"/>
      <c r="BD24" s="77">
        <f>0.87*313</f>
        <v>272.31</v>
      </c>
      <c r="BG24" s="7">
        <v>270</v>
      </c>
      <c r="BJ24" s="7">
        <v>324.3</v>
      </c>
      <c r="BN24" s="95">
        <v>264.64</v>
      </c>
      <c r="BQ24" s="12"/>
      <c r="BR24" s="12"/>
      <c r="BS24" s="12"/>
      <c r="BT24" s="12"/>
      <c r="BU24" s="7">
        <v>1100</v>
      </c>
      <c r="BX24" s="7">
        <v>1265</v>
      </c>
      <c r="BZ24" s="12"/>
      <c r="CA24" s="7">
        <v>1100</v>
      </c>
      <c r="CD24" s="7">
        <v>1500</v>
      </c>
      <c r="CG24" s="7">
        <v>1500</v>
      </c>
      <c r="CJ24" s="7">
        <v>1603</v>
      </c>
      <c r="CM24" s="7">
        <v>2000</v>
      </c>
      <c r="CP24" s="74">
        <v>2620.28</v>
      </c>
      <c r="CS24" s="94">
        <v>739.31</v>
      </c>
      <c r="CV24">
        <v>727.64</v>
      </c>
      <c r="CY24" s="7">
        <v>2007.9</v>
      </c>
      <c r="DB24" s="7">
        <v>1949.25</v>
      </c>
      <c r="DE24" s="12"/>
      <c r="DF24" s="7"/>
      <c r="DG24" s="12"/>
      <c r="DH24" s="12"/>
      <c r="DI24" s="74">
        <v>447.75</v>
      </c>
      <c r="DJ24" s="12"/>
      <c r="DK24" s="12"/>
      <c r="DL24">
        <v>415.51</v>
      </c>
      <c r="DM24" s="12"/>
      <c r="DN24" s="12"/>
      <c r="DO24" s="7">
        <v>384</v>
      </c>
      <c r="DP24" s="12"/>
      <c r="DQ24" s="12"/>
      <c r="DR24" s="7">
        <v>262.92</v>
      </c>
      <c r="DS24" s="12"/>
      <c r="DU24" s="7">
        <f>(0.92/1.2)*124.8</f>
        <v>95.68</v>
      </c>
      <c r="DX24" s="7"/>
      <c r="ED24" s="95">
        <v>342.1</v>
      </c>
      <c r="EG24" s="95">
        <v>173.1</v>
      </c>
      <c r="EJ24" s="95">
        <v>155.56</v>
      </c>
      <c r="EP24" s="7">
        <v>699.9</v>
      </c>
      <c r="ES24" s="57">
        <v>433.33</v>
      </c>
      <c r="EV24" s="95">
        <v>257.44</v>
      </c>
    </row>
    <row r="25" spans="1:152" ht="12">
      <c r="A25" t="s">
        <v>174</v>
      </c>
      <c r="B25" s="12"/>
      <c r="C25" s="27"/>
      <c r="D25" s="12"/>
      <c r="E25" s="12"/>
      <c r="F25" s="12"/>
      <c r="G25" s="7"/>
      <c r="H25" s="12"/>
      <c r="I25" s="12"/>
      <c r="J25" s="7"/>
      <c r="K25" s="12"/>
      <c r="L25" s="12"/>
      <c r="M25" s="74">
        <f t="shared" si="0"/>
        <v>104.868</v>
      </c>
      <c r="N25" s="12"/>
      <c r="O25" s="12"/>
      <c r="P25" s="7">
        <v>174.78</v>
      </c>
      <c r="Q25" s="12"/>
      <c r="R25" s="12"/>
      <c r="S25" s="12"/>
      <c r="T25" s="7"/>
      <c r="U25" s="12"/>
      <c r="V25" s="12"/>
      <c r="W25" s="12"/>
      <c r="X25" s="7"/>
      <c r="Y25" s="12"/>
      <c r="Z25" s="12"/>
      <c r="AA25" s="12"/>
      <c r="AB25" s="12"/>
      <c r="AC25" s="12"/>
      <c r="AD25" s="12"/>
      <c r="AE25" s="95">
        <v>161.14</v>
      </c>
      <c r="AF25" s="12"/>
      <c r="AG25" s="12"/>
      <c r="AH25" s="95">
        <v>318.45</v>
      </c>
      <c r="AI25" s="12"/>
      <c r="AJ25" s="12"/>
      <c r="AK25" s="12"/>
      <c r="AL25" s="77">
        <v>579.05</v>
      </c>
      <c r="AO25" s="12"/>
      <c r="AP25" s="77">
        <v>537.36</v>
      </c>
      <c r="AQ25" s="12"/>
      <c r="AR25" s="12"/>
      <c r="AS25" s="12"/>
      <c r="AT25" s="89" t="s">
        <v>54</v>
      </c>
      <c r="AX25" s="77">
        <v>150.3542857142857</v>
      </c>
      <c r="BC25" s="12"/>
      <c r="BD25" s="77">
        <f>1*313</f>
        <v>313</v>
      </c>
      <c r="BG25" s="7">
        <v>270</v>
      </c>
      <c r="BJ25" s="7">
        <v>324.3</v>
      </c>
      <c r="BN25" s="95">
        <v>264.64</v>
      </c>
      <c r="BQ25" s="12"/>
      <c r="BR25" s="12"/>
      <c r="BS25" s="12"/>
      <c r="BT25" s="12"/>
      <c r="BU25" s="7">
        <v>1817</v>
      </c>
      <c r="BX25" s="7">
        <v>1265</v>
      </c>
      <c r="BZ25" s="12"/>
      <c r="CA25" s="7">
        <v>3891</v>
      </c>
      <c r="CD25" s="7">
        <v>3200</v>
      </c>
      <c r="CG25" s="7">
        <v>2397</v>
      </c>
      <c r="CJ25" s="7">
        <v>3187</v>
      </c>
      <c r="CM25" s="7">
        <v>1780</v>
      </c>
      <c r="CP25" s="74">
        <v>2620.28</v>
      </c>
      <c r="CS25" s="94">
        <v>739.31</v>
      </c>
      <c r="CV25">
        <v>727.64</v>
      </c>
      <c r="CY25" s="7">
        <v>2007.9</v>
      </c>
      <c r="DB25" s="7">
        <v>1949.25</v>
      </c>
      <c r="DE25" s="12"/>
      <c r="DF25" s="7"/>
      <c r="DG25" s="12"/>
      <c r="DH25" s="12"/>
      <c r="DI25" s="74">
        <v>447.75</v>
      </c>
      <c r="DJ25" s="12"/>
      <c r="DK25" s="12"/>
      <c r="DL25">
        <v>415.51</v>
      </c>
      <c r="DM25" s="12"/>
      <c r="DN25" s="12"/>
      <c r="DO25" s="7">
        <v>384</v>
      </c>
      <c r="DP25" s="12"/>
      <c r="DQ25" s="12"/>
      <c r="DR25" s="7">
        <v>262.92</v>
      </c>
      <c r="DS25" s="12"/>
      <c r="DU25" s="7">
        <f>(1.17/1.2)*124.8</f>
        <v>121.67999999999999</v>
      </c>
      <c r="DX25" s="7"/>
      <c r="ED25" s="95">
        <v>342.1</v>
      </c>
      <c r="EG25" s="95">
        <v>173.1</v>
      </c>
      <c r="EJ25" s="95">
        <v>155.56</v>
      </c>
      <c r="EP25" s="7">
        <v>699.9</v>
      </c>
      <c r="EV25" s="95">
        <v>257.44</v>
      </c>
    </row>
    <row r="26" spans="1:152" ht="12">
      <c r="A26" t="s">
        <v>179</v>
      </c>
      <c r="B26" s="12"/>
      <c r="C26" s="27"/>
      <c r="D26" s="12"/>
      <c r="E26" s="12"/>
      <c r="F26" s="12"/>
      <c r="G26" s="7"/>
      <c r="H26" s="12"/>
      <c r="I26" s="12"/>
      <c r="J26" s="7"/>
      <c r="K26" s="12"/>
      <c r="L26" s="12"/>
      <c r="M26" s="74">
        <f t="shared" si="0"/>
        <v>129.06</v>
      </c>
      <c r="N26" s="12"/>
      <c r="O26" s="12"/>
      <c r="P26" s="7">
        <v>215.1</v>
      </c>
      <c r="Q26" s="12"/>
      <c r="R26" s="12"/>
      <c r="S26" s="12"/>
      <c r="T26" s="7"/>
      <c r="U26" s="12"/>
      <c r="V26" s="12"/>
      <c r="W26" s="12"/>
      <c r="X26" s="7"/>
      <c r="Y26" s="12"/>
      <c r="Z26" s="12"/>
      <c r="AA26" s="12"/>
      <c r="AB26" s="12"/>
      <c r="AC26" s="12"/>
      <c r="AD26" s="12"/>
      <c r="AE26" s="95">
        <v>161.14</v>
      </c>
      <c r="AF26" s="12"/>
      <c r="AG26" s="12"/>
      <c r="AH26" s="95">
        <v>318.45</v>
      </c>
      <c r="AI26" s="12"/>
      <c r="AJ26" s="12"/>
      <c r="AK26" s="12"/>
      <c r="AL26" s="77">
        <v>579.05</v>
      </c>
      <c r="AO26" s="12"/>
      <c r="AP26" s="77">
        <v>537.36</v>
      </c>
      <c r="AQ26" s="12"/>
      <c r="AR26" s="12"/>
      <c r="AS26" s="12"/>
      <c r="AT26" s="89" t="s">
        <v>54</v>
      </c>
      <c r="AX26" s="77">
        <f>(1.67/1.2)*124.8</f>
        <v>173.67999999999998</v>
      </c>
      <c r="BC26" s="12"/>
      <c r="BD26" s="77">
        <f>0.89*313</f>
        <v>278.57</v>
      </c>
      <c r="BG26" s="7">
        <v>270</v>
      </c>
      <c r="BJ26" s="7">
        <v>324.3</v>
      </c>
      <c r="BN26" s="95">
        <v>264.64</v>
      </c>
      <c r="BQ26" s="12"/>
      <c r="BR26" s="12"/>
      <c r="BS26" s="12"/>
      <c r="BT26" s="12"/>
      <c r="BU26" s="7">
        <v>750</v>
      </c>
      <c r="BX26" s="7">
        <v>1265</v>
      </c>
      <c r="BZ26" s="12"/>
      <c r="CA26" s="7">
        <v>2804</v>
      </c>
      <c r="CD26" s="7">
        <v>225</v>
      </c>
      <c r="CG26" s="7">
        <v>225</v>
      </c>
      <c r="CJ26" s="7">
        <v>900</v>
      </c>
      <c r="CM26" s="7">
        <v>2500</v>
      </c>
      <c r="CP26" s="74">
        <v>2620.28</v>
      </c>
      <c r="CS26" s="94">
        <v>739.31</v>
      </c>
      <c r="CV26">
        <v>727.64</v>
      </c>
      <c r="CY26" s="7">
        <v>2007.9</v>
      </c>
      <c r="DB26" s="7">
        <v>1949.25</v>
      </c>
      <c r="DE26" s="12"/>
      <c r="DF26" s="7"/>
      <c r="DG26" s="12"/>
      <c r="DH26" s="12"/>
      <c r="DI26" s="74">
        <v>447.75</v>
      </c>
      <c r="DJ26" s="12"/>
      <c r="DK26" s="12"/>
      <c r="DL26">
        <v>415.51</v>
      </c>
      <c r="DM26" s="12"/>
      <c r="DN26" s="12"/>
      <c r="DO26" s="7">
        <v>358.74</v>
      </c>
      <c r="DP26" s="12"/>
      <c r="DQ26" s="12"/>
      <c r="DR26" s="7">
        <v>262.92</v>
      </c>
      <c r="DS26" s="12"/>
      <c r="DU26" s="7">
        <f>(1.67/1.2)*124.8</f>
        <v>173.67999999999998</v>
      </c>
      <c r="DX26" s="7"/>
      <c r="ED26" s="95">
        <v>342.1</v>
      </c>
      <c r="EG26" s="95">
        <v>173.1</v>
      </c>
      <c r="EJ26" s="95">
        <v>155.56</v>
      </c>
      <c r="EP26" s="7">
        <v>699.9</v>
      </c>
      <c r="ES26" s="57">
        <v>433.33</v>
      </c>
      <c r="EV26" s="95">
        <v>257.44</v>
      </c>
    </row>
    <row r="27" spans="1:152" ht="12">
      <c r="A27" t="s">
        <v>175</v>
      </c>
      <c r="B27" s="12"/>
      <c r="C27" s="27"/>
      <c r="D27" s="12"/>
      <c r="E27" s="12"/>
      <c r="F27" s="12"/>
      <c r="G27" s="7"/>
      <c r="H27" s="12"/>
      <c r="I27" s="12"/>
      <c r="J27" s="7"/>
      <c r="K27" s="12"/>
      <c r="L27" s="12"/>
      <c r="M27" s="74">
        <f t="shared" si="0"/>
        <v>104.868</v>
      </c>
      <c r="N27" s="12"/>
      <c r="O27" s="12"/>
      <c r="P27" s="7">
        <v>174.78</v>
      </c>
      <c r="Q27" s="12"/>
      <c r="R27" s="12"/>
      <c r="S27" s="12"/>
      <c r="T27" s="7"/>
      <c r="U27" s="12"/>
      <c r="V27" s="12"/>
      <c r="W27" s="12"/>
      <c r="X27" s="7"/>
      <c r="Y27" s="12"/>
      <c r="Z27" s="12"/>
      <c r="AA27" s="12"/>
      <c r="AB27" s="12"/>
      <c r="AC27" s="12"/>
      <c r="AD27" s="12"/>
      <c r="AE27" s="95">
        <v>161.14</v>
      </c>
      <c r="AF27" s="12"/>
      <c r="AG27" s="12"/>
      <c r="AH27" s="95">
        <v>318.45</v>
      </c>
      <c r="AI27" s="12"/>
      <c r="AJ27" s="12"/>
      <c r="AK27" s="12"/>
      <c r="AL27" s="77">
        <v>579.05</v>
      </c>
      <c r="AM27" s="12"/>
      <c r="AN27" s="12"/>
      <c r="AO27" s="12"/>
      <c r="AP27" s="77">
        <v>537.36</v>
      </c>
      <c r="AQ27" s="12"/>
      <c r="AR27" s="12"/>
      <c r="AS27" s="12"/>
      <c r="AT27" s="89" t="s">
        <v>54</v>
      </c>
      <c r="AU27" s="12"/>
      <c r="AV27" s="12"/>
      <c r="AW27" s="12"/>
      <c r="AX27" s="77">
        <f>(1.17/1.2)*124.8</f>
        <v>121.67999999999999</v>
      </c>
      <c r="AY27" s="12"/>
      <c r="AZ27" s="12"/>
      <c r="BA27" s="12"/>
      <c r="BB27" s="12"/>
      <c r="BC27" s="12"/>
      <c r="BD27" s="77">
        <f>0.84*313</f>
        <v>262.92</v>
      </c>
      <c r="BE27" s="12"/>
      <c r="BF27" s="12"/>
      <c r="BG27" s="7">
        <v>270</v>
      </c>
      <c r="BH27" s="12"/>
      <c r="BI27" s="12"/>
      <c r="BJ27" s="7">
        <v>324.3</v>
      </c>
      <c r="BK27" s="12"/>
      <c r="BL27" s="12"/>
      <c r="BM27" s="12"/>
      <c r="BN27" s="95">
        <v>264.64</v>
      </c>
      <c r="BO27" s="12"/>
      <c r="BP27" s="12"/>
      <c r="BQ27" s="12"/>
      <c r="BR27" s="7"/>
      <c r="BS27" s="12"/>
      <c r="BT27" s="12"/>
      <c r="BU27" s="7">
        <v>1100</v>
      </c>
      <c r="BX27" s="7">
        <v>1265</v>
      </c>
      <c r="BZ27" s="12"/>
      <c r="CA27" s="7">
        <v>2219</v>
      </c>
      <c r="CD27" s="7">
        <v>1500</v>
      </c>
      <c r="CG27" s="7">
        <v>2500</v>
      </c>
      <c r="CJ27" s="7">
        <v>1603</v>
      </c>
      <c r="CM27" s="7">
        <v>2000</v>
      </c>
      <c r="CP27" s="74">
        <v>2620.28</v>
      </c>
      <c r="CS27" s="94">
        <v>739.31</v>
      </c>
      <c r="CV27">
        <v>727.64</v>
      </c>
      <c r="CY27" s="7">
        <v>2007.9</v>
      </c>
      <c r="DB27" s="7">
        <v>1949.25</v>
      </c>
      <c r="DE27" s="12"/>
      <c r="DF27" s="7"/>
      <c r="DG27" s="12"/>
      <c r="DH27" s="12"/>
      <c r="DI27" s="74">
        <v>447.75</v>
      </c>
      <c r="DJ27" s="12"/>
      <c r="DK27" s="12"/>
      <c r="DL27">
        <v>415.51</v>
      </c>
      <c r="DM27" s="12"/>
      <c r="DN27" s="12"/>
      <c r="DO27" s="7">
        <v>333.47</v>
      </c>
      <c r="DP27" s="12"/>
      <c r="DQ27" s="12"/>
      <c r="DR27" s="7">
        <v>262.92</v>
      </c>
      <c r="DS27" s="12"/>
      <c r="DU27" s="7">
        <f>(1.17/1.2)*124.8</f>
        <v>121.67999999999999</v>
      </c>
      <c r="DX27" s="7"/>
      <c r="ED27" s="95">
        <v>342.1</v>
      </c>
      <c r="EG27" s="95">
        <v>173.1</v>
      </c>
      <c r="EJ27" s="95">
        <v>155.56</v>
      </c>
      <c r="EP27" s="7">
        <v>699.9</v>
      </c>
      <c r="ES27" s="57">
        <v>433.33</v>
      </c>
      <c r="EV27" s="95">
        <v>257.44</v>
      </c>
    </row>
    <row r="28" spans="1:152" ht="12">
      <c r="A28" t="s">
        <v>182</v>
      </c>
      <c r="B28" s="12"/>
      <c r="C28" s="27"/>
      <c r="D28" s="12"/>
      <c r="E28" s="12"/>
      <c r="F28" s="12"/>
      <c r="G28" s="7"/>
      <c r="H28" s="12"/>
      <c r="I28" s="12"/>
      <c r="J28" s="7"/>
      <c r="K28" s="12"/>
      <c r="L28" s="12"/>
      <c r="M28" s="74">
        <f t="shared" si="0"/>
        <v>111.996</v>
      </c>
      <c r="N28" s="12"/>
      <c r="O28" s="12"/>
      <c r="P28" s="7">
        <v>186.66</v>
      </c>
      <c r="Q28" s="12"/>
      <c r="R28" s="12"/>
      <c r="S28" s="12"/>
      <c r="T28" s="7"/>
      <c r="U28" s="12"/>
      <c r="V28" s="12"/>
      <c r="W28" s="12"/>
      <c r="X28" s="7"/>
      <c r="Y28" s="12"/>
      <c r="Z28" s="12"/>
      <c r="AA28" s="12"/>
      <c r="AB28" s="12"/>
      <c r="AC28" s="12"/>
      <c r="AD28" s="12"/>
      <c r="AE28" s="95">
        <v>161.14</v>
      </c>
      <c r="AF28" s="12"/>
      <c r="AG28" s="12"/>
      <c r="AH28" s="95">
        <v>318.45</v>
      </c>
      <c r="AI28" s="12"/>
      <c r="AJ28" s="12"/>
      <c r="AK28" s="12"/>
      <c r="AL28" s="77">
        <v>579.05</v>
      </c>
      <c r="AO28" s="12"/>
      <c r="AP28" s="77">
        <v>537.36</v>
      </c>
      <c r="AQ28" s="12"/>
      <c r="AR28" s="12"/>
      <c r="AS28" s="12"/>
      <c r="AT28" s="89" t="s">
        <v>54</v>
      </c>
      <c r="AX28" s="77">
        <f>(1.08/1.2)*124.8</f>
        <v>112.32000000000001</v>
      </c>
      <c r="BC28" s="12"/>
      <c r="BD28" s="77">
        <f>0.77*313</f>
        <v>241.01000000000002</v>
      </c>
      <c r="BG28" s="7">
        <v>270</v>
      </c>
      <c r="BJ28" s="7">
        <v>324.3</v>
      </c>
      <c r="BN28" s="95">
        <v>264.64</v>
      </c>
      <c r="BQ28" s="12"/>
      <c r="BR28" s="12"/>
      <c r="BS28" s="12"/>
      <c r="BT28" s="12"/>
      <c r="BU28" s="7">
        <v>750</v>
      </c>
      <c r="BX28" s="7">
        <v>1265</v>
      </c>
      <c r="BZ28" s="12"/>
      <c r="CA28" s="7">
        <v>2115</v>
      </c>
      <c r="CD28" s="7">
        <f>(SUM(CD25:CD27)+2300)/5</f>
        <v>1445</v>
      </c>
      <c r="CG28" s="7">
        <v>800</v>
      </c>
      <c r="CJ28" s="7">
        <v>900</v>
      </c>
      <c r="CM28" s="7">
        <v>2500</v>
      </c>
      <c r="CP28" s="74">
        <v>2620.28</v>
      </c>
      <c r="CS28" s="94">
        <v>739.31</v>
      </c>
      <c r="CV28">
        <v>727.64</v>
      </c>
      <c r="CY28" s="7">
        <v>2007.9</v>
      </c>
      <c r="DB28" s="7">
        <v>1949.25</v>
      </c>
      <c r="DE28" s="12"/>
      <c r="DF28" s="7"/>
      <c r="DG28" s="12"/>
      <c r="DH28" s="12"/>
      <c r="DI28" s="74">
        <v>447.75</v>
      </c>
      <c r="DJ28" s="12"/>
      <c r="DK28" s="12"/>
      <c r="DL28">
        <v>415.51</v>
      </c>
      <c r="DM28" s="12"/>
      <c r="DN28" s="12"/>
      <c r="DO28" s="7">
        <v>384</v>
      </c>
      <c r="DP28" s="12"/>
      <c r="DQ28" s="12"/>
      <c r="DR28" s="7">
        <v>262.92</v>
      </c>
      <c r="DS28" s="12"/>
      <c r="DU28" s="7">
        <f>(1.08/1.2)*124.8</f>
        <v>112.32000000000001</v>
      </c>
      <c r="DX28" s="7"/>
      <c r="ED28" s="95">
        <v>342.1</v>
      </c>
      <c r="EG28" s="95">
        <v>173.1</v>
      </c>
      <c r="EJ28" s="95">
        <v>155.56</v>
      </c>
      <c r="EP28" s="7">
        <v>699.9</v>
      </c>
      <c r="ES28" s="57">
        <v>433.33</v>
      </c>
      <c r="EV28" s="95">
        <v>257.44</v>
      </c>
    </row>
    <row r="29" spans="1:152" ht="12">
      <c r="A29" t="s">
        <v>183</v>
      </c>
      <c r="B29" s="12"/>
      <c r="C29" s="27"/>
      <c r="D29" s="12"/>
      <c r="E29" s="12"/>
      <c r="F29" s="12"/>
      <c r="G29" s="7"/>
      <c r="H29" s="12"/>
      <c r="I29" s="12"/>
      <c r="J29" s="7"/>
      <c r="K29" s="12"/>
      <c r="L29" s="12"/>
      <c r="M29" s="74">
        <f t="shared" si="0"/>
        <v>122.79599999999999</v>
      </c>
      <c r="N29" s="12"/>
      <c r="O29" s="12"/>
      <c r="P29" s="7">
        <v>204.66</v>
      </c>
      <c r="Q29" s="12"/>
      <c r="R29" s="12"/>
      <c r="S29" s="12"/>
      <c r="T29" s="7"/>
      <c r="U29" s="12"/>
      <c r="V29" s="12"/>
      <c r="W29" s="12"/>
      <c r="X29" s="7"/>
      <c r="Y29" s="12"/>
      <c r="Z29" s="12"/>
      <c r="AA29" s="12"/>
      <c r="AB29" s="12"/>
      <c r="AC29" s="12"/>
      <c r="AD29" s="12"/>
      <c r="AE29" s="95">
        <v>161.14</v>
      </c>
      <c r="AF29" s="12"/>
      <c r="AG29" s="12"/>
      <c r="AH29" s="95">
        <v>318.45</v>
      </c>
      <c r="AI29" s="12"/>
      <c r="AJ29" s="12"/>
      <c r="AK29" s="12"/>
      <c r="AL29" s="77">
        <v>579.05</v>
      </c>
      <c r="AM29" s="12"/>
      <c r="AN29" s="12"/>
      <c r="AO29" s="12"/>
      <c r="AP29" s="77">
        <v>537.36</v>
      </c>
      <c r="AQ29" s="12"/>
      <c r="AR29" s="12"/>
      <c r="AS29" s="12"/>
      <c r="AT29" s="89" t="s">
        <v>54</v>
      </c>
      <c r="AU29" s="12"/>
      <c r="AV29" s="12"/>
      <c r="AW29" s="12"/>
      <c r="AX29" s="77">
        <f>(1.82/1.2)*124.8</f>
        <v>189.28000000000003</v>
      </c>
      <c r="AY29" s="12"/>
      <c r="AZ29" s="12"/>
      <c r="BA29" s="12"/>
      <c r="BB29" s="12"/>
      <c r="BC29" s="12"/>
      <c r="BD29" s="77">
        <f>0.82*313</f>
        <v>256.65999999999997</v>
      </c>
      <c r="BE29" s="12"/>
      <c r="BF29" s="12"/>
      <c r="BG29" s="7">
        <v>270</v>
      </c>
      <c r="BH29" s="12"/>
      <c r="BI29" s="12"/>
      <c r="BJ29" s="7">
        <v>324.3</v>
      </c>
      <c r="BK29" s="12"/>
      <c r="BL29" s="12"/>
      <c r="BM29" s="12"/>
      <c r="BN29" s="95">
        <v>264.64</v>
      </c>
      <c r="BO29" s="12"/>
      <c r="BP29" s="12"/>
      <c r="BQ29" s="12"/>
      <c r="BR29" s="7"/>
      <c r="BS29" s="12"/>
      <c r="BT29" s="12"/>
      <c r="BU29" s="7">
        <v>1500</v>
      </c>
      <c r="BX29" s="7">
        <v>1265</v>
      </c>
      <c r="BZ29" s="12"/>
      <c r="CA29" s="7">
        <v>3045</v>
      </c>
      <c r="CD29" s="7">
        <v>1500</v>
      </c>
      <c r="CG29" s="7">
        <v>1500</v>
      </c>
      <c r="CJ29" s="7">
        <v>1603</v>
      </c>
      <c r="CM29" s="7">
        <v>2500</v>
      </c>
      <c r="CP29" s="74">
        <v>2620.28</v>
      </c>
      <c r="CS29" s="94">
        <v>739.31</v>
      </c>
      <c r="CV29">
        <v>727.64</v>
      </c>
      <c r="CY29" s="7">
        <v>2007.9</v>
      </c>
      <c r="DB29" s="7">
        <v>1949.25</v>
      </c>
      <c r="DE29" s="12"/>
      <c r="DF29" s="7"/>
      <c r="DG29" s="12"/>
      <c r="DH29" s="12"/>
      <c r="DI29" s="74">
        <v>447.75</v>
      </c>
      <c r="DJ29" s="12"/>
      <c r="DK29" s="12"/>
      <c r="DL29">
        <v>415.51</v>
      </c>
      <c r="DM29" s="12"/>
      <c r="DN29" s="12"/>
      <c r="DO29" s="7">
        <v>384</v>
      </c>
      <c r="DP29" s="12"/>
      <c r="DQ29" s="12"/>
      <c r="DR29" s="7">
        <v>262.92</v>
      </c>
      <c r="DS29" s="12"/>
      <c r="DU29" s="7">
        <f>(1.82/1.2)*124.8</f>
        <v>189.28000000000003</v>
      </c>
      <c r="DX29" s="7"/>
      <c r="ED29" s="95">
        <v>342.1</v>
      </c>
      <c r="EG29" s="95">
        <v>173.1</v>
      </c>
      <c r="EJ29" s="95">
        <v>155.56</v>
      </c>
      <c r="EP29" s="7">
        <v>699.9</v>
      </c>
      <c r="ES29" s="57">
        <v>433.33</v>
      </c>
      <c r="EV29" s="95">
        <v>257.44</v>
      </c>
    </row>
    <row r="30" spans="1:152" ht="12">
      <c r="A30" t="s">
        <v>185</v>
      </c>
      <c r="B30" s="12"/>
      <c r="C30" s="27"/>
      <c r="D30" s="12"/>
      <c r="E30" s="12"/>
      <c r="F30" s="12"/>
      <c r="G30" s="7"/>
      <c r="H30" s="12"/>
      <c r="I30" s="12"/>
      <c r="J30" s="7"/>
      <c r="K30" s="12"/>
      <c r="L30" s="12"/>
      <c r="M30" s="74">
        <f t="shared" si="0"/>
        <v>123.444</v>
      </c>
      <c r="N30" s="12"/>
      <c r="O30" s="12"/>
      <c r="P30" s="7">
        <v>205.74</v>
      </c>
      <c r="Q30" s="12"/>
      <c r="R30" s="12"/>
      <c r="S30" s="12"/>
      <c r="T30" s="7"/>
      <c r="U30" s="12"/>
      <c r="V30" s="12"/>
      <c r="W30" s="12"/>
      <c r="X30" s="7"/>
      <c r="Y30" s="12"/>
      <c r="Z30" s="12"/>
      <c r="AA30" s="12"/>
      <c r="AB30" s="12"/>
      <c r="AC30" s="12"/>
      <c r="AD30" s="12"/>
      <c r="AE30" s="95">
        <v>161.14</v>
      </c>
      <c r="AF30" s="12"/>
      <c r="AG30" s="12"/>
      <c r="AH30" s="95">
        <v>318.45</v>
      </c>
      <c r="AI30" s="12"/>
      <c r="AJ30" s="12"/>
      <c r="AK30" s="12"/>
      <c r="AL30" s="77">
        <v>579.05</v>
      </c>
      <c r="AM30" s="12"/>
      <c r="AN30" s="12"/>
      <c r="AO30" s="12"/>
      <c r="AP30" s="77">
        <v>537.36</v>
      </c>
      <c r="AQ30" s="12"/>
      <c r="AR30" s="12"/>
      <c r="AS30" s="12"/>
      <c r="AT30" s="89" t="s">
        <v>54</v>
      </c>
      <c r="AU30" s="12"/>
      <c r="AV30" s="12"/>
      <c r="AW30" s="12"/>
      <c r="AX30" s="77">
        <f>(1.14/1.2)*124.8</f>
        <v>118.55999999999999</v>
      </c>
      <c r="AY30" s="12"/>
      <c r="AZ30" s="12"/>
      <c r="BA30" s="12"/>
      <c r="BB30" s="12"/>
      <c r="BC30" s="12"/>
      <c r="BD30" s="77">
        <f>0.81*313</f>
        <v>253.53000000000003</v>
      </c>
      <c r="BE30" s="12"/>
      <c r="BF30" s="12"/>
      <c r="BG30" s="7">
        <v>270</v>
      </c>
      <c r="BH30" s="12"/>
      <c r="BI30" s="12"/>
      <c r="BJ30" s="7">
        <v>324.3</v>
      </c>
      <c r="BK30" s="12"/>
      <c r="BL30" s="12"/>
      <c r="BM30" s="12"/>
      <c r="BN30" s="95">
        <v>264.64</v>
      </c>
      <c r="BO30" s="12"/>
      <c r="BP30" s="12"/>
      <c r="BQ30" s="12"/>
      <c r="BR30" s="7"/>
      <c r="BS30" s="12"/>
      <c r="BT30" s="12"/>
      <c r="BU30" s="7">
        <v>2000</v>
      </c>
      <c r="BX30" s="7">
        <v>1265</v>
      </c>
      <c r="BZ30" s="12"/>
      <c r="CA30" s="7">
        <v>2300</v>
      </c>
      <c r="CD30" s="7">
        <v>1500</v>
      </c>
      <c r="CG30" s="7">
        <v>1500</v>
      </c>
      <c r="CJ30" s="7">
        <v>1603</v>
      </c>
      <c r="CM30" s="7">
        <v>2500</v>
      </c>
      <c r="CP30" s="74">
        <v>2620.28</v>
      </c>
      <c r="CS30" s="94">
        <v>739.31</v>
      </c>
      <c r="CV30">
        <v>727.64</v>
      </c>
      <c r="CY30" s="7">
        <v>2007.9</v>
      </c>
      <c r="DB30" s="7">
        <v>1949.25</v>
      </c>
      <c r="DD30" s="5"/>
      <c r="DE30" s="12"/>
      <c r="DF30" s="7"/>
      <c r="DG30" s="12"/>
      <c r="DH30" s="12"/>
      <c r="DI30" s="74">
        <v>447.75</v>
      </c>
      <c r="DJ30" s="12"/>
      <c r="DK30" s="12"/>
      <c r="DL30">
        <v>415.51</v>
      </c>
      <c r="DM30" s="12"/>
      <c r="DN30" s="12"/>
      <c r="DO30" s="7">
        <v>358.74</v>
      </c>
      <c r="DP30" s="12"/>
      <c r="DQ30" s="12"/>
      <c r="DR30" s="7">
        <v>262.92</v>
      </c>
      <c r="DS30" s="12"/>
      <c r="DU30" s="7">
        <f>(1.14/1.2)*124.8</f>
        <v>118.55999999999999</v>
      </c>
      <c r="DX30" s="7"/>
      <c r="ED30" s="95">
        <v>342.1</v>
      </c>
      <c r="EG30" s="95">
        <v>173.1</v>
      </c>
      <c r="EJ30" s="95">
        <v>155.56</v>
      </c>
      <c r="EP30" s="7">
        <v>699.9</v>
      </c>
      <c r="ES30" s="57">
        <v>433.33</v>
      </c>
      <c r="EV30" s="95">
        <v>257.44</v>
      </c>
    </row>
    <row r="31" spans="1:152" ht="12">
      <c r="A31" s="57" t="s">
        <v>73</v>
      </c>
      <c r="B31" s="12"/>
      <c r="C31" s="27"/>
      <c r="D31" s="12"/>
      <c r="E31" s="12"/>
      <c r="F31" s="12"/>
      <c r="G31" s="7"/>
      <c r="H31" s="12"/>
      <c r="I31" s="12"/>
      <c r="J31" s="7"/>
      <c r="K31" s="12"/>
      <c r="L31" s="12"/>
      <c r="M31" s="74">
        <f t="shared" si="0"/>
        <v>154.33200000000002</v>
      </c>
      <c r="N31" s="12"/>
      <c r="O31" s="12"/>
      <c r="P31" s="7">
        <v>257.22</v>
      </c>
      <c r="Q31" s="12"/>
      <c r="R31" s="12"/>
      <c r="S31" s="12"/>
      <c r="T31" s="7"/>
      <c r="U31" s="12"/>
      <c r="V31" s="12"/>
      <c r="W31" s="12"/>
      <c r="X31" s="7"/>
      <c r="Y31" s="12"/>
      <c r="Z31" s="12"/>
      <c r="AA31" s="12"/>
      <c r="AB31" s="12"/>
      <c r="AC31" s="12"/>
      <c r="AD31" s="12"/>
      <c r="AE31" s="95">
        <v>161.14</v>
      </c>
      <c r="AF31" s="12"/>
      <c r="AG31" s="12"/>
      <c r="AH31" s="95">
        <v>318.45</v>
      </c>
      <c r="AI31" s="12"/>
      <c r="AJ31" s="12"/>
      <c r="AK31" s="12"/>
      <c r="AL31" s="77">
        <v>579.05</v>
      </c>
      <c r="AM31" s="12"/>
      <c r="AN31" s="12"/>
      <c r="AO31" s="12"/>
      <c r="AP31" s="77">
        <v>537.36</v>
      </c>
      <c r="AQ31" s="12"/>
      <c r="AR31" s="12"/>
      <c r="AS31" s="12"/>
      <c r="AT31" s="89" t="s">
        <v>54</v>
      </c>
      <c r="AU31" s="12"/>
      <c r="AV31" s="12"/>
      <c r="AW31" s="12"/>
      <c r="AX31" s="77">
        <f>(2.32/1.2)*124.8</f>
        <v>241.28</v>
      </c>
      <c r="AY31" s="12"/>
      <c r="AZ31" s="12"/>
      <c r="BA31" s="12"/>
      <c r="BB31" s="12"/>
      <c r="BC31" s="12"/>
      <c r="BD31" s="77">
        <f>1.16*313</f>
        <v>363.08</v>
      </c>
      <c r="BE31" s="12"/>
      <c r="BF31" s="12"/>
      <c r="BG31" s="7">
        <v>270</v>
      </c>
      <c r="BH31" s="12"/>
      <c r="BI31" s="12"/>
      <c r="BJ31" s="7">
        <v>324.3</v>
      </c>
      <c r="BK31" s="12"/>
      <c r="BL31" s="12"/>
      <c r="BM31" s="12"/>
      <c r="BN31" s="95">
        <v>264.64</v>
      </c>
      <c r="BO31" s="12"/>
      <c r="BP31" s="12"/>
      <c r="BQ31" s="12"/>
      <c r="BR31" s="7"/>
      <c r="BS31" s="12"/>
      <c r="BT31" s="12"/>
      <c r="BU31" s="7">
        <v>500</v>
      </c>
      <c r="BX31" s="7">
        <v>1265</v>
      </c>
      <c r="BZ31" s="12"/>
      <c r="CA31" s="7">
        <v>2500</v>
      </c>
      <c r="CD31" s="7">
        <v>800</v>
      </c>
      <c r="CG31" s="7">
        <v>800</v>
      </c>
      <c r="CJ31" s="7">
        <v>900</v>
      </c>
      <c r="CM31" s="7">
        <v>1600</v>
      </c>
      <c r="CP31" s="74">
        <v>2620.28</v>
      </c>
      <c r="CS31" s="94">
        <v>739.31</v>
      </c>
      <c r="CV31">
        <v>727.64</v>
      </c>
      <c r="CY31" s="7">
        <v>2007.9</v>
      </c>
      <c r="DB31" s="7">
        <v>1949.25</v>
      </c>
      <c r="DD31" s="5"/>
      <c r="DE31" s="12"/>
      <c r="DF31" s="7"/>
      <c r="DG31" s="12"/>
      <c r="DH31" s="12"/>
      <c r="DI31" s="74">
        <v>447.75</v>
      </c>
      <c r="DJ31" s="12"/>
      <c r="DK31" s="12"/>
      <c r="DL31">
        <v>415.51</v>
      </c>
      <c r="DM31" s="12"/>
      <c r="DN31" s="12"/>
      <c r="DO31" s="7">
        <v>384</v>
      </c>
      <c r="DP31" s="12"/>
      <c r="DQ31" s="12"/>
      <c r="DR31" s="7">
        <v>262.92</v>
      </c>
      <c r="DS31" s="12"/>
      <c r="DU31" s="7">
        <f>(2.32/1.2)*124.8</f>
        <v>241.28</v>
      </c>
      <c r="DX31" s="7"/>
      <c r="ED31" s="95">
        <v>342.1</v>
      </c>
      <c r="EG31" s="95">
        <v>173.1</v>
      </c>
      <c r="EJ31" s="95">
        <v>155.56</v>
      </c>
      <c r="EP31" s="7">
        <v>699.9</v>
      </c>
      <c r="ES31" s="57">
        <v>433.33</v>
      </c>
      <c r="EV31" s="95">
        <v>257.44</v>
      </c>
    </row>
    <row r="32" spans="1:152" s="5" customFormat="1" ht="12">
      <c r="A32" s="62" t="s">
        <v>44</v>
      </c>
      <c r="B32" s="13"/>
      <c r="C32" s="86"/>
      <c r="D32" s="36"/>
      <c r="E32" s="64"/>
      <c r="F32" s="13"/>
      <c r="G32" s="65"/>
      <c r="H32" s="36"/>
      <c r="I32" s="36"/>
      <c r="J32" s="65"/>
      <c r="K32" s="36"/>
      <c r="L32" s="36"/>
      <c r="M32" s="9">
        <f t="shared" si="0"/>
        <v>120.8115</v>
      </c>
      <c r="N32" s="36"/>
      <c r="O32" s="36"/>
      <c r="P32" s="65">
        <f>SUM(P24:P31)/8</f>
        <v>201.3525</v>
      </c>
      <c r="Q32" s="36"/>
      <c r="R32" s="13"/>
      <c r="S32" s="13"/>
      <c r="T32" s="9"/>
      <c r="U32" s="13"/>
      <c r="V32" s="13"/>
      <c r="W32" s="36"/>
      <c r="X32" s="9"/>
      <c r="Y32" s="36"/>
      <c r="Z32" s="36"/>
      <c r="AA32" s="36"/>
      <c r="AB32" s="36"/>
      <c r="AC32" s="36"/>
      <c r="AD32" s="36"/>
      <c r="AE32" s="95">
        <v>161.14</v>
      </c>
      <c r="AF32" s="36"/>
      <c r="AG32" s="36"/>
      <c r="AH32" s="95">
        <v>318.45</v>
      </c>
      <c r="AI32" s="36"/>
      <c r="AJ32" s="36"/>
      <c r="AK32" s="13"/>
      <c r="AL32" s="65">
        <v>579.05</v>
      </c>
      <c r="AM32" s="36"/>
      <c r="AN32" s="36"/>
      <c r="AO32" s="13"/>
      <c r="AP32" s="65">
        <v>537.36</v>
      </c>
      <c r="AQ32" s="13"/>
      <c r="AR32" s="13"/>
      <c r="AS32" s="13"/>
      <c r="AT32" s="89" t="s">
        <v>54</v>
      </c>
      <c r="AU32" s="36"/>
      <c r="AV32" s="36"/>
      <c r="AW32" s="36"/>
      <c r="AX32" s="65">
        <f>SUM(AX24:AX31)/8</f>
        <v>150.3542857142857</v>
      </c>
      <c r="AY32" s="36"/>
      <c r="AZ32" s="36"/>
      <c r="BA32" s="36"/>
      <c r="BB32" s="36"/>
      <c r="BC32" s="13"/>
      <c r="BD32" s="65">
        <f>SUM(BD24:BD31)/8</f>
        <v>280.135</v>
      </c>
      <c r="BE32" s="36"/>
      <c r="BF32" s="36"/>
      <c r="BG32" s="74">
        <v>270</v>
      </c>
      <c r="BH32" s="36"/>
      <c r="BI32" s="36"/>
      <c r="BJ32" s="65">
        <f>SUM(BJ24:BJ31)/8</f>
        <v>324.3</v>
      </c>
      <c r="BK32" s="36"/>
      <c r="BL32" s="36"/>
      <c r="BM32" s="36"/>
      <c r="BN32" s="95">
        <v>264.64</v>
      </c>
      <c r="BO32" s="36"/>
      <c r="BP32" s="36"/>
      <c r="BQ32" s="13"/>
      <c r="BR32" s="65"/>
      <c r="BS32" s="36"/>
      <c r="BT32" s="36"/>
      <c r="BU32" s="65">
        <f>SUM(BU24:BU31)/8</f>
        <v>1189.625</v>
      </c>
      <c r="BV32" s="65"/>
      <c r="BW32" s="65"/>
      <c r="BX32" s="65">
        <f>SUM(BX24:BX31)/8</f>
        <v>1265</v>
      </c>
      <c r="BY32" s="65"/>
      <c r="BZ32" s="36"/>
      <c r="CA32" s="65">
        <f>SUM(CA24:CA31)/8</f>
        <v>2496.75</v>
      </c>
      <c r="CD32" s="9">
        <f>SUM(CD24:CD31)/8</f>
        <v>1458.75</v>
      </c>
      <c r="CG32" s="9">
        <f>SUM(CG24:CG31)/8</f>
        <v>1402.75</v>
      </c>
      <c r="CJ32" s="9">
        <f>SUM(CJ24:CJ31)/8</f>
        <v>1537.375</v>
      </c>
      <c r="CM32" s="9">
        <f>SUM(CM24:CM31)/8</f>
        <v>2172.5</v>
      </c>
      <c r="CP32" s="9">
        <f>SUM(CP24:CP31)/8</f>
        <v>2620.28</v>
      </c>
      <c r="CS32" s="94">
        <v>739.31</v>
      </c>
      <c r="CV32" s="5">
        <v>727.64</v>
      </c>
      <c r="CY32" s="9">
        <f>SUM(CY24:CY31)/8</f>
        <v>2007.8999999999999</v>
      </c>
      <c r="DB32" s="9">
        <f>SUM(DB24:DB31)/8</f>
        <v>1949.25</v>
      </c>
      <c r="DE32" s="13"/>
      <c r="DF32" s="65"/>
      <c r="DG32" s="36"/>
      <c r="DH32" s="13"/>
      <c r="DI32" s="9">
        <v>447.75</v>
      </c>
      <c r="DJ32" s="13"/>
      <c r="DK32" s="13"/>
      <c r="DL32" s="5">
        <v>415.51</v>
      </c>
      <c r="DM32" s="13"/>
      <c r="DN32" s="13"/>
      <c r="DO32" s="9">
        <f>SUM(DO24:DO31)/8</f>
        <v>371.36875</v>
      </c>
      <c r="DP32" s="13"/>
      <c r="DQ32" s="13"/>
      <c r="DR32" s="9">
        <f>SUM(DR24:DR31)/8</f>
        <v>262.92</v>
      </c>
      <c r="DS32" s="13"/>
      <c r="DU32" s="9">
        <f>SUM(DU24:DU31)/8</f>
        <v>146.76999999999998</v>
      </c>
      <c r="DX32" s="9"/>
      <c r="ED32" s="95">
        <v>342.1</v>
      </c>
      <c r="EG32" s="95">
        <v>173.1</v>
      </c>
      <c r="EJ32" s="95">
        <v>155.56</v>
      </c>
      <c r="EP32" s="9">
        <v>699.9</v>
      </c>
      <c r="ES32" s="5">
        <v>433.33</v>
      </c>
      <c r="EV32" s="95">
        <v>257.44</v>
      </c>
    </row>
    <row r="33" spans="1:152" s="5" customFormat="1" ht="12">
      <c r="A33" s="5" t="s">
        <v>45</v>
      </c>
      <c r="B33" s="13"/>
      <c r="C33" s="86"/>
      <c r="D33" s="13"/>
      <c r="E33" s="64"/>
      <c r="F33" s="13"/>
      <c r="G33" s="65"/>
      <c r="H33" s="13"/>
      <c r="M33" s="9">
        <f t="shared" si="0"/>
        <v>118.4328</v>
      </c>
      <c r="P33" s="9">
        <f>(P32*8-P24-P25-P31)/5</f>
        <v>197.388</v>
      </c>
      <c r="S33" s="13"/>
      <c r="T33" s="9"/>
      <c r="U33" s="13"/>
      <c r="W33" s="13"/>
      <c r="X33" s="9"/>
      <c r="Y33" s="13"/>
      <c r="Z33" s="13"/>
      <c r="AA33" s="13"/>
      <c r="AB33" s="13"/>
      <c r="AC33" s="13"/>
      <c r="AD33" s="13"/>
      <c r="AE33" s="95">
        <v>161.14</v>
      </c>
      <c r="AF33" s="13"/>
      <c r="AG33" s="13"/>
      <c r="AH33" s="95">
        <v>318.45</v>
      </c>
      <c r="AI33" s="13"/>
      <c r="AJ33" s="13"/>
      <c r="AK33" s="13"/>
      <c r="AL33" s="65">
        <v>579.05</v>
      </c>
      <c r="AM33" s="13"/>
      <c r="AN33" s="13"/>
      <c r="AO33" s="13"/>
      <c r="AP33" s="65">
        <v>537.36</v>
      </c>
      <c r="AQ33" s="13"/>
      <c r="AR33" s="13"/>
      <c r="AS33" s="13"/>
      <c r="AT33" s="89" t="s">
        <v>54</v>
      </c>
      <c r="AU33" s="13"/>
      <c r="AV33" s="13"/>
      <c r="AW33" s="13"/>
      <c r="AX33" s="65">
        <f>(AX32*8-AX24-AX25-AX31)/5</f>
        <v>143.10399999999998</v>
      </c>
      <c r="AY33" s="13"/>
      <c r="AZ33" s="13"/>
      <c r="BA33" s="13"/>
      <c r="BB33" s="13"/>
      <c r="BC33" s="13"/>
      <c r="BD33" s="65">
        <f>(BD32*8-BD24-BD25-BD31)/5</f>
        <v>258.538</v>
      </c>
      <c r="BE33" s="13"/>
      <c r="BF33" s="13"/>
      <c r="BG33" s="74">
        <v>270</v>
      </c>
      <c r="BH33" s="13"/>
      <c r="BI33" s="13"/>
      <c r="BJ33" s="65">
        <f>(BJ32*8-BJ24-BJ25-BJ31)/5</f>
        <v>324.3</v>
      </c>
      <c r="BK33" s="13"/>
      <c r="BL33" s="13"/>
      <c r="BM33" s="13"/>
      <c r="BN33" s="95">
        <v>264.64</v>
      </c>
      <c r="BO33" s="13"/>
      <c r="BP33" s="13"/>
      <c r="BQ33" s="13"/>
      <c r="BR33" s="65"/>
      <c r="BS33" s="13"/>
      <c r="BT33" s="13"/>
      <c r="BU33" s="9">
        <f>(BU32*8-BU24-BU25-BU31)/5</f>
        <v>1220</v>
      </c>
      <c r="BV33" s="9"/>
      <c r="BW33" s="9"/>
      <c r="BX33" s="9">
        <f>(BX32*8-BX24-BX25-BX31)/5</f>
        <v>1265</v>
      </c>
      <c r="BY33" s="9"/>
      <c r="BZ33" s="13"/>
      <c r="CA33" s="9">
        <f>(CA32*8-CA24-CA25-CA31)/5</f>
        <v>2496.6</v>
      </c>
      <c r="CD33" s="9">
        <f>(CD32*8-CD24-CD25-CD31)/5</f>
        <v>1234</v>
      </c>
      <c r="CG33" s="9">
        <f>(CG32*8-CG24-CG25-CG31)/5</f>
        <v>1305</v>
      </c>
      <c r="CJ33" s="9">
        <f>(CJ32*8-CJ25-CJ24-CJ31)/5</f>
        <v>1321.8</v>
      </c>
      <c r="CM33" s="9">
        <f>(CM32*8-CM24-CM25-CM31)/5</f>
        <v>2400</v>
      </c>
      <c r="CP33" s="9">
        <f>(CP32*8-CP24-CP25-CP31)/5</f>
        <v>2620.28</v>
      </c>
      <c r="CS33" s="94">
        <v>739.31</v>
      </c>
      <c r="CV33" s="5">
        <v>727.64</v>
      </c>
      <c r="CY33" s="9">
        <f>(CY32*8-CY24-CY25-CY31)/5</f>
        <v>2007.9</v>
      </c>
      <c r="DB33" s="9">
        <f>(DB32*8-DB24-DB25-DB31)/5</f>
        <v>1949.25</v>
      </c>
      <c r="DE33" s="13"/>
      <c r="DF33" s="65"/>
      <c r="DG33" s="13"/>
      <c r="DH33" s="13"/>
      <c r="DI33" s="9">
        <f>(DI32*8-DI24-DI25-DI31)/5</f>
        <v>447.75</v>
      </c>
      <c r="DJ33" s="13"/>
      <c r="DK33" s="13"/>
      <c r="DL33" s="9">
        <f>(DL32*8-DL24-DL25-DL31)/5</f>
        <v>415.5099999999999</v>
      </c>
      <c r="DM33" s="13"/>
      <c r="DN33" s="13"/>
      <c r="DO33" s="9">
        <f>(DO32*8-DO24-DO25-DO31)/5</f>
        <v>363.78999999999996</v>
      </c>
      <c r="DP33" s="13"/>
      <c r="DQ33" s="13"/>
      <c r="DR33" s="9">
        <f>(DR32*8-DR24-DR25-DR31)/5</f>
        <v>262.91999999999996</v>
      </c>
      <c r="DS33" s="13"/>
      <c r="DU33" s="9">
        <f>(DU32*8-DU24-DU25-DU31)/5</f>
        <v>143.10399999999998</v>
      </c>
      <c r="DX33" s="9"/>
      <c r="ED33" s="95">
        <v>342.1</v>
      </c>
      <c r="EG33" s="95">
        <v>173.1</v>
      </c>
      <c r="EJ33" s="95">
        <v>155.56</v>
      </c>
      <c r="EP33" s="9">
        <v>699.9</v>
      </c>
      <c r="ES33" s="5">
        <v>433.33</v>
      </c>
      <c r="EV33" s="95">
        <v>257.44</v>
      </c>
    </row>
    <row r="34" spans="1:152" s="5" customFormat="1" ht="12">
      <c r="A34" s="5" t="s">
        <v>47</v>
      </c>
      <c r="B34" s="13"/>
      <c r="C34" s="86"/>
      <c r="D34" s="13"/>
      <c r="E34" s="64"/>
      <c r="F34" s="13"/>
      <c r="G34" s="65"/>
      <c r="H34" s="13"/>
      <c r="M34" s="9">
        <f t="shared" si="0"/>
        <v>146.1792</v>
      </c>
      <c r="P34" s="9">
        <f>(P32*8-P24-P25-26)/5</f>
        <v>243.632</v>
      </c>
      <c r="S34" s="13"/>
      <c r="T34" s="9"/>
      <c r="U34" s="13"/>
      <c r="W34" s="13"/>
      <c r="X34" s="9"/>
      <c r="Y34" s="13"/>
      <c r="Z34" s="13"/>
      <c r="AA34" s="13"/>
      <c r="AB34" s="13"/>
      <c r="AC34" s="13"/>
      <c r="AD34" s="13"/>
      <c r="AE34" s="95">
        <v>161.14</v>
      </c>
      <c r="AF34" s="13"/>
      <c r="AG34" s="13"/>
      <c r="AH34" s="95">
        <v>318.45</v>
      </c>
      <c r="AI34" s="13"/>
      <c r="AJ34" s="13"/>
      <c r="AK34" s="13"/>
      <c r="AL34" s="65">
        <v>579.05</v>
      </c>
      <c r="AM34" s="13"/>
      <c r="AN34" s="13"/>
      <c r="AO34" s="13"/>
      <c r="AP34" s="65">
        <v>537.36</v>
      </c>
      <c r="AQ34" s="13"/>
      <c r="AR34" s="13"/>
      <c r="AS34" s="13"/>
      <c r="AT34" s="89" t="s">
        <v>54</v>
      </c>
      <c r="AU34" s="13"/>
      <c r="AV34" s="13"/>
      <c r="AW34" s="13"/>
      <c r="AX34" s="65">
        <f>(AX32*8-AX24-AX25-AX27)/5</f>
        <v>167.024</v>
      </c>
      <c r="AY34" s="13"/>
      <c r="AZ34" s="13"/>
      <c r="BA34" s="13"/>
      <c r="BB34" s="13"/>
      <c r="BC34" s="13"/>
      <c r="BD34" s="65">
        <f>(BD32*8-BD24-BD25-BD27)/5</f>
        <v>278.57</v>
      </c>
      <c r="BE34" s="13"/>
      <c r="BF34" s="13"/>
      <c r="BG34" s="9">
        <v>270</v>
      </c>
      <c r="BH34" s="13"/>
      <c r="BI34" s="13"/>
      <c r="BJ34" s="65">
        <f>(BJ32*8-BJ24-BJ25-BJ27)/5</f>
        <v>324.3</v>
      </c>
      <c r="BK34" s="13"/>
      <c r="BL34" s="13"/>
      <c r="BM34" s="13"/>
      <c r="BN34" s="95">
        <v>264.64</v>
      </c>
      <c r="BO34" s="13"/>
      <c r="BP34" s="13"/>
      <c r="BQ34" s="13"/>
      <c r="BR34" s="65"/>
      <c r="BS34" s="13"/>
      <c r="BT34" s="13"/>
      <c r="BU34" s="9">
        <f>(BU32*8-BU25-BU24-BU27)/5</f>
        <v>1100</v>
      </c>
      <c r="BV34" s="9"/>
      <c r="BW34" s="9"/>
      <c r="BX34" s="9">
        <f>(BX32*8-BX25-BX24-BX27)/5</f>
        <v>1265</v>
      </c>
      <c r="BY34" s="9"/>
      <c r="BZ34" s="13"/>
      <c r="CA34" s="9">
        <f>(CA32*8-CA25-CA24-CA27)/5</f>
        <v>2552.8</v>
      </c>
      <c r="CD34" s="9">
        <f>(CD32*8-CD25-CD24-CD27)/5</f>
        <v>1094</v>
      </c>
      <c r="CG34" s="9">
        <f>(CG32*8-CG24-CG25-CG27)/5</f>
        <v>965</v>
      </c>
      <c r="CJ34" s="9">
        <f>(CJ32*8-CJ24-CJ25-CJ27)/5</f>
        <v>1181.2</v>
      </c>
      <c r="CM34" s="9">
        <f>(CM32*8-CM24-CM25-CM27)/5</f>
        <v>2320</v>
      </c>
      <c r="CP34" s="9">
        <f>(CP32*8-CP24-CP25-CP27)/5</f>
        <v>2620.28</v>
      </c>
      <c r="CS34" s="94">
        <v>739.31</v>
      </c>
      <c r="CV34" s="5">
        <v>727.64</v>
      </c>
      <c r="CY34" s="9">
        <f>(CY32*8-CY24-CY25-CY27)/5</f>
        <v>2007.9</v>
      </c>
      <c r="DB34" s="9">
        <f>(DB32*8-DB24-DB25-DB27)/5</f>
        <v>1949.25</v>
      </c>
      <c r="DD34" s="57"/>
      <c r="DE34" s="13"/>
      <c r="DF34" s="65"/>
      <c r="DG34" s="13"/>
      <c r="DH34" s="13"/>
      <c r="DI34" s="9">
        <f>(DI32*8-DI24-DI25-DI27)/5</f>
        <v>447.75</v>
      </c>
      <c r="DJ34" s="13"/>
      <c r="DK34" s="13"/>
      <c r="DL34" s="9">
        <f>(DL32*8-DL24-DL25-DL27)/5</f>
        <v>415.5099999999999</v>
      </c>
      <c r="DM34" s="13"/>
      <c r="DN34" s="13"/>
      <c r="DO34" s="9">
        <f>(DO32*8-DO24-DO25-DO27)/5</f>
        <v>373.89599999999996</v>
      </c>
      <c r="DP34" s="13"/>
      <c r="DQ34" s="13"/>
      <c r="DR34" s="9">
        <f>(DR32*8-DR24-DR25-DR27)/5</f>
        <v>262.91999999999996</v>
      </c>
      <c r="DS34" s="13"/>
      <c r="DU34" s="9">
        <f>(DU32*8-DU24-DU25-DU27)/5</f>
        <v>167.02399999999997</v>
      </c>
      <c r="DX34" s="9"/>
      <c r="ED34" s="95">
        <v>342.1</v>
      </c>
      <c r="EG34" s="95">
        <v>173.1</v>
      </c>
      <c r="EJ34" s="95">
        <v>155.56</v>
      </c>
      <c r="EP34" s="9">
        <v>699.9</v>
      </c>
      <c r="ES34" s="5">
        <v>433.33</v>
      </c>
      <c r="EV34" s="95">
        <v>257.44</v>
      </c>
    </row>
    <row r="35" spans="2:146" ht="12">
      <c r="B35" s="12"/>
      <c r="C35" s="27"/>
      <c r="E35" s="12"/>
      <c r="F35" s="12"/>
      <c r="G35" s="7"/>
      <c r="H35" s="12"/>
      <c r="I35" s="12"/>
      <c r="J35" s="7"/>
      <c r="K35" s="12"/>
      <c r="L35" s="12"/>
      <c r="N35" s="12"/>
      <c r="O35" s="12"/>
      <c r="Q35" s="12"/>
      <c r="R35" s="12"/>
      <c r="S35" s="12"/>
      <c r="T35" s="7"/>
      <c r="U35" s="12"/>
      <c r="V35" s="12"/>
      <c r="W35" s="12"/>
      <c r="AK35" s="12"/>
      <c r="AO35" s="12"/>
      <c r="AQ35" s="12"/>
      <c r="AR35" s="12"/>
      <c r="AS35" s="12"/>
      <c r="AT35" s="89"/>
      <c r="BC35" s="12"/>
      <c r="BE35" s="12"/>
      <c r="BF35" s="12"/>
      <c r="BH35" s="12"/>
      <c r="BI35" s="12"/>
      <c r="BK35" s="12"/>
      <c r="BL35" s="12"/>
      <c r="BM35" s="12"/>
      <c r="BO35" s="12"/>
      <c r="BP35" s="12"/>
      <c r="BQ35" s="12"/>
      <c r="CY35"/>
      <c r="DD35" s="5"/>
      <c r="DE35" s="12"/>
      <c r="DH35" s="12"/>
      <c r="DK35" s="12"/>
      <c r="DN35" s="12"/>
      <c r="DQ35" s="12"/>
      <c r="DX35" s="7"/>
      <c r="EJ35" s="9"/>
      <c r="EP35" s="7"/>
    </row>
    <row r="36" spans="1:152" s="5" customFormat="1" ht="12">
      <c r="A36" s="62" t="s">
        <v>48</v>
      </c>
      <c r="B36" s="13"/>
      <c r="C36" s="86"/>
      <c r="D36" s="36"/>
      <c r="E36" s="64"/>
      <c r="F36" s="36"/>
      <c r="G36" s="65"/>
      <c r="H36" s="36"/>
      <c r="I36" s="36"/>
      <c r="J36" s="65"/>
      <c r="K36" s="36"/>
      <c r="L36" s="36"/>
      <c r="M36" s="9">
        <f t="shared" si="0"/>
        <v>137.97119999999998</v>
      </c>
      <c r="N36" s="36"/>
      <c r="O36" s="36"/>
      <c r="P36" s="65">
        <f>(266.39*6+224.04*3+196.47*6)/15</f>
        <v>229.95199999999997</v>
      </c>
      <c r="Q36" s="36"/>
      <c r="R36" s="13"/>
      <c r="S36" s="13"/>
      <c r="T36" s="9"/>
      <c r="U36" s="13"/>
      <c r="V36" s="13"/>
      <c r="W36" s="36"/>
      <c r="X36" s="65"/>
      <c r="Y36" s="36"/>
      <c r="Z36" s="36"/>
      <c r="AA36" s="36"/>
      <c r="AB36" s="36"/>
      <c r="AC36" s="36"/>
      <c r="AD36" s="36"/>
      <c r="AE36" s="95">
        <f>(AE33*7+AE20*3+AE15*6)/16</f>
        <v>174.311875</v>
      </c>
      <c r="AF36" s="36"/>
      <c r="AG36" s="36"/>
      <c r="AH36" s="95">
        <f>(AH33*7+AH20*3+AH15*6)/16</f>
        <v>344.484375</v>
      </c>
      <c r="AI36" s="36"/>
      <c r="AJ36" s="36"/>
      <c r="AK36" s="36"/>
      <c r="AL36" s="65">
        <f>(AL15*6+AL20*3+AL32*7)/16</f>
        <v>570.5506249999999</v>
      </c>
      <c r="AM36" s="36"/>
      <c r="AN36" s="36"/>
      <c r="AO36" s="13"/>
      <c r="AP36" s="65">
        <f>(AP15*6+AP20*3-AP31+AP32*8)/16</f>
        <v>529.47375</v>
      </c>
      <c r="AQ36" s="13"/>
      <c r="AR36" s="13"/>
      <c r="AS36" s="36"/>
      <c r="AT36" s="89" t="s">
        <v>54</v>
      </c>
      <c r="AU36" s="36"/>
      <c r="AV36" s="36"/>
      <c r="AW36" s="36"/>
      <c r="AX36" s="65">
        <f>(AX15*6+AX20*3-AX31+AX32*8)/16</f>
        <v>144.6716761904762</v>
      </c>
      <c r="AY36" s="36"/>
      <c r="AZ36" s="36"/>
      <c r="BA36" s="36"/>
      <c r="BB36" s="36"/>
      <c r="BC36" s="36"/>
      <c r="BD36" s="65">
        <f>(BD15*6+BD20*3+BD32*8-BD31)/16</f>
        <v>300.284375</v>
      </c>
      <c r="BE36" s="36"/>
      <c r="BF36" s="36"/>
      <c r="BG36" s="65">
        <f>(BG15*6+BG20*3+BG32*8-BG31)/16</f>
        <v>270</v>
      </c>
      <c r="BH36" s="36"/>
      <c r="BI36" s="36"/>
      <c r="BJ36" s="65">
        <f>(BJ15*6+BJ20*3+BJ32*8-BJ31)/16</f>
        <v>324.3</v>
      </c>
      <c r="BK36" s="36"/>
      <c r="BL36" s="36"/>
      <c r="BM36" s="36"/>
      <c r="BN36" s="95">
        <f>(BN15*6+BN20*3+BN32*8-BN31)/16</f>
        <v>349.665625</v>
      </c>
      <c r="BO36" s="36"/>
      <c r="BP36" s="36"/>
      <c r="BQ36" s="36"/>
      <c r="BR36" s="65"/>
      <c r="BS36" s="36"/>
      <c r="BT36" s="36"/>
      <c r="BU36" s="65">
        <f>(BU15*6+BU20*3+BU32*8-BU31)/16</f>
        <v>1051.0175</v>
      </c>
      <c r="BV36" s="65"/>
      <c r="BW36" s="65"/>
      <c r="BX36" s="65">
        <f>(BX15*6+BX20*3+BX32*8-BX31)/16</f>
        <v>1265</v>
      </c>
      <c r="BY36" s="65"/>
      <c r="BZ36" s="36"/>
      <c r="CA36" s="65">
        <f>(CA15*6+CA20*3+CA32*8-CA31)/16</f>
        <v>2330.25</v>
      </c>
      <c r="CD36" s="9">
        <f>(CD15*6+CD20*3+CD32*8-CD31)/16</f>
        <v>1745</v>
      </c>
      <c r="CG36" s="9">
        <f>(CG15*6+CG20*3+CG32*8-CG31)/16</f>
        <v>1463.875</v>
      </c>
      <c r="CJ36" s="9">
        <f>(CJ15*6+CJ20*3+CJ32*8-CJ31)/16</f>
        <v>1331.1875</v>
      </c>
      <c r="CM36" s="9">
        <f>(CM15*6+CM20*3+CM32*8-CM32)/16</f>
        <v>1891.09375</v>
      </c>
      <c r="CP36" s="9">
        <f>(CP15*6+CP20*3+CP32*8-CP32)/16</f>
        <v>2620.28</v>
      </c>
      <c r="CS36" s="95">
        <f>(CS15*6+CS20*3+CS32*8-CS32)/16</f>
        <v>1004.77625</v>
      </c>
      <c r="CV36" s="9">
        <f>(CV15*6+CV20*3+CV32*8-CV31)/16</f>
        <v>735.615</v>
      </c>
      <c r="CY36" s="9">
        <f>(CY15*6+CY20*3+CY32*8-CY31)/16</f>
        <v>2007.8999999999996</v>
      </c>
      <c r="DB36" s="9">
        <f>(DB15*6+DB20*3+DB32*8-DB31)/16</f>
        <v>1949.25</v>
      </c>
      <c r="DE36" s="36"/>
      <c r="DF36" s="65"/>
      <c r="DG36" s="36"/>
      <c r="DH36" s="36"/>
      <c r="DI36" s="9">
        <f>(DI15*6+DI20*3+DI32*8-DI31)/16</f>
        <v>503.72062500000004</v>
      </c>
      <c r="DJ36" s="36"/>
      <c r="DK36" s="36"/>
      <c r="DL36" s="9">
        <f>(DL15*6+DL20*3+DL32*8-DL31)/16</f>
        <v>467.453125</v>
      </c>
      <c r="DM36" s="36"/>
      <c r="DN36" s="36"/>
      <c r="DO36" s="9">
        <f>(DO15*6+DO20*3+DO32*8-DO31)/16</f>
        <v>372.948125</v>
      </c>
      <c r="DP36" s="36"/>
      <c r="DQ36" s="36"/>
      <c r="DR36" s="9">
        <f>(DR15*6+DR20*3+DR32*8-DR31)/16</f>
        <v>295.78499999999997</v>
      </c>
      <c r="DS36" s="36"/>
      <c r="DU36" s="9">
        <f>(DU15*6+DU20*3+DU32*8-DU31)/16</f>
        <v>136.75046666666665</v>
      </c>
      <c r="DX36" s="9"/>
      <c r="ED36" s="95">
        <f>(ED15*6+ED20*3+ED32*8-ED31)/16</f>
        <v>351.88749999999993</v>
      </c>
      <c r="EG36" s="95">
        <f>(EG15*6+EG20*3+EG32*8-EG31)/16</f>
        <v>178.05375</v>
      </c>
      <c r="EJ36" s="95">
        <f>(EJ15*6+EJ20*3+EJ32*8-EJ31)/16</f>
        <v>205.545625</v>
      </c>
      <c r="EP36" s="9">
        <f>(EP15*6+EP20*3+EP32*8-EP31)/16</f>
        <v>561.958125</v>
      </c>
      <c r="ES36" s="9">
        <f>(ES15*6+ES20*3+ES32*8-ES31)/16</f>
        <v>433.33000000000004</v>
      </c>
      <c r="EV36" s="95">
        <f>(EV15*6+EV20*3+EV32*8-EV31)/16</f>
        <v>349.87937500000004</v>
      </c>
    </row>
    <row r="37" spans="1:152" s="5" customFormat="1" ht="12">
      <c r="A37" s="62" t="s">
        <v>49</v>
      </c>
      <c r="B37" s="13"/>
      <c r="C37" s="9"/>
      <c r="D37" s="13"/>
      <c r="E37" s="64"/>
      <c r="F37" s="13"/>
      <c r="G37" s="9"/>
      <c r="H37" s="13"/>
      <c r="I37" s="13"/>
      <c r="J37" s="9"/>
      <c r="K37" s="13"/>
      <c r="L37" s="13"/>
      <c r="M37" s="9">
        <f t="shared" si="0"/>
        <v>140.27700000000002</v>
      </c>
      <c r="N37" s="13"/>
      <c r="O37" s="13"/>
      <c r="P37" s="9">
        <f>(229.95*15+253.02*3)/18</f>
        <v>233.79500000000002</v>
      </c>
      <c r="Q37" s="13"/>
      <c r="R37" s="13"/>
      <c r="S37" s="13"/>
      <c r="T37" s="9"/>
      <c r="U37" s="13"/>
      <c r="V37" s="13"/>
      <c r="W37" s="13"/>
      <c r="X37" s="9"/>
      <c r="Y37" s="13"/>
      <c r="Z37" s="13"/>
      <c r="AA37" s="13"/>
      <c r="AB37" s="13"/>
      <c r="AC37" s="13"/>
      <c r="AD37" s="13"/>
      <c r="AE37" s="95">
        <f>(AE36*16+AE42*3)/19</f>
        <v>170.42105263157896</v>
      </c>
      <c r="AF37" s="13"/>
      <c r="AG37" s="13"/>
      <c r="AH37" s="95">
        <f>(AH36*16+AH42*3)/19</f>
        <v>336.7942105263158</v>
      </c>
      <c r="AI37" s="13"/>
      <c r="AJ37" s="13"/>
      <c r="AK37" s="13"/>
      <c r="AL37" s="9">
        <f>(AL36*16+AL42*3)/19</f>
        <v>591.6610526315789</v>
      </c>
      <c r="AM37" s="13"/>
      <c r="AN37" s="13"/>
      <c r="AO37" s="13"/>
      <c r="AP37" s="9">
        <f>(AP36*16+AP42*3)/19</f>
        <v>549.0631578947368</v>
      </c>
      <c r="AQ37" s="13"/>
      <c r="AR37" s="13"/>
      <c r="AS37" s="13"/>
      <c r="AT37" s="89" t="s">
        <v>54</v>
      </c>
      <c r="AU37" s="13"/>
      <c r="AV37" s="13"/>
      <c r="AW37" s="13"/>
      <c r="AX37" s="9">
        <f>(AX36*16+AX42*3)/19</f>
        <v>149.1972010025063</v>
      </c>
      <c r="AY37" s="13"/>
      <c r="AZ37" s="13"/>
      <c r="BA37" s="13"/>
      <c r="BB37" s="13"/>
      <c r="BC37" s="13"/>
      <c r="BD37" s="9">
        <f>(BD36*16+BD42*3)/19</f>
        <v>303.4452631578947</v>
      </c>
      <c r="BE37" s="13"/>
      <c r="BF37" s="13"/>
      <c r="BG37" s="65">
        <v>270</v>
      </c>
      <c r="BH37" s="13"/>
      <c r="BI37" s="13"/>
      <c r="BJ37" s="9">
        <f>(BJ36*16+BJ42*3)/19</f>
        <v>324.3</v>
      </c>
      <c r="BK37" s="13"/>
      <c r="BL37" s="13"/>
      <c r="BM37" s="13"/>
      <c r="BN37" s="95">
        <f>(BN36*16+BN42*3)/19</f>
        <v>342.36210526315784</v>
      </c>
      <c r="BO37" s="13"/>
      <c r="BP37" s="13"/>
      <c r="BQ37" s="13"/>
      <c r="BR37" s="9"/>
      <c r="BS37" s="13"/>
      <c r="BT37" s="13"/>
      <c r="BU37" s="9">
        <f>(BU36*16+BU42*3)/19</f>
        <v>998.2252631578947</v>
      </c>
      <c r="BV37" s="9"/>
      <c r="BW37" s="9"/>
      <c r="BX37" s="9">
        <f>(BX36*16+BX42*3)/19</f>
        <v>1265</v>
      </c>
      <c r="BY37" s="9"/>
      <c r="BZ37" s="13"/>
      <c r="CA37" s="9">
        <f>(CA36*16+CA42*3)/19</f>
        <v>2326.2105263157896</v>
      </c>
      <c r="CD37" s="9">
        <f>(CD36*16+CD42*3)/19</f>
        <v>1637.8947368421052</v>
      </c>
      <c r="CG37" s="9">
        <f>(CG36*16+CG42*3)/19</f>
        <v>1401.157894736842</v>
      </c>
      <c r="CJ37" s="9">
        <f>(CJ36*16+CJ42*3)/19</f>
        <v>1305.2105263157894</v>
      </c>
      <c r="CM37" s="9">
        <f>(CM36*16+CM42*3)/19</f>
        <v>1845.1315789473683</v>
      </c>
      <c r="CP37" s="9">
        <f>(CP36*16+CP42*3)/19</f>
        <v>2620.28</v>
      </c>
      <c r="CS37" s="95">
        <f>(CS36*16+CS42*3)/19</f>
        <v>968.7989473684211</v>
      </c>
      <c r="CV37" s="9">
        <f>(CV36*16+CV42*3)/19</f>
        <v>734.3557894736842</v>
      </c>
      <c r="CY37" s="9">
        <f>(CY36*16+CY42*3)/19</f>
        <v>2007.8999999999996</v>
      </c>
      <c r="DB37" s="9">
        <f>(DB36*16+DB42*3)/19</f>
        <v>1949.25</v>
      </c>
      <c r="DD37" s="57"/>
      <c r="DE37" s="13"/>
      <c r="DF37" s="9"/>
      <c r="DG37" s="13"/>
      <c r="DH37" s="13"/>
      <c r="DI37" s="9">
        <f>(DI36*16+DI42*3)/19</f>
        <v>488.1726315789474</v>
      </c>
      <c r="DJ37" s="13"/>
      <c r="DK37" s="13"/>
      <c r="DL37" s="9">
        <f>(DL36*16+DL42*3)/19</f>
        <v>453.02421052631576</v>
      </c>
      <c r="DM37" s="13"/>
      <c r="DN37" s="13"/>
      <c r="DO37" s="9">
        <f>(DO36*16+DO42*3)/19</f>
        <v>369.3747368421053</v>
      </c>
      <c r="DP37" s="13"/>
      <c r="DQ37" s="13"/>
      <c r="DR37" s="9">
        <f>(DR36*16+DR42*3)/19</f>
        <v>294.5494736842105</v>
      </c>
      <c r="DS37" s="13"/>
      <c r="DU37" s="9">
        <f>(DU36*16+DU42*3)/19</f>
        <v>142.5267087719298</v>
      </c>
      <c r="DX37" s="9"/>
      <c r="ED37" s="95">
        <f>(ED36*16+ED42*3)/19</f>
        <v>346.49736842105256</v>
      </c>
      <c r="EG37" s="95">
        <f>(EG36*16+EG42*3)/19</f>
        <v>175.3263157894737</v>
      </c>
      <c r="EJ37" s="95">
        <f>(EJ36*16+EJ42*3)/19</f>
        <v>201.25315789473683</v>
      </c>
      <c r="EP37" s="9">
        <f>(EP36*16+EP42*3)/19</f>
        <v>583.7384210526316</v>
      </c>
      <c r="ES37" s="9">
        <f>(ES36*16+ES42*3)/19</f>
        <v>433.33000000000004</v>
      </c>
      <c r="EV37" s="95">
        <f>(EV36*16+EV42*3)/19</f>
        <v>337.3521052631579</v>
      </c>
    </row>
    <row r="38" spans="1:146" ht="13.5">
      <c r="A38" s="8"/>
      <c r="B38" s="12"/>
      <c r="C38" s="28"/>
      <c r="D38" s="19"/>
      <c r="E38" s="19"/>
      <c r="F38" s="12"/>
      <c r="G38" s="16"/>
      <c r="H38" s="19"/>
      <c r="I38" s="19"/>
      <c r="J38" s="16"/>
      <c r="K38" s="19"/>
      <c r="L38" s="19"/>
      <c r="M38" s="74"/>
      <c r="N38" s="19"/>
      <c r="O38" s="19"/>
      <c r="P38" s="16"/>
      <c r="Q38" s="19"/>
      <c r="S38" s="12"/>
      <c r="T38" s="7"/>
      <c r="U38" s="12"/>
      <c r="V38" s="12"/>
      <c r="W38" s="12"/>
      <c r="X38" s="21"/>
      <c r="Y38" s="19"/>
      <c r="Z38" s="19"/>
      <c r="AA38" s="19"/>
      <c r="AB38" s="19"/>
      <c r="AC38" s="19"/>
      <c r="AD38" s="19"/>
      <c r="AE38" s="16"/>
      <c r="AF38" s="19"/>
      <c r="AG38" s="19"/>
      <c r="AH38" s="16"/>
      <c r="AI38" s="19"/>
      <c r="AJ38" s="19"/>
      <c r="AK38" s="12"/>
      <c r="AL38" s="21"/>
      <c r="AM38" s="19"/>
      <c r="AN38" s="19"/>
      <c r="AO38" s="12"/>
      <c r="AP38" s="21"/>
      <c r="AQ38" s="12"/>
      <c r="AR38" s="12"/>
      <c r="AS38" s="12"/>
      <c r="AT38" s="89"/>
      <c r="AU38" s="19"/>
      <c r="AV38" s="19"/>
      <c r="AW38" s="19"/>
      <c r="AX38" s="16"/>
      <c r="AY38" s="19"/>
      <c r="AZ38" s="19"/>
      <c r="BA38" s="19"/>
      <c r="BB38" s="19"/>
      <c r="BC38" s="12"/>
      <c r="BD38" s="21"/>
      <c r="BE38" s="19"/>
      <c r="BF38" s="19"/>
      <c r="BG38" s="16"/>
      <c r="BH38" s="19"/>
      <c r="BI38" s="19"/>
      <c r="BJ38" s="16"/>
      <c r="BK38" s="19"/>
      <c r="BL38" s="19"/>
      <c r="BM38" s="19"/>
      <c r="BN38" s="16"/>
      <c r="BO38" s="19"/>
      <c r="BP38" s="19"/>
      <c r="BQ38" s="12"/>
      <c r="BR38" s="21"/>
      <c r="BS38" s="19"/>
      <c r="BT38" s="19"/>
      <c r="BU38" s="16"/>
      <c r="BV38" s="16"/>
      <c r="BW38" s="16"/>
      <c r="BX38" s="16"/>
      <c r="BY38" s="16"/>
      <c r="BZ38" s="19"/>
      <c r="CA38" s="16"/>
      <c r="CY38"/>
      <c r="DE38" s="12"/>
      <c r="DF38" s="21"/>
      <c r="DG38" s="17"/>
      <c r="DH38" s="12"/>
      <c r="DI38" s="31"/>
      <c r="DJ38" s="17"/>
      <c r="DK38" s="12"/>
      <c r="DL38" s="30"/>
      <c r="DM38" s="17"/>
      <c r="DN38" s="12"/>
      <c r="DO38" s="31"/>
      <c r="DP38" s="17"/>
      <c r="DQ38" s="12"/>
      <c r="DR38" s="31"/>
      <c r="DS38" s="17"/>
      <c r="DX38" s="7"/>
      <c r="EP38" s="7"/>
    </row>
    <row r="39" spans="1:152" ht="12">
      <c r="A39" t="s">
        <v>180</v>
      </c>
      <c r="B39" s="12"/>
      <c r="C39" s="27"/>
      <c r="D39" s="12"/>
      <c r="E39" s="12"/>
      <c r="F39" s="12"/>
      <c r="G39" s="7"/>
      <c r="H39" s="12"/>
      <c r="I39" s="12"/>
      <c r="J39" s="7"/>
      <c r="K39" s="12"/>
      <c r="L39" s="12"/>
      <c r="M39" s="74">
        <f t="shared" si="0"/>
        <v>146.55599999999998</v>
      </c>
      <c r="N39" s="12"/>
      <c r="O39" s="12"/>
      <c r="P39" s="7">
        <v>244.26</v>
      </c>
      <c r="Q39" s="12"/>
      <c r="S39" s="12"/>
      <c r="T39" s="7"/>
      <c r="U39" s="12"/>
      <c r="V39" s="12"/>
      <c r="W39" s="12"/>
      <c r="X39" s="7"/>
      <c r="Y39" s="12"/>
      <c r="Z39" s="12"/>
      <c r="AA39" s="12"/>
      <c r="AB39" s="12"/>
      <c r="AC39" s="12"/>
      <c r="AD39" s="12"/>
      <c r="AE39" s="95">
        <v>149.67</v>
      </c>
      <c r="AF39" s="12"/>
      <c r="AG39" s="12"/>
      <c r="AH39" s="95">
        <v>295.78</v>
      </c>
      <c r="AI39" s="12"/>
      <c r="AJ39" s="12"/>
      <c r="AK39" s="12"/>
      <c r="AL39" s="7">
        <v>704.25</v>
      </c>
      <c r="AO39" s="12"/>
      <c r="AP39" s="7">
        <v>653.54</v>
      </c>
      <c r="AQ39" s="12"/>
      <c r="AR39" s="12"/>
      <c r="AS39" s="12"/>
      <c r="AT39" s="89" t="s">
        <v>54</v>
      </c>
      <c r="AX39" s="7">
        <f>(1.47/1.63)*169.52</f>
        <v>152.88000000000002</v>
      </c>
      <c r="BC39" s="12"/>
      <c r="BD39" s="7">
        <f>0.97*313</f>
        <v>303.61</v>
      </c>
      <c r="BG39" s="88" t="s">
        <v>54</v>
      </c>
      <c r="BJ39" s="7">
        <v>324.3</v>
      </c>
      <c r="BN39" s="95">
        <v>303.41</v>
      </c>
      <c r="BQ39" s="12"/>
      <c r="BR39" s="12"/>
      <c r="BS39" s="12"/>
      <c r="BT39" s="12"/>
      <c r="BU39" s="7">
        <v>825</v>
      </c>
      <c r="BX39" s="7">
        <v>1265</v>
      </c>
      <c r="BZ39" s="12"/>
      <c r="CA39" s="7">
        <v>1871</v>
      </c>
      <c r="CD39" s="7">
        <v>1000</v>
      </c>
      <c r="CG39" s="7">
        <v>1000</v>
      </c>
      <c r="CJ39" s="7">
        <v>1000</v>
      </c>
      <c r="CM39" s="7">
        <v>1500</v>
      </c>
      <c r="CP39" s="74">
        <v>2620.28</v>
      </c>
      <c r="CS39" s="94">
        <v>776.92</v>
      </c>
      <c r="CV39">
        <v>727.64</v>
      </c>
      <c r="CY39" s="7">
        <v>2007.9</v>
      </c>
      <c r="DB39" s="7">
        <v>1949.25</v>
      </c>
      <c r="DE39" s="12"/>
      <c r="DF39" s="7"/>
      <c r="DG39" s="12"/>
      <c r="DH39" s="12"/>
      <c r="DI39" s="77">
        <v>405.25</v>
      </c>
      <c r="DJ39" s="12"/>
      <c r="DK39" s="12"/>
      <c r="DL39">
        <v>376.07</v>
      </c>
      <c r="DM39" s="12"/>
      <c r="DN39" s="12"/>
      <c r="DO39" s="7">
        <v>333.47</v>
      </c>
      <c r="DP39" s="12"/>
      <c r="DQ39" s="12"/>
      <c r="DR39" s="7">
        <v>287.96</v>
      </c>
      <c r="DS39" s="12"/>
      <c r="DU39" s="7">
        <f>(1.47/1.63)*169.52</f>
        <v>152.88000000000002</v>
      </c>
      <c r="DX39" s="7">
        <v>390</v>
      </c>
      <c r="ED39" s="95">
        <v>317.75</v>
      </c>
      <c r="EG39" s="95">
        <v>160.78</v>
      </c>
      <c r="EJ39" s="95">
        <v>178.36</v>
      </c>
      <c r="EP39" s="7">
        <v>699.9</v>
      </c>
      <c r="ES39">
        <v>433.33</v>
      </c>
      <c r="EV39" s="95">
        <v>270.54</v>
      </c>
    </row>
    <row r="40" spans="1:152" ht="12">
      <c r="A40" t="s">
        <v>181</v>
      </c>
      <c r="B40" s="12"/>
      <c r="C40" s="27"/>
      <c r="D40" s="12"/>
      <c r="E40" s="12"/>
      <c r="F40" s="12"/>
      <c r="G40" s="7"/>
      <c r="H40" s="12"/>
      <c r="I40" s="12"/>
      <c r="J40" s="7"/>
      <c r="K40" s="12"/>
      <c r="L40" s="12"/>
      <c r="M40" s="74">
        <f t="shared" si="0"/>
        <v>179.928</v>
      </c>
      <c r="N40" s="12"/>
      <c r="O40" s="12"/>
      <c r="P40" s="7">
        <v>299.88</v>
      </c>
      <c r="Q40" s="12"/>
      <c r="S40" s="12"/>
      <c r="T40" s="7"/>
      <c r="U40" s="12"/>
      <c r="V40" s="12"/>
      <c r="W40" s="12"/>
      <c r="X40" s="7"/>
      <c r="Y40" s="12"/>
      <c r="Z40" s="12"/>
      <c r="AA40" s="12"/>
      <c r="AB40" s="12"/>
      <c r="AC40" s="12"/>
      <c r="AD40" s="12"/>
      <c r="AE40" s="95">
        <v>149.67</v>
      </c>
      <c r="AF40" s="12"/>
      <c r="AG40" s="12"/>
      <c r="AH40" s="95">
        <v>295.78</v>
      </c>
      <c r="AI40" s="12"/>
      <c r="AJ40" s="12"/>
      <c r="AK40" s="12"/>
      <c r="AL40" s="7">
        <v>704.25</v>
      </c>
      <c r="AO40" s="12"/>
      <c r="AP40" s="7">
        <v>653.54</v>
      </c>
      <c r="AQ40" s="12"/>
      <c r="AR40" s="12"/>
      <c r="AS40" s="12"/>
      <c r="AT40" s="89" t="s">
        <v>54</v>
      </c>
      <c r="AX40" s="7">
        <f>(2.25/1.63)*169.52</f>
        <v>234.00000000000003</v>
      </c>
      <c r="BC40" s="12"/>
      <c r="BD40" s="7">
        <f>1.26*313</f>
        <v>394.38</v>
      </c>
      <c r="BG40" s="88" t="s">
        <v>54</v>
      </c>
      <c r="BJ40" s="7">
        <v>324.3</v>
      </c>
      <c r="BN40" s="95">
        <v>303.41</v>
      </c>
      <c r="BQ40" s="12"/>
      <c r="BR40" s="12"/>
      <c r="BS40" s="12"/>
      <c r="BT40" s="12"/>
      <c r="BU40" s="7">
        <v>500</v>
      </c>
      <c r="BX40" s="7">
        <v>1265</v>
      </c>
      <c r="BZ40" s="12"/>
      <c r="CA40" s="7">
        <v>3000</v>
      </c>
      <c r="CD40" s="7">
        <v>1200</v>
      </c>
      <c r="CG40" s="7">
        <v>1200</v>
      </c>
      <c r="CJ40" s="7">
        <v>1500</v>
      </c>
      <c r="CM40" s="7">
        <v>1800</v>
      </c>
      <c r="CP40" s="74">
        <v>2620.28</v>
      </c>
      <c r="CS40" s="94">
        <v>776.92</v>
      </c>
      <c r="CV40">
        <v>727.64</v>
      </c>
      <c r="CY40" s="7">
        <v>2007.9</v>
      </c>
      <c r="DB40" s="7">
        <v>1949.25</v>
      </c>
      <c r="DE40" s="12"/>
      <c r="DF40" s="7"/>
      <c r="DG40" s="12"/>
      <c r="DH40" s="12"/>
      <c r="DI40" s="77">
        <v>405.25</v>
      </c>
      <c r="DJ40" s="12"/>
      <c r="DK40" s="12"/>
      <c r="DL40">
        <v>376.07</v>
      </c>
      <c r="DM40" s="12"/>
      <c r="DN40" s="12"/>
      <c r="DO40" s="7">
        <v>358.74</v>
      </c>
      <c r="DP40" s="12"/>
      <c r="DQ40" s="12"/>
      <c r="DR40" s="7">
        <v>287.96</v>
      </c>
      <c r="DS40" s="12"/>
      <c r="DU40" s="7">
        <f>(2.25/1.63)*169.52</f>
        <v>234.00000000000003</v>
      </c>
      <c r="DX40" s="7">
        <v>390</v>
      </c>
      <c r="ED40" s="95">
        <v>317.75</v>
      </c>
      <c r="EG40" s="95">
        <v>160.78</v>
      </c>
      <c r="EJ40" s="95">
        <v>178.36</v>
      </c>
      <c r="EP40" s="7">
        <v>699.9</v>
      </c>
      <c r="ES40">
        <v>433.33</v>
      </c>
      <c r="EV40" s="95">
        <v>270.54</v>
      </c>
    </row>
    <row r="41" spans="1:152" ht="12">
      <c r="A41" t="s">
        <v>184</v>
      </c>
      <c r="B41" s="12"/>
      <c r="C41" s="27"/>
      <c r="D41" s="12"/>
      <c r="E41" s="12"/>
      <c r="F41" s="12"/>
      <c r="G41" s="7"/>
      <c r="H41" s="12"/>
      <c r="I41" s="12"/>
      <c r="J41" s="7"/>
      <c r="K41" s="12"/>
      <c r="L41" s="12"/>
      <c r="M41" s="74">
        <f t="shared" si="0"/>
        <v>128.952</v>
      </c>
      <c r="N41" s="12"/>
      <c r="O41" s="12"/>
      <c r="P41" s="7">
        <v>214.92</v>
      </c>
      <c r="Q41" s="12"/>
      <c r="S41" s="12"/>
      <c r="T41" s="7"/>
      <c r="U41" s="12"/>
      <c r="V41" s="12"/>
      <c r="W41" s="12"/>
      <c r="X41" s="7"/>
      <c r="Y41" s="12"/>
      <c r="Z41" s="12"/>
      <c r="AA41" s="12"/>
      <c r="AB41" s="12"/>
      <c r="AC41" s="12"/>
      <c r="AD41" s="12"/>
      <c r="AE41" s="95">
        <v>149.67</v>
      </c>
      <c r="AF41" s="12"/>
      <c r="AG41" s="12"/>
      <c r="AH41" s="95">
        <v>295.78</v>
      </c>
      <c r="AI41" s="12"/>
      <c r="AJ41" s="12"/>
      <c r="AK41" s="12"/>
      <c r="AL41" s="7">
        <v>704.25</v>
      </c>
      <c r="AO41" s="12"/>
      <c r="AP41" s="7">
        <v>653.54</v>
      </c>
      <c r="AQ41" s="12"/>
      <c r="AR41" s="12"/>
      <c r="AS41" s="12"/>
      <c r="AT41" s="89" t="s">
        <v>54</v>
      </c>
      <c r="AX41" s="7">
        <f>(1.28/1.63)*169.52</f>
        <v>133.12</v>
      </c>
      <c r="BC41" s="12"/>
      <c r="BD41" s="7">
        <f>0.84*313</f>
        <v>262.92</v>
      </c>
      <c r="BG41" s="88" t="s">
        <v>54</v>
      </c>
      <c r="BJ41" s="7">
        <v>324.3</v>
      </c>
      <c r="BN41" s="95">
        <v>303.41</v>
      </c>
      <c r="BQ41" s="12"/>
      <c r="BR41" s="12"/>
      <c r="BS41" s="12"/>
      <c r="BT41" s="12"/>
      <c r="BU41" s="7">
        <v>825</v>
      </c>
      <c r="BX41" s="7">
        <v>1265</v>
      </c>
      <c r="BZ41" s="12"/>
      <c r="CA41" s="7">
        <v>2043</v>
      </c>
      <c r="CD41" s="7">
        <v>1000</v>
      </c>
      <c r="CG41" s="7">
        <v>1000</v>
      </c>
      <c r="CJ41" s="7">
        <v>1000</v>
      </c>
      <c r="CM41" s="7">
        <v>1500</v>
      </c>
      <c r="CP41" s="74">
        <v>2620.28</v>
      </c>
      <c r="CS41" s="94">
        <v>776.92</v>
      </c>
      <c r="CV41">
        <v>727.64</v>
      </c>
      <c r="CY41" s="7">
        <v>2007.9</v>
      </c>
      <c r="DB41" s="7">
        <v>1949.25</v>
      </c>
      <c r="DE41" s="12"/>
      <c r="DF41" s="7"/>
      <c r="DG41" s="12"/>
      <c r="DH41" s="12"/>
      <c r="DI41" s="77">
        <v>405.25</v>
      </c>
      <c r="DJ41" s="12"/>
      <c r="DK41" s="12"/>
      <c r="DL41">
        <v>376.07</v>
      </c>
      <c r="DM41" s="12"/>
      <c r="DN41" s="12"/>
      <c r="DO41" s="7">
        <v>358.74</v>
      </c>
      <c r="DP41" s="12"/>
      <c r="DQ41" s="12"/>
      <c r="DR41" s="7">
        <v>287.96</v>
      </c>
      <c r="DS41" s="12"/>
      <c r="DU41" s="7">
        <f>(1.28/1.63)*169.52</f>
        <v>133.12</v>
      </c>
      <c r="DX41" s="7">
        <v>390</v>
      </c>
      <c r="ED41" s="95">
        <v>317.75</v>
      </c>
      <c r="EG41" s="95">
        <v>160.78</v>
      </c>
      <c r="EJ41" s="95">
        <v>178.36</v>
      </c>
      <c r="EP41" s="7">
        <v>699.9</v>
      </c>
      <c r="ES41">
        <v>433.33</v>
      </c>
      <c r="EV41" s="95">
        <v>270.54</v>
      </c>
    </row>
    <row r="42" spans="1:152" ht="12">
      <c r="A42" s="5" t="s">
        <v>162</v>
      </c>
      <c r="B42" s="12"/>
      <c r="C42" s="7"/>
      <c r="D42" s="12"/>
      <c r="E42" s="12"/>
      <c r="F42" s="12"/>
      <c r="G42" s="7"/>
      <c r="H42" s="12"/>
      <c r="I42" s="12"/>
      <c r="J42" s="7"/>
      <c r="K42" s="12"/>
      <c r="L42" s="12"/>
      <c r="M42" s="9">
        <f t="shared" si="0"/>
        <v>151.81199999999998</v>
      </c>
      <c r="N42" s="12"/>
      <c r="O42" s="12"/>
      <c r="P42" s="9">
        <f>SUM(P39:P41)/3</f>
        <v>253.01999999999998</v>
      </c>
      <c r="Q42" s="12"/>
      <c r="S42" s="12"/>
      <c r="T42" s="7"/>
      <c r="U42" s="12"/>
      <c r="V42" s="12"/>
      <c r="W42" s="12"/>
      <c r="X42" s="7"/>
      <c r="Y42" s="12"/>
      <c r="Z42" s="12"/>
      <c r="AA42" s="12"/>
      <c r="AB42" s="12"/>
      <c r="AC42" s="12"/>
      <c r="AD42" s="12"/>
      <c r="AE42" s="95">
        <v>149.67</v>
      </c>
      <c r="AF42" s="12"/>
      <c r="AG42" s="12"/>
      <c r="AH42" s="95">
        <v>295.78</v>
      </c>
      <c r="AI42" s="12"/>
      <c r="AJ42" s="12"/>
      <c r="AK42" s="12"/>
      <c r="AL42" s="9">
        <v>704.25</v>
      </c>
      <c r="AM42" s="12"/>
      <c r="AN42" s="12"/>
      <c r="AO42" s="12"/>
      <c r="AP42" s="9">
        <v>653.54</v>
      </c>
      <c r="AQ42" s="12"/>
      <c r="AR42" s="12"/>
      <c r="AS42" s="12"/>
      <c r="AT42" s="89" t="s">
        <v>54</v>
      </c>
      <c r="AU42" s="12"/>
      <c r="AV42" s="12"/>
      <c r="AW42" s="12"/>
      <c r="AX42" s="9">
        <f>SUM(AX39:AX41)/3</f>
        <v>173.33333333333334</v>
      </c>
      <c r="AY42" s="12"/>
      <c r="AZ42" s="12"/>
      <c r="BA42" s="12"/>
      <c r="BB42" s="12"/>
      <c r="BC42" s="12"/>
      <c r="BD42" s="9">
        <f>SUM(BD39:BD41)/3</f>
        <v>320.30333333333334</v>
      </c>
      <c r="BE42" s="12"/>
      <c r="BF42" s="12"/>
      <c r="BG42" s="88" t="s">
        <v>54</v>
      </c>
      <c r="BH42" s="12"/>
      <c r="BI42" s="12"/>
      <c r="BJ42" s="9">
        <f>SUM(BJ39:BJ41)/3</f>
        <v>324.3</v>
      </c>
      <c r="BK42" s="12"/>
      <c r="BL42" s="12"/>
      <c r="BM42" s="12"/>
      <c r="BN42" s="95">
        <v>303.41</v>
      </c>
      <c r="BO42" s="12"/>
      <c r="BP42" s="12"/>
      <c r="BQ42" s="12"/>
      <c r="BR42" s="7"/>
      <c r="BS42" s="12"/>
      <c r="BT42" s="12"/>
      <c r="BU42" s="9">
        <f>SUM(BU39:BU41)/3</f>
        <v>716.6666666666666</v>
      </c>
      <c r="BX42" s="9">
        <f>SUM(BX39:BX41)/3</f>
        <v>1265</v>
      </c>
      <c r="BZ42" s="12"/>
      <c r="CA42" s="9">
        <f>SUM(CA39:CA41)/3</f>
        <v>2304.6666666666665</v>
      </c>
      <c r="CD42" s="9">
        <f>SUM(CD39:CD41)/3</f>
        <v>1066.6666666666667</v>
      </c>
      <c r="CG42" s="9">
        <f>SUM(CG39:CG41)/3</f>
        <v>1066.6666666666667</v>
      </c>
      <c r="CJ42" s="9">
        <f>SUM(CJ39:CJ41)/3</f>
        <v>1166.6666666666667</v>
      </c>
      <c r="CM42" s="9">
        <f>SUM(CM39:CM41)/3</f>
        <v>1600</v>
      </c>
      <c r="CP42" s="9">
        <f>SUM(CP39:CP41)/3</f>
        <v>2620.28</v>
      </c>
      <c r="CS42" s="94">
        <v>776.92</v>
      </c>
      <c r="CV42" s="5">
        <v>727.64</v>
      </c>
      <c r="CY42" s="9">
        <f>SUM(CY39:CY41)/3</f>
        <v>2007.9000000000003</v>
      </c>
      <c r="DB42" s="9">
        <f>SUM(DB39:DB41)/3</f>
        <v>1949.25</v>
      </c>
      <c r="DE42" s="12"/>
      <c r="DF42" s="7"/>
      <c r="DG42" s="12"/>
      <c r="DH42" s="12"/>
      <c r="DI42" s="65">
        <v>405.25</v>
      </c>
      <c r="DJ42" s="12"/>
      <c r="DK42" s="12"/>
      <c r="DL42" s="5">
        <v>376.07</v>
      </c>
      <c r="DM42" s="12"/>
      <c r="DN42" s="12"/>
      <c r="DO42" s="9">
        <f>SUM(DO39:DO41)/3</f>
        <v>350.31666666666666</v>
      </c>
      <c r="DP42" s="12"/>
      <c r="DQ42" s="12"/>
      <c r="DR42" s="9">
        <f>SUM(DR39:DR41)/3</f>
        <v>287.96</v>
      </c>
      <c r="DS42" s="12"/>
      <c r="DU42" s="9">
        <f>SUM(DU39:DU41)/3</f>
        <v>173.33333333333334</v>
      </c>
      <c r="DX42" s="9">
        <v>390</v>
      </c>
      <c r="ED42" s="95">
        <v>317.75</v>
      </c>
      <c r="EG42" s="95">
        <v>160.78</v>
      </c>
      <c r="EJ42" s="95">
        <v>178.36</v>
      </c>
      <c r="EP42" s="9">
        <v>699.9</v>
      </c>
      <c r="ES42" s="5">
        <v>433.33</v>
      </c>
      <c r="EV42" s="95">
        <v>270.54</v>
      </c>
    </row>
    <row r="43" spans="1:146" ht="18">
      <c r="A43" s="8"/>
      <c r="B43" s="12"/>
      <c r="C43" s="28"/>
      <c r="D43" s="12"/>
      <c r="E43" s="12"/>
      <c r="F43" s="12"/>
      <c r="G43" s="16"/>
      <c r="H43" s="12"/>
      <c r="I43" s="12"/>
      <c r="J43" s="12"/>
      <c r="K43" s="9"/>
      <c r="L43" s="9"/>
      <c r="M43" s="9"/>
      <c r="N43" s="9"/>
      <c r="O43" s="12"/>
      <c r="Q43" s="12"/>
      <c r="R43" s="43"/>
      <c r="S43" s="12"/>
      <c r="T43" s="12"/>
      <c r="U43" s="43"/>
      <c r="V43" s="12"/>
      <c r="W43" s="12"/>
      <c r="X43" s="43"/>
      <c r="Y43" s="12"/>
      <c r="Z43" s="12"/>
      <c r="AA43" s="12"/>
      <c r="AB43" s="12"/>
      <c r="AC43" s="12"/>
      <c r="AD43" s="12"/>
      <c r="AF43" s="12"/>
      <c r="AG43" s="12"/>
      <c r="AI43" s="12"/>
      <c r="AJ43" s="12"/>
      <c r="AK43" s="12"/>
      <c r="AL43" s="43"/>
      <c r="AM43" s="12"/>
      <c r="AN43" s="12"/>
      <c r="AO43" s="12"/>
      <c r="AQ43" s="9"/>
      <c r="AR43" s="9"/>
      <c r="AS43" s="12"/>
      <c r="AT43" s="89"/>
      <c r="AU43" s="31"/>
      <c r="AV43" s="31"/>
      <c r="AW43" s="31"/>
      <c r="AX43" s="31"/>
      <c r="AY43" s="31"/>
      <c r="AZ43" s="31"/>
      <c r="BA43" s="31"/>
      <c r="BB43" s="31"/>
      <c r="BC43" s="12"/>
      <c r="BE43" s="31"/>
      <c r="BF43" s="31"/>
      <c r="BG43" s="88"/>
      <c r="BH43" s="31"/>
      <c r="BI43" s="31"/>
      <c r="BJ43" s="31"/>
      <c r="BK43" s="31"/>
      <c r="BL43" s="31"/>
      <c r="BM43" s="31"/>
      <c r="BN43" s="31"/>
      <c r="BO43" s="31"/>
      <c r="BP43" s="31"/>
      <c r="BQ43" s="12"/>
      <c r="BR43" s="12"/>
      <c r="BS43" s="31"/>
      <c r="BT43" s="31"/>
      <c r="BU43" s="31"/>
      <c r="BV43" s="31"/>
      <c r="BW43" s="31"/>
      <c r="BX43" s="31"/>
      <c r="BY43" s="31"/>
      <c r="BZ43" s="31"/>
      <c r="CA43" s="31"/>
      <c r="CT43" s="4"/>
      <c r="CW43" s="4"/>
      <c r="CY43" s="4"/>
      <c r="CZ43" s="4"/>
      <c r="DA43" s="4"/>
      <c r="DB43" s="76"/>
      <c r="DC43" s="4"/>
      <c r="DD43" s="4"/>
      <c r="DE43" s="4"/>
      <c r="DF43" s="4"/>
      <c r="DG43" s="4"/>
      <c r="DH43" s="4"/>
      <c r="DI43" s="76"/>
      <c r="DJ43" s="4"/>
      <c r="DK43" s="4"/>
      <c r="DL43" s="4"/>
      <c r="DM43" s="4"/>
      <c r="DN43" s="4"/>
      <c r="DO43" s="76"/>
      <c r="DP43" s="4"/>
      <c r="DQ43" s="4"/>
      <c r="DR43" s="4"/>
      <c r="DS43" s="4"/>
      <c r="DX43" s="7"/>
      <c r="EP43" s="7"/>
    </row>
    <row r="44" spans="1:152" ht="18">
      <c r="A44" s="63" t="s">
        <v>91</v>
      </c>
      <c r="B44" s="12"/>
      <c r="C44" s="27"/>
      <c r="D44" s="12"/>
      <c r="E44" s="12"/>
      <c r="F44" s="12"/>
      <c r="G44" s="7"/>
      <c r="H44" s="12"/>
      <c r="J44" s="12"/>
      <c r="K44" s="7"/>
      <c r="L44" s="7"/>
      <c r="M44" s="74">
        <f t="shared" si="0"/>
        <v>148.176</v>
      </c>
      <c r="N44" s="7"/>
      <c r="O44" s="12"/>
      <c r="P44" s="7">
        <v>246.96</v>
      </c>
      <c r="Q44" s="12"/>
      <c r="R44" s="7"/>
      <c r="S44" s="12"/>
      <c r="U44" s="7"/>
      <c r="X44" s="7"/>
      <c r="AE44" s="95">
        <v>187.96</v>
      </c>
      <c r="AH44" s="95">
        <v>371.47</v>
      </c>
      <c r="AK44" s="12"/>
      <c r="AL44" s="7">
        <v>547.75</v>
      </c>
      <c r="AP44" s="7">
        <v>508.31</v>
      </c>
      <c r="AQ44" s="7"/>
      <c r="AR44" s="7"/>
      <c r="AS44" s="12"/>
      <c r="AT44" s="89" t="s">
        <v>54</v>
      </c>
      <c r="AU44" s="7"/>
      <c r="AV44" s="7"/>
      <c r="AW44" s="7"/>
      <c r="AX44" s="7">
        <f>(1.46/1.33*138.32)</f>
        <v>151.83999999999997</v>
      </c>
      <c r="AY44" s="7"/>
      <c r="AZ44" s="7"/>
      <c r="BA44" s="7"/>
      <c r="BB44" s="7"/>
      <c r="BC44" s="12"/>
      <c r="BD44" s="7">
        <f>1.05*313</f>
        <v>328.65000000000003</v>
      </c>
      <c r="BE44" s="7"/>
      <c r="BF44" s="7"/>
      <c r="BG44" s="88" t="s">
        <v>54</v>
      </c>
      <c r="BH44" s="7"/>
      <c r="BI44" s="7"/>
      <c r="BJ44" s="7">
        <v>324.3</v>
      </c>
      <c r="BK44" s="7"/>
      <c r="BL44" s="7"/>
      <c r="BM44" s="7"/>
      <c r="BN44" s="95">
        <v>363.1</v>
      </c>
      <c r="BO44" s="7"/>
      <c r="BP44" s="7"/>
      <c r="BQ44" s="12"/>
      <c r="BR44" s="12"/>
      <c r="BS44" s="7"/>
      <c r="BT44" s="7"/>
      <c r="BU44" s="7">
        <v>300</v>
      </c>
      <c r="BX44" s="7">
        <v>1265</v>
      </c>
      <c r="BZ44" s="7"/>
      <c r="CA44" s="7">
        <v>1021</v>
      </c>
      <c r="CD44" s="7">
        <v>1000</v>
      </c>
      <c r="CG44" s="7">
        <v>1433</v>
      </c>
      <c r="CJ44" s="7">
        <v>1200</v>
      </c>
      <c r="CM44" s="7">
        <v>1500</v>
      </c>
      <c r="CP44" s="74">
        <v>2620.28</v>
      </c>
      <c r="CS44" s="94">
        <v>936.07</v>
      </c>
      <c r="CT44" s="4"/>
      <c r="CV44" s="7">
        <v>600</v>
      </c>
      <c r="CW44" s="4"/>
      <c r="CY44" s="7">
        <v>2007.9</v>
      </c>
      <c r="CZ44" s="4"/>
      <c r="DA44" s="4"/>
      <c r="DB44" s="7">
        <v>1949.25</v>
      </c>
      <c r="DC44" s="4"/>
      <c r="DD44" s="4"/>
      <c r="DE44" s="4"/>
      <c r="DF44" s="4"/>
      <c r="DG44" s="4"/>
      <c r="DH44" s="4"/>
      <c r="DI44" s="77">
        <v>460.88</v>
      </c>
      <c r="DJ44" s="4"/>
      <c r="DK44" s="4"/>
      <c r="DL44" s="77">
        <v>427.7</v>
      </c>
      <c r="DM44" s="4"/>
      <c r="DN44" s="4"/>
      <c r="DO44" s="7">
        <v>333.47</v>
      </c>
      <c r="DP44" s="4"/>
      <c r="DQ44" s="4"/>
      <c r="DR44" s="63">
        <v>270.63</v>
      </c>
      <c r="DS44" s="4"/>
      <c r="DU44" s="7">
        <f>(1.46/1.33)*138.32</f>
        <v>151.83999999999997</v>
      </c>
      <c r="DX44" s="7">
        <v>390</v>
      </c>
      <c r="ED44" s="94">
        <v>399.06</v>
      </c>
      <c r="EG44" s="95">
        <v>201.92</v>
      </c>
      <c r="EJ44" s="95">
        <v>213.45</v>
      </c>
      <c r="EP44" s="7">
        <v>454.67</v>
      </c>
      <c r="ES44">
        <v>433.33</v>
      </c>
      <c r="EV44" s="95">
        <v>325.95</v>
      </c>
    </row>
    <row r="45" spans="1:152" ht="18">
      <c r="A45" s="63" t="s">
        <v>92</v>
      </c>
      <c r="B45" s="12"/>
      <c r="C45" s="27"/>
      <c r="D45" s="12"/>
      <c r="E45" s="12"/>
      <c r="F45" s="12"/>
      <c r="G45" s="7"/>
      <c r="H45" s="12"/>
      <c r="J45" s="12"/>
      <c r="K45" s="7"/>
      <c r="L45" s="7"/>
      <c r="M45" s="74">
        <f t="shared" si="0"/>
        <v>148.06799999999998</v>
      </c>
      <c r="N45" s="7"/>
      <c r="O45" s="12"/>
      <c r="P45" s="7">
        <v>246.78</v>
      </c>
      <c r="Q45" s="12"/>
      <c r="R45" s="7"/>
      <c r="S45" s="12"/>
      <c r="U45" s="7"/>
      <c r="X45" s="7"/>
      <c r="AE45" s="95">
        <v>187.96</v>
      </c>
      <c r="AH45" s="95">
        <v>371.47</v>
      </c>
      <c r="AK45" s="12"/>
      <c r="AL45" s="7">
        <v>547.75</v>
      </c>
      <c r="AP45" s="7">
        <v>508.31</v>
      </c>
      <c r="AQ45" s="7"/>
      <c r="AR45" s="7"/>
      <c r="AS45" s="12"/>
      <c r="AT45" s="89" t="s">
        <v>54</v>
      </c>
      <c r="AU45" s="7"/>
      <c r="AV45" s="7"/>
      <c r="AW45" s="7"/>
      <c r="AX45" s="7">
        <f>(1.28/1.33*138.32)</f>
        <v>133.11999999999998</v>
      </c>
      <c r="AY45" s="7"/>
      <c r="AZ45" s="7"/>
      <c r="BA45" s="7"/>
      <c r="BB45" s="7"/>
      <c r="BC45" s="12"/>
      <c r="BD45" s="7">
        <f>0.98*313</f>
        <v>306.74</v>
      </c>
      <c r="BE45" s="7"/>
      <c r="BF45" s="7"/>
      <c r="BG45" s="88" t="s">
        <v>54</v>
      </c>
      <c r="BH45" s="7"/>
      <c r="BI45" s="7"/>
      <c r="BJ45" s="7">
        <v>324.3</v>
      </c>
      <c r="BK45" s="7"/>
      <c r="BL45" s="7"/>
      <c r="BM45" s="7"/>
      <c r="BN45" s="95">
        <v>363.1</v>
      </c>
      <c r="BO45" s="7"/>
      <c r="BP45" s="7"/>
      <c r="BQ45" s="12"/>
      <c r="BR45" s="12"/>
      <c r="BS45" s="7"/>
      <c r="BT45" s="7"/>
      <c r="BU45" s="7">
        <v>300</v>
      </c>
      <c r="BX45" s="7">
        <v>1265</v>
      </c>
      <c r="BZ45" s="7"/>
      <c r="CA45" s="7">
        <v>1282</v>
      </c>
      <c r="CD45" s="7">
        <v>1000</v>
      </c>
      <c r="CG45" s="7">
        <v>1433</v>
      </c>
      <c r="CJ45" s="7">
        <v>1200</v>
      </c>
      <c r="CM45" s="7">
        <v>1500</v>
      </c>
      <c r="CP45" s="74">
        <v>2620.28</v>
      </c>
      <c r="CS45" s="94">
        <v>936.07</v>
      </c>
      <c r="CT45" s="4"/>
      <c r="CV45" s="7">
        <v>600</v>
      </c>
      <c r="CW45" s="4"/>
      <c r="CY45" s="7">
        <v>2007.9</v>
      </c>
      <c r="CZ45" s="4"/>
      <c r="DA45" s="4"/>
      <c r="DB45" s="7">
        <v>1949.25</v>
      </c>
      <c r="DC45" s="4"/>
      <c r="DD45" s="4"/>
      <c r="DE45" s="4"/>
      <c r="DF45" s="4"/>
      <c r="DG45" s="4"/>
      <c r="DH45" s="4"/>
      <c r="DI45" s="77">
        <v>460.88</v>
      </c>
      <c r="DJ45" s="4"/>
      <c r="DK45" s="4"/>
      <c r="DL45" s="77">
        <v>427.7</v>
      </c>
      <c r="DM45" s="4"/>
      <c r="DN45" s="4"/>
      <c r="DO45" s="77">
        <v>384</v>
      </c>
      <c r="DP45" s="4"/>
      <c r="DQ45" s="4"/>
      <c r="DR45" s="63">
        <v>270.63</v>
      </c>
      <c r="DS45" s="4"/>
      <c r="DU45" s="7">
        <f>(1.22/1.33)*138.32</f>
        <v>126.87999999999998</v>
      </c>
      <c r="DV45" s="7"/>
      <c r="DX45" s="7">
        <v>390</v>
      </c>
      <c r="ED45" s="94">
        <v>399.06</v>
      </c>
      <c r="EG45" s="95">
        <v>201.92</v>
      </c>
      <c r="EJ45" s="95">
        <v>213.45</v>
      </c>
      <c r="EP45" s="7">
        <v>454.67</v>
      </c>
      <c r="ES45">
        <v>433.33</v>
      </c>
      <c r="EV45" s="95">
        <v>325.95</v>
      </c>
    </row>
    <row r="46" spans="1:152" ht="18">
      <c r="A46" s="63" t="s">
        <v>27</v>
      </c>
      <c r="B46" s="12"/>
      <c r="C46" s="27"/>
      <c r="D46" s="12"/>
      <c r="E46" s="12"/>
      <c r="F46" s="12"/>
      <c r="G46" s="7"/>
      <c r="H46" s="12"/>
      <c r="J46" s="12"/>
      <c r="K46" s="7"/>
      <c r="L46" s="7"/>
      <c r="M46" s="74">
        <f t="shared" si="0"/>
        <v>164.916</v>
      </c>
      <c r="N46" s="7"/>
      <c r="O46" s="12"/>
      <c r="P46" s="7">
        <v>274.86</v>
      </c>
      <c r="Q46" s="12"/>
      <c r="R46" s="7"/>
      <c r="S46" s="12"/>
      <c r="U46" s="7"/>
      <c r="X46" s="7"/>
      <c r="AE46" s="95">
        <v>187.96</v>
      </c>
      <c r="AH46" s="95">
        <v>371.47</v>
      </c>
      <c r="AK46" s="12"/>
      <c r="AL46" s="7">
        <v>547.75</v>
      </c>
      <c r="AP46" s="7">
        <v>508.31</v>
      </c>
      <c r="AQ46" s="7"/>
      <c r="AR46" s="7"/>
      <c r="AS46" s="12"/>
      <c r="AT46" s="89" t="s">
        <v>54</v>
      </c>
      <c r="AU46" s="7"/>
      <c r="AV46" s="7"/>
      <c r="AW46" s="7"/>
      <c r="AX46" s="7">
        <f>(1.4/1.33*138.32)</f>
        <v>145.6</v>
      </c>
      <c r="AY46" s="7"/>
      <c r="AZ46" s="7"/>
      <c r="BA46" s="7"/>
      <c r="BB46" s="7"/>
      <c r="BC46" s="12"/>
      <c r="BD46" s="7">
        <f>1.04*313</f>
        <v>325.52000000000004</v>
      </c>
      <c r="BE46" s="7"/>
      <c r="BF46" s="7"/>
      <c r="BG46" s="88" t="s">
        <v>54</v>
      </c>
      <c r="BH46" s="7"/>
      <c r="BI46" s="7"/>
      <c r="BJ46" s="7">
        <v>324.3</v>
      </c>
      <c r="BK46" s="7"/>
      <c r="BL46" s="7"/>
      <c r="BM46" s="7"/>
      <c r="BN46" s="95">
        <v>363.1</v>
      </c>
      <c r="BO46" s="7"/>
      <c r="BP46" s="7"/>
      <c r="BQ46" s="12"/>
      <c r="BR46" s="12"/>
      <c r="BS46" s="7"/>
      <c r="BT46" s="7"/>
      <c r="BU46" s="7">
        <v>467</v>
      </c>
      <c r="BX46" s="7">
        <v>1265</v>
      </c>
      <c r="BZ46" s="7"/>
      <c r="CA46" s="7">
        <v>1733</v>
      </c>
      <c r="CD46" s="7">
        <v>800</v>
      </c>
      <c r="CG46" s="7">
        <v>1000</v>
      </c>
      <c r="CJ46" s="7">
        <v>1000</v>
      </c>
      <c r="CM46" s="7">
        <v>850</v>
      </c>
      <c r="CP46" s="74">
        <v>2620.28</v>
      </c>
      <c r="CS46" s="94">
        <v>936.07</v>
      </c>
      <c r="CT46" s="4"/>
      <c r="CV46" s="7">
        <v>600</v>
      </c>
      <c r="CW46" s="4"/>
      <c r="CY46" s="7">
        <v>2007.9</v>
      </c>
      <c r="CZ46" s="4"/>
      <c r="DA46" s="4"/>
      <c r="DB46" s="7">
        <v>1949.25</v>
      </c>
      <c r="DC46" s="4"/>
      <c r="DD46" s="4"/>
      <c r="DE46" s="4"/>
      <c r="DF46" s="4"/>
      <c r="DG46" s="4"/>
      <c r="DH46" s="4"/>
      <c r="DI46" s="77">
        <v>460.88</v>
      </c>
      <c r="DJ46" s="4"/>
      <c r="DK46" s="4"/>
      <c r="DL46" s="77">
        <v>427.7</v>
      </c>
      <c r="DM46" s="4"/>
      <c r="DN46" s="4"/>
      <c r="DO46" s="77">
        <v>329.5</v>
      </c>
      <c r="DP46" s="4"/>
      <c r="DQ46" s="4"/>
      <c r="DR46" s="63">
        <v>270.63</v>
      </c>
      <c r="DS46" s="4"/>
      <c r="DU46" s="7">
        <f>(1.4/1.33)*138.32</f>
        <v>145.6</v>
      </c>
      <c r="DV46" s="7"/>
      <c r="DX46" s="7">
        <v>390</v>
      </c>
      <c r="ED46" s="94">
        <v>399.06</v>
      </c>
      <c r="EG46" s="95">
        <v>201.92</v>
      </c>
      <c r="EJ46" s="95">
        <v>213.45</v>
      </c>
      <c r="EP46" s="7">
        <v>454.67</v>
      </c>
      <c r="ES46">
        <v>433.33</v>
      </c>
      <c r="EV46" s="95">
        <v>325.95</v>
      </c>
    </row>
    <row r="47" spans="1:152" ht="18">
      <c r="A47" s="63" t="s">
        <v>93</v>
      </c>
      <c r="B47" s="12"/>
      <c r="C47" s="27"/>
      <c r="D47" s="12"/>
      <c r="E47" s="12"/>
      <c r="F47" s="12"/>
      <c r="G47" s="7"/>
      <c r="H47" s="12"/>
      <c r="J47" s="12"/>
      <c r="K47" s="7"/>
      <c r="L47" s="7"/>
      <c r="M47" s="74">
        <f t="shared" si="0"/>
        <v>141.588</v>
      </c>
      <c r="N47" s="7"/>
      <c r="O47" s="12"/>
      <c r="P47" s="7">
        <v>235.98</v>
      </c>
      <c r="Q47" s="12"/>
      <c r="R47" s="7"/>
      <c r="S47" s="12"/>
      <c r="U47" s="7"/>
      <c r="X47" s="7"/>
      <c r="AE47" s="95">
        <v>187.96</v>
      </c>
      <c r="AH47" s="95">
        <v>371.47</v>
      </c>
      <c r="AK47" s="12"/>
      <c r="AL47" s="7">
        <v>547.75</v>
      </c>
      <c r="AP47" s="7">
        <v>508.31</v>
      </c>
      <c r="AQ47" s="7"/>
      <c r="AR47" s="7"/>
      <c r="AS47" s="12"/>
      <c r="AT47" s="89" t="s">
        <v>54</v>
      </c>
      <c r="AU47" s="7"/>
      <c r="AV47" s="7"/>
      <c r="AW47" s="7"/>
      <c r="AX47" s="7">
        <f>(1.22/1.33*138.32)</f>
        <v>126.87999999999998</v>
      </c>
      <c r="AY47" s="7"/>
      <c r="AZ47" s="7"/>
      <c r="BA47" s="7"/>
      <c r="BB47" s="7"/>
      <c r="BC47" s="12"/>
      <c r="BD47" s="7">
        <f>0.98*313</f>
        <v>306.74</v>
      </c>
      <c r="BE47" s="7"/>
      <c r="BF47" s="7"/>
      <c r="BG47" s="88" t="s">
        <v>54</v>
      </c>
      <c r="BH47" s="7"/>
      <c r="BI47" s="7"/>
      <c r="BJ47" s="7">
        <v>324.3</v>
      </c>
      <c r="BK47" s="7"/>
      <c r="BL47" s="7"/>
      <c r="BM47" s="7"/>
      <c r="BN47" s="95">
        <v>363.1</v>
      </c>
      <c r="BO47" s="7"/>
      <c r="BP47" s="7"/>
      <c r="BQ47" s="12"/>
      <c r="BR47" s="12"/>
      <c r="BS47" s="7"/>
      <c r="BT47" s="7"/>
      <c r="BU47" s="74">
        <v>300</v>
      </c>
      <c r="BX47" s="7">
        <v>1265</v>
      </c>
      <c r="BZ47" s="7"/>
      <c r="CA47" s="7">
        <v>1660</v>
      </c>
      <c r="CD47" s="7">
        <v>1400</v>
      </c>
      <c r="CG47" s="7">
        <v>1433</v>
      </c>
      <c r="CJ47" s="7">
        <v>1200</v>
      </c>
      <c r="CM47" s="7">
        <v>1500</v>
      </c>
      <c r="CP47" s="74">
        <v>2620.28</v>
      </c>
      <c r="CS47" s="94">
        <v>936.07</v>
      </c>
      <c r="CT47" s="4"/>
      <c r="CV47" s="7">
        <v>600</v>
      </c>
      <c r="CW47" s="4"/>
      <c r="CY47" s="7">
        <v>2007.9</v>
      </c>
      <c r="CZ47" s="4"/>
      <c r="DA47" s="4"/>
      <c r="DB47" s="7">
        <v>1949.25</v>
      </c>
      <c r="DC47" s="4"/>
      <c r="DD47" s="4"/>
      <c r="DE47" s="4"/>
      <c r="DF47" s="4"/>
      <c r="DG47" s="4"/>
      <c r="DH47" s="4"/>
      <c r="DI47" s="77">
        <v>460.88</v>
      </c>
      <c r="DJ47" s="4"/>
      <c r="DK47" s="4"/>
      <c r="DL47" s="77">
        <v>427.7</v>
      </c>
      <c r="DM47" s="4"/>
      <c r="DN47" s="4"/>
      <c r="DO47" s="77">
        <v>333.47</v>
      </c>
      <c r="DP47" s="4"/>
      <c r="DQ47" s="4"/>
      <c r="DR47" s="63">
        <v>270.63</v>
      </c>
      <c r="DS47" s="4"/>
      <c r="DU47" s="7">
        <f>(1.22/1.33)*138.32</f>
        <v>126.87999999999998</v>
      </c>
      <c r="DV47" s="7"/>
      <c r="DX47" s="7">
        <v>390</v>
      </c>
      <c r="ED47" s="94">
        <v>399.06</v>
      </c>
      <c r="EG47" s="95">
        <v>201.92</v>
      </c>
      <c r="EJ47" s="95">
        <v>213.45</v>
      </c>
      <c r="EP47" s="7">
        <v>454.67</v>
      </c>
      <c r="ES47">
        <v>433.33</v>
      </c>
      <c r="EV47" s="95">
        <v>325.95</v>
      </c>
    </row>
    <row r="48" spans="1:152" ht="18">
      <c r="A48" s="63" t="s">
        <v>94</v>
      </c>
      <c r="B48" s="12"/>
      <c r="C48" s="27"/>
      <c r="D48" s="12"/>
      <c r="E48" s="12"/>
      <c r="F48" s="12"/>
      <c r="G48" s="7"/>
      <c r="H48" s="12"/>
      <c r="J48" s="12"/>
      <c r="K48" s="7"/>
      <c r="L48" s="7"/>
      <c r="M48" s="74">
        <f t="shared" si="0"/>
        <v>150.768</v>
      </c>
      <c r="N48" s="7"/>
      <c r="O48" s="12"/>
      <c r="P48" s="7">
        <v>251.28</v>
      </c>
      <c r="Q48" s="12"/>
      <c r="R48" s="7"/>
      <c r="S48" s="12"/>
      <c r="U48" s="7"/>
      <c r="X48" s="7"/>
      <c r="AE48" s="95">
        <v>187.96</v>
      </c>
      <c r="AH48" s="95">
        <v>371.47</v>
      </c>
      <c r="AK48" s="12"/>
      <c r="AL48" s="7">
        <v>547.75</v>
      </c>
      <c r="AP48" s="74">
        <v>508.31</v>
      </c>
      <c r="AQ48" s="7"/>
      <c r="AR48" s="7"/>
      <c r="AS48" s="12"/>
      <c r="AT48" s="89" t="s">
        <v>54</v>
      </c>
      <c r="AU48" s="7"/>
      <c r="AV48" s="7"/>
      <c r="AW48" s="7"/>
      <c r="AX48" s="7">
        <f>(1.3/1.33*138.32)</f>
        <v>135.2</v>
      </c>
      <c r="AY48" s="7"/>
      <c r="AZ48" s="7"/>
      <c r="BA48" s="7"/>
      <c r="BB48" s="7"/>
      <c r="BC48" s="12"/>
      <c r="BD48" s="7">
        <f>1.05*313</f>
        <v>328.65000000000003</v>
      </c>
      <c r="BE48" s="7"/>
      <c r="BF48" s="7"/>
      <c r="BG48" s="88" t="s">
        <v>54</v>
      </c>
      <c r="BH48" s="7"/>
      <c r="BI48" s="7"/>
      <c r="BJ48" s="7">
        <v>324.3</v>
      </c>
      <c r="BK48" s="7"/>
      <c r="BL48" s="7"/>
      <c r="BM48" s="7"/>
      <c r="BN48" s="95">
        <v>363.1</v>
      </c>
      <c r="BO48" s="7"/>
      <c r="BP48" s="7"/>
      <c r="BQ48" s="12"/>
      <c r="BR48" s="12"/>
      <c r="BS48" s="7"/>
      <c r="BT48" s="7"/>
      <c r="BU48" s="7">
        <v>1100</v>
      </c>
      <c r="BX48" s="7">
        <v>1265</v>
      </c>
      <c r="BZ48" s="7"/>
      <c r="CA48" s="7">
        <v>2269</v>
      </c>
      <c r="CD48" s="7">
        <v>800</v>
      </c>
      <c r="CG48" s="7">
        <v>1333</v>
      </c>
      <c r="CJ48" s="7">
        <v>1000</v>
      </c>
      <c r="CM48" s="7">
        <v>1500</v>
      </c>
      <c r="CP48" s="74">
        <v>2620.28</v>
      </c>
      <c r="CS48" s="94">
        <v>936.07</v>
      </c>
      <c r="CT48" s="4"/>
      <c r="CV48" s="7">
        <v>600</v>
      </c>
      <c r="CW48" s="4"/>
      <c r="CY48" s="7">
        <v>2007.9</v>
      </c>
      <c r="CZ48" s="4"/>
      <c r="DA48" s="4"/>
      <c r="DB48" s="7">
        <v>1949.25</v>
      </c>
      <c r="DC48" s="4"/>
      <c r="DD48" s="4"/>
      <c r="DE48" s="4"/>
      <c r="DF48" s="4"/>
      <c r="DG48" s="4"/>
      <c r="DH48" s="4"/>
      <c r="DI48" s="77">
        <v>460.88</v>
      </c>
      <c r="DJ48" s="4"/>
      <c r="DK48" s="4"/>
      <c r="DL48" s="77">
        <v>427.7</v>
      </c>
      <c r="DM48" s="4"/>
      <c r="DN48" s="4"/>
      <c r="DO48" s="77">
        <v>329.5</v>
      </c>
      <c r="DP48" s="4"/>
      <c r="DQ48" s="4"/>
      <c r="DR48" s="63">
        <v>270.63</v>
      </c>
      <c r="DS48" s="4"/>
      <c r="DU48" s="7">
        <f>(1.3/1.33)*138.32</f>
        <v>135.2</v>
      </c>
      <c r="DV48" s="7"/>
      <c r="DX48" s="7">
        <v>390</v>
      </c>
      <c r="ED48" s="94">
        <v>399.06</v>
      </c>
      <c r="EG48" s="95">
        <v>201.92</v>
      </c>
      <c r="EJ48" s="95">
        <v>213.45</v>
      </c>
      <c r="EP48" s="7">
        <v>454.67</v>
      </c>
      <c r="ES48">
        <v>433.33</v>
      </c>
      <c r="EV48" s="95">
        <v>325.95</v>
      </c>
    </row>
    <row r="49" spans="1:152" ht="18">
      <c r="A49" s="62" t="s">
        <v>84</v>
      </c>
      <c r="B49" s="12"/>
      <c r="C49" s="27"/>
      <c r="D49" s="12"/>
      <c r="E49" s="12"/>
      <c r="F49" s="12"/>
      <c r="G49" s="7"/>
      <c r="H49" s="12"/>
      <c r="J49" s="12"/>
      <c r="K49" s="7"/>
      <c r="L49" s="7"/>
      <c r="M49" s="9">
        <f t="shared" si="0"/>
        <v>150.7032</v>
      </c>
      <c r="N49" s="7"/>
      <c r="O49" s="12"/>
      <c r="P49" s="9">
        <f>SUM(P44:P48)/5</f>
        <v>251.17200000000003</v>
      </c>
      <c r="Q49" s="12"/>
      <c r="R49" s="7"/>
      <c r="S49" s="12"/>
      <c r="U49" s="7"/>
      <c r="X49" s="7"/>
      <c r="AE49" s="95">
        <v>187.96</v>
      </c>
      <c r="AH49" s="95">
        <v>371.47</v>
      </c>
      <c r="AK49" s="12"/>
      <c r="AL49" s="9">
        <v>547.75</v>
      </c>
      <c r="AP49" s="9">
        <v>508.31</v>
      </c>
      <c r="AQ49" s="7"/>
      <c r="AR49" s="7"/>
      <c r="AS49" s="12"/>
      <c r="AT49" s="89" t="s">
        <v>54</v>
      </c>
      <c r="AU49" s="7"/>
      <c r="AV49" s="7"/>
      <c r="AW49" s="7"/>
      <c r="AX49" s="9">
        <f>SUM(AX44:AX48)/5</f>
        <v>138.52799999999996</v>
      </c>
      <c r="AY49" s="7"/>
      <c r="AZ49" s="7"/>
      <c r="BA49" s="7"/>
      <c r="BB49" s="7"/>
      <c r="BC49" s="12"/>
      <c r="BD49" s="9">
        <f>SUM(BD44:BD48)/5</f>
        <v>319.26000000000005</v>
      </c>
      <c r="BE49" s="7"/>
      <c r="BF49" s="7"/>
      <c r="BG49" s="88" t="s">
        <v>54</v>
      </c>
      <c r="BH49" s="7"/>
      <c r="BI49" s="7"/>
      <c r="BJ49" s="9">
        <f>SUM(BJ44:BJ48)/5</f>
        <v>324.3</v>
      </c>
      <c r="BK49" s="7"/>
      <c r="BL49" s="7"/>
      <c r="BM49" s="7"/>
      <c r="BN49" s="95">
        <v>363.1</v>
      </c>
      <c r="BO49" s="7"/>
      <c r="BP49" s="7"/>
      <c r="BQ49" s="12"/>
      <c r="BR49" s="12"/>
      <c r="BS49" s="7"/>
      <c r="BT49" s="7"/>
      <c r="BU49" s="9">
        <f>SUM(BU44:BU48)/5</f>
        <v>493.4</v>
      </c>
      <c r="BX49" s="9">
        <f>SUM(BX44:BX48)/5</f>
        <v>1265</v>
      </c>
      <c r="BZ49" s="7"/>
      <c r="CA49" s="9">
        <f>SUM(CA44:CA48)/5</f>
        <v>1593</v>
      </c>
      <c r="CD49" s="9">
        <f>SUM(CD44:CD48)/5</f>
        <v>1000</v>
      </c>
      <c r="CG49" s="9">
        <f>SUM(CG44:CG48)/5</f>
        <v>1326.4</v>
      </c>
      <c r="CJ49" s="9">
        <f>SUM(CJ44:CJ48)/5</f>
        <v>1120</v>
      </c>
      <c r="CM49" s="9">
        <f>SUM(CM44:CM48)/5</f>
        <v>1370</v>
      </c>
      <c r="CP49" s="9">
        <f>SUM(CP44:CP48)/5</f>
        <v>2620.28</v>
      </c>
      <c r="CS49" s="94">
        <v>936.07</v>
      </c>
      <c r="CT49" s="4"/>
      <c r="CV49" s="9">
        <v>600</v>
      </c>
      <c r="CW49" s="4"/>
      <c r="CY49" s="9">
        <f>SUM(CY44:CY48)/5</f>
        <v>2007.9</v>
      </c>
      <c r="CZ49" s="4"/>
      <c r="DA49" s="4"/>
      <c r="DB49" s="9">
        <f>SUM(DB44:DB48)/5</f>
        <v>1949.25</v>
      </c>
      <c r="DC49" s="4"/>
      <c r="DD49" s="4"/>
      <c r="DE49" s="4"/>
      <c r="DF49" s="4"/>
      <c r="DG49" s="4"/>
      <c r="DH49" s="4"/>
      <c r="DI49" s="65">
        <v>460.88</v>
      </c>
      <c r="DJ49" s="4"/>
      <c r="DK49" s="4"/>
      <c r="DL49" s="65">
        <v>427.7</v>
      </c>
      <c r="DM49" s="4"/>
      <c r="DN49" s="4"/>
      <c r="DO49" s="65">
        <f>SUM(DO44:DO48)/5</f>
        <v>341.988</v>
      </c>
      <c r="DP49" s="4"/>
      <c r="DQ49" s="4"/>
      <c r="DR49" s="62">
        <f>SUM(DR44:DR48)/5</f>
        <v>270.63</v>
      </c>
      <c r="DS49" s="4"/>
      <c r="DU49" s="62">
        <f>SUM(DU44:DU48)/5</f>
        <v>137.27999999999997</v>
      </c>
      <c r="DX49" s="9">
        <v>390</v>
      </c>
      <c r="ED49" s="94">
        <v>399.06</v>
      </c>
      <c r="EG49" s="95">
        <v>201.92</v>
      </c>
      <c r="EJ49" s="95">
        <v>213.45</v>
      </c>
      <c r="EP49" s="9">
        <v>454.67</v>
      </c>
      <c r="ES49" s="5">
        <v>433.33</v>
      </c>
      <c r="EV49" s="95">
        <v>325.95</v>
      </c>
    </row>
    <row r="50" spans="1:146" ht="18">
      <c r="A50" s="63"/>
      <c r="B50" s="12"/>
      <c r="C50" s="27"/>
      <c r="D50" s="12"/>
      <c r="E50" s="12"/>
      <c r="F50" s="12"/>
      <c r="G50" s="7"/>
      <c r="H50" s="12"/>
      <c r="J50" s="12"/>
      <c r="K50" s="7"/>
      <c r="L50" s="7"/>
      <c r="N50" s="7"/>
      <c r="O50" s="12"/>
      <c r="Q50" s="12"/>
      <c r="R50" s="7"/>
      <c r="S50" s="12"/>
      <c r="U50" s="7"/>
      <c r="X50" s="7"/>
      <c r="AE50" s="74"/>
      <c r="AK50" s="12"/>
      <c r="AQ50" s="7"/>
      <c r="AR50" s="7"/>
      <c r="AS50" s="12"/>
      <c r="AT50" s="89"/>
      <c r="AU50" s="7"/>
      <c r="AV50" s="7"/>
      <c r="AW50" s="7"/>
      <c r="AY50" s="7"/>
      <c r="AZ50" s="7"/>
      <c r="BA50" s="7"/>
      <c r="BB50" s="7"/>
      <c r="BC50" s="12"/>
      <c r="BE50" s="7"/>
      <c r="BF50" s="7"/>
      <c r="BG50" s="88"/>
      <c r="BH50" s="7"/>
      <c r="BI50" s="7"/>
      <c r="BK50" s="7"/>
      <c r="BL50" s="7"/>
      <c r="BM50" s="7"/>
      <c r="BO50" s="7"/>
      <c r="BP50" s="7"/>
      <c r="BQ50" s="12"/>
      <c r="BR50" s="12"/>
      <c r="BS50" s="7"/>
      <c r="BT50" s="7"/>
      <c r="BZ50" s="7"/>
      <c r="CT50" s="4"/>
      <c r="CW50" s="4"/>
      <c r="CY50" s="4"/>
      <c r="CZ50" s="4"/>
      <c r="DA50" s="4"/>
      <c r="DB50" s="76"/>
      <c r="DC50" s="4"/>
      <c r="DD50" s="4"/>
      <c r="DE50" s="4"/>
      <c r="DF50" s="4"/>
      <c r="DG50" s="4"/>
      <c r="DH50" s="4"/>
      <c r="DI50" s="76"/>
      <c r="DJ50" s="4"/>
      <c r="DK50" s="4"/>
      <c r="DL50" s="76"/>
      <c r="DM50" s="4"/>
      <c r="DN50" s="4"/>
      <c r="DO50" s="76"/>
      <c r="DP50" s="4"/>
      <c r="DQ50" s="4"/>
      <c r="DR50" s="4"/>
      <c r="DS50" s="4"/>
      <c r="DX50" s="7"/>
      <c r="EP50" s="7"/>
    </row>
    <row r="51" spans="1:152" s="57" customFormat="1" ht="16.5">
      <c r="A51" s="63" t="s">
        <v>96</v>
      </c>
      <c r="B51" s="12"/>
      <c r="C51" s="27"/>
      <c r="D51" s="12"/>
      <c r="E51" s="12"/>
      <c r="F51" s="12"/>
      <c r="G51" s="7"/>
      <c r="H51" s="12"/>
      <c r="I51"/>
      <c r="J51" s="12"/>
      <c r="K51" s="7"/>
      <c r="L51" s="7"/>
      <c r="M51" s="74">
        <f t="shared" si="0"/>
        <v>142.344</v>
      </c>
      <c r="N51" s="7"/>
      <c r="O51" s="12"/>
      <c r="P51" s="7">
        <v>237.24</v>
      </c>
      <c r="Q51" s="12"/>
      <c r="R51" s="7"/>
      <c r="S51" s="12"/>
      <c r="T51"/>
      <c r="U51" s="7"/>
      <c r="V51"/>
      <c r="W51"/>
      <c r="X51" s="7"/>
      <c r="Y51"/>
      <c r="Z51"/>
      <c r="AA51"/>
      <c r="AB51"/>
      <c r="AC51"/>
      <c r="AD51"/>
      <c r="AE51" s="95">
        <v>172.61</v>
      </c>
      <c r="AF51"/>
      <c r="AG51"/>
      <c r="AH51" s="95">
        <v>341.13</v>
      </c>
      <c r="AI51"/>
      <c r="AJ51"/>
      <c r="AK51" s="12"/>
      <c r="AL51" s="7">
        <v>547.75</v>
      </c>
      <c r="AM51"/>
      <c r="AN51"/>
      <c r="AO51"/>
      <c r="AP51" s="7">
        <v>508.31</v>
      </c>
      <c r="AQ51" s="7"/>
      <c r="AR51" s="7"/>
      <c r="AS51" s="12"/>
      <c r="AT51" s="89" t="s">
        <v>54</v>
      </c>
      <c r="AU51" s="7"/>
      <c r="AV51" s="7"/>
      <c r="AW51" s="7"/>
      <c r="AX51" s="74">
        <f>1.27/1.44*149.76</f>
        <v>132.08</v>
      </c>
      <c r="AY51" s="7"/>
      <c r="AZ51" s="7"/>
      <c r="BA51" s="7"/>
      <c r="BB51" s="7"/>
      <c r="BC51" s="12"/>
      <c r="BD51" s="7">
        <f>0.99*313</f>
        <v>309.87</v>
      </c>
      <c r="BE51" s="7"/>
      <c r="BF51" s="7"/>
      <c r="BG51" s="88" t="s">
        <v>54</v>
      </c>
      <c r="BH51" s="7"/>
      <c r="BI51" s="7"/>
      <c r="BJ51" s="7">
        <v>324.3</v>
      </c>
      <c r="BK51" s="7"/>
      <c r="BL51" s="7"/>
      <c r="BM51" s="7"/>
      <c r="BN51" s="95">
        <v>270.32</v>
      </c>
      <c r="BO51" s="7"/>
      <c r="BP51" s="7"/>
      <c r="BQ51" s="12"/>
      <c r="BR51" s="12"/>
      <c r="BS51" s="7"/>
      <c r="BT51" s="7"/>
      <c r="BU51" s="7">
        <v>400</v>
      </c>
      <c r="BV51" s="7"/>
      <c r="BW51" s="7"/>
      <c r="BX51" s="7">
        <v>1265</v>
      </c>
      <c r="BY51" s="7"/>
      <c r="BZ51" s="7"/>
      <c r="CA51" s="7">
        <v>1371</v>
      </c>
      <c r="CD51" s="74">
        <v>800</v>
      </c>
      <c r="CG51" s="74">
        <v>1333</v>
      </c>
      <c r="CJ51" s="74">
        <v>1000</v>
      </c>
      <c r="CM51" s="7">
        <v>1370</v>
      </c>
      <c r="CP51" s="74">
        <v>2620.28</v>
      </c>
      <c r="CS51" s="94">
        <v>783.42</v>
      </c>
      <c r="CT51" s="51"/>
      <c r="CV51" s="7">
        <v>600</v>
      </c>
      <c r="CW51" s="51"/>
      <c r="CY51" s="7">
        <v>2007.9</v>
      </c>
      <c r="CZ51" s="51"/>
      <c r="DA51" s="51"/>
      <c r="DB51" s="7">
        <v>1949.25</v>
      </c>
      <c r="DC51" s="51"/>
      <c r="DD51" s="51"/>
      <c r="DE51" s="51"/>
      <c r="DF51" s="51"/>
      <c r="DG51" s="51"/>
      <c r="DH51" s="51"/>
      <c r="DI51" s="77">
        <v>522.38</v>
      </c>
      <c r="DJ51" s="51"/>
      <c r="DK51" s="51"/>
      <c r="DL51" s="77">
        <v>484.77</v>
      </c>
      <c r="DM51" s="51"/>
      <c r="DN51" s="51"/>
      <c r="DO51" s="77">
        <v>384</v>
      </c>
      <c r="DP51" s="51"/>
      <c r="DQ51" s="51"/>
      <c r="DR51" s="63">
        <v>306.74</v>
      </c>
      <c r="DS51" s="51"/>
      <c r="DU51" s="57">
        <f>(1.27/1.44)*149.76</f>
        <v>132.08</v>
      </c>
      <c r="DX51" s="7">
        <v>390</v>
      </c>
      <c r="ED51" s="95">
        <v>366.46</v>
      </c>
      <c r="EG51" s="95">
        <v>185.43</v>
      </c>
      <c r="EJ51" s="95">
        <v>158.91</v>
      </c>
      <c r="EP51" s="7">
        <v>454.67</v>
      </c>
      <c r="ES51">
        <v>433.33</v>
      </c>
      <c r="EV51" s="95">
        <v>272.8</v>
      </c>
    </row>
    <row r="52" spans="1:152" ht="18">
      <c r="A52" s="63" t="s">
        <v>97</v>
      </c>
      <c r="B52" s="12"/>
      <c r="C52" s="27"/>
      <c r="D52" s="12"/>
      <c r="E52" s="12"/>
      <c r="F52" s="12"/>
      <c r="G52" s="7"/>
      <c r="H52" s="12"/>
      <c r="J52" s="12"/>
      <c r="K52" s="7"/>
      <c r="L52" s="7"/>
      <c r="M52" s="74">
        <f t="shared" si="0"/>
        <v>174.096</v>
      </c>
      <c r="N52" s="7"/>
      <c r="O52" s="12"/>
      <c r="P52" s="7">
        <v>290.16</v>
      </c>
      <c r="Q52" s="12"/>
      <c r="R52" s="7"/>
      <c r="S52" s="12"/>
      <c r="U52" s="7"/>
      <c r="X52" s="7"/>
      <c r="AE52" s="95">
        <v>172.61</v>
      </c>
      <c r="AH52" s="95">
        <v>341.13</v>
      </c>
      <c r="AK52" s="12"/>
      <c r="AL52" s="7">
        <v>547.75</v>
      </c>
      <c r="AP52" s="7">
        <v>508.31</v>
      </c>
      <c r="AQ52" s="7"/>
      <c r="AR52" s="7"/>
      <c r="AS52" s="12"/>
      <c r="AT52" s="89" t="s">
        <v>54</v>
      </c>
      <c r="AU52" s="7"/>
      <c r="AV52" s="7"/>
      <c r="AW52" s="7"/>
      <c r="AX52" s="7">
        <f>1.82/1.44*149.76</f>
        <v>189.28</v>
      </c>
      <c r="AY52" s="7"/>
      <c r="AZ52" s="7"/>
      <c r="BA52" s="7"/>
      <c r="BB52" s="7"/>
      <c r="BC52" s="12"/>
      <c r="BD52" s="7">
        <f>1.22*313</f>
        <v>381.86</v>
      </c>
      <c r="BE52" s="7"/>
      <c r="BF52" s="7"/>
      <c r="BG52" s="88" t="s">
        <v>54</v>
      </c>
      <c r="BH52" s="7"/>
      <c r="BI52" s="7"/>
      <c r="BJ52" s="7">
        <v>324.3</v>
      </c>
      <c r="BK52" s="7"/>
      <c r="BL52" s="7"/>
      <c r="BM52" s="7"/>
      <c r="BN52" s="95">
        <v>270.32</v>
      </c>
      <c r="BO52" s="7"/>
      <c r="BP52" s="7"/>
      <c r="BQ52" s="12"/>
      <c r="BR52" s="12"/>
      <c r="BS52" s="7"/>
      <c r="BT52" s="7"/>
      <c r="BU52" s="7">
        <f>1400/3</f>
        <v>466.6666666666667</v>
      </c>
      <c r="BX52" s="7">
        <v>1265</v>
      </c>
      <c r="BZ52" s="7"/>
      <c r="CA52" s="7">
        <v>2000</v>
      </c>
      <c r="CD52" s="7">
        <v>700</v>
      </c>
      <c r="CG52" s="7">
        <v>1000</v>
      </c>
      <c r="CJ52" s="7">
        <v>1000</v>
      </c>
      <c r="CM52" s="7">
        <v>1370</v>
      </c>
      <c r="CP52" s="74">
        <v>2620.28</v>
      </c>
      <c r="CS52" s="94">
        <v>783.42</v>
      </c>
      <c r="CT52" s="4"/>
      <c r="CV52" s="7">
        <v>600</v>
      </c>
      <c r="CW52" s="4"/>
      <c r="CY52" s="7">
        <v>2007.9</v>
      </c>
      <c r="CZ52" s="4"/>
      <c r="DA52" s="4"/>
      <c r="DB52" s="7">
        <v>1949.25</v>
      </c>
      <c r="DC52" s="4"/>
      <c r="DD52" s="4"/>
      <c r="DE52" s="4"/>
      <c r="DF52" s="4"/>
      <c r="DG52" s="4"/>
      <c r="DH52" s="4"/>
      <c r="DI52" s="77">
        <v>522.38</v>
      </c>
      <c r="DJ52" s="4"/>
      <c r="DK52" s="4"/>
      <c r="DL52" s="77">
        <v>484.77</v>
      </c>
      <c r="DM52" s="4"/>
      <c r="DN52" s="4"/>
      <c r="DO52" s="77">
        <v>384</v>
      </c>
      <c r="DP52" s="4"/>
      <c r="DQ52" s="4"/>
      <c r="DR52" s="63">
        <v>306.74</v>
      </c>
      <c r="DS52" s="4"/>
      <c r="DU52" s="57">
        <f>(1.82/1.44)*149.76</f>
        <v>189.28</v>
      </c>
      <c r="DX52" s="7"/>
      <c r="ED52" s="95">
        <v>366.46</v>
      </c>
      <c r="EG52" s="95">
        <v>185.43</v>
      </c>
      <c r="EJ52" s="95">
        <v>158.91</v>
      </c>
      <c r="EP52" s="7">
        <v>454.67</v>
      </c>
      <c r="ES52">
        <v>433.33</v>
      </c>
      <c r="EV52" s="95">
        <v>272.8</v>
      </c>
    </row>
    <row r="53" spans="1:152" ht="18">
      <c r="A53" s="63" t="s">
        <v>95</v>
      </c>
      <c r="B53" s="12"/>
      <c r="C53" s="27"/>
      <c r="D53" s="12"/>
      <c r="E53" s="12"/>
      <c r="F53" s="12"/>
      <c r="G53" s="7"/>
      <c r="H53" s="12"/>
      <c r="J53" s="12"/>
      <c r="K53" s="7"/>
      <c r="L53" s="7"/>
      <c r="M53" s="74">
        <f t="shared" si="0"/>
        <v>152.28</v>
      </c>
      <c r="N53" s="7"/>
      <c r="O53" s="12"/>
      <c r="P53" s="7">
        <v>253.8</v>
      </c>
      <c r="Q53" s="12"/>
      <c r="R53" s="7"/>
      <c r="S53" s="12"/>
      <c r="U53" s="7"/>
      <c r="X53" s="7"/>
      <c r="AE53" s="95">
        <v>172.61</v>
      </c>
      <c r="AH53" s="95">
        <v>341.13</v>
      </c>
      <c r="AK53" s="12"/>
      <c r="AL53" s="7">
        <v>547.75</v>
      </c>
      <c r="AP53" s="7">
        <v>508.31</v>
      </c>
      <c r="AQ53" s="7"/>
      <c r="AR53" s="7"/>
      <c r="AS53" s="12"/>
      <c r="AT53" s="89" t="s">
        <v>54</v>
      </c>
      <c r="AU53" s="7"/>
      <c r="AV53" s="7"/>
      <c r="AW53" s="7"/>
      <c r="AX53" s="7">
        <f>1.58/1.44*149.76</f>
        <v>164.32</v>
      </c>
      <c r="AY53" s="7"/>
      <c r="AZ53" s="7"/>
      <c r="BA53" s="7"/>
      <c r="BB53" s="7"/>
      <c r="BC53" s="12"/>
      <c r="BD53" s="7">
        <f>1.2*313</f>
        <v>375.59999999999997</v>
      </c>
      <c r="BE53" s="7"/>
      <c r="BF53" s="7"/>
      <c r="BG53" s="88" t="s">
        <v>54</v>
      </c>
      <c r="BH53" s="7"/>
      <c r="BI53" s="7"/>
      <c r="BJ53" s="7">
        <v>324.3</v>
      </c>
      <c r="BK53" s="7"/>
      <c r="BL53" s="7"/>
      <c r="BM53" s="7"/>
      <c r="BN53" s="95">
        <v>270.32</v>
      </c>
      <c r="BO53" s="7"/>
      <c r="BP53" s="7"/>
      <c r="BQ53" s="12"/>
      <c r="BR53" s="12"/>
      <c r="BS53" s="7"/>
      <c r="BT53" s="7"/>
      <c r="BU53" s="7">
        <v>800</v>
      </c>
      <c r="BX53" s="7">
        <v>1265</v>
      </c>
      <c r="BZ53" s="7"/>
      <c r="CA53" s="7">
        <v>2000</v>
      </c>
      <c r="CD53" s="7">
        <v>1000</v>
      </c>
      <c r="CG53" s="7">
        <v>1000</v>
      </c>
      <c r="CJ53" s="7">
        <v>600</v>
      </c>
      <c r="CM53" s="7">
        <v>1370</v>
      </c>
      <c r="CP53" s="74">
        <v>2620.28</v>
      </c>
      <c r="CS53" s="94">
        <v>783.42</v>
      </c>
      <c r="CT53" s="4"/>
      <c r="CV53" s="7">
        <v>600</v>
      </c>
      <c r="CW53" s="4"/>
      <c r="CY53" s="7">
        <v>2007.9</v>
      </c>
      <c r="CZ53" s="4"/>
      <c r="DA53" s="4"/>
      <c r="DB53" s="7">
        <v>1949.25</v>
      </c>
      <c r="DC53" s="4"/>
      <c r="DD53" s="4"/>
      <c r="DE53" s="4"/>
      <c r="DF53" s="4"/>
      <c r="DG53" s="4"/>
      <c r="DH53" s="4"/>
      <c r="DI53" s="77">
        <v>522.38</v>
      </c>
      <c r="DJ53" s="4"/>
      <c r="DK53" s="4"/>
      <c r="DL53" s="77">
        <v>484.77</v>
      </c>
      <c r="DM53" s="4"/>
      <c r="DN53" s="4"/>
      <c r="DO53" s="77">
        <v>371.37</v>
      </c>
      <c r="DP53" s="4"/>
      <c r="DQ53" s="4"/>
      <c r="DR53" s="63">
        <v>306.74</v>
      </c>
      <c r="DS53" s="4"/>
      <c r="DU53" s="57">
        <f>(1.58/1.44)*149.76</f>
        <v>164.32</v>
      </c>
      <c r="DX53" s="7">
        <v>390</v>
      </c>
      <c r="ED53" s="95">
        <v>366.46</v>
      </c>
      <c r="EG53" s="95">
        <v>185.43</v>
      </c>
      <c r="EJ53" s="95">
        <v>158.91</v>
      </c>
      <c r="EP53" s="7">
        <v>454.67</v>
      </c>
      <c r="ES53">
        <v>433.33</v>
      </c>
      <c r="EV53" s="95">
        <v>272.8</v>
      </c>
    </row>
    <row r="54" spans="1:152" ht="18">
      <c r="A54" s="63" t="s">
        <v>98</v>
      </c>
      <c r="B54" s="12"/>
      <c r="C54" s="27"/>
      <c r="D54" s="12"/>
      <c r="E54" s="12"/>
      <c r="F54" s="12"/>
      <c r="G54" s="7"/>
      <c r="H54" s="12"/>
      <c r="J54" s="12"/>
      <c r="K54" s="7"/>
      <c r="L54" s="7"/>
      <c r="M54" s="74">
        <f t="shared" si="0"/>
        <v>147.204</v>
      </c>
      <c r="N54" s="7"/>
      <c r="O54" s="12"/>
      <c r="P54" s="7">
        <v>245.34</v>
      </c>
      <c r="Q54" s="12"/>
      <c r="R54" s="7"/>
      <c r="S54" s="12"/>
      <c r="U54" s="7"/>
      <c r="X54" s="7"/>
      <c r="AE54" s="95">
        <v>172.61</v>
      </c>
      <c r="AH54" s="95">
        <v>341.13</v>
      </c>
      <c r="AK54" s="12"/>
      <c r="AL54" s="7">
        <v>547.75</v>
      </c>
      <c r="AP54" s="7">
        <v>508.31</v>
      </c>
      <c r="AQ54" s="7"/>
      <c r="AR54" s="7"/>
      <c r="AS54" s="12"/>
      <c r="AT54" s="89" t="s">
        <v>54</v>
      </c>
      <c r="AU54" s="7"/>
      <c r="AV54" s="7"/>
      <c r="AW54" s="7"/>
      <c r="AX54" s="7">
        <f>1.47/1.44*149.76</f>
        <v>152.87999999999997</v>
      </c>
      <c r="AY54" s="7"/>
      <c r="AZ54" s="7"/>
      <c r="BA54" s="7"/>
      <c r="BB54" s="7"/>
      <c r="BC54" s="12"/>
      <c r="BD54" s="7">
        <f>0.98*313</f>
        <v>306.74</v>
      </c>
      <c r="BE54" s="7"/>
      <c r="BF54" s="7"/>
      <c r="BG54" s="88" t="s">
        <v>54</v>
      </c>
      <c r="BH54" s="7"/>
      <c r="BI54" s="7"/>
      <c r="BJ54" s="7">
        <v>324.3</v>
      </c>
      <c r="BK54" s="7"/>
      <c r="BL54" s="7"/>
      <c r="BM54" s="7"/>
      <c r="BN54" s="95">
        <v>270.32</v>
      </c>
      <c r="BO54" s="7"/>
      <c r="BP54" s="7"/>
      <c r="BQ54" s="12"/>
      <c r="BR54" s="12"/>
      <c r="BS54" s="7"/>
      <c r="BT54" s="7"/>
      <c r="BU54" s="7">
        <v>200</v>
      </c>
      <c r="BX54" s="7">
        <v>1265</v>
      </c>
      <c r="BZ54" s="7"/>
      <c r="CA54" s="7">
        <v>2000</v>
      </c>
      <c r="CD54" s="7">
        <v>700</v>
      </c>
      <c r="CG54" s="7">
        <v>1675</v>
      </c>
      <c r="CJ54" s="7">
        <v>1500</v>
      </c>
      <c r="CM54" s="7">
        <v>1370</v>
      </c>
      <c r="CP54" s="74">
        <v>2620.28</v>
      </c>
      <c r="CS54" s="94">
        <v>783.42</v>
      </c>
      <c r="CT54" s="4"/>
      <c r="CV54" s="7">
        <v>600</v>
      </c>
      <c r="CW54" s="4"/>
      <c r="CY54" s="7">
        <v>2007.9</v>
      </c>
      <c r="CZ54" s="4"/>
      <c r="DA54" s="4"/>
      <c r="DB54" s="7">
        <v>1949.25</v>
      </c>
      <c r="DC54" s="4"/>
      <c r="DD54" s="4"/>
      <c r="DE54" s="4"/>
      <c r="DF54" s="4"/>
      <c r="DG54" s="4"/>
      <c r="DH54" s="4"/>
      <c r="DI54" s="77">
        <v>522.38</v>
      </c>
      <c r="DJ54" s="4"/>
      <c r="DK54" s="4"/>
      <c r="DL54" s="77">
        <v>484.77</v>
      </c>
      <c r="DM54" s="4"/>
      <c r="DN54" s="4"/>
      <c r="DO54" s="77">
        <v>358.74</v>
      </c>
      <c r="DP54" s="4"/>
      <c r="DQ54" s="4"/>
      <c r="DR54" s="63">
        <v>306.74</v>
      </c>
      <c r="DS54" s="4"/>
      <c r="DU54" s="57">
        <f>(1.47/1.44)*149.76</f>
        <v>152.87999999999997</v>
      </c>
      <c r="DX54" s="7">
        <v>390</v>
      </c>
      <c r="ED54" s="95">
        <v>366.46</v>
      </c>
      <c r="EG54" s="95">
        <v>185.43</v>
      </c>
      <c r="EJ54" s="95">
        <v>158.91</v>
      </c>
      <c r="EP54" s="7">
        <v>454.67</v>
      </c>
      <c r="ES54">
        <v>433.33</v>
      </c>
      <c r="EV54" s="95">
        <v>272.8</v>
      </c>
    </row>
    <row r="55" spans="1:152" ht="18">
      <c r="A55" s="63" t="s">
        <v>99</v>
      </c>
      <c r="B55" s="12"/>
      <c r="C55" s="27"/>
      <c r="D55" s="12"/>
      <c r="E55" s="12"/>
      <c r="F55" s="12"/>
      <c r="G55" s="7"/>
      <c r="H55" s="12"/>
      <c r="J55" s="12"/>
      <c r="K55" s="7"/>
      <c r="L55" s="7"/>
      <c r="M55" s="74">
        <f t="shared" si="0"/>
        <v>188.46</v>
      </c>
      <c r="N55" s="7"/>
      <c r="O55" s="12"/>
      <c r="P55" s="7">
        <v>314.1</v>
      </c>
      <c r="Q55" s="12"/>
      <c r="R55" s="7"/>
      <c r="S55" s="12"/>
      <c r="U55" s="7"/>
      <c r="X55" s="7"/>
      <c r="AE55" s="95">
        <v>172.61</v>
      </c>
      <c r="AH55" s="95">
        <v>341.13</v>
      </c>
      <c r="AK55" s="12"/>
      <c r="AL55" s="7">
        <v>547.75</v>
      </c>
      <c r="AP55" s="7">
        <v>508.31</v>
      </c>
      <c r="AQ55" s="7"/>
      <c r="AR55" s="7"/>
      <c r="AS55" s="12"/>
      <c r="AT55" s="89" t="s">
        <v>54</v>
      </c>
      <c r="AU55" s="7"/>
      <c r="AV55" s="7"/>
      <c r="AW55" s="7"/>
      <c r="AX55" s="7">
        <f>1.72/1.44*149.76</f>
        <v>178.88</v>
      </c>
      <c r="AY55" s="7"/>
      <c r="AZ55" s="7"/>
      <c r="BA55" s="7"/>
      <c r="BB55" s="7"/>
      <c r="BC55" s="12"/>
      <c r="BD55" s="7">
        <f>1.37*313</f>
        <v>428.81000000000006</v>
      </c>
      <c r="BE55" s="7"/>
      <c r="BF55" s="7"/>
      <c r="BG55" s="88" t="s">
        <v>54</v>
      </c>
      <c r="BH55" s="7"/>
      <c r="BI55" s="7"/>
      <c r="BJ55" s="7">
        <v>324.3</v>
      </c>
      <c r="BK55" s="7"/>
      <c r="BL55" s="7"/>
      <c r="BM55" s="7"/>
      <c r="BN55" s="95">
        <v>270.32</v>
      </c>
      <c r="BO55" s="7"/>
      <c r="BP55" s="7"/>
      <c r="BQ55" s="12"/>
      <c r="BR55" s="12"/>
      <c r="BS55" s="7"/>
      <c r="BT55" s="7"/>
      <c r="BU55" s="7">
        <f>1400/3</f>
        <v>466.6666666666667</v>
      </c>
      <c r="BX55" s="7">
        <v>1265</v>
      </c>
      <c r="BZ55" s="7"/>
      <c r="CA55" s="7">
        <v>2000</v>
      </c>
      <c r="CD55" s="7">
        <v>700</v>
      </c>
      <c r="CG55" s="7">
        <v>1000</v>
      </c>
      <c r="CJ55" s="7">
        <v>1000</v>
      </c>
      <c r="CM55" s="7">
        <v>1370</v>
      </c>
      <c r="CP55" s="74">
        <v>2620.28</v>
      </c>
      <c r="CS55" s="94">
        <v>783.42</v>
      </c>
      <c r="CT55" s="4"/>
      <c r="CV55" s="7">
        <v>600</v>
      </c>
      <c r="CW55" s="4"/>
      <c r="CY55" s="7">
        <v>2007.9</v>
      </c>
      <c r="CZ55" s="4"/>
      <c r="DA55" s="4"/>
      <c r="DB55" s="7">
        <v>1949.25</v>
      </c>
      <c r="DC55" s="4"/>
      <c r="DD55" s="4"/>
      <c r="DE55" s="4"/>
      <c r="DF55" s="4"/>
      <c r="DG55" s="4"/>
      <c r="DH55" s="4"/>
      <c r="DI55" s="77">
        <v>522.38</v>
      </c>
      <c r="DJ55" s="4"/>
      <c r="DK55" s="4"/>
      <c r="DL55" s="77">
        <v>484.77</v>
      </c>
      <c r="DM55" s="4"/>
      <c r="DN55" s="4"/>
      <c r="DO55" s="77">
        <v>384</v>
      </c>
      <c r="DP55" s="4"/>
      <c r="DQ55" s="4"/>
      <c r="DR55" s="63">
        <v>306.74</v>
      </c>
      <c r="DS55" s="4"/>
      <c r="DU55" s="57">
        <f>(1.72/1.44)*149.76</f>
        <v>178.88</v>
      </c>
      <c r="DX55" s="7"/>
      <c r="ED55" s="95">
        <v>366.46</v>
      </c>
      <c r="EG55" s="95">
        <v>185.43</v>
      </c>
      <c r="EJ55" s="95">
        <v>158.91</v>
      </c>
      <c r="EP55" s="7">
        <v>454.67</v>
      </c>
      <c r="ES55">
        <v>433.33</v>
      </c>
      <c r="EV55" s="95">
        <v>272.8</v>
      </c>
    </row>
    <row r="56" spans="1:152" ht="18">
      <c r="A56" s="62" t="s">
        <v>85</v>
      </c>
      <c r="B56" s="12"/>
      <c r="C56" s="27"/>
      <c r="D56" s="12"/>
      <c r="E56" s="12"/>
      <c r="F56" s="12"/>
      <c r="G56" s="7"/>
      <c r="H56" s="12"/>
      <c r="J56" s="12"/>
      <c r="K56" s="7"/>
      <c r="L56" s="7"/>
      <c r="M56" s="9">
        <f t="shared" si="0"/>
        <v>160.87679999999997</v>
      </c>
      <c r="N56" s="7"/>
      <c r="O56" s="12"/>
      <c r="P56" s="9">
        <f>SUM(P51:P55)/5</f>
        <v>268.128</v>
      </c>
      <c r="Q56" s="12"/>
      <c r="R56" s="7"/>
      <c r="S56" s="12"/>
      <c r="U56" s="7"/>
      <c r="X56" s="7"/>
      <c r="AE56" s="95">
        <v>172.61</v>
      </c>
      <c r="AH56" s="95">
        <v>341.13</v>
      </c>
      <c r="AK56" s="12"/>
      <c r="AL56" s="9">
        <v>547.75</v>
      </c>
      <c r="AP56" s="9">
        <v>508.31</v>
      </c>
      <c r="AQ56" s="7"/>
      <c r="AR56" s="7"/>
      <c r="AS56" s="12"/>
      <c r="AT56" s="89" t="s">
        <v>54</v>
      </c>
      <c r="AU56" s="7"/>
      <c r="AV56" s="7"/>
      <c r="AW56" s="7"/>
      <c r="AX56" s="9">
        <f>SUM(AX51:AX55)/5</f>
        <v>163.488</v>
      </c>
      <c r="AY56" s="7"/>
      <c r="AZ56" s="7"/>
      <c r="BA56" s="7"/>
      <c r="BB56" s="7"/>
      <c r="BC56" s="12"/>
      <c r="BD56" s="9">
        <f>SUM(BD51:BD55)/5</f>
        <v>360.576</v>
      </c>
      <c r="BE56" s="7"/>
      <c r="BF56" s="7"/>
      <c r="BG56" s="88" t="s">
        <v>54</v>
      </c>
      <c r="BH56" s="7"/>
      <c r="BI56" s="7"/>
      <c r="BJ56" s="9">
        <f>SUM(BJ51:BJ55)/5</f>
        <v>324.3</v>
      </c>
      <c r="BK56" s="7"/>
      <c r="BL56" s="7"/>
      <c r="BM56" s="7"/>
      <c r="BN56" s="95">
        <v>270.32</v>
      </c>
      <c r="BO56" s="7"/>
      <c r="BP56" s="7"/>
      <c r="BQ56" s="12"/>
      <c r="BR56" s="12"/>
      <c r="BS56" s="7"/>
      <c r="BT56" s="7"/>
      <c r="BU56" s="9">
        <f>(BU51+BU53+BU54)/3</f>
        <v>466.6666666666667</v>
      </c>
      <c r="BX56" s="9">
        <f>SUM(BX51:BX55)/5</f>
        <v>1265</v>
      </c>
      <c r="BZ56" s="7"/>
      <c r="CA56" s="9">
        <f>SUM(CA51:CA55)/5</f>
        <v>1874.2</v>
      </c>
      <c r="CD56" s="9">
        <f>SUM(CD51:CD55)/5</f>
        <v>780</v>
      </c>
      <c r="CG56" s="9">
        <f>SUM(CG51:CG55)/5</f>
        <v>1201.6</v>
      </c>
      <c r="CJ56" s="9">
        <f>SUM(CJ51:CJ55)/5</f>
        <v>1020</v>
      </c>
      <c r="CM56" s="9">
        <v>1370</v>
      </c>
      <c r="CP56" s="9">
        <f>SUM(CP51:CP55)/5</f>
        <v>2620.28</v>
      </c>
      <c r="CS56" s="94">
        <v>783.42</v>
      </c>
      <c r="CT56" s="4"/>
      <c r="CV56" s="9">
        <v>600</v>
      </c>
      <c r="CW56" s="4"/>
      <c r="CY56" s="9">
        <f>SUM(CY51:CY55)/5</f>
        <v>2007.9</v>
      </c>
      <c r="CZ56" s="4"/>
      <c r="DA56" s="4"/>
      <c r="DB56" s="9">
        <f>SUM(DB51:DB55)/5</f>
        <v>1949.25</v>
      </c>
      <c r="DC56" s="4"/>
      <c r="DD56" s="4"/>
      <c r="DE56" s="4"/>
      <c r="DF56" s="4"/>
      <c r="DG56" s="4"/>
      <c r="DH56" s="4"/>
      <c r="DI56" s="65">
        <v>522.38</v>
      </c>
      <c r="DJ56" s="4"/>
      <c r="DK56" s="4"/>
      <c r="DL56" s="65">
        <v>484.77</v>
      </c>
      <c r="DM56" s="4"/>
      <c r="DN56" s="4"/>
      <c r="DO56" s="65">
        <f>SUM(DO51:DO55)/5</f>
        <v>376.42199999999997</v>
      </c>
      <c r="DP56" s="4"/>
      <c r="DQ56" s="4"/>
      <c r="DR56" s="62">
        <f>SUM(DR51:DR55)/5</f>
        <v>306.74</v>
      </c>
      <c r="DS56" s="4"/>
      <c r="DU56" s="65">
        <f>SUM(DU51:DU55)/5</f>
        <v>163.488</v>
      </c>
      <c r="DX56" s="9">
        <v>390</v>
      </c>
      <c r="ED56" s="95">
        <v>366.46</v>
      </c>
      <c r="EG56" s="95">
        <v>185.43</v>
      </c>
      <c r="EJ56" s="95">
        <v>158.91</v>
      </c>
      <c r="EP56" s="9">
        <v>454.67</v>
      </c>
      <c r="ES56" s="5">
        <v>433.33</v>
      </c>
      <c r="EV56" s="95">
        <v>272.8</v>
      </c>
    </row>
    <row r="57" spans="1:146" ht="18">
      <c r="A57" s="63"/>
      <c r="B57" s="12"/>
      <c r="C57" s="27"/>
      <c r="D57" s="12"/>
      <c r="E57" s="12"/>
      <c r="F57" s="12"/>
      <c r="G57" s="7"/>
      <c r="H57" s="12"/>
      <c r="J57" s="12"/>
      <c r="K57" s="7"/>
      <c r="L57" s="7"/>
      <c r="N57" s="7"/>
      <c r="O57" s="12"/>
      <c r="Q57" s="12"/>
      <c r="R57" s="7"/>
      <c r="S57" s="12"/>
      <c r="U57" s="7"/>
      <c r="X57" s="7"/>
      <c r="AK57" s="12"/>
      <c r="AQ57" s="7"/>
      <c r="AR57" s="7"/>
      <c r="AS57" s="12"/>
      <c r="AT57" s="89"/>
      <c r="AU57" s="7"/>
      <c r="AV57" s="7"/>
      <c r="AW57" s="7"/>
      <c r="AY57" s="7"/>
      <c r="AZ57" s="7"/>
      <c r="BA57" s="7"/>
      <c r="BB57" s="7"/>
      <c r="BC57" s="12"/>
      <c r="BE57" s="7"/>
      <c r="BF57" s="7"/>
      <c r="BG57" s="88"/>
      <c r="BH57" s="7"/>
      <c r="BI57" s="7"/>
      <c r="BK57" s="7"/>
      <c r="BL57" s="7"/>
      <c r="BM57" s="7"/>
      <c r="BO57" s="7"/>
      <c r="BP57" s="7"/>
      <c r="BQ57" s="12"/>
      <c r="BR57" s="12"/>
      <c r="BS57" s="7"/>
      <c r="BT57" s="7"/>
      <c r="BZ57" s="7"/>
      <c r="CT57" s="4"/>
      <c r="CW57" s="4"/>
      <c r="CY57" s="4"/>
      <c r="CZ57" s="4"/>
      <c r="DA57" s="4"/>
      <c r="DB57" s="76"/>
      <c r="DC57" s="4"/>
      <c r="DD57" s="4"/>
      <c r="DE57" s="4"/>
      <c r="DF57" s="4"/>
      <c r="DG57" s="4"/>
      <c r="DH57" s="4"/>
      <c r="DI57" s="76"/>
      <c r="DJ57" s="4"/>
      <c r="DK57" s="4"/>
      <c r="DL57" s="76"/>
      <c r="DM57" s="4"/>
      <c r="DN57" s="4"/>
      <c r="DO57" s="76"/>
      <c r="DP57" s="4"/>
      <c r="DQ57" s="4"/>
      <c r="DR57" s="84"/>
      <c r="DS57" s="4"/>
      <c r="DX57" s="7"/>
      <c r="EP57" s="7"/>
    </row>
    <row r="58" spans="1:152" ht="18">
      <c r="A58" s="63" t="s">
        <v>100</v>
      </c>
      <c r="B58" s="12"/>
      <c r="C58" s="28"/>
      <c r="D58" s="12"/>
      <c r="E58" s="12"/>
      <c r="F58" s="12"/>
      <c r="G58" s="16"/>
      <c r="H58" s="12"/>
      <c r="I58" s="12"/>
      <c r="J58" s="12"/>
      <c r="K58" s="9"/>
      <c r="L58" s="9"/>
      <c r="M58" s="74">
        <f t="shared" si="0"/>
        <v>134.028</v>
      </c>
      <c r="N58" s="9"/>
      <c r="O58" s="12"/>
      <c r="P58" s="7">
        <v>223.38</v>
      </c>
      <c r="Q58" s="12"/>
      <c r="R58" s="43"/>
      <c r="S58" s="12"/>
      <c r="T58" s="12"/>
      <c r="U58" s="43"/>
      <c r="V58" s="12"/>
      <c r="W58" s="12"/>
      <c r="X58" s="43"/>
      <c r="Y58" s="12"/>
      <c r="Z58" s="12"/>
      <c r="AA58" s="12"/>
      <c r="AB58" s="12"/>
      <c r="AC58" s="12"/>
      <c r="AD58" s="12"/>
      <c r="AE58" s="95">
        <v>149.67</v>
      </c>
      <c r="AG58" s="12"/>
      <c r="AH58" s="95">
        <v>295.78</v>
      </c>
      <c r="AI58" s="12"/>
      <c r="AJ58" s="12"/>
      <c r="AK58" s="12"/>
      <c r="AL58" s="78">
        <v>704.25</v>
      </c>
      <c r="AM58" s="12"/>
      <c r="AN58" s="12"/>
      <c r="AO58" s="12"/>
      <c r="AP58" s="7">
        <v>653.54</v>
      </c>
      <c r="AQ58" s="9"/>
      <c r="AR58" s="9"/>
      <c r="AS58" s="12"/>
      <c r="AT58" s="89" t="s">
        <v>54</v>
      </c>
      <c r="AU58" s="31"/>
      <c r="AV58" s="31"/>
      <c r="AW58" s="31"/>
      <c r="AX58" s="74">
        <f>2.08/1.63*169.52</f>
        <v>216.32000000000005</v>
      </c>
      <c r="AY58" s="31"/>
      <c r="AZ58" s="31"/>
      <c r="BA58" s="31"/>
      <c r="BB58" s="31"/>
      <c r="BC58" s="12"/>
      <c r="BD58" s="7">
        <f>0.96*313</f>
        <v>300.47999999999996</v>
      </c>
      <c r="BE58" s="31"/>
      <c r="BF58" s="31"/>
      <c r="BG58" s="88" t="s">
        <v>54</v>
      </c>
      <c r="BH58" s="31"/>
      <c r="BI58" s="31"/>
      <c r="BJ58" s="7">
        <v>324.3</v>
      </c>
      <c r="BK58" s="31"/>
      <c r="BL58" s="31"/>
      <c r="BM58" s="31"/>
      <c r="BN58" s="95">
        <v>303.41</v>
      </c>
      <c r="BO58" s="31"/>
      <c r="BP58" s="31"/>
      <c r="BQ58" s="12"/>
      <c r="BR58" s="12"/>
      <c r="BS58" s="31"/>
      <c r="BT58" s="31"/>
      <c r="BU58" s="74">
        <v>800</v>
      </c>
      <c r="BV58" s="31"/>
      <c r="BW58" s="31"/>
      <c r="BX58" s="7">
        <v>1265</v>
      </c>
      <c r="BY58" s="31"/>
      <c r="BZ58" s="31"/>
      <c r="CA58" s="74">
        <v>2214</v>
      </c>
      <c r="CD58" s="7">
        <v>700</v>
      </c>
      <c r="CG58" s="7">
        <v>1500</v>
      </c>
      <c r="CJ58" s="7">
        <v>1500</v>
      </c>
      <c r="CM58" s="7">
        <v>1800</v>
      </c>
      <c r="CP58" s="74">
        <v>2620.28</v>
      </c>
      <c r="CS58" s="94">
        <v>776.92</v>
      </c>
      <c r="CT58" s="4"/>
      <c r="CV58" s="57">
        <v>727.64</v>
      </c>
      <c r="CW58" s="4"/>
      <c r="CY58" s="7">
        <v>2007.9</v>
      </c>
      <c r="CZ58" s="4"/>
      <c r="DA58" s="4"/>
      <c r="DB58" s="7">
        <v>1949.25</v>
      </c>
      <c r="DC58" s="4"/>
      <c r="DD58" s="4"/>
      <c r="DE58" s="4"/>
      <c r="DF58" s="4"/>
      <c r="DG58" s="4"/>
      <c r="DH58" s="4"/>
      <c r="DI58" s="77">
        <v>405.25</v>
      </c>
      <c r="DJ58" s="4"/>
      <c r="DK58" s="4"/>
      <c r="DL58" s="77">
        <v>376.07</v>
      </c>
      <c r="DM58" s="4"/>
      <c r="DN58" s="4"/>
      <c r="DO58" s="77">
        <v>346.11</v>
      </c>
      <c r="DP58" s="4"/>
      <c r="DQ58" s="4"/>
      <c r="DR58" s="63">
        <v>287.96</v>
      </c>
      <c r="DS58" s="4"/>
      <c r="DU58" s="7">
        <f>(2.08/1.63)*169.52</f>
        <v>216.32000000000005</v>
      </c>
      <c r="DX58" s="7">
        <v>390</v>
      </c>
      <c r="ED58" s="95">
        <v>317.75</v>
      </c>
      <c r="EG58" s="95">
        <v>160.78</v>
      </c>
      <c r="EJ58" s="95">
        <v>178.36</v>
      </c>
      <c r="EP58" s="7"/>
      <c r="ES58">
        <v>433.33</v>
      </c>
      <c r="EV58" s="95">
        <v>270.54</v>
      </c>
    </row>
    <row r="59" spans="1:152" ht="18">
      <c r="A59" s="63" t="s">
        <v>180</v>
      </c>
      <c r="B59" s="12"/>
      <c r="C59" s="28"/>
      <c r="D59" s="12"/>
      <c r="E59" s="12"/>
      <c r="F59" s="12"/>
      <c r="G59" s="16"/>
      <c r="H59" s="12"/>
      <c r="I59" s="12"/>
      <c r="J59" s="12"/>
      <c r="K59" s="9"/>
      <c r="L59" s="9"/>
      <c r="M59" s="74">
        <f t="shared" si="0"/>
        <v>146.55599999999998</v>
      </c>
      <c r="N59" s="9"/>
      <c r="O59" s="12"/>
      <c r="P59" s="7">
        <v>244.26</v>
      </c>
      <c r="Q59" s="12"/>
      <c r="R59" s="43"/>
      <c r="S59" s="12"/>
      <c r="T59" s="12"/>
      <c r="U59" s="43"/>
      <c r="V59" s="12"/>
      <c r="W59" s="12"/>
      <c r="X59" s="43"/>
      <c r="Y59" s="12"/>
      <c r="Z59" s="12"/>
      <c r="AA59" s="12"/>
      <c r="AB59" s="12"/>
      <c r="AC59" s="12"/>
      <c r="AD59" s="12"/>
      <c r="AE59" s="95">
        <v>149.67</v>
      </c>
      <c r="AF59" s="12"/>
      <c r="AG59" s="12"/>
      <c r="AH59" s="95">
        <v>295.78</v>
      </c>
      <c r="AI59" s="12"/>
      <c r="AJ59" s="12"/>
      <c r="AK59" s="12"/>
      <c r="AL59" s="78">
        <v>704.25</v>
      </c>
      <c r="AM59" s="12"/>
      <c r="AN59" s="12"/>
      <c r="AO59" s="12"/>
      <c r="AP59" s="7">
        <v>653.54</v>
      </c>
      <c r="AQ59" s="9"/>
      <c r="AR59" s="9"/>
      <c r="AS59" s="12"/>
      <c r="AT59" s="89" t="s">
        <v>54</v>
      </c>
      <c r="AU59" s="31"/>
      <c r="AV59" s="31"/>
      <c r="AW59" s="31"/>
      <c r="AX59" s="74">
        <f>1.47/1.63*169.52</f>
        <v>152.88000000000002</v>
      </c>
      <c r="AY59" s="31"/>
      <c r="AZ59" s="31"/>
      <c r="BA59" s="31"/>
      <c r="BB59" s="31"/>
      <c r="BC59" s="12"/>
      <c r="BD59" s="7">
        <f>0.97*313</f>
        <v>303.61</v>
      </c>
      <c r="BE59" s="31"/>
      <c r="BF59" s="31"/>
      <c r="BG59" s="88" t="s">
        <v>54</v>
      </c>
      <c r="BH59" s="31"/>
      <c r="BI59" s="31"/>
      <c r="BJ59" s="7">
        <v>324.3</v>
      </c>
      <c r="BK59" s="31"/>
      <c r="BL59" s="31"/>
      <c r="BM59" s="31"/>
      <c r="BN59" s="95">
        <v>303.41</v>
      </c>
      <c r="BO59" s="31"/>
      <c r="BP59" s="31"/>
      <c r="BQ59" s="12"/>
      <c r="BR59" s="12"/>
      <c r="BS59" s="31"/>
      <c r="BT59" s="31"/>
      <c r="BU59" s="74">
        <v>825</v>
      </c>
      <c r="BV59" s="31"/>
      <c r="BW59" s="31"/>
      <c r="BX59" s="7">
        <v>1265</v>
      </c>
      <c r="BY59" s="31"/>
      <c r="BZ59" s="31"/>
      <c r="CA59" s="74">
        <v>1871</v>
      </c>
      <c r="CD59" s="7">
        <v>1000</v>
      </c>
      <c r="CG59" s="7">
        <v>1850</v>
      </c>
      <c r="CJ59" s="7">
        <v>1000</v>
      </c>
      <c r="CM59" s="7">
        <v>1500</v>
      </c>
      <c r="CP59" s="74">
        <v>2620.28</v>
      </c>
      <c r="CS59" s="94">
        <v>776.92</v>
      </c>
      <c r="CT59" s="4"/>
      <c r="CV59" s="57">
        <v>727.64</v>
      </c>
      <c r="CW59" s="4"/>
      <c r="CY59" s="7">
        <v>2007.9</v>
      </c>
      <c r="CZ59" s="4"/>
      <c r="DA59" s="4"/>
      <c r="DB59" s="7">
        <v>1949.25</v>
      </c>
      <c r="DC59" s="4"/>
      <c r="DD59" s="4"/>
      <c r="DE59" s="4"/>
      <c r="DF59" s="4"/>
      <c r="DG59" s="4"/>
      <c r="DH59" s="4"/>
      <c r="DI59" s="77">
        <v>405.25</v>
      </c>
      <c r="DJ59" s="4"/>
      <c r="DK59" s="4"/>
      <c r="DL59" s="77">
        <v>376.07</v>
      </c>
      <c r="DM59" s="4"/>
      <c r="DN59" s="4"/>
      <c r="DO59" s="77">
        <v>333.47</v>
      </c>
      <c r="DP59" s="4"/>
      <c r="DQ59" s="4"/>
      <c r="DR59" s="63">
        <v>287.96</v>
      </c>
      <c r="DS59" s="4"/>
      <c r="DU59" s="7">
        <f>(1.47/1.63)*169.52</f>
        <v>152.88000000000002</v>
      </c>
      <c r="DX59" s="7">
        <v>390</v>
      </c>
      <c r="ED59" s="95">
        <v>317.75</v>
      </c>
      <c r="EG59" s="95">
        <v>160.78</v>
      </c>
      <c r="EJ59" s="95">
        <v>178.36</v>
      </c>
      <c r="EP59" s="7">
        <v>699.9</v>
      </c>
      <c r="ES59">
        <v>433.33</v>
      </c>
      <c r="EV59" s="95">
        <v>270.54</v>
      </c>
    </row>
    <row r="60" spans="1:152" ht="18">
      <c r="A60" s="63" t="s">
        <v>181</v>
      </c>
      <c r="B60" s="12"/>
      <c r="C60" s="28"/>
      <c r="D60" s="12"/>
      <c r="E60" s="12"/>
      <c r="F60" s="12"/>
      <c r="G60" s="16"/>
      <c r="H60" s="12"/>
      <c r="I60" s="12"/>
      <c r="J60" s="12"/>
      <c r="K60" s="9"/>
      <c r="L60" s="9"/>
      <c r="M60" s="74">
        <f t="shared" si="0"/>
        <v>179.928</v>
      </c>
      <c r="N60" s="9"/>
      <c r="O60" s="12"/>
      <c r="P60" s="7">
        <v>299.88</v>
      </c>
      <c r="Q60" s="12"/>
      <c r="R60" s="43"/>
      <c r="S60" s="12"/>
      <c r="T60" s="12"/>
      <c r="U60" s="43"/>
      <c r="V60" s="12"/>
      <c r="W60" s="12"/>
      <c r="X60" s="43"/>
      <c r="Y60" s="12"/>
      <c r="Z60" s="12"/>
      <c r="AA60" s="12"/>
      <c r="AB60" s="12"/>
      <c r="AC60" s="12"/>
      <c r="AD60" s="12"/>
      <c r="AE60" s="95">
        <v>149.67</v>
      </c>
      <c r="AF60" s="12"/>
      <c r="AG60" s="12"/>
      <c r="AH60" s="95">
        <v>295.78</v>
      </c>
      <c r="AI60" s="12"/>
      <c r="AJ60" s="12"/>
      <c r="AK60" s="12"/>
      <c r="AL60" s="78">
        <v>704.25</v>
      </c>
      <c r="AM60" s="12"/>
      <c r="AN60" s="12"/>
      <c r="AO60" s="12"/>
      <c r="AP60" s="7">
        <v>653.54</v>
      </c>
      <c r="AQ60" s="9"/>
      <c r="AR60" s="9"/>
      <c r="AS60" s="12"/>
      <c r="AT60" s="89" t="s">
        <v>54</v>
      </c>
      <c r="AU60" s="31"/>
      <c r="AV60" s="31"/>
      <c r="AW60" s="31"/>
      <c r="AX60" s="74">
        <f>2.25/1.63*169.52</f>
        <v>234.00000000000003</v>
      </c>
      <c r="AY60" s="31"/>
      <c r="AZ60" s="31"/>
      <c r="BA60" s="31"/>
      <c r="BB60" s="31"/>
      <c r="BC60" s="12"/>
      <c r="BD60" s="7">
        <f>1.26*313</f>
        <v>394.38</v>
      </c>
      <c r="BE60" s="31"/>
      <c r="BF60" s="31"/>
      <c r="BG60" s="88" t="s">
        <v>54</v>
      </c>
      <c r="BH60" s="31"/>
      <c r="BI60" s="31"/>
      <c r="BJ60" s="7">
        <v>324.3</v>
      </c>
      <c r="BK60" s="31"/>
      <c r="BL60" s="31"/>
      <c r="BM60" s="31"/>
      <c r="BN60" s="95">
        <v>303.41</v>
      </c>
      <c r="BO60" s="31"/>
      <c r="BP60" s="31"/>
      <c r="BQ60" s="12"/>
      <c r="BR60" s="12"/>
      <c r="BS60" s="31"/>
      <c r="BT60" s="31"/>
      <c r="BU60" s="74">
        <v>500</v>
      </c>
      <c r="BV60" s="31"/>
      <c r="BW60" s="31"/>
      <c r="BX60" s="7">
        <v>1265</v>
      </c>
      <c r="BY60" s="31"/>
      <c r="BZ60" s="31"/>
      <c r="CA60" s="74">
        <v>3000</v>
      </c>
      <c r="CD60" s="7">
        <v>1200</v>
      </c>
      <c r="CG60" s="7">
        <v>1500</v>
      </c>
      <c r="CJ60" s="7">
        <v>1500</v>
      </c>
      <c r="CM60" s="7">
        <v>1800</v>
      </c>
      <c r="CP60" s="74">
        <v>2620.28</v>
      </c>
      <c r="CS60" s="94">
        <v>776.92</v>
      </c>
      <c r="CT60" s="4"/>
      <c r="CV60" s="57">
        <v>727.64</v>
      </c>
      <c r="CW60" s="4"/>
      <c r="CY60" s="7">
        <v>2007.9</v>
      </c>
      <c r="CZ60" s="4"/>
      <c r="DA60" s="4"/>
      <c r="DB60" s="7">
        <v>1949.25</v>
      </c>
      <c r="DC60" s="4"/>
      <c r="DD60" s="4"/>
      <c r="DE60" s="4"/>
      <c r="DF60" s="4"/>
      <c r="DG60" s="4"/>
      <c r="DH60" s="4"/>
      <c r="DI60" s="77">
        <v>405.25</v>
      </c>
      <c r="DJ60" s="4"/>
      <c r="DK60" s="4"/>
      <c r="DL60" s="77">
        <v>376.07</v>
      </c>
      <c r="DM60" s="4"/>
      <c r="DN60" s="4"/>
      <c r="DO60" s="77">
        <v>358.74</v>
      </c>
      <c r="DP60" s="4"/>
      <c r="DQ60" s="4"/>
      <c r="DR60" s="63">
        <v>287.96</v>
      </c>
      <c r="DS60" s="4"/>
      <c r="DU60" s="7">
        <f>(2.25/1.63)*169.52</f>
        <v>234.00000000000003</v>
      </c>
      <c r="DX60" s="7">
        <v>390</v>
      </c>
      <c r="ED60" s="95">
        <v>317.75</v>
      </c>
      <c r="EG60" s="95">
        <v>160.78</v>
      </c>
      <c r="EJ60" s="95">
        <v>178.36</v>
      </c>
      <c r="EP60" s="7">
        <v>699.9</v>
      </c>
      <c r="ES60">
        <v>433.33</v>
      </c>
      <c r="EV60" s="95">
        <v>270.54</v>
      </c>
    </row>
    <row r="61" spans="1:152" ht="18">
      <c r="A61" s="63" t="s">
        <v>184</v>
      </c>
      <c r="B61" s="12"/>
      <c r="C61" s="28"/>
      <c r="D61" s="12"/>
      <c r="E61" s="12"/>
      <c r="F61" s="12"/>
      <c r="G61" s="16"/>
      <c r="H61" s="12"/>
      <c r="I61" s="12"/>
      <c r="J61" s="12"/>
      <c r="K61" s="9"/>
      <c r="L61" s="9"/>
      <c r="M61" s="74">
        <f t="shared" si="0"/>
        <v>128.952</v>
      </c>
      <c r="N61" s="9"/>
      <c r="O61" s="12"/>
      <c r="P61" s="7">
        <v>214.92</v>
      </c>
      <c r="Q61" s="12"/>
      <c r="R61" s="43"/>
      <c r="S61" s="12"/>
      <c r="T61" s="12"/>
      <c r="U61" s="43"/>
      <c r="V61" s="12"/>
      <c r="W61" s="12"/>
      <c r="X61" s="43"/>
      <c r="Y61" s="12"/>
      <c r="Z61" s="12"/>
      <c r="AA61" s="12"/>
      <c r="AB61" s="12"/>
      <c r="AC61" s="12"/>
      <c r="AD61" s="12"/>
      <c r="AE61" s="95">
        <v>149.67</v>
      </c>
      <c r="AF61" s="12"/>
      <c r="AG61" s="12"/>
      <c r="AH61" s="95">
        <v>295.78</v>
      </c>
      <c r="AI61" s="12"/>
      <c r="AJ61" s="12"/>
      <c r="AK61" s="12"/>
      <c r="AL61" s="78">
        <v>704.25</v>
      </c>
      <c r="AM61" s="12"/>
      <c r="AN61" s="12"/>
      <c r="AO61" s="12"/>
      <c r="AP61" s="7">
        <v>653.54</v>
      </c>
      <c r="AQ61" s="9"/>
      <c r="AR61" s="9"/>
      <c r="AS61" s="12"/>
      <c r="AT61" s="89" t="s">
        <v>54</v>
      </c>
      <c r="AU61" s="31"/>
      <c r="AV61" s="31"/>
      <c r="AW61" s="31"/>
      <c r="AX61" s="74">
        <f>1.28/1.63*169.52</f>
        <v>133.12</v>
      </c>
      <c r="AY61" s="31"/>
      <c r="AZ61" s="31"/>
      <c r="BA61" s="31"/>
      <c r="BB61" s="31"/>
      <c r="BC61" s="12"/>
      <c r="BD61" s="7">
        <f>0.84*313</f>
        <v>262.92</v>
      </c>
      <c r="BE61" s="31"/>
      <c r="BF61" s="31"/>
      <c r="BG61" s="88" t="s">
        <v>54</v>
      </c>
      <c r="BH61" s="31"/>
      <c r="BI61" s="31"/>
      <c r="BJ61" s="7">
        <v>324.3</v>
      </c>
      <c r="BK61" s="31"/>
      <c r="BL61" s="31"/>
      <c r="BM61" s="31"/>
      <c r="BN61" s="95">
        <v>303.41</v>
      </c>
      <c r="BO61" s="31"/>
      <c r="BP61" s="31"/>
      <c r="BQ61" s="12"/>
      <c r="BR61" s="12"/>
      <c r="BS61" s="31"/>
      <c r="BT61" s="31"/>
      <c r="BU61" s="74">
        <v>825</v>
      </c>
      <c r="BV61" s="31"/>
      <c r="BW61" s="31"/>
      <c r="BX61" s="7">
        <v>1265</v>
      </c>
      <c r="BY61" s="31"/>
      <c r="BZ61" s="31"/>
      <c r="CA61" s="74">
        <v>2043</v>
      </c>
      <c r="CD61" s="9">
        <f>SUM(CD58:CD60)/3</f>
        <v>966.6666666666666</v>
      </c>
      <c r="CG61" s="7">
        <v>1850</v>
      </c>
      <c r="CJ61" s="7">
        <v>1000</v>
      </c>
      <c r="CM61" s="74">
        <v>1500</v>
      </c>
      <c r="CP61" s="74">
        <v>2620.28</v>
      </c>
      <c r="CS61" s="94">
        <v>776.92</v>
      </c>
      <c r="CT61" s="4"/>
      <c r="CV61" s="57">
        <v>727.64</v>
      </c>
      <c r="CW61" s="4"/>
      <c r="CY61" s="7">
        <v>2007.9</v>
      </c>
      <c r="CZ61" s="4"/>
      <c r="DA61" s="4"/>
      <c r="DB61" s="7">
        <v>1949.25</v>
      </c>
      <c r="DC61" s="4"/>
      <c r="DD61" s="4"/>
      <c r="DE61" s="4"/>
      <c r="DF61" s="4"/>
      <c r="DG61" s="4"/>
      <c r="DH61" s="4"/>
      <c r="DI61" s="77">
        <v>405.25</v>
      </c>
      <c r="DJ61" s="4"/>
      <c r="DK61" s="4"/>
      <c r="DL61" s="77">
        <v>376.07</v>
      </c>
      <c r="DM61" s="4"/>
      <c r="DN61" s="4"/>
      <c r="DO61" s="77">
        <v>358.74</v>
      </c>
      <c r="DP61" s="4"/>
      <c r="DQ61" s="4"/>
      <c r="DR61" s="63">
        <v>287.96</v>
      </c>
      <c r="DS61" s="4"/>
      <c r="DU61" s="7">
        <f>(1.28/1.63)*169.52</f>
        <v>133.12</v>
      </c>
      <c r="DX61" s="7">
        <v>390</v>
      </c>
      <c r="ED61" s="95">
        <v>317.75</v>
      </c>
      <c r="EG61" s="95">
        <v>160.78</v>
      </c>
      <c r="EJ61" s="95">
        <v>178.36</v>
      </c>
      <c r="EP61" s="7">
        <v>699.9</v>
      </c>
      <c r="ES61">
        <v>433.33</v>
      </c>
      <c r="EV61" s="95">
        <v>270.54</v>
      </c>
    </row>
    <row r="62" spans="1:152" ht="18">
      <c r="A62" s="62" t="s">
        <v>86</v>
      </c>
      <c r="B62" s="12"/>
      <c r="C62" s="28"/>
      <c r="D62" s="12"/>
      <c r="E62" s="12"/>
      <c r="F62" s="12"/>
      <c r="G62" s="16"/>
      <c r="H62" s="12"/>
      <c r="I62" s="12"/>
      <c r="J62" s="12"/>
      <c r="K62" s="9"/>
      <c r="L62" s="9"/>
      <c r="M62" s="9">
        <f t="shared" si="0"/>
        <v>147.36599999999999</v>
      </c>
      <c r="N62" s="9"/>
      <c r="O62" s="12"/>
      <c r="P62" s="9">
        <f>SUM(P58:P61)/4</f>
        <v>245.60999999999999</v>
      </c>
      <c r="Q62" s="12"/>
      <c r="R62" s="43"/>
      <c r="S62" s="12"/>
      <c r="T62" s="12"/>
      <c r="U62" s="43"/>
      <c r="V62" s="12"/>
      <c r="W62" s="12"/>
      <c r="X62" s="43"/>
      <c r="Y62" s="12"/>
      <c r="Z62" s="12"/>
      <c r="AA62" s="12"/>
      <c r="AB62" s="12"/>
      <c r="AC62" s="12"/>
      <c r="AD62" s="12"/>
      <c r="AE62" s="95">
        <v>149.67</v>
      </c>
      <c r="AF62" s="13"/>
      <c r="AG62" s="13"/>
      <c r="AH62" s="95">
        <v>295.78</v>
      </c>
      <c r="AI62" s="12"/>
      <c r="AJ62" s="12"/>
      <c r="AK62" s="12"/>
      <c r="AL62" s="66">
        <v>704.25</v>
      </c>
      <c r="AM62" s="12"/>
      <c r="AN62" s="12"/>
      <c r="AO62" s="12"/>
      <c r="AP62" s="9">
        <v>653.54</v>
      </c>
      <c r="AQ62" s="9"/>
      <c r="AR62" s="9"/>
      <c r="AS62" s="12"/>
      <c r="AT62" s="89" t="s">
        <v>54</v>
      </c>
      <c r="AU62" s="31"/>
      <c r="AV62" s="31"/>
      <c r="AW62" s="31"/>
      <c r="AX62" s="9">
        <f>SUM(AX58:AX61)/4</f>
        <v>184.08</v>
      </c>
      <c r="AY62" s="31"/>
      <c r="AZ62" s="31"/>
      <c r="BA62" s="31"/>
      <c r="BB62" s="31"/>
      <c r="BC62" s="12"/>
      <c r="BD62" s="9">
        <f>SUM(BD58:BD61)/4</f>
        <v>315.34749999999997</v>
      </c>
      <c r="BE62" s="31"/>
      <c r="BF62" s="31"/>
      <c r="BG62" s="88" t="s">
        <v>54</v>
      </c>
      <c r="BH62" s="31"/>
      <c r="BI62" s="31"/>
      <c r="BJ62" s="9">
        <f>SUM(BJ58:BJ61)/4</f>
        <v>324.3</v>
      </c>
      <c r="BK62" s="31"/>
      <c r="BL62" s="31"/>
      <c r="BM62" s="31"/>
      <c r="BN62" s="95">
        <v>303.41</v>
      </c>
      <c r="BO62" s="31"/>
      <c r="BP62" s="31"/>
      <c r="BQ62" s="12"/>
      <c r="BR62" s="12"/>
      <c r="BS62" s="31"/>
      <c r="BT62" s="31"/>
      <c r="BU62" s="31">
        <f>SUM(BU58:BU61)/4</f>
        <v>737.5</v>
      </c>
      <c r="BV62" s="31"/>
      <c r="BW62" s="31"/>
      <c r="BX62" s="31">
        <f>SUM(BX58:BX61)/4</f>
        <v>1265</v>
      </c>
      <c r="BY62" s="31"/>
      <c r="BZ62" s="31"/>
      <c r="CA62" s="31">
        <f>SUM(CA58:CA61)/4</f>
        <v>2282</v>
      </c>
      <c r="CG62" s="9">
        <f>SUM(CG58:CG61)/4</f>
        <v>1675</v>
      </c>
      <c r="CJ62" s="9">
        <f>SUM(CJ58:CJ61)/4</f>
        <v>1250</v>
      </c>
      <c r="CM62" s="9">
        <f>SUM(CM58:CM61)/4</f>
        <v>1650</v>
      </c>
      <c r="CP62" s="9">
        <f>SUM(CP58:CP61)/4</f>
        <v>2620.28</v>
      </c>
      <c r="CS62" s="94">
        <v>776.92</v>
      </c>
      <c r="CT62" s="4"/>
      <c r="CV62" s="5">
        <v>727.64</v>
      </c>
      <c r="CW62" s="4"/>
      <c r="CY62" s="9">
        <f>SUM(CY58:CY61)/4</f>
        <v>2007.9</v>
      </c>
      <c r="CZ62" s="4"/>
      <c r="DA62" s="4"/>
      <c r="DB62" s="9">
        <f>SUM(DB58:DB61)/4</f>
        <v>1949.25</v>
      </c>
      <c r="DC62" s="4"/>
      <c r="DD62" s="4"/>
      <c r="DE62" s="4"/>
      <c r="DF62" s="4"/>
      <c r="DG62" s="4"/>
      <c r="DH62" s="4"/>
      <c r="DI62" s="65">
        <v>405.25</v>
      </c>
      <c r="DJ62" s="4"/>
      <c r="DK62" s="4"/>
      <c r="DL62" s="65">
        <v>376.07</v>
      </c>
      <c r="DM62" s="4"/>
      <c r="DN62" s="4"/>
      <c r="DO62" s="65">
        <f>SUM(DO58:DO61)/4</f>
        <v>349.26500000000004</v>
      </c>
      <c r="DP62" s="4"/>
      <c r="DQ62" s="4"/>
      <c r="DR62" s="62">
        <f>SUM(DR58:DR61)/4</f>
        <v>287.96</v>
      </c>
      <c r="DS62" s="4"/>
      <c r="DU62" s="62">
        <f>SUM(DU58:DU61)/4</f>
        <v>184.08</v>
      </c>
      <c r="DX62" s="9">
        <v>390</v>
      </c>
      <c r="ED62" s="95">
        <v>317.75</v>
      </c>
      <c r="EG62" s="95">
        <v>160.78</v>
      </c>
      <c r="EJ62" s="95">
        <v>178.36</v>
      </c>
      <c r="EP62" s="9">
        <v>699.9</v>
      </c>
      <c r="ER62" s="5"/>
      <c r="ES62" s="5">
        <v>433.33</v>
      </c>
      <c r="EV62" s="95">
        <v>270.54</v>
      </c>
    </row>
    <row r="63" spans="13:146" ht="12">
      <c r="M63" s="74"/>
      <c r="AT63" s="89"/>
      <c r="CY63"/>
      <c r="DL63" s="7"/>
      <c r="DR63" s="57"/>
      <c r="DX63" s="7"/>
      <c r="EP63" s="7"/>
    </row>
    <row r="64" spans="1:152" ht="18">
      <c r="A64" s="63" t="s">
        <v>101</v>
      </c>
      <c r="B64" s="12"/>
      <c r="C64" s="28"/>
      <c r="D64" s="12"/>
      <c r="E64" s="12"/>
      <c r="F64" s="12"/>
      <c r="G64" s="16"/>
      <c r="H64" s="12"/>
      <c r="I64" s="12"/>
      <c r="J64" s="12"/>
      <c r="K64" s="9"/>
      <c r="L64" s="9"/>
      <c r="M64" s="74">
        <f t="shared" si="0"/>
        <v>153.9</v>
      </c>
      <c r="N64" s="9"/>
      <c r="O64" s="12"/>
      <c r="P64" s="7">
        <v>256.5</v>
      </c>
      <c r="Q64" s="12"/>
      <c r="R64" s="43"/>
      <c r="S64" s="12"/>
      <c r="T64" s="12"/>
      <c r="U64" s="7"/>
      <c r="V64" s="12"/>
      <c r="W64" s="12"/>
      <c r="X64" s="7"/>
      <c r="Y64" s="12"/>
      <c r="Z64" s="12"/>
      <c r="AA64" s="12"/>
      <c r="AB64" s="12"/>
      <c r="AC64" s="12"/>
      <c r="AD64" s="12"/>
      <c r="AE64" s="95">
        <v>183.73</v>
      </c>
      <c r="AF64" s="12"/>
      <c r="AG64" s="12"/>
      <c r="AH64" s="95">
        <v>363.1</v>
      </c>
      <c r="AI64" s="12"/>
      <c r="AJ64" s="12"/>
      <c r="AK64" s="12"/>
      <c r="AL64" s="7">
        <v>704.25</v>
      </c>
      <c r="AM64" s="12"/>
      <c r="AN64" s="12"/>
      <c r="AO64" s="12"/>
      <c r="AP64" s="7">
        <v>653.53</v>
      </c>
      <c r="AQ64" s="9"/>
      <c r="AR64" s="9"/>
      <c r="AS64" s="12"/>
      <c r="AT64" s="89" t="s">
        <v>54</v>
      </c>
      <c r="AU64" s="31"/>
      <c r="AV64" s="31"/>
      <c r="AW64" s="31"/>
      <c r="AX64" s="7">
        <f>1.91/2.95*306.8</f>
        <v>198.64</v>
      </c>
      <c r="AY64" s="31"/>
      <c r="AZ64" s="31"/>
      <c r="BA64" s="31"/>
      <c r="BB64" s="31"/>
      <c r="BC64" s="12"/>
      <c r="BD64" s="7">
        <f>1.04*313</f>
        <v>325.52000000000004</v>
      </c>
      <c r="BE64" s="31"/>
      <c r="BF64" s="31"/>
      <c r="BG64" s="88" t="s">
        <v>54</v>
      </c>
      <c r="BH64" s="31"/>
      <c r="BI64" s="31"/>
      <c r="BJ64" s="7">
        <v>324.3</v>
      </c>
      <c r="BK64" s="31"/>
      <c r="BL64" s="31"/>
      <c r="BM64" s="31"/>
      <c r="BN64" s="95">
        <v>429.3</v>
      </c>
      <c r="BO64" s="31"/>
      <c r="BP64" s="31"/>
      <c r="BQ64" s="12"/>
      <c r="BR64" s="12"/>
      <c r="BS64" s="31"/>
      <c r="BT64" s="31"/>
      <c r="BU64" s="74">
        <v>200</v>
      </c>
      <c r="BV64" s="31"/>
      <c r="BW64" s="31"/>
      <c r="BX64" s="7">
        <v>1265</v>
      </c>
      <c r="BY64" s="31"/>
      <c r="BZ64" s="31"/>
      <c r="CA64" s="74">
        <v>1543</v>
      </c>
      <c r="CD64" s="7">
        <v>700</v>
      </c>
      <c r="CG64" s="7">
        <v>1675</v>
      </c>
      <c r="CJ64" s="7">
        <v>1500</v>
      </c>
      <c r="CM64" s="7">
        <v>1370</v>
      </c>
      <c r="CP64" s="74">
        <v>2620.28</v>
      </c>
      <c r="CS64" s="94">
        <v>851.22</v>
      </c>
      <c r="CT64" s="4"/>
      <c r="CV64" s="57">
        <v>727.64</v>
      </c>
      <c r="CW64" s="4"/>
      <c r="CY64" s="7">
        <v>2007.9</v>
      </c>
      <c r="CZ64" s="4"/>
      <c r="DA64" s="4"/>
      <c r="DB64" s="7">
        <v>1949.25</v>
      </c>
      <c r="DC64" s="4"/>
      <c r="DD64" s="4"/>
      <c r="DE64" s="4"/>
      <c r="DF64" s="4"/>
      <c r="DG64" s="4"/>
      <c r="DH64" s="4"/>
      <c r="DI64" s="77">
        <v>676.96</v>
      </c>
      <c r="DJ64" s="4"/>
      <c r="DK64" s="4"/>
      <c r="DL64" s="77">
        <v>628.22</v>
      </c>
      <c r="DM64" s="4"/>
      <c r="DN64" s="4"/>
      <c r="DO64" s="77">
        <v>384</v>
      </c>
      <c r="DP64" s="4"/>
      <c r="DQ64" s="4"/>
      <c r="DR64" s="63">
        <v>397.51</v>
      </c>
      <c r="DS64" s="4"/>
      <c r="DU64" s="7">
        <f>(1.91/2.95)*306.8</f>
        <v>198.64</v>
      </c>
      <c r="DX64" s="7">
        <v>390</v>
      </c>
      <c r="ED64" s="98">
        <v>390.06</v>
      </c>
      <c r="EG64" s="98">
        <v>197.37</v>
      </c>
      <c r="EJ64" s="95">
        <v>252.36</v>
      </c>
      <c r="EP64" s="7">
        <v>699.9</v>
      </c>
      <c r="ES64">
        <v>433.33</v>
      </c>
      <c r="EV64" s="95">
        <v>296.41</v>
      </c>
    </row>
    <row r="65" spans="1:152" ht="18">
      <c r="A65" s="63" t="s">
        <v>102</v>
      </c>
      <c r="B65" s="12"/>
      <c r="C65" s="28"/>
      <c r="D65" s="12"/>
      <c r="E65" s="12"/>
      <c r="F65" s="12"/>
      <c r="G65" s="16"/>
      <c r="H65" s="12"/>
      <c r="I65" s="12"/>
      <c r="J65" s="12"/>
      <c r="K65" s="9"/>
      <c r="L65" s="9"/>
      <c r="M65" s="74">
        <f t="shared" si="0"/>
        <v>183.6</v>
      </c>
      <c r="N65" s="9"/>
      <c r="O65" s="12"/>
      <c r="P65" s="7">
        <v>306</v>
      </c>
      <c r="Q65" s="12"/>
      <c r="R65" s="43"/>
      <c r="S65" s="12"/>
      <c r="T65" s="12"/>
      <c r="U65" s="7"/>
      <c r="V65" s="12"/>
      <c r="W65" s="12"/>
      <c r="X65" s="7"/>
      <c r="Y65" s="12"/>
      <c r="Z65" s="12"/>
      <c r="AA65" s="12"/>
      <c r="AB65" s="12"/>
      <c r="AC65" s="12"/>
      <c r="AD65" s="12"/>
      <c r="AE65" s="95">
        <v>183.73</v>
      </c>
      <c r="AF65" s="12"/>
      <c r="AG65" s="12"/>
      <c r="AH65" s="95">
        <v>363.1</v>
      </c>
      <c r="AI65" s="12"/>
      <c r="AJ65" s="12"/>
      <c r="AK65" s="12"/>
      <c r="AL65" s="7">
        <v>704.25</v>
      </c>
      <c r="AM65" s="12"/>
      <c r="AN65" s="12"/>
      <c r="AO65" s="12"/>
      <c r="AP65" s="7">
        <v>653.53</v>
      </c>
      <c r="AQ65" s="9"/>
      <c r="AR65" s="9"/>
      <c r="AS65" s="12"/>
      <c r="AT65" s="89" t="s">
        <v>54</v>
      </c>
      <c r="AU65" s="31"/>
      <c r="AV65" s="31"/>
      <c r="AW65" s="31"/>
      <c r="AX65" s="7">
        <f>3.36/2.95*306.8</f>
        <v>349.43999999999994</v>
      </c>
      <c r="AY65" s="31"/>
      <c r="AZ65" s="31"/>
      <c r="BA65" s="31"/>
      <c r="BB65" s="31"/>
      <c r="BC65" s="12"/>
      <c r="BD65" s="7">
        <f>1.39*313</f>
        <v>435.07</v>
      </c>
      <c r="BE65" s="31"/>
      <c r="BG65" s="74">
        <v>270</v>
      </c>
      <c r="BH65" s="31"/>
      <c r="BI65" s="31"/>
      <c r="BJ65" s="7">
        <v>324.3</v>
      </c>
      <c r="BK65" s="31"/>
      <c r="BL65" s="31"/>
      <c r="BM65" s="31"/>
      <c r="BN65" s="95">
        <v>429.3</v>
      </c>
      <c r="BO65" s="31"/>
      <c r="BP65" s="31"/>
      <c r="BQ65" s="12"/>
      <c r="BR65" s="12"/>
      <c r="BS65" s="31"/>
      <c r="BT65" s="31"/>
      <c r="BU65" s="74">
        <v>2100</v>
      </c>
      <c r="BV65" s="31"/>
      <c r="BW65" s="31"/>
      <c r="BX65" s="7">
        <v>1265</v>
      </c>
      <c r="BY65" s="31"/>
      <c r="BZ65" s="31"/>
      <c r="CA65" s="74">
        <v>3552</v>
      </c>
      <c r="CD65" s="7">
        <v>995</v>
      </c>
      <c r="CG65" s="7">
        <v>3000</v>
      </c>
      <c r="CJ65" s="7">
        <v>1500</v>
      </c>
      <c r="CM65" s="7">
        <v>1800</v>
      </c>
      <c r="CP65" s="74">
        <v>2620.28</v>
      </c>
      <c r="CS65" s="94">
        <v>851.22</v>
      </c>
      <c r="CT65" s="4"/>
      <c r="CV65" s="57">
        <v>727.64</v>
      </c>
      <c r="CW65" s="4"/>
      <c r="CY65" s="7">
        <v>2007.9</v>
      </c>
      <c r="CZ65" s="4"/>
      <c r="DA65" s="4"/>
      <c r="DB65" s="7">
        <v>1949.25</v>
      </c>
      <c r="DC65" s="4"/>
      <c r="DD65" s="4"/>
      <c r="DE65" s="4"/>
      <c r="DF65" s="4"/>
      <c r="DG65" s="4"/>
      <c r="DH65" s="4"/>
      <c r="DI65" s="77">
        <v>676.96</v>
      </c>
      <c r="DJ65" s="4"/>
      <c r="DK65" s="4"/>
      <c r="DL65" s="77">
        <v>628.22</v>
      </c>
      <c r="DM65" s="4"/>
      <c r="DN65" s="4"/>
      <c r="DO65" s="77">
        <v>384</v>
      </c>
      <c r="DP65" s="4"/>
      <c r="DQ65" s="4"/>
      <c r="DR65" s="63">
        <v>397.51</v>
      </c>
      <c r="DS65" s="4"/>
      <c r="DU65" s="7">
        <f>(3.36/2.95)*306.8</f>
        <v>349.43999999999994</v>
      </c>
      <c r="DX65" s="7">
        <v>390</v>
      </c>
      <c r="ED65" s="98">
        <v>390.06</v>
      </c>
      <c r="EG65" s="98">
        <v>197.37</v>
      </c>
      <c r="EJ65" s="95">
        <v>252.36</v>
      </c>
      <c r="EP65" s="7">
        <v>699.9</v>
      </c>
      <c r="ES65">
        <v>433.33</v>
      </c>
      <c r="EV65" s="95">
        <v>296.41</v>
      </c>
    </row>
    <row r="66" spans="1:152" ht="18">
      <c r="A66" s="63" t="s">
        <v>103</v>
      </c>
      <c r="B66" s="12"/>
      <c r="C66" s="28"/>
      <c r="D66" s="12"/>
      <c r="E66" s="12"/>
      <c r="F66" s="12"/>
      <c r="G66" s="16"/>
      <c r="H66" s="12"/>
      <c r="I66" s="12"/>
      <c r="J66" s="12"/>
      <c r="K66" s="9"/>
      <c r="L66" s="9"/>
      <c r="M66" s="74">
        <f t="shared" si="0"/>
        <v>173.016</v>
      </c>
      <c r="N66" s="9"/>
      <c r="O66" s="12"/>
      <c r="P66" s="7">
        <v>288.36</v>
      </c>
      <c r="Q66" s="12"/>
      <c r="R66" s="43"/>
      <c r="S66" s="12"/>
      <c r="T66" s="12"/>
      <c r="U66" s="7"/>
      <c r="V66" s="12"/>
      <c r="W66" s="12"/>
      <c r="X66" s="7"/>
      <c r="Y66" s="12"/>
      <c r="Z66" s="12"/>
      <c r="AA66" s="12"/>
      <c r="AB66" s="12"/>
      <c r="AC66" s="12"/>
      <c r="AD66" s="12"/>
      <c r="AE66" s="95">
        <v>183.73</v>
      </c>
      <c r="AF66" s="12"/>
      <c r="AG66" s="12"/>
      <c r="AH66" s="95">
        <v>363.1</v>
      </c>
      <c r="AI66" s="12"/>
      <c r="AJ66" s="12"/>
      <c r="AK66" s="12"/>
      <c r="AL66" s="7">
        <v>704.25</v>
      </c>
      <c r="AM66" s="12"/>
      <c r="AN66" s="12"/>
      <c r="AO66" s="12"/>
      <c r="AP66" s="7">
        <v>653.53</v>
      </c>
      <c r="AQ66" s="9"/>
      <c r="AR66" s="9"/>
      <c r="AS66" s="12"/>
      <c r="AT66" s="89" t="s">
        <v>54</v>
      </c>
      <c r="AU66" s="31"/>
      <c r="AV66" s="31"/>
      <c r="AW66" s="31"/>
      <c r="AX66" s="7">
        <f>2.5/2.95*306.8</f>
        <v>260</v>
      </c>
      <c r="AY66" s="31"/>
      <c r="AZ66" s="31"/>
      <c r="BA66" s="31"/>
      <c r="BB66" s="31"/>
      <c r="BC66" s="12"/>
      <c r="BD66" s="7">
        <f>1.25*313</f>
        <v>391.25</v>
      </c>
      <c r="BE66" s="31"/>
      <c r="BG66" s="74">
        <v>270</v>
      </c>
      <c r="BH66" s="31"/>
      <c r="BI66" s="31"/>
      <c r="BJ66" s="7">
        <v>324.3</v>
      </c>
      <c r="BK66" s="31"/>
      <c r="BL66" s="31"/>
      <c r="BM66" s="31"/>
      <c r="BN66" s="95">
        <v>429.3</v>
      </c>
      <c r="BO66" s="31"/>
      <c r="BP66" s="31"/>
      <c r="BQ66" s="12"/>
      <c r="BR66" s="12"/>
      <c r="BS66" s="31"/>
      <c r="BT66" s="31"/>
      <c r="BU66" s="74">
        <v>1150</v>
      </c>
      <c r="BV66" s="31"/>
      <c r="BW66" s="31"/>
      <c r="BX66" s="7">
        <v>1265</v>
      </c>
      <c r="BY66" s="31"/>
      <c r="BZ66" s="31"/>
      <c r="CA66" s="74">
        <v>2348</v>
      </c>
      <c r="CD66" s="7">
        <v>1800</v>
      </c>
      <c r="CG66" s="7">
        <v>1800</v>
      </c>
      <c r="CJ66" s="7">
        <v>2000</v>
      </c>
      <c r="CM66" s="7">
        <v>3000</v>
      </c>
      <c r="CP66" s="74">
        <v>2620.28</v>
      </c>
      <c r="CS66" s="94">
        <v>851.22</v>
      </c>
      <c r="CT66" s="4"/>
      <c r="CV66" s="57">
        <v>727.64</v>
      </c>
      <c r="CW66" s="4"/>
      <c r="CY66" s="7">
        <v>2007.9</v>
      </c>
      <c r="CZ66" s="4"/>
      <c r="DA66" s="4"/>
      <c r="DB66" s="7">
        <v>1949.25</v>
      </c>
      <c r="DC66" s="4"/>
      <c r="DD66" s="4"/>
      <c r="DE66" s="4"/>
      <c r="DF66" s="4"/>
      <c r="DG66" s="4"/>
      <c r="DH66" s="4"/>
      <c r="DI66" s="77">
        <v>676.96</v>
      </c>
      <c r="DJ66" s="4"/>
      <c r="DK66" s="4"/>
      <c r="DL66" s="77">
        <v>628.22</v>
      </c>
      <c r="DM66" s="4"/>
      <c r="DN66" s="4"/>
      <c r="DO66" s="77">
        <v>358.74</v>
      </c>
      <c r="DP66" s="4"/>
      <c r="DQ66" s="4"/>
      <c r="DR66" s="63">
        <v>397.51</v>
      </c>
      <c r="DS66" s="4"/>
      <c r="DU66" s="7">
        <f>(2.5/2.95)*306.8</f>
        <v>260</v>
      </c>
      <c r="DX66" s="7">
        <v>390</v>
      </c>
      <c r="ED66" s="98">
        <v>390.06</v>
      </c>
      <c r="EG66" s="98">
        <v>197.37</v>
      </c>
      <c r="EJ66" s="95">
        <v>252.36</v>
      </c>
      <c r="EP66" s="7">
        <v>699.9</v>
      </c>
      <c r="ES66">
        <v>433.33</v>
      </c>
      <c r="EV66" s="95">
        <v>296.41</v>
      </c>
    </row>
    <row r="67" spans="1:152" ht="18">
      <c r="A67" s="62" t="s">
        <v>87</v>
      </c>
      <c r="B67" s="12"/>
      <c r="C67" s="27"/>
      <c r="D67" s="12"/>
      <c r="E67" s="12"/>
      <c r="F67" s="12"/>
      <c r="G67" s="7"/>
      <c r="H67" s="12"/>
      <c r="J67" s="12"/>
      <c r="K67" s="7"/>
      <c r="L67" s="7"/>
      <c r="M67" s="9">
        <v>429.3</v>
      </c>
      <c r="N67" s="7"/>
      <c r="O67" s="12"/>
      <c r="P67" s="9">
        <f>SUM(P64:P66)/3</f>
        <v>283.62</v>
      </c>
      <c r="Q67" s="12"/>
      <c r="R67" s="7"/>
      <c r="S67" s="12"/>
      <c r="U67" s="7"/>
      <c r="X67" s="7"/>
      <c r="AE67" s="95">
        <v>183.73</v>
      </c>
      <c r="AH67" s="95">
        <v>363.1</v>
      </c>
      <c r="AK67" s="12"/>
      <c r="AL67" s="9">
        <v>704.25</v>
      </c>
      <c r="AP67" s="9">
        <v>653.53</v>
      </c>
      <c r="AQ67" s="7"/>
      <c r="AR67" s="7"/>
      <c r="AS67" s="12"/>
      <c r="AT67" s="89" t="s">
        <v>54</v>
      </c>
      <c r="AU67" s="7"/>
      <c r="AV67" s="7"/>
      <c r="AW67" s="7"/>
      <c r="AX67" s="9">
        <f>SUM(AX64:AX66)/3</f>
        <v>269.35999999999996</v>
      </c>
      <c r="AY67" s="7"/>
      <c r="AZ67" s="7"/>
      <c r="BA67" s="7"/>
      <c r="BB67" s="7"/>
      <c r="BC67" s="12"/>
      <c r="BD67" s="9">
        <f>SUM(BD64:BD66)/3</f>
        <v>383.9466666666667</v>
      </c>
      <c r="BE67" s="7"/>
      <c r="BG67" s="9">
        <v>270</v>
      </c>
      <c r="BH67" s="7"/>
      <c r="BI67" s="7"/>
      <c r="BJ67" s="9">
        <f>SUM(BJ64:BJ66)/3</f>
        <v>324.3</v>
      </c>
      <c r="BK67" s="7"/>
      <c r="BL67" s="7"/>
      <c r="BM67" s="7"/>
      <c r="BN67" s="95">
        <v>429.3</v>
      </c>
      <c r="BO67" s="7"/>
      <c r="BP67" s="7"/>
      <c r="BQ67" s="12"/>
      <c r="BR67" s="12"/>
      <c r="BS67" s="7"/>
      <c r="BT67" s="7"/>
      <c r="BU67" s="9">
        <f>SUM(BU64:BU66)/3</f>
        <v>1150</v>
      </c>
      <c r="BX67" s="9">
        <f>SUM(BX64:BX66)/3</f>
        <v>1265</v>
      </c>
      <c r="BZ67" s="7"/>
      <c r="CA67" s="9">
        <f>SUM(CA64:CA66)/3</f>
        <v>2481</v>
      </c>
      <c r="CD67" s="9">
        <f>SUM(CD64:CD66)/3</f>
        <v>1165</v>
      </c>
      <c r="CG67" s="9">
        <f>SUM(CG64:CG66)/3</f>
        <v>2158.3333333333335</v>
      </c>
      <c r="CJ67" s="9">
        <f>SUM(CJ64:CJ66)/3</f>
        <v>1666.6666666666667</v>
      </c>
      <c r="CM67" s="9">
        <f>SUM(CM64:CM66)/3</f>
        <v>2056.6666666666665</v>
      </c>
      <c r="CP67" s="9">
        <f>SUM(CP64:CP66)/3</f>
        <v>2620.28</v>
      </c>
      <c r="CS67" s="94">
        <v>851.22</v>
      </c>
      <c r="CT67" s="4"/>
      <c r="CV67" s="5">
        <v>727.64</v>
      </c>
      <c r="CW67" s="4"/>
      <c r="CX67" s="4"/>
      <c r="CY67" s="9">
        <f>SUM(CY64:CY66)/3</f>
        <v>2007.9000000000003</v>
      </c>
      <c r="CZ67" s="4"/>
      <c r="DA67" s="4"/>
      <c r="DB67" s="9">
        <f>SUM(DB64:DB66)/3</f>
        <v>1949.25</v>
      </c>
      <c r="DC67" s="4"/>
      <c r="DD67" s="4"/>
      <c r="DE67" s="4"/>
      <c r="DF67" s="4"/>
      <c r="DG67" s="4"/>
      <c r="DH67" s="4"/>
      <c r="DI67" s="65">
        <v>676.96</v>
      </c>
      <c r="DJ67" s="4"/>
      <c r="DK67" s="4"/>
      <c r="DL67" s="65">
        <v>628.22</v>
      </c>
      <c r="DM67" s="4"/>
      <c r="DN67" s="4"/>
      <c r="DO67" s="65">
        <f>SUM(DO64:DO66)/3</f>
        <v>375.58</v>
      </c>
      <c r="DP67" s="4"/>
      <c r="DQ67" s="4"/>
      <c r="DR67" s="62">
        <f>SUM(DR64:DR66)/3</f>
        <v>397.51</v>
      </c>
      <c r="DS67" s="4"/>
      <c r="DU67" s="62">
        <f>SUM(DU64:DU66)/3</f>
        <v>269.35999999999996</v>
      </c>
      <c r="DX67" s="9">
        <v>390</v>
      </c>
      <c r="ED67" s="98">
        <v>390.06</v>
      </c>
      <c r="EG67" s="98">
        <v>197.37</v>
      </c>
      <c r="EJ67" s="95">
        <v>252.36</v>
      </c>
      <c r="EP67" s="9">
        <v>699.9</v>
      </c>
      <c r="ER67" s="5"/>
      <c r="ES67" s="5">
        <v>433.33</v>
      </c>
      <c r="EV67" s="95">
        <v>296.41</v>
      </c>
    </row>
    <row r="68" spans="13:146" ht="12">
      <c r="M68" s="74"/>
      <c r="AT68" s="89"/>
      <c r="DL68" s="7"/>
      <c r="DR68" s="57"/>
      <c r="DX68" s="7"/>
      <c r="EP68" s="7"/>
    </row>
    <row r="69" spans="1:152" ht="18">
      <c r="A69" s="63" t="s">
        <v>104</v>
      </c>
      <c r="B69" s="12"/>
      <c r="C69" s="27"/>
      <c r="D69" s="12"/>
      <c r="E69" s="12"/>
      <c r="F69" s="12"/>
      <c r="G69" s="7"/>
      <c r="H69" s="12"/>
      <c r="J69" s="12"/>
      <c r="K69" s="7"/>
      <c r="L69" s="7"/>
      <c r="M69" s="74">
        <f t="shared" si="0"/>
        <v>157.032</v>
      </c>
      <c r="N69" s="7"/>
      <c r="O69" s="12"/>
      <c r="P69" s="7">
        <v>261.72</v>
      </c>
      <c r="Q69" s="12"/>
      <c r="R69" s="7"/>
      <c r="S69" s="12"/>
      <c r="U69" s="7"/>
      <c r="X69" s="7"/>
      <c r="AE69" s="88" t="s">
        <v>54</v>
      </c>
      <c r="AH69" s="88" t="s">
        <v>54</v>
      </c>
      <c r="AK69" s="12"/>
      <c r="AL69" s="88">
        <f>(463.24/867.01)*1277.047742</f>
        <v>682.3215372418773</v>
      </c>
      <c r="AP69" s="88">
        <f>(463.24/867.01)*1185.09</f>
        <v>633.188880866426</v>
      </c>
      <c r="AQ69" s="7"/>
      <c r="AR69" s="7"/>
      <c r="AS69" s="12"/>
      <c r="AT69" s="89" t="s">
        <v>54</v>
      </c>
      <c r="AU69" s="7"/>
      <c r="AV69" s="7"/>
      <c r="AW69" s="7"/>
      <c r="AX69" s="88">
        <f>(463.24/867.01)*774.2</f>
        <v>413.65198555956687</v>
      </c>
      <c r="AY69" s="7"/>
      <c r="AZ69" s="7"/>
      <c r="BA69" s="7"/>
      <c r="BB69" s="7"/>
      <c r="BC69" s="12"/>
      <c r="BD69" s="7">
        <f>1.02*313</f>
        <v>319.26</v>
      </c>
      <c r="BE69" s="7"/>
      <c r="BF69" s="7"/>
      <c r="BG69" s="88" t="s">
        <v>54</v>
      </c>
      <c r="BH69" s="7"/>
      <c r="BI69" s="7"/>
      <c r="BJ69" s="7">
        <v>324.3</v>
      </c>
      <c r="BK69" s="7"/>
      <c r="BL69" s="7"/>
      <c r="BM69" s="7"/>
      <c r="BN69" s="88"/>
      <c r="BO69" s="7"/>
      <c r="BP69" s="7"/>
      <c r="BQ69" s="12"/>
      <c r="BR69" s="12"/>
      <c r="BS69" s="7"/>
      <c r="BT69" s="7"/>
      <c r="BU69" s="88">
        <f>(463.24/867.01)*1453.32</f>
        <v>776.5031046931408</v>
      </c>
      <c r="BX69" s="7">
        <v>1265</v>
      </c>
      <c r="BZ69" s="7"/>
      <c r="CA69" s="7">
        <v>2500</v>
      </c>
      <c r="CD69" s="88">
        <f>(2500/2481)*1165</f>
        <v>1173.9218057234984</v>
      </c>
      <c r="CG69" s="88">
        <f>(2500/3287)*1150</f>
        <v>874.657742622452</v>
      </c>
      <c r="CJ69" s="88">
        <f>(2500/2481)*1666.67</f>
        <v>1679.433696090286</v>
      </c>
      <c r="CM69" s="88">
        <f>(2500/2481)*2056.67</f>
        <v>2072.420395002015</v>
      </c>
      <c r="CP69" s="88">
        <f>(2500/2481)*2620.28</f>
        <v>2640.346634421604</v>
      </c>
      <c r="CS69" s="88"/>
      <c r="CT69" s="4"/>
      <c r="CV69" s="88">
        <f>(2500/2481)*727.64</f>
        <v>733.2124143490527</v>
      </c>
      <c r="CW69" s="4"/>
      <c r="CX69" s="4"/>
      <c r="CY69" s="7">
        <v>2007.9</v>
      </c>
      <c r="CZ69" s="4"/>
      <c r="DA69" s="4"/>
      <c r="DB69" s="7">
        <v>1949.25</v>
      </c>
      <c r="DC69" s="4"/>
      <c r="DD69" s="4"/>
      <c r="DE69" s="4"/>
      <c r="DF69" s="4"/>
      <c r="DG69" s="4"/>
      <c r="DH69" s="4"/>
      <c r="DI69" s="77">
        <v>1066.08</v>
      </c>
      <c r="DJ69" s="4"/>
      <c r="DK69" s="4"/>
      <c r="DL69" s="77">
        <v>989.32</v>
      </c>
      <c r="DM69" s="4"/>
      <c r="DN69" s="4"/>
      <c r="DO69" s="77">
        <v>725.76</v>
      </c>
      <c r="DP69" s="4"/>
      <c r="DQ69" s="4"/>
      <c r="DR69" s="77">
        <v>626</v>
      </c>
      <c r="DS69" s="4"/>
      <c r="DU69" s="88">
        <f>(626/829.45)*668.2</f>
        <v>504.3018867924528</v>
      </c>
      <c r="DX69" s="88" t="s">
        <v>54</v>
      </c>
      <c r="ED69" s="88" t="s">
        <v>54</v>
      </c>
      <c r="EG69" s="88" t="s">
        <v>54</v>
      </c>
      <c r="EJ69" s="88"/>
      <c r="EP69" s="88">
        <f>(626/397.51)*699.5</f>
        <v>1101.5748031496064</v>
      </c>
      <c r="ES69" s="88">
        <f>(626/397.51)*433.33</f>
        <v>682.4094488188977</v>
      </c>
      <c r="EV69" s="88"/>
    </row>
    <row r="70" spans="1:152" ht="18">
      <c r="A70" s="63" t="s">
        <v>105</v>
      </c>
      <c r="B70" s="12"/>
      <c r="C70" s="27"/>
      <c r="D70" s="12"/>
      <c r="E70" s="12"/>
      <c r="F70" s="12"/>
      <c r="G70" s="7"/>
      <c r="H70" s="12"/>
      <c r="J70" s="12"/>
      <c r="K70" s="7"/>
      <c r="L70" s="7"/>
      <c r="M70" s="74">
        <f t="shared" si="0"/>
        <v>237.6</v>
      </c>
      <c r="N70" s="7"/>
      <c r="O70" s="12"/>
      <c r="P70" s="7">
        <v>396</v>
      </c>
      <c r="Q70" s="12"/>
      <c r="R70" s="7"/>
      <c r="S70" s="12"/>
      <c r="U70" s="7"/>
      <c r="X70" s="7"/>
      <c r="AE70" s="88" t="s">
        <v>54</v>
      </c>
      <c r="AH70" s="88" t="s">
        <v>54</v>
      </c>
      <c r="AK70" s="12"/>
      <c r="AL70" s="88">
        <f>(463.24/867.01)*1277.047742</f>
        <v>682.3215372418773</v>
      </c>
      <c r="AP70" s="88">
        <f>(463.24/867.01)*1185.09</f>
        <v>633.188880866426</v>
      </c>
      <c r="AQ70" s="7"/>
      <c r="AR70" s="7"/>
      <c r="AS70" s="12"/>
      <c r="AT70" s="89" t="s">
        <v>54</v>
      </c>
      <c r="AU70" s="7"/>
      <c r="AV70" s="7"/>
      <c r="AW70" s="7"/>
      <c r="AX70" s="88">
        <f>(463.24/867.01)*774.2</f>
        <v>413.65198555956687</v>
      </c>
      <c r="AY70" s="7"/>
      <c r="AZ70" s="7"/>
      <c r="BA70" s="7"/>
      <c r="BB70" s="7"/>
      <c r="BC70" s="12"/>
      <c r="BD70" s="7">
        <f>1.94*313</f>
        <v>607.22</v>
      </c>
      <c r="BE70" s="7"/>
      <c r="BF70" s="7"/>
      <c r="BG70" s="88" t="s">
        <v>54</v>
      </c>
      <c r="BH70" s="7"/>
      <c r="BI70" s="7"/>
      <c r="BJ70" s="7">
        <v>324.3</v>
      </c>
      <c r="BK70" s="7"/>
      <c r="BL70" s="7"/>
      <c r="BM70" s="7"/>
      <c r="BN70" s="88"/>
      <c r="BO70" s="7"/>
      <c r="BP70" s="7"/>
      <c r="BQ70" s="12"/>
      <c r="BR70" s="12"/>
      <c r="BS70" s="7"/>
      <c r="BT70" s="7"/>
      <c r="BU70" s="88">
        <f>(463.24/867.01)*1453.32</f>
        <v>776.5031046931408</v>
      </c>
      <c r="BX70" s="7">
        <v>1265</v>
      </c>
      <c r="BZ70" s="7"/>
      <c r="CA70" s="7">
        <v>2500</v>
      </c>
      <c r="CD70" s="88">
        <f>(2500/2481)*1165</f>
        <v>1173.9218057234984</v>
      </c>
      <c r="CG70" s="88">
        <f>(2500/3287)*1150</f>
        <v>874.657742622452</v>
      </c>
      <c r="CJ70" s="88">
        <f>(2500/2481)*1666.67</f>
        <v>1679.433696090286</v>
      </c>
      <c r="CM70" s="88">
        <f>(2500/2481)*2056.67</f>
        <v>2072.420395002015</v>
      </c>
      <c r="CP70" s="88">
        <f>(2500/2481)*2620.28</f>
        <v>2640.346634421604</v>
      </c>
      <c r="CS70" s="88"/>
      <c r="CT70" s="4"/>
      <c r="CV70" s="88">
        <f>(2500/2481)*727.64</f>
        <v>733.2124143490527</v>
      </c>
      <c r="CW70" s="4"/>
      <c r="CX70" s="4"/>
      <c r="CY70" s="7">
        <v>2007.9</v>
      </c>
      <c r="CZ70" s="4"/>
      <c r="DA70" s="4"/>
      <c r="DB70" s="7">
        <v>1949.25</v>
      </c>
      <c r="DC70" s="4"/>
      <c r="DD70" s="4"/>
      <c r="DE70" s="4"/>
      <c r="DF70" s="4"/>
      <c r="DG70" s="4"/>
      <c r="DH70" s="4"/>
      <c r="DI70" s="77">
        <v>1066.08</v>
      </c>
      <c r="DJ70" s="4"/>
      <c r="DK70" s="4"/>
      <c r="DL70" s="77">
        <v>989.32</v>
      </c>
      <c r="DM70" s="4"/>
      <c r="DN70" s="4"/>
      <c r="DO70" s="77">
        <v>725.76</v>
      </c>
      <c r="DP70" s="4"/>
      <c r="DQ70" s="4"/>
      <c r="DR70" s="77">
        <v>626</v>
      </c>
      <c r="DS70" s="4"/>
      <c r="DU70" s="88">
        <f>(626/829.45)*668.2</f>
        <v>504.3018867924528</v>
      </c>
      <c r="DX70" s="88" t="s">
        <v>54</v>
      </c>
      <c r="ED70" s="88" t="s">
        <v>54</v>
      </c>
      <c r="EG70" s="88" t="s">
        <v>54</v>
      </c>
      <c r="EJ70" s="88"/>
      <c r="EP70" s="88">
        <f>(626/397.51)*699.5</f>
        <v>1101.5748031496064</v>
      </c>
      <c r="ES70" s="88">
        <f>(626/397.51)*433.33</f>
        <v>682.4094488188977</v>
      </c>
      <c r="EV70" s="88"/>
    </row>
    <row r="71" spans="1:152" ht="18">
      <c r="A71" s="62" t="s">
        <v>88</v>
      </c>
      <c r="B71" s="12"/>
      <c r="C71" s="27"/>
      <c r="D71" s="12"/>
      <c r="E71" s="12"/>
      <c r="F71" s="12"/>
      <c r="G71" s="7"/>
      <c r="H71" s="12"/>
      <c r="J71" s="12"/>
      <c r="K71" s="7"/>
      <c r="L71" s="7"/>
      <c r="M71" s="9">
        <f t="shared" si="0"/>
        <v>197.316</v>
      </c>
      <c r="N71" s="7"/>
      <c r="O71" s="12"/>
      <c r="P71" s="9">
        <f>SUM(P69:P70)/2</f>
        <v>328.86</v>
      </c>
      <c r="Q71" s="12"/>
      <c r="R71" s="7"/>
      <c r="S71" s="12"/>
      <c r="U71" s="7"/>
      <c r="X71" s="7"/>
      <c r="AE71" s="88" t="s">
        <v>54</v>
      </c>
      <c r="AH71" s="88" t="s">
        <v>54</v>
      </c>
      <c r="AK71" s="12"/>
      <c r="AL71" s="90">
        <f>SUM(AL69:AL70)/2</f>
        <v>682.3215372418773</v>
      </c>
      <c r="AP71" s="90">
        <f>SUM(AP69:AP70)/2</f>
        <v>633.188880866426</v>
      </c>
      <c r="AQ71" s="7"/>
      <c r="AR71" s="7"/>
      <c r="AS71" s="12"/>
      <c r="AT71" s="89" t="s">
        <v>54</v>
      </c>
      <c r="AU71" s="7"/>
      <c r="AV71" s="7"/>
      <c r="AW71" s="7"/>
      <c r="AX71" s="90">
        <f>SUM(AX69:AX70)/2</f>
        <v>413.65198555956687</v>
      </c>
      <c r="AY71" s="7"/>
      <c r="AZ71" s="7"/>
      <c r="BA71" s="7"/>
      <c r="BB71" s="7"/>
      <c r="BC71" s="12"/>
      <c r="BD71" s="9">
        <f>SUM(BD69:BD70)/2</f>
        <v>463.24</v>
      </c>
      <c r="BE71" s="7"/>
      <c r="BF71" s="7"/>
      <c r="BG71" s="88" t="s">
        <v>54</v>
      </c>
      <c r="BH71" s="7"/>
      <c r="BI71" s="7"/>
      <c r="BJ71" s="9">
        <f>SUM(BJ69:BJ70)/2</f>
        <v>324.3</v>
      </c>
      <c r="BK71" s="7"/>
      <c r="BL71" s="7"/>
      <c r="BM71" s="7"/>
      <c r="BN71" s="90"/>
      <c r="BO71" s="7"/>
      <c r="BP71" s="7"/>
      <c r="BQ71" s="12"/>
      <c r="BR71" s="12"/>
      <c r="BS71" s="7"/>
      <c r="BT71" s="7"/>
      <c r="BU71" s="90">
        <f>SUM(BU69:BU70)/2</f>
        <v>776.5031046931408</v>
      </c>
      <c r="BX71" s="90">
        <f>SUM(BX69:BX70)/2</f>
        <v>1265</v>
      </c>
      <c r="BZ71" s="7"/>
      <c r="CA71" s="9">
        <v>2500</v>
      </c>
      <c r="CD71" s="90">
        <f>SUM(CD69:CD70)/2</f>
        <v>1173.9218057234984</v>
      </c>
      <c r="CG71" s="90">
        <f>SUM(CG69:CG70)/2</f>
        <v>874.657742622452</v>
      </c>
      <c r="CJ71" s="90">
        <f>SUM(CJ69:CJ70)/2</f>
        <v>1679.433696090286</v>
      </c>
      <c r="CM71" s="90">
        <f>SUM(CM69:CM70)/2</f>
        <v>2072.420395002015</v>
      </c>
      <c r="CP71" s="90">
        <f>SUM(CP69:CP70)/2</f>
        <v>2640.346634421604</v>
      </c>
      <c r="CS71" s="90"/>
      <c r="CT71" s="4"/>
      <c r="CV71" s="90">
        <f>SUM(CV69:CV70)/2</f>
        <v>733.2124143490527</v>
      </c>
      <c r="CW71" s="4"/>
      <c r="CX71" s="4"/>
      <c r="CY71" s="90">
        <f>SUM(CY69:CY70)/2</f>
        <v>2007.9</v>
      </c>
      <c r="CZ71" s="4"/>
      <c r="DA71" s="4"/>
      <c r="DB71" s="90">
        <f>SUM(DB69:DB70)/2</f>
        <v>1949.25</v>
      </c>
      <c r="DC71" s="4"/>
      <c r="DD71" s="4"/>
      <c r="DE71" s="4"/>
      <c r="DF71" s="4"/>
      <c r="DG71" s="4"/>
      <c r="DH71" s="4"/>
      <c r="DI71" s="65">
        <v>1066.08</v>
      </c>
      <c r="DJ71" s="4"/>
      <c r="DK71" s="4"/>
      <c r="DL71" s="65">
        <v>989.32</v>
      </c>
      <c r="DM71" s="4"/>
      <c r="DN71" s="4"/>
      <c r="DO71" s="65">
        <f>SUM(DO69:DO70)/2</f>
        <v>725.76</v>
      </c>
      <c r="DP71" s="4"/>
      <c r="DQ71" s="4"/>
      <c r="DR71" s="65">
        <f>SUM(DR69:DR70)/2</f>
        <v>626</v>
      </c>
      <c r="DS71" s="4"/>
      <c r="DU71" s="65">
        <f>SUM(DU69:DU70)/2</f>
        <v>504.3018867924528</v>
      </c>
      <c r="DX71" s="88" t="s">
        <v>54</v>
      </c>
      <c r="ED71" s="88" t="s">
        <v>54</v>
      </c>
      <c r="EG71" s="88" t="s">
        <v>54</v>
      </c>
      <c r="EJ71" s="90"/>
      <c r="EP71" s="90">
        <f>SUM(EP69:EP70)/2</f>
        <v>1101.5748031496064</v>
      </c>
      <c r="ES71" s="90">
        <f>SUM(ES69:ES70)/2</f>
        <v>682.4094488188977</v>
      </c>
      <c r="EV71" s="90"/>
    </row>
    <row r="72" spans="13:149" ht="12">
      <c r="M72" s="74"/>
      <c r="AE72" s="88"/>
      <c r="AH72" s="88"/>
      <c r="AT72" s="89"/>
      <c r="DL72" s="7"/>
      <c r="DR72" s="74"/>
      <c r="DX72" s="7"/>
      <c r="EP72" s="7"/>
      <c r="ES72" s="7"/>
    </row>
    <row r="73" spans="1:152" ht="12">
      <c r="A73" s="63" t="s">
        <v>106</v>
      </c>
      <c r="B73" s="12"/>
      <c r="C73" s="27"/>
      <c r="D73" s="12"/>
      <c r="E73" s="12"/>
      <c r="F73" s="12"/>
      <c r="G73" s="7"/>
      <c r="H73" s="12"/>
      <c r="J73" s="12"/>
      <c r="K73" s="7"/>
      <c r="L73" s="7"/>
      <c r="M73" s="74">
        <f t="shared" si="0"/>
        <v>359.424</v>
      </c>
      <c r="N73" s="7"/>
      <c r="O73" s="12"/>
      <c r="P73" s="7">
        <v>599.04</v>
      </c>
      <c r="Q73" s="12"/>
      <c r="R73" s="7"/>
      <c r="S73" s="12"/>
      <c r="U73" s="7"/>
      <c r="X73" s="7"/>
      <c r="AE73" s="88" t="s">
        <v>54</v>
      </c>
      <c r="AH73" s="88" t="s">
        <v>54</v>
      </c>
      <c r="AK73" s="12"/>
      <c r="AL73" s="7">
        <v>1277.04</v>
      </c>
      <c r="AP73" s="7">
        <v>1185.09</v>
      </c>
      <c r="AQ73" s="7"/>
      <c r="AR73" s="7"/>
      <c r="AS73" s="12"/>
      <c r="AT73" s="89" t="s">
        <v>54</v>
      </c>
      <c r="AU73" s="7"/>
      <c r="AV73" s="7"/>
      <c r="AW73" s="7"/>
      <c r="AX73" s="7">
        <f>7.45/6.43*774.8</f>
        <v>897.7076205287715</v>
      </c>
      <c r="AY73" s="7"/>
      <c r="AZ73" s="7"/>
      <c r="BA73" s="7"/>
      <c r="BB73" s="7"/>
      <c r="BC73" s="12"/>
      <c r="BD73" s="7">
        <f>2.62*313</f>
        <v>820.0600000000001</v>
      </c>
      <c r="BE73" s="7"/>
      <c r="BF73" s="7"/>
      <c r="BG73" s="7">
        <v>360</v>
      </c>
      <c r="BH73" s="7"/>
      <c r="BI73" s="7"/>
      <c r="BJ73" s="7">
        <v>324.3</v>
      </c>
      <c r="BK73" s="7"/>
      <c r="BL73" s="7"/>
      <c r="BM73" s="7"/>
      <c r="BN73" s="95">
        <v>3020.78</v>
      </c>
      <c r="BO73" s="7"/>
      <c r="BP73" s="7"/>
      <c r="BQ73" s="12"/>
      <c r="BR73" s="12"/>
      <c r="BS73" s="7"/>
      <c r="BT73" s="7"/>
      <c r="BU73" s="7">
        <v>1453.32</v>
      </c>
      <c r="BX73" s="7">
        <v>1265</v>
      </c>
      <c r="BZ73" s="7"/>
      <c r="CA73" s="7">
        <v>5361</v>
      </c>
      <c r="CD73" s="88">
        <f>(5361/2481)*1165</f>
        <v>2517.3579201934704</v>
      </c>
      <c r="CG73" s="7">
        <v>1150</v>
      </c>
      <c r="CJ73" s="88">
        <f>(5361/2481)*1666.67</f>
        <v>3601.3776178960097</v>
      </c>
      <c r="CM73" s="88">
        <f>(5361/2481)*2056.67</f>
        <v>4444.098295042321</v>
      </c>
      <c r="CP73" s="88">
        <f>(5361/2481)*2620.28</f>
        <v>5661.959322853688</v>
      </c>
      <c r="CS73" s="94">
        <v>7567.32</v>
      </c>
      <c r="CV73" s="88">
        <f>(5361/2481)*727.64</f>
        <v>1572.3007013301087</v>
      </c>
      <c r="CY73" s="7">
        <v>2007.9</v>
      </c>
      <c r="DB73" s="7">
        <v>1949.25</v>
      </c>
      <c r="DI73" s="7">
        <v>1412.55</v>
      </c>
      <c r="DL73" s="7">
        <v>1310.85</v>
      </c>
      <c r="DO73" s="7">
        <v>928.43</v>
      </c>
      <c r="DR73" s="74">
        <v>829.45</v>
      </c>
      <c r="DU73" s="7">
        <v>774.8</v>
      </c>
      <c r="DX73" s="88" t="s">
        <v>54</v>
      </c>
      <c r="ED73" s="88" t="s">
        <v>54</v>
      </c>
      <c r="EG73" s="88" t="s">
        <v>54</v>
      </c>
      <c r="EJ73" s="95">
        <v>1775.73</v>
      </c>
      <c r="EP73" s="88">
        <f>(829.45/397.51)*699.9</f>
        <v>1460.42125984252</v>
      </c>
      <c r="ES73" s="88">
        <f>(829.45/397.51)*433.33</f>
        <v>904.1925196850394</v>
      </c>
      <c r="EV73" s="95">
        <v>2635.05</v>
      </c>
    </row>
    <row r="74" spans="1:152" ht="12">
      <c r="A74" s="63" t="s">
        <v>107</v>
      </c>
      <c r="B74" s="12"/>
      <c r="C74" s="27"/>
      <c r="D74" s="12"/>
      <c r="E74" s="12"/>
      <c r="F74" s="12"/>
      <c r="G74" s="7"/>
      <c r="H74" s="12"/>
      <c r="J74" s="12"/>
      <c r="K74" s="7"/>
      <c r="L74" s="7"/>
      <c r="M74" s="74">
        <f t="shared" si="0"/>
        <v>411.912</v>
      </c>
      <c r="N74" s="7"/>
      <c r="O74" s="12"/>
      <c r="P74" s="7">
        <v>686.52</v>
      </c>
      <c r="Q74" s="12"/>
      <c r="R74" s="7"/>
      <c r="S74" s="12"/>
      <c r="U74" s="7"/>
      <c r="X74" s="7"/>
      <c r="AE74" s="88" t="s">
        <v>54</v>
      </c>
      <c r="AH74" s="88" t="s">
        <v>54</v>
      </c>
      <c r="AK74" s="12"/>
      <c r="AL74" s="7">
        <v>1277.04</v>
      </c>
      <c r="AP74" s="7">
        <v>1185.09</v>
      </c>
      <c r="AQ74" s="7"/>
      <c r="AR74" s="7"/>
      <c r="AS74" s="12"/>
      <c r="AT74" s="89" t="s">
        <v>54</v>
      </c>
      <c r="AU74" s="7"/>
      <c r="AV74" s="7"/>
      <c r="AW74" s="7"/>
      <c r="AX74" s="74">
        <v>774.1975116640747</v>
      </c>
      <c r="AY74" s="7"/>
      <c r="AZ74" s="7"/>
      <c r="BA74" s="7"/>
      <c r="BB74" s="7"/>
      <c r="BC74" s="12"/>
      <c r="BD74" s="7">
        <f>2.92*313</f>
        <v>913.9599999999999</v>
      </c>
      <c r="BE74" s="7"/>
      <c r="BF74" s="7"/>
      <c r="BG74" s="7">
        <v>360</v>
      </c>
      <c r="BH74" s="7"/>
      <c r="BI74" s="7"/>
      <c r="BJ74" s="7">
        <v>324.3</v>
      </c>
      <c r="BK74" s="7"/>
      <c r="BL74" s="7"/>
      <c r="BM74" s="7"/>
      <c r="BN74" s="95">
        <v>3020.78</v>
      </c>
      <c r="BO74" s="7"/>
      <c r="BP74" s="7"/>
      <c r="BQ74" s="12"/>
      <c r="BR74" s="12"/>
      <c r="BS74" s="7"/>
      <c r="BT74" s="7"/>
      <c r="BU74" s="7">
        <v>1453.32</v>
      </c>
      <c r="BX74" s="7">
        <v>1265</v>
      </c>
      <c r="BZ74" s="7"/>
      <c r="CA74" s="7">
        <v>2000</v>
      </c>
      <c r="CD74" s="88">
        <f>(2000/2481)*1165</f>
        <v>939.1374445787989</v>
      </c>
      <c r="CG74" s="7">
        <v>1150</v>
      </c>
      <c r="CJ74" s="88">
        <f>(2000/2481)*1666.67</f>
        <v>1343.546956872229</v>
      </c>
      <c r="CM74" s="88">
        <f>(2000/2481)*2056.67</f>
        <v>1657.9363160016123</v>
      </c>
      <c r="CP74" s="88">
        <f>(2000/2481)*2620.281165</f>
        <v>2112.2782466747276</v>
      </c>
      <c r="CS74" s="94">
        <v>7567.32</v>
      </c>
      <c r="CV74" s="88">
        <f>(2000/2481)*727.64</f>
        <v>586.5699314792422</v>
      </c>
      <c r="CY74" s="7">
        <v>2007.9</v>
      </c>
      <c r="DB74" s="7">
        <v>1949.25</v>
      </c>
      <c r="DI74" s="7">
        <v>1412.55</v>
      </c>
      <c r="DL74" s="7">
        <v>1310.85</v>
      </c>
      <c r="DO74" s="7">
        <v>960</v>
      </c>
      <c r="DR74" s="74">
        <v>829.45</v>
      </c>
      <c r="DU74" s="7">
        <v>561.6</v>
      </c>
      <c r="DX74" s="88" t="s">
        <v>54</v>
      </c>
      <c r="ED74" s="88" t="s">
        <v>54</v>
      </c>
      <c r="EG74" s="88" t="s">
        <v>54</v>
      </c>
      <c r="EJ74" s="95">
        <v>1775.73</v>
      </c>
      <c r="EP74" s="88">
        <f>(829.45/397.51)*699.9</f>
        <v>1460.42125984252</v>
      </c>
      <c r="ES74" s="88">
        <f>(829.45/397.51)*433.33</f>
        <v>904.1925196850394</v>
      </c>
      <c r="EV74" s="95">
        <v>2635.05</v>
      </c>
    </row>
    <row r="75" spans="1:152" ht="12">
      <c r="A75" s="63" t="s">
        <v>108</v>
      </c>
      <c r="B75" s="12"/>
      <c r="C75" s="27"/>
      <c r="D75" s="12"/>
      <c r="E75" s="12"/>
      <c r="F75" s="12"/>
      <c r="G75" s="7"/>
      <c r="H75" s="12"/>
      <c r="J75" s="12"/>
      <c r="K75" s="7"/>
      <c r="L75" s="7"/>
      <c r="M75" s="74">
        <f>P75*0.6</f>
        <v>464.4</v>
      </c>
      <c r="N75" s="7"/>
      <c r="O75" s="12"/>
      <c r="P75" s="7">
        <v>774</v>
      </c>
      <c r="Q75" s="12"/>
      <c r="R75" s="7"/>
      <c r="S75" s="12"/>
      <c r="U75" s="7"/>
      <c r="X75" s="7"/>
      <c r="AE75" s="88" t="s">
        <v>54</v>
      </c>
      <c r="AH75" s="88" t="s">
        <v>54</v>
      </c>
      <c r="AK75" s="12"/>
      <c r="AL75" s="7">
        <v>1277.04</v>
      </c>
      <c r="AP75" s="7">
        <v>1185.09</v>
      </c>
      <c r="AQ75" s="7"/>
      <c r="AR75" s="7"/>
      <c r="AS75" s="12"/>
      <c r="AT75" s="89" t="s">
        <v>54</v>
      </c>
      <c r="AU75" s="7"/>
      <c r="AV75" s="7"/>
      <c r="AW75" s="7"/>
      <c r="AX75" s="7">
        <f>5.4/6.43*774.8</f>
        <v>650.6874027993779</v>
      </c>
      <c r="AY75" s="7"/>
      <c r="AZ75" s="7"/>
      <c r="BA75" s="7"/>
      <c r="BB75" s="7"/>
      <c r="BC75" s="12"/>
      <c r="BD75" s="7">
        <f>SUM(BD73:BD74)/2</f>
        <v>867.01</v>
      </c>
      <c r="BE75" s="7"/>
      <c r="BF75" s="7"/>
      <c r="BG75" s="7">
        <v>360</v>
      </c>
      <c r="BH75" s="7"/>
      <c r="BI75" s="7"/>
      <c r="BJ75" s="7">
        <v>324.3</v>
      </c>
      <c r="BK75" s="7"/>
      <c r="BL75" s="7"/>
      <c r="BM75" s="7"/>
      <c r="BN75" s="95">
        <v>3020.78</v>
      </c>
      <c r="BO75" s="7"/>
      <c r="BP75" s="7"/>
      <c r="BQ75" s="12"/>
      <c r="BR75" s="12"/>
      <c r="BS75" s="7"/>
      <c r="BT75" s="7"/>
      <c r="BU75" s="7">
        <v>1453.32</v>
      </c>
      <c r="BX75" s="7">
        <v>1265</v>
      </c>
      <c r="BZ75" s="7"/>
      <c r="CA75" s="7">
        <v>2500</v>
      </c>
      <c r="CD75" s="88">
        <f>(2500/2481)*1165</f>
        <v>1173.9218057234984</v>
      </c>
      <c r="CG75" s="7">
        <v>1150</v>
      </c>
      <c r="CJ75" s="88">
        <f>(2500/2481)*1666.67</f>
        <v>1679.433696090286</v>
      </c>
      <c r="CM75" s="88">
        <f>(2500/2481)*2056.67</f>
        <v>2072.420395002015</v>
      </c>
      <c r="CP75" s="88">
        <f>(2500/2481)*2620.28</f>
        <v>2640.346634421604</v>
      </c>
      <c r="CS75" s="94">
        <v>7567.32</v>
      </c>
      <c r="CV75" s="88">
        <f>(2500/2481)*727.64</f>
        <v>733.2124143490527</v>
      </c>
      <c r="CY75" s="88">
        <f>SUM(CY73:CY74)/2</f>
        <v>2007.9</v>
      </c>
      <c r="DB75" s="7">
        <v>1949.25</v>
      </c>
      <c r="DI75" s="7">
        <v>1412.55</v>
      </c>
      <c r="DL75" s="7">
        <v>1310.85</v>
      </c>
      <c r="DO75" s="7">
        <v>833.68</v>
      </c>
      <c r="DR75" s="74">
        <v>829.45</v>
      </c>
      <c r="DU75" s="7">
        <v>668.2</v>
      </c>
      <c r="DX75" s="88" t="s">
        <v>54</v>
      </c>
      <c r="ED75" s="88" t="s">
        <v>54</v>
      </c>
      <c r="EG75" s="88" t="s">
        <v>54</v>
      </c>
      <c r="EJ75" s="95">
        <v>1775.73</v>
      </c>
      <c r="EP75" s="88">
        <f>(829.45/397.51)*699.9</f>
        <v>1460.42125984252</v>
      </c>
      <c r="ES75" s="88">
        <f>(829.45/397.51)*433.33</f>
        <v>904.1925196850394</v>
      </c>
      <c r="EV75" s="95">
        <v>2635.05</v>
      </c>
    </row>
    <row r="76" spans="1:152" ht="12">
      <c r="A76" s="62" t="s">
        <v>89</v>
      </c>
      <c r="B76" s="12"/>
      <c r="C76" s="27"/>
      <c r="D76" s="12"/>
      <c r="E76" s="12"/>
      <c r="F76" s="12"/>
      <c r="G76" s="7"/>
      <c r="H76" s="12"/>
      <c r="J76" s="12"/>
      <c r="K76" s="7"/>
      <c r="L76" s="7"/>
      <c r="M76" s="9">
        <f>P76*0.6</f>
        <v>411.912</v>
      </c>
      <c r="N76" s="7"/>
      <c r="O76" s="12"/>
      <c r="P76" s="9">
        <f>(599.04+774)/2</f>
        <v>686.52</v>
      </c>
      <c r="Q76" s="12"/>
      <c r="R76" s="7"/>
      <c r="S76" s="12"/>
      <c r="U76" s="7"/>
      <c r="X76" s="7"/>
      <c r="AE76" s="88" t="s">
        <v>54</v>
      </c>
      <c r="AH76" s="88" t="s">
        <v>54</v>
      </c>
      <c r="AK76" s="12"/>
      <c r="AL76" s="9">
        <v>1277.04</v>
      </c>
      <c r="AP76" s="9">
        <v>1185.09</v>
      </c>
      <c r="AQ76" s="7"/>
      <c r="AR76" s="7"/>
      <c r="AS76" s="12"/>
      <c r="AT76" s="89" t="s">
        <v>54</v>
      </c>
      <c r="AU76" s="7"/>
      <c r="AV76" s="7"/>
      <c r="AW76" s="7"/>
      <c r="AX76" s="9">
        <f>SUM(AX73:AX75)/3</f>
        <v>774.1975116640747</v>
      </c>
      <c r="AY76" s="7"/>
      <c r="AZ76" s="7"/>
      <c r="BA76" s="7"/>
      <c r="BB76" s="7"/>
      <c r="BC76" s="12"/>
      <c r="BD76" s="9">
        <f>SUM(BD73:BD75)/3</f>
        <v>867.0099999999999</v>
      </c>
      <c r="BE76" s="7"/>
      <c r="BF76" s="7"/>
      <c r="BG76" s="9">
        <v>360</v>
      </c>
      <c r="BH76" s="7"/>
      <c r="BI76" s="7"/>
      <c r="BJ76" s="9">
        <f>SUM(BJ73:BJ75)/3</f>
        <v>324.3</v>
      </c>
      <c r="BK76" s="7"/>
      <c r="BL76" s="7"/>
      <c r="BM76" s="7"/>
      <c r="BN76" s="95">
        <v>3020.78</v>
      </c>
      <c r="BO76" s="7"/>
      <c r="BP76" s="7"/>
      <c r="BQ76" s="12"/>
      <c r="BR76" s="12"/>
      <c r="BS76" s="7"/>
      <c r="BT76" s="7"/>
      <c r="BU76" s="9">
        <v>1453.32</v>
      </c>
      <c r="BX76" s="90">
        <f>SUM(BX73:BX75)/3</f>
        <v>1265</v>
      </c>
      <c r="BZ76" s="7"/>
      <c r="CA76" s="9">
        <f>SUM(CA73:CA75)/3</f>
        <v>3287</v>
      </c>
      <c r="CD76" s="90">
        <f>SUM(CD73:CD75)/3</f>
        <v>1543.472390165256</v>
      </c>
      <c r="CG76" s="9">
        <f>SUM(CG73:CG75)/3</f>
        <v>1150</v>
      </c>
      <c r="CJ76" s="90">
        <f>SUM(CJ73:CJ75)/3</f>
        <v>2208.1194236195083</v>
      </c>
      <c r="CM76" s="90">
        <f>SUM(CM73:CM75)/3</f>
        <v>2724.8183353486493</v>
      </c>
      <c r="CP76" s="90">
        <f>SUM(CP73:CP75)/3</f>
        <v>3471.52806798334</v>
      </c>
      <c r="CS76" s="94">
        <v>7567.32</v>
      </c>
      <c r="CV76" s="90">
        <f>SUM(CV73:CV75)/3</f>
        <v>964.0276823861345</v>
      </c>
      <c r="CY76" s="90">
        <f>SUM(CY73:CY75)/3</f>
        <v>2007.9000000000003</v>
      </c>
      <c r="DB76" s="9">
        <f>SUM(DB73:DB75)/3</f>
        <v>1949.25</v>
      </c>
      <c r="DI76" s="9">
        <v>1412.55</v>
      </c>
      <c r="DL76" s="9">
        <v>1310.85</v>
      </c>
      <c r="DO76" s="9">
        <f>SUM(DO73:DO75)/3</f>
        <v>907.3699999999999</v>
      </c>
      <c r="DR76" s="9">
        <f>SUM(DR73:DR75)/3</f>
        <v>829.4500000000002</v>
      </c>
      <c r="DU76" s="9">
        <f>SUM(DU73:DU75)/3</f>
        <v>668.2</v>
      </c>
      <c r="DX76" s="88" t="s">
        <v>54</v>
      </c>
      <c r="ED76" s="88" t="s">
        <v>54</v>
      </c>
      <c r="EG76" s="88" t="s">
        <v>54</v>
      </c>
      <c r="EJ76" s="95">
        <v>1775.73</v>
      </c>
      <c r="EP76" s="9">
        <f>SUM(EP73:EP75)/3</f>
        <v>1460.42125984252</v>
      </c>
      <c r="ES76" s="9">
        <f>SUM(ES73:ES75)/3</f>
        <v>904.1925196850394</v>
      </c>
      <c r="EV76" s="95">
        <v>2635.05</v>
      </c>
    </row>
    <row r="77" spans="1:146" ht="12">
      <c r="A77" s="5"/>
      <c r="B77" s="12"/>
      <c r="C77" s="7"/>
      <c r="D77" s="12"/>
      <c r="E77" s="12"/>
      <c r="F77" s="12"/>
      <c r="G77" s="7"/>
      <c r="H77" s="12"/>
      <c r="I77" s="12"/>
      <c r="J77" s="7"/>
      <c r="K77" s="12"/>
      <c r="L77" s="12"/>
      <c r="M77" s="74"/>
      <c r="N77" s="12"/>
      <c r="O77" s="12"/>
      <c r="Q77" s="12"/>
      <c r="S77" s="12"/>
      <c r="T77" s="7"/>
      <c r="U77" s="12"/>
      <c r="V77" s="12"/>
      <c r="W77" s="12"/>
      <c r="X77" s="7"/>
      <c r="Y77" s="12"/>
      <c r="Z77" s="12"/>
      <c r="AA77" s="12"/>
      <c r="AB77" s="12"/>
      <c r="AC77" s="12"/>
      <c r="AD77" s="12"/>
      <c r="AF77" s="12"/>
      <c r="AG77" s="12"/>
      <c r="AI77" s="12"/>
      <c r="AJ77" s="12"/>
      <c r="AK77" s="12"/>
      <c r="AM77" s="12"/>
      <c r="AN77" s="12"/>
      <c r="AO77" s="12"/>
      <c r="AQ77" s="12"/>
      <c r="AR77" s="12"/>
      <c r="AS77" s="12"/>
      <c r="AU77" s="12"/>
      <c r="AV77" s="12"/>
      <c r="AW77" s="12"/>
      <c r="AY77" s="12"/>
      <c r="AZ77" s="12"/>
      <c r="BA77" s="12"/>
      <c r="BB77" s="12"/>
      <c r="BC77" s="12"/>
      <c r="BE77" s="12"/>
      <c r="BF77" s="12"/>
      <c r="BH77" s="12"/>
      <c r="BI77" s="12"/>
      <c r="BK77" s="12"/>
      <c r="BL77" s="12"/>
      <c r="BM77" s="12"/>
      <c r="BO77" s="12"/>
      <c r="BP77" s="12"/>
      <c r="BQ77" s="12"/>
      <c r="BR77" s="7"/>
      <c r="BS77" s="12"/>
      <c r="BT77" s="12"/>
      <c r="BZ77" s="12"/>
      <c r="DE77" s="12"/>
      <c r="DF77" s="7"/>
      <c r="DG77" s="12"/>
      <c r="DH77" s="12"/>
      <c r="DJ77" s="12"/>
      <c r="DK77" s="12"/>
      <c r="DL77" s="7"/>
      <c r="DM77" s="12"/>
      <c r="DN77" s="12"/>
      <c r="DP77" s="12"/>
      <c r="DQ77" s="12"/>
      <c r="DR77" s="74"/>
      <c r="DS77" s="12"/>
      <c r="DX77" s="7"/>
      <c r="EP77" s="7"/>
    </row>
    <row r="78" spans="1:146" ht="12">
      <c r="A78" s="5" t="s">
        <v>90</v>
      </c>
      <c r="B78" s="12"/>
      <c r="C78" s="7"/>
      <c r="D78" s="12"/>
      <c r="E78" s="12"/>
      <c r="F78" s="12"/>
      <c r="G78" s="7"/>
      <c r="H78" s="12"/>
      <c r="I78" s="12"/>
      <c r="J78" s="7"/>
      <c r="K78" s="12"/>
      <c r="L78" s="12"/>
      <c r="M78" s="9"/>
      <c r="N78" s="12"/>
      <c r="O78" s="12"/>
      <c r="P78" s="9"/>
      <c r="Q78" s="12"/>
      <c r="S78" s="12"/>
      <c r="T78" s="7"/>
      <c r="U78" s="12"/>
      <c r="V78" s="12"/>
      <c r="W78" s="12"/>
      <c r="X78" s="7"/>
      <c r="Y78" s="12"/>
      <c r="Z78" s="12"/>
      <c r="AA78" s="12"/>
      <c r="AB78" s="12"/>
      <c r="AC78" s="12"/>
      <c r="AD78" s="12"/>
      <c r="AF78" s="12"/>
      <c r="AG78" s="12"/>
      <c r="AI78" s="12"/>
      <c r="AJ78" s="12"/>
      <c r="AK78" s="12"/>
      <c r="AM78" s="12"/>
      <c r="AN78" s="12"/>
      <c r="AO78" s="12"/>
      <c r="AQ78" s="12"/>
      <c r="AR78" s="12"/>
      <c r="AS78" s="12"/>
      <c r="AU78" s="12"/>
      <c r="AV78" s="12"/>
      <c r="AW78" s="12"/>
      <c r="AY78" s="12"/>
      <c r="AZ78" s="12"/>
      <c r="BA78" s="12"/>
      <c r="BB78" s="12"/>
      <c r="BC78" s="12"/>
      <c r="BD78" s="9"/>
      <c r="BE78" s="12"/>
      <c r="BF78" s="12"/>
      <c r="BH78" s="12"/>
      <c r="BI78" s="12"/>
      <c r="BK78" s="12"/>
      <c r="BL78" s="12"/>
      <c r="BM78" s="12"/>
      <c r="BO78" s="12"/>
      <c r="BP78" s="12"/>
      <c r="BQ78" s="12"/>
      <c r="BR78" s="7"/>
      <c r="BS78" s="12"/>
      <c r="BT78" s="12"/>
      <c r="BZ78" s="12"/>
      <c r="DE78" s="12"/>
      <c r="DF78" s="7"/>
      <c r="DG78" s="12"/>
      <c r="DH78" s="12"/>
      <c r="DJ78" s="12"/>
      <c r="DK78" s="12"/>
      <c r="DL78" s="7"/>
      <c r="DM78" s="12"/>
      <c r="DN78" s="12"/>
      <c r="DP78" s="12"/>
      <c r="DQ78" s="12"/>
      <c r="DR78" s="74"/>
      <c r="DS78" s="12"/>
      <c r="DX78" s="7"/>
      <c r="EP78" s="7"/>
    </row>
    <row r="79" spans="1:123" ht="12">
      <c r="A79" s="5"/>
      <c r="B79" s="12"/>
      <c r="C79" s="7"/>
      <c r="D79" s="12"/>
      <c r="E79" s="12"/>
      <c r="F79" s="12"/>
      <c r="G79" s="7"/>
      <c r="H79" s="12"/>
      <c r="I79" s="12"/>
      <c r="J79" s="7"/>
      <c r="K79" s="12"/>
      <c r="L79" s="12"/>
      <c r="N79" s="12"/>
      <c r="O79" s="12"/>
      <c r="Q79" s="12"/>
      <c r="S79" s="12"/>
      <c r="T79" s="7"/>
      <c r="U79" s="12"/>
      <c r="V79" s="12"/>
      <c r="W79" s="12"/>
      <c r="X79" s="7"/>
      <c r="Y79" s="12"/>
      <c r="Z79" s="12"/>
      <c r="AA79" s="12"/>
      <c r="AB79" s="12"/>
      <c r="AC79" s="12"/>
      <c r="AD79" s="12"/>
      <c r="AF79" s="12"/>
      <c r="AG79" s="12"/>
      <c r="AI79" s="12"/>
      <c r="AJ79" s="12"/>
      <c r="AK79" s="12"/>
      <c r="AM79" s="12"/>
      <c r="AN79" s="12"/>
      <c r="AO79" s="12"/>
      <c r="AQ79" s="12"/>
      <c r="AR79" s="12"/>
      <c r="AS79" s="12"/>
      <c r="AU79" s="12"/>
      <c r="AV79" s="12"/>
      <c r="AW79" s="12"/>
      <c r="AY79" s="12"/>
      <c r="AZ79" s="12"/>
      <c r="BA79" s="12"/>
      <c r="BB79" s="12"/>
      <c r="BC79" s="12"/>
      <c r="BE79" s="12"/>
      <c r="BF79" s="12"/>
      <c r="BH79" s="12"/>
      <c r="BI79" s="12"/>
      <c r="BK79" s="12"/>
      <c r="BL79" s="12"/>
      <c r="BM79" s="12"/>
      <c r="BO79" s="12"/>
      <c r="BP79" s="12"/>
      <c r="BQ79" s="12"/>
      <c r="BR79" s="7"/>
      <c r="BS79" s="12"/>
      <c r="BT79" s="12"/>
      <c r="BZ79" s="12"/>
      <c r="DE79" s="12"/>
      <c r="DF79" s="7"/>
      <c r="DG79" s="12"/>
      <c r="DH79" s="12"/>
      <c r="DJ79" s="12"/>
      <c r="DK79" s="12"/>
      <c r="DL79" s="7"/>
      <c r="DM79" s="12"/>
      <c r="DN79" s="12"/>
      <c r="DP79" s="12"/>
      <c r="DQ79" s="12"/>
      <c r="DR79" s="7"/>
      <c r="DS79" s="12"/>
    </row>
    <row r="80" spans="1:112" ht="12">
      <c r="A80" s="5" t="s">
        <v>196</v>
      </c>
      <c r="DH80" s="23"/>
    </row>
    <row r="81" spans="1:110" ht="12">
      <c r="A81" s="57" t="s">
        <v>60</v>
      </c>
      <c r="DF81" s="23"/>
    </row>
    <row r="82" spans="1:110" ht="12">
      <c r="A82" s="5" t="s">
        <v>30</v>
      </c>
      <c r="DF82" s="23"/>
    </row>
    <row r="83" spans="1:110" ht="12">
      <c r="A83" s="57" t="s">
        <v>61</v>
      </c>
      <c r="DF83" s="23"/>
    </row>
    <row r="84" spans="1:110" ht="12">
      <c r="A84" s="107" t="s">
        <v>197</v>
      </c>
      <c r="B84" s="107"/>
      <c r="DF84" s="23"/>
    </row>
    <row r="85" spans="1:152" s="57" customFormat="1" ht="12">
      <c r="A85" s="91" t="s">
        <v>4</v>
      </c>
      <c r="B85" s="85"/>
      <c r="C85" s="85"/>
      <c r="D85" s="85"/>
      <c r="E85" s="85"/>
      <c r="F85" s="85"/>
      <c r="G85" s="85"/>
      <c r="H85" s="85"/>
      <c r="I85" s="85"/>
      <c r="J85" s="85"/>
      <c r="K85" s="85"/>
      <c r="L85" s="85"/>
      <c r="M85" s="92"/>
      <c r="N85" s="85"/>
      <c r="O85" s="85"/>
      <c r="P85" s="92"/>
      <c r="Q85" s="85"/>
      <c r="R85" s="85"/>
      <c r="S85" s="85"/>
      <c r="AE85" s="74"/>
      <c r="AH85" s="74"/>
      <c r="AL85" s="74"/>
      <c r="AP85" s="74"/>
      <c r="AX85" s="74"/>
      <c r="BD85" s="74"/>
      <c r="BG85" s="74"/>
      <c r="BJ85" s="74"/>
      <c r="BN85" s="74"/>
      <c r="BU85" s="74"/>
      <c r="BV85" s="74"/>
      <c r="BW85" s="74"/>
      <c r="BX85" s="74"/>
      <c r="BY85" s="74"/>
      <c r="CA85" s="74"/>
      <c r="CD85" s="74"/>
      <c r="CG85" s="74"/>
      <c r="CJ85" s="74"/>
      <c r="CM85" s="74"/>
      <c r="CP85" s="74"/>
      <c r="CV85" s="74"/>
      <c r="CY85" s="74"/>
      <c r="DB85" s="74"/>
      <c r="DF85" s="85"/>
      <c r="DI85" s="74"/>
      <c r="DO85" s="74"/>
      <c r="DU85" s="74"/>
      <c r="ED85" s="74"/>
      <c r="EG85" s="74"/>
      <c r="EJ85" s="74"/>
      <c r="EV85" s="74"/>
    </row>
    <row r="86" ht="12">
      <c r="A86" t="s">
        <v>37</v>
      </c>
    </row>
    <row r="87" ht="12">
      <c r="A87" t="s">
        <v>29</v>
      </c>
    </row>
    <row r="88" ht="12">
      <c r="A88" t="s">
        <v>23</v>
      </c>
    </row>
    <row r="89" ht="12">
      <c r="A89" s="57" t="s">
        <v>0</v>
      </c>
    </row>
    <row r="90" ht="12">
      <c r="A90" s="57" t="s">
        <v>1</v>
      </c>
    </row>
  </sheetData>
  <sheetProtection/>
  <mergeCells count="145">
    <mergeCell ref="EU6:EW6"/>
    <mergeCell ref="EU7:EU8"/>
    <mergeCell ref="EV7:EW7"/>
    <mergeCell ref="DE5:EW5"/>
    <mergeCell ref="EI6:EK6"/>
    <mergeCell ref="EI7:EI8"/>
    <mergeCell ref="EJ7:EK7"/>
    <mergeCell ref="EL6:EN6"/>
    <mergeCell ref="DL7:DM7"/>
    <mergeCell ref="DQ7:DQ8"/>
    <mergeCell ref="BN7:BO7"/>
    <mergeCell ref="CX7:CX8"/>
    <mergeCell ref="CY7:CZ7"/>
    <mergeCell ref="DA6:DC6"/>
    <mergeCell ref="DA7:DA8"/>
    <mergeCell ref="DB7:DC7"/>
    <mergeCell ref="BR7:BS7"/>
    <mergeCell ref="CI7:CI8"/>
    <mergeCell ref="CJ7:CK7"/>
    <mergeCell ref="CL6:CN6"/>
    <mergeCell ref="W5:DC5"/>
    <mergeCell ref="BW6:BY6"/>
    <mergeCell ref="BM6:BO6"/>
    <mergeCell ref="AD6:AF6"/>
    <mergeCell ref="AD7:AD8"/>
    <mergeCell ref="AE7:AF7"/>
    <mergeCell ref="AL7:AM7"/>
    <mergeCell ref="W6:Y6"/>
    <mergeCell ref="AK6:AM6"/>
    <mergeCell ref="AO6:AQ6"/>
    <mergeCell ref="A84:B84"/>
    <mergeCell ref="AG6:AI6"/>
    <mergeCell ref="AG7:AG8"/>
    <mergeCell ref="AH7:AI7"/>
    <mergeCell ref="T7:U7"/>
    <mergeCell ref="BM7:BM8"/>
    <mergeCell ref="J7:K7"/>
    <mergeCell ref="O6:Q6"/>
    <mergeCell ref="O7:O8"/>
    <mergeCell ref="P7:Q7"/>
    <mergeCell ref="L6:N6"/>
    <mergeCell ref="L7:L8"/>
    <mergeCell ref="B5:D5"/>
    <mergeCell ref="F5:Q5"/>
    <mergeCell ref="F6:H6"/>
    <mergeCell ref="I6:K6"/>
    <mergeCell ref="I7:I8"/>
    <mergeCell ref="B7:B8"/>
    <mergeCell ref="C7:D7"/>
    <mergeCell ref="F7:F8"/>
    <mergeCell ref="S5:U5"/>
    <mergeCell ref="DH6:DJ6"/>
    <mergeCell ref="DK6:DM6"/>
    <mergeCell ref="AS6:AU6"/>
    <mergeCell ref="BC6:BE6"/>
    <mergeCell ref="BQ6:BS6"/>
    <mergeCell ref="DE6:DG6"/>
    <mergeCell ref="BZ6:CB6"/>
    <mergeCell ref="CI6:CK6"/>
    <mergeCell ref="CU6:CW6"/>
    <mergeCell ref="AT7:AU7"/>
    <mergeCell ref="DQ6:DS6"/>
    <mergeCell ref="BD7:BE7"/>
    <mergeCell ref="DE7:DE8"/>
    <mergeCell ref="CF6:CH6"/>
    <mergeCell ref="CF7:CF8"/>
    <mergeCell ref="CM7:CN7"/>
    <mergeCell ref="AW6:AY6"/>
    <mergeCell ref="AW7:AW8"/>
    <mergeCell ref="AX7:AY7"/>
    <mergeCell ref="G7:H7"/>
    <mergeCell ref="W7:W8"/>
    <mergeCell ref="X7:Y7"/>
    <mergeCell ref="S7:S8"/>
    <mergeCell ref="M7:N7"/>
    <mergeCell ref="AP7:AQ7"/>
    <mergeCell ref="BC7:BC8"/>
    <mergeCell ref="AK7:AK8"/>
    <mergeCell ref="EL7:EL8"/>
    <mergeCell ref="EM7:EN7"/>
    <mergeCell ref="DF7:DG7"/>
    <mergeCell ref="DH7:DH8"/>
    <mergeCell ref="DI7:DJ7"/>
    <mergeCell ref="DK7:DK8"/>
    <mergeCell ref="AS7:AS8"/>
    <mergeCell ref="CG7:CH7"/>
    <mergeCell ref="AA6:AC6"/>
    <mergeCell ref="AA7:AA8"/>
    <mergeCell ref="AB7:AC7"/>
    <mergeCell ref="BT6:BV6"/>
    <mergeCell ref="BT7:BT8"/>
    <mergeCell ref="BU7:BV7"/>
    <mergeCell ref="AZ6:BB6"/>
    <mergeCell ref="AZ7:AZ8"/>
    <mergeCell ref="AO7:AO8"/>
    <mergeCell ref="BA7:BB7"/>
    <mergeCell ref="BZ7:BZ8"/>
    <mergeCell ref="CA7:CB7"/>
    <mergeCell ref="CC6:CE6"/>
    <mergeCell ref="CC7:CC8"/>
    <mergeCell ref="CD7:CE7"/>
    <mergeCell ref="BF6:BH6"/>
    <mergeCell ref="BF7:BF8"/>
    <mergeCell ref="BG7:BH7"/>
    <mergeCell ref="BQ7:BQ8"/>
    <mergeCell ref="BW7:BW8"/>
    <mergeCell ref="CL7:CL8"/>
    <mergeCell ref="CR6:CT6"/>
    <mergeCell ref="CR7:CR8"/>
    <mergeCell ref="CS7:CT7"/>
    <mergeCell ref="CO6:CQ6"/>
    <mergeCell ref="CO7:CO8"/>
    <mergeCell ref="CP7:CQ7"/>
    <mergeCell ref="DW7:DW8"/>
    <mergeCell ref="DX7:DY7"/>
    <mergeCell ref="EC6:EE6"/>
    <mergeCell ref="CX6:CZ6"/>
    <mergeCell ref="EC7:EC8"/>
    <mergeCell ref="DR7:DS7"/>
    <mergeCell ref="EO6:EQ6"/>
    <mergeCell ref="EO7:EO8"/>
    <mergeCell ref="EP7:EQ7"/>
    <mergeCell ref="ER6:ET6"/>
    <mergeCell ref="ER7:ER8"/>
    <mergeCell ref="ES7:ET7"/>
    <mergeCell ref="EF6:EH6"/>
    <mergeCell ref="EF7:EF8"/>
    <mergeCell ref="EG7:EH7"/>
    <mergeCell ref="DT6:DV6"/>
    <mergeCell ref="DT7:DT8"/>
    <mergeCell ref="DU7:DV7"/>
    <mergeCell ref="DZ6:EB6"/>
    <mergeCell ref="DZ7:DZ8"/>
    <mergeCell ref="EA7:EB7"/>
    <mergeCell ref="DW6:DY6"/>
    <mergeCell ref="BX7:BY7"/>
    <mergeCell ref="BI6:BK6"/>
    <mergeCell ref="BI7:BI8"/>
    <mergeCell ref="BJ7:BK7"/>
    <mergeCell ref="ED7:EE7"/>
    <mergeCell ref="CU7:CU8"/>
    <mergeCell ref="CV7:CW7"/>
    <mergeCell ref="DN6:DP6"/>
    <mergeCell ref="DN7:DN8"/>
    <mergeCell ref="DO7:DP7"/>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2:A10"/>
  <sheetViews>
    <sheetView zoomScalePageLayoutView="0" workbookViewId="0" topLeftCell="A1">
      <selection activeCell="A1" sqref="A1"/>
    </sheetView>
  </sheetViews>
  <sheetFormatPr defaultColWidth="8.7109375" defaultRowHeight="12.75"/>
  <sheetData>
    <row r="2" ht="12">
      <c r="A2" s="33" t="s">
        <v>164</v>
      </c>
    </row>
    <row r="3" ht="12">
      <c r="A3" s="33" t="s">
        <v>163</v>
      </c>
    </row>
    <row r="4" ht="12">
      <c r="A4" s="33" t="s">
        <v>148</v>
      </c>
    </row>
    <row r="5" ht="12">
      <c r="A5" s="33" t="s">
        <v>149</v>
      </c>
    </row>
    <row r="6" ht="12">
      <c r="A6" s="33" t="s">
        <v>150</v>
      </c>
    </row>
    <row r="7" ht="12">
      <c r="A7" s="33" t="s">
        <v>151</v>
      </c>
    </row>
    <row r="8" ht="12">
      <c r="A8" s="33" t="s">
        <v>155</v>
      </c>
    </row>
    <row r="9" ht="12">
      <c r="A9" s="33" t="s">
        <v>136</v>
      </c>
    </row>
    <row r="10" ht="12">
      <c r="A10" s="33" t="s">
        <v>137</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Williamson</dc:creator>
  <cp:keywords/>
  <dc:description/>
  <cp:lastModifiedBy>Peter Lindert</cp:lastModifiedBy>
  <cp:lastPrinted>2010-08-11T11:52:29Z</cp:lastPrinted>
  <dcterms:created xsi:type="dcterms:W3CDTF">2010-07-19T11:17:19Z</dcterms:created>
  <dcterms:modified xsi:type="dcterms:W3CDTF">2012-06-20T17:18:35Z</dcterms:modified>
  <cp:category/>
  <cp:version/>
  <cp:contentType/>
  <cp:contentStatus/>
</cp:coreProperties>
</file>