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0" yWindow="420" windowWidth="22320" windowHeight="14680" activeTab="2"/>
  </bookViews>
  <sheets>
    <sheet name="Source and notes" sheetId="1" r:id="rId1"/>
    <sheet name="Holland 1732 calcs" sheetId="2" r:id="rId2"/>
    <sheet name="Holland 1732 appendix" sheetId="3" r:id="rId3"/>
    <sheet name="Netherlands 1808" sheetId="4" r:id="rId4"/>
  </sheets>
  <definedNames/>
  <calcPr fullCalcOnLoad="1"/>
</workbook>
</file>

<file path=xl/sharedStrings.xml><?xml version="1.0" encoding="utf-8"?>
<sst xmlns="http://schemas.openxmlformats.org/spreadsheetml/2006/main" count="123" uniqueCount="100">
  <si>
    <t>Percent of all income in this class and lower</t>
  </si>
  <si>
    <t>Contributions to Gini1</t>
  </si>
  <si>
    <r>
      <t xml:space="preserve">Lee Soltow and Jan Luiten van Zanden, </t>
    </r>
    <r>
      <rPr>
        <i/>
        <sz val="12"/>
        <color indexed="8"/>
        <rFont val="Times New Roman"/>
        <family val="0"/>
      </rPr>
      <t>Income and Wealth Inequality in the</t>
    </r>
  </si>
  <si>
    <t>An estimated income distribution for</t>
  </si>
  <si>
    <t>based on housing rents</t>
  </si>
  <si>
    <t>Estimated</t>
  </si>
  <si>
    <t>class-ave.</t>
  </si>
  <si>
    <t>Implied</t>
  </si>
  <si>
    <t>total income</t>
  </si>
  <si>
    <t>mil. fl.</t>
  </si>
  <si>
    <t>Percent of families in this class</t>
  </si>
  <si>
    <t>Percent of all families in this class and lower</t>
  </si>
  <si>
    <t xml:space="preserve">Gini1 = </t>
  </si>
  <si>
    <t>households</t>
  </si>
  <si>
    <t>The Netherlands in 1808</t>
  </si>
  <si>
    <t>Branko Milanovic, Peter H. Lindert, and Jeffrey G. Williamson</t>
  </si>
  <si>
    <t>income in fl</t>
  </si>
  <si>
    <r>
      <t>Netherlands, 16th-20th Century</t>
    </r>
    <r>
      <rPr>
        <sz val="12"/>
        <color indexed="8"/>
        <rFont val="Times New Roman"/>
        <family val="0"/>
      </rPr>
      <t>. Het Spinhuis, 1998, Chapter 6.</t>
    </r>
  </si>
  <si>
    <t>Gini2 =</t>
  </si>
  <si>
    <t>We are indebted to Jan Luiten van Zanden for expanding on the data sets in the source listed below.</t>
  </si>
  <si>
    <t>Overall distribution</t>
  </si>
  <si>
    <t>Holland 1732</t>
  </si>
  <si>
    <t>Amsterdam</t>
  </si>
  <si>
    <t>Delft</t>
  </si>
  <si>
    <t>countryside</t>
  </si>
  <si>
    <t>vlekken</t>
  </si>
  <si>
    <t>income</t>
  </si>
  <si>
    <t>weighted</t>
  </si>
  <si>
    <t>Leiden</t>
  </si>
  <si>
    <t>income Leiden</t>
  </si>
  <si>
    <t xml:space="preserve">weighted </t>
  </si>
  <si>
    <t>Income</t>
  </si>
  <si>
    <t>Overall</t>
  </si>
  <si>
    <t>weight: 25%</t>
  </si>
  <si>
    <t>weight 12.5%</t>
  </si>
  <si>
    <t>population</t>
  </si>
  <si>
    <t>weights</t>
  </si>
  <si>
    <t>400+</t>
  </si>
  <si>
    <t>check</t>
  </si>
  <si>
    <t xml:space="preserve">average </t>
  </si>
  <si>
    <t>top.bottom</t>
  </si>
  <si>
    <t>Data supplied by Jan Luiten van Zanden to Jeffrey G. Williamson, dated 18 October 2007.</t>
  </si>
  <si>
    <t>Gini1</t>
  </si>
  <si>
    <t>Gini2</t>
  </si>
  <si>
    <t>Gini1 = the lower-bound gini coefficient that assumes equality within each income class.</t>
  </si>
  <si>
    <t>Gini2 is calculated with assumptions about the inequalities within classes,</t>
  </si>
  <si>
    <t>but also with the assumption that the classes do not overlap into each other's income range.</t>
  </si>
  <si>
    <t>Total</t>
  </si>
  <si>
    <t>Gini2 = 61.146</t>
  </si>
  <si>
    <t>The consolidated Holland data for 1732 are obtained as a weighted average of distributions of household income for five regions: Amsterdam (with the weight of 25 percent), Delft (12.5 percent), countryside (37.5 percent), vlekken (12.5 percent) and Leiden (12.5 percent). The first four regions have the same income groups (with income ranges varying between 5 and 2250 guilders). Leiden's distribution has different income ranges, going from 6 to over 400 guilders. The data in the table give a consolidated all-Holland distribution. The data for five regions were kindly provided by Jan Luiten van Zanden.</t>
  </si>
  <si>
    <t xml:space="preserve">The rental values of all dwellings (including the poor) were taxed. We know that dwelling rents were highly correlated with income (Williamson 1985; van den Berg and van Zanden, 1988: pp. 193-215), but we also know that the elasticity of rents to income was less than one (between 0.72 and 0.75 in 1852-1910 Britain: Williamson 1985, p. 225). Thus, income inequality should be understated by rental values. With that understood, the source of the Dutch data is van Zanden (1995). </t>
  </si>
  <si>
    <t>Population and area: Population is interpolated between 1500 and 1600 (983,176), and between 1700 and 1820 (2,002,783), from Maddison (2001). We approximate the area of 21,680 km2 to be modern Holland.</t>
  </si>
  <si>
    <t xml:space="preserve">Urbanization rate: For 1561, the urbanization estimate (45%) is from van Bavel and van Zanden (2004). For 1732, the urbanization estimate (39%) is from de Vries (1985). </t>
  </si>
  <si>
    <t xml:space="preserve">Mean income in $PPP: GDP per capita in 1990 international dollars interpolated between 1500 and 1600, and between 1700 and 1820, from Maddison (2001: p. 264). </t>
  </si>
  <si>
    <t>REFERENCES</t>
  </si>
  <si>
    <t>de Vries, Jan (1985) “The Population and Economy of the Preindustrial Netherlands,” Journal of Interdisciplinary History XV, 4 (Spring): 661-85.</t>
  </si>
  <si>
    <t>Maddison, Angus (2001), The World Economy: A Millennial Perspectives, Paris: OECD Development Centre.</t>
  </si>
  <si>
    <t xml:space="preserve">Gini calculations by Branko Milanovic.  </t>
  </si>
  <si>
    <t>Percent of all income in this class</t>
  </si>
  <si>
    <t>Total income</t>
  </si>
  <si>
    <t>% share</t>
  </si>
  <si>
    <t>Top 1%:</t>
  </si>
  <si>
    <t>Top 5%:</t>
  </si>
  <si>
    <t>Top 10%:</t>
  </si>
  <si>
    <t>Top 20%:</t>
  </si>
  <si>
    <t>Next 40%:</t>
  </si>
  <si>
    <t>Bottom 40%:</t>
  </si>
  <si>
    <t>Mean fl:</t>
  </si>
  <si>
    <t>Median fl:</t>
  </si>
  <si>
    <t>Gini 1 =</t>
  </si>
  <si>
    <t>Income</t>
  </si>
  <si>
    <t>class no.</t>
  </si>
  <si>
    <t>House-</t>
  </si>
  <si>
    <t>holds</t>
  </si>
  <si>
    <t>26 November 2007, with slight extensions in March 2011.</t>
  </si>
  <si>
    <t xml:space="preserve">The fuller presentation of results for Holland 1732, </t>
  </si>
  <si>
    <t>from the appendix to the Milanovic-Lindert-Williamson</t>
  </si>
  <si>
    <t>NBER Working Paper 13550.</t>
  </si>
  <si>
    <t>Income distribution data (see also the accompanying worksheet "Holland 1732 calc's", by Branko Milanovic)</t>
  </si>
  <si>
    <t>"Per capita"</t>
  </si>
  <si>
    <t>(per household)</t>
  </si>
  <si>
    <t>group</t>
  </si>
  <si>
    <t>households</t>
  </si>
  <si>
    <t>population</t>
  </si>
  <si>
    <t>(guliders/yr)</t>
  </si>
  <si>
    <t>Cumulative shares of</t>
  </si>
  <si>
    <t>population</t>
  </si>
  <si>
    <t>income</t>
  </si>
  <si>
    <t>div. by mean</t>
  </si>
  <si>
    <t>in this class</t>
  </si>
  <si>
    <t>(guilders)</t>
  </si>
  <si>
    <t>van Bavel, B. and J. L. van Zanden (2004), “The jump-start of the Holland economy during the late-medieval crisis, c.1350-c.1500,” Economic History Review LVII 3: 503-32.</t>
  </si>
  <si>
    <t>van den Berg, W. J. and J. L. van Zanden (1988), “Vier eeuwen welstandlijkheid in Alkmaar, ca 1530-1930,” Tijdschrift voor Sociale Geschiedenis 19: 193-2</t>
  </si>
  <si>
    <t>van Zanden, Jan Luiten (1995), “Tracing the beginning of the Kuznets curve: western Europe during the early modern period,” Economic History Review XLVIII, 4: 643-64.</t>
  </si>
  <si>
    <t>Williamson, Jeffrey G. (1985), Did British Capitalism Breed Inequality? Cambridge: Cambridge University Press.</t>
  </si>
  <si>
    <t>Consolidated</t>
  </si>
  <si>
    <t>Weighted</t>
  </si>
  <si>
    <t>income</t>
  </si>
  <si>
    <t>no. of</t>
  </si>
  <si>
    <t>% of</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</si>
</sst>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 #,##0_-;&quot;€&quot;\ #,##0\-"/>
    <numFmt numFmtId="169" formatCode="&quot;€&quot;\ #,##0_-;[Red]&quot;€&quot;\ #,##0\-"/>
    <numFmt numFmtId="170" formatCode="&quot;€&quot;\ #,##0.00_-;&quot;€&quot;\ #,##0.00\-"/>
    <numFmt numFmtId="171" formatCode="&quot;€&quot;\ #,##0.00_-;[Red]&quot;€&quot;\ #,##0.00\-"/>
    <numFmt numFmtId="172" formatCode="_-&quot;€&quot;\ * #,##0_-;_-&quot;€&quot;\ * #,##0\-;_-&quot;€&quot;\ * &quot;-&quot;_-;_-@_-"/>
    <numFmt numFmtId="173" formatCode="_-* #,##0_-;_-* #,##0\-;_-* &quot;-&quot;_-;_-@_-"/>
    <numFmt numFmtId="174" formatCode="_-&quot;€&quot;\ * #,##0.00_-;_-&quot;€&quot;\ * #,##0.00\-;_-&quot;€&quot;\ * &quot;-&quot;??_-;_-@_-"/>
    <numFmt numFmtId="175" formatCode="_-* #,##0.00_-;_-* #,##0.00\-;_-* &quot;-&quot;??_-;_-@_-"/>
    <numFmt numFmtId="176" formatCode="0.00000"/>
    <numFmt numFmtId="177" formatCode="0.0000"/>
    <numFmt numFmtId="178" formatCode="0.000"/>
    <numFmt numFmtId="179" formatCode="0.0"/>
    <numFmt numFmtId="180" formatCode="0.000000"/>
    <numFmt numFmtId="181" formatCode="0.0000000"/>
    <numFmt numFmtId="182" formatCode="0.00_)"/>
    <numFmt numFmtId="183" formatCode="0_)"/>
    <numFmt numFmtId="184" formatCode="0.0_)"/>
    <numFmt numFmtId="185" formatCode="0.00"/>
    <numFmt numFmtId="186" formatCode="0,000"/>
    <numFmt numFmtId="187" formatCode="0.00"/>
    <numFmt numFmtId="188" formatCode="0.0"/>
  </numFmts>
  <fonts count="31">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61"/>
      <name val="Calibri"/>
      <family val="2"/>
    </font>
    <font>
      <sz val="12"/>
      <color indexed="8"/>
      <name val="Times New Roman"/>
      <family val="0"/>
    </font>
    <font>
      <i/>
      <sz val="12"/>
      <color indexed="8"/>
      <name val="Times New Roman"/>
      <family val="0"/>
    </font>
    <font>
      <sz val="8"/>
      <name val="Verdana"/>
      <family val="0"/>
    </font>
    <font>
      <sz val="12"/>
      <name val="Times New Roman"/>
      <family val="1"/>
    </font>
    <font>
      <b/>
      <sz val="12"/>
      <name val="Times New Roman"/>
      <family val="0"/>
    </font>
    <font>
      <b/>
      <sz val="14"/>
      <color indexed="8"/>
      <name val="Times New Roman"/>
      <family val="0"/>
    </font>
    <font>
      <i/>
      <sz val="12"/>
      <name val="Times New Roman"/>
      <family val="0"/>
    </font>
    <font>
      <sz val="12"/>
      <color indexed="12"/>
      <name val="Times New Roman"/>
      <family val="0"/>
    </font>
    <font>
      <sz val="12"/>
      <color indexed="8"/>
      <name val="Arial"/>
      <family val="0"/>
    </font>
    <font>
      <b/>
      <sz val="14"/>
      <color indexed="8"/>
      <name val="Arial"/>
      <family val="0"/>
    </font>
    <font>
      <u val="single"/>
      <sz val="12"/>
      <color indexed="8"/>
      <name val="Arial"/>
      <family val="0"/>
    </font>
    <font>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63">
    <xf numFmtId="0" fontId="0" fillId="0" borderId="0" xfId="0" applyAlignment="1">
      <alignment/>
    </xf>
    <xf numFmtId="0" fontId="19" fillId="0" borderId="0" xfId="0" applyFont="1" applyAlignment="1">
      <alignment/>
    </xf>
    <xf numFmtId="15" fontId="19" fillId="0" borderId="0" xfId="0" applyNumberFormat="1" applyFont="1" applyAlignment="1">
      <alignment/>
    </xf>
    <xf numFmtId="0" fontId="20" fillId="0" borderId="0" xfId="0" applyFont="1" applyAlignment="1">
      <alignment/>
    </xf>
    <xf numFmtId="0" fontId="19" fillId="0" borderId="0" xfId="0" applyFont="1" applyAlignment="1">
      <alignment horizontal="right"/>
    </xf>
    <xf numFmtId="0" fontId="19" fillId="0" borderId="10" xfId="0" applyFont="1" applyBorder="1" applyAlignment="1">
      <alignment/>
    </xf>
    <xf numFmtId="178" fontId="19" fillId="0" borderId="0" xfId="0" applyNumberFormat="1" applyFont="1" applyAlignment="1">
      <alignment/>
    </xf>
    <xf numFmtId="2" fontId="19" fillId="0" borderId="0" xfId="0" applyNumberFormat="1" applyFont="1" applyAlignment="1">
      <alignment/>
    </xf>
    <xf numFmtId="179" fontId="19" fillId="0" borderId="0" xfId="0" applyNumberFormat="1" applyFont="1" applyAlignment="1">
      <alignment/>
    </xf>
    <xf numFmtId="0" fontId="22" fillId="0" borderId="0" xfId="0" applyFont="1" applyAlignment="1">
      <alignment/>
    </xf>
    <xf numFmtId="177" fontId="22" fillId="0" borderId="0" xfId="0" applyNumberFormat="1" applyFont="1" applyAlignment="1">
      <alignment/>
    </xf>
    <xf numFmtId="2" fontId="22" fillId="0" borderId="0" xfId="0" applyNumberFormat="1" applyFont="1" applyAlignment="1">
      <alignment horizontal="right"/>
    </xf>
    <xf numFmtId="178" fontId="22" fillId="0" borderId="0" xfId="0" applyNumberFormat="1" applyFont="1" applyAlignment="1">
      <alignment horizontal="right"/>
    </xf>
    <xf numFmtId="177" fontId="22" fillId="0" borderId="0" xfId="0" applyNumberFormat="1" applyFont="1" applyAlignment="1">
      <alignment horizontal="right"/>
    </xf>
    <xf numFmtId="176" fontId="22" fillId="0" borderId="0" xfId="0" applyNumberFormat="1" applyFont="1" applyAlignment="1">
      <alignment horizontal="right"/>
    </xf>
    <xf numFmtId="180" fontId="22" fillId="0" borderId="0" xfId="0" applyNumberFormat="1" applyFont="1" applyAlignment="1">
      <alignment horizontal="right"/>
    </xf>
    <xf numFmtId="2" fontId="22" fillId="0" borderId="0" xfId="0" applyNumberFormat="1" applyFont="1" applyAlignment="1">
      <alignment/>
    </xf>
    <xf numFmtId="2" fontId="23" fillId="0" borderId="11" xfId="0" applyNumberFormat="1" applyFont="1" applyBorder="1" applyAlignment="1">
      <alignment/>
    </xf>
    <xf numFmtId="0" fontId="24" fillId="0" borderId="0" xfId="0" applyFont="1" applyAlignment="1">
      <alignment/>
    </xf>
    <xf numFmtId="182" fontId="23" fillId="0" borderId="0" xfId="0" applyNumberFormat="1" applyFont="1" applyAlignment="1" applyProtection="1">
      <alignment horizontal="left"/>
      <protection/>
    </xf>
    <xf numFmtId="182" fontId="23" fillId="0" borderId="0" xfId="0" applyNumberFormat="1" applyFont="1" applyAlignment="1" applyProtection="1">
      <alignment/>
      <protection/>
    </xf>
    <xf numFmtId="0" fontId="19" fillId="0" borderId="0" xfId="0" applyFont="1" applyAlignment="1">
      <alignment/>
    </xf>
    <xf numFmtId="0" fontId="23" fillId="0" borderId="0" xfId="0" applyFont="1" applyAlignment="1">
      <alignment/>
    </xf>
    <xf numFmtId="0" fontId="19" fillId="0" borderId="0" xfId="0" applyFont="1" applyAlignment="1">
      <alignment horizontal="center"/>
    </xf>
    <xf numFmtId="0" fontId="25" fillId="0" borderId="0" xfId="0" applyFont="1" applyAlignment="1">
      <alignment horizontal="center"/>
    </xf>
    <xf numFmtId="0" fontId="19" fillId="0" borderId="12" xfId="0" applyFont="1" applyBorder="1" applyAlignment="1">
      <alignment/>
    </xf>
    <xf numFmtId="10" fontId="19" fillId="0" borderId="0" xfId="0" applyNumberFormat="1" applyFont="1" applyAlignment="1">
      <alignment/>
    </xf>
    <xf numFmtId="179" fontId="19" fillId="0" borderId="0" xfId="0" applyNumberFormat="1" applyFont="1" applyAlignment="1">
      <alignment/>
    </xf>
    <xf numFmtId="0" fontId="26" fillId="0" borderId="0" xfId="0" applyFont="1" applyAlignment="1">
      <alignment/>
    </xf>
    <xf numFmtId="1" fontId="19" fillId="0" borderId="0" xfId="0" applyNumberFormat="1" applyFont="1" applyAlignment="1">
      <alignment/>
    </xf>
    <xf numFmtId="0" fontId="26" fillId="0" borderId="0" xfId="0" applyFont="1" applyAlignment="1">
      <alignment horizontal="right"/>
    </xf>
    <xf numFmtId="0" fontId="19" fillId="0" borderId="0" xfId="0" applyFont="1" applyAlignment="1">
      <alignment horizontal="right"/>
    </xf>
    <xf numFmtId="183" fontId="19" fillId="0" borderId="0" xfId="0" applyNumberFormat="1" applyFont="1" applyAlignment="1" applyProtection="1">
      <alignment/>
      <protection/>
    </xf>
    <xf numFmtId="0" fontId="26" fillId="0" borderId="0" xfId="0" applyFont="1" applyAlignment="1" applyProtection="1">
      <alignment/>
      <protection locked="0"/>
    </xf>
    <xf numFmtId="179" fontId="19" fillId="0" borderId="11" xfId="0" applyNumberFormat="1" applyFont="1" applyBorder="1" applyAlignment="1">
      <alignment/>
    </xf>
    <xf numFmtId="0" fontId="27" fillId="0" borderId="0" xfId="0" applyFont="1" applyAlignment="1">
      <alignment/>
    </xf>
    <xf numFmtId="0" fontId="27" fillId="0" borderId="0" xfId="0" applyFont="1" applyAlignment="1">
      <alignment horizontal="right"/>
    </xf>
    <xf numFmtId="185" fontId="19" fillId="0" borderId="0" xfId="0" applyNumberFormat="1" applyFont="1" applyAlignment="1">
      <alignment/>
    </xf>
    <xf numFmtId="185" fontId="27" fillId="0" borderId="0" xfId="0" applyNumberFormat="1" applyFont="1" applyAlignment="1">
      <alignment/>
    </xf>
    <xf numFmtId="185" fontId="27" fillId="0" borderId="0" xfId="0" applyNumberFormat="1" applyFont="1" applyAlignment="1">
      <alignment horizontal="right"/>
    </xf>
    <xf numFmtId="179" fontId="27" fillId="0" borderId="0" xfId="0" applyNumberFormat="1" applyFont="1" applyAlignment="1">
      <alignment/>
    </xf>
    <xf numFmtId="179" fontId="27" fillId="0" borderId="0" xfId="0" applyNumberFormat="1" applyFont="1" applyAlignment="1">
      <alignment horizontal="right"/>
    </xf>
    <xf numFmtId="0" fontId="27" fillId="0" borderId="11" xfId="0" applyFont="1" applyBorder="1" applyAlignment="1">
      <alignment/>
    </xf>
    <xf numFmtId="179" fontId="27" fillId="0" borderId="11" xfId="0" applyNumberFormat="1" applyFont="1" applyBorder="1" applyAlignment="1">
      <alignment/>
    </xf>
    <xf numFmtId="179" fontId="27" fillId="0" borderId="0" xfId="0" applyNumberFormat="1" applyFont="1" applyAlignment="1">
      <alignment/>
    </xf>
    <xf numFmtId="0" fontId="28" fillId="0" borderId="0" xfId="0" applyFont="1" applyAlignment="1">
      <alignment/>
    </xf>
    <xf numFmtId="0" fontId="29" fillId="0" borderId="0" xfId="0" applyFont="1" applyAlignment="1">
      <alignment horizontal="right"/>
    </xf>
    <xf numFmtId="179" fontId="29" fillId="0" borderId="0" xfId="0" applyNumberFormat="1" applyFont="1" applyAlignment="1">
      <alignment horizontal="right"/>
    </xf>
    <xf numFmtId="185" fontId="29" fillId="0" borderId="0" xfId="0" applyNumberFormat="1" applyFont="1" applyAlignment="1">
      <alignment horizontal="right"/>
    </xf>
    <xf numFmtId="178" fontId="27" fillId="0" borderId="11" xfId="0" applyNumberFormat="1" applyFont="1" applyBorder="1" applyAlignment="1">
      <alignment/>
    </xf>
    <xf numFmtId="176" fontId="27" fillId="0" borderId="0" xfId="0" applyNumberFormat="1" applyFont="1" applyAlignment="1">
      <alignment/>
    </xf>
    <xf numFmtId="0" fontId="27" fillId="0" borderId="0" xfId="0" applyFont="1" applyAlignment="1">
      <alignment horizontal="left"/>
    </xf>
    <xf numFmtId="0" fontId="30" fillId="0" borderId="0" xfId="0" applyFont="1" applyFill="1" applyAlignment="1">
      <alignment/>
    </xf>
    <xf numFmtId="178" fontId="30" fillId="0" borderId="13" xfId="0" applyNumberFormat="1" applyFont="1" applyFill="1" applyBorder="1" applyAlignment="1">
      <alignment/>
    </xf>
    <xf numFmtId="0" fontId="30" fillId="0" borderId="0" xfId="0" applyFont="1" applyFill="1" applyAlignment="1">
      <alignment horizontal="right"/>
    </xf>
    <xf numFmtId="179" fontId="30" fillId="0" borderId="0" xfId="0" applyNumberFormat="1" applyFont="1" applyFill="1" applyAlignment="1">
      <alignment/>
    </xf>
    <xf numFmtId="186" fontId="30" fillId="7" borderId="0" xfId="0" applyNumberFormat="1" applyFont="1" applyFill="1" applyAlignment="1">
      <alignment/>
    </xf>
    <xf numFmtId="0" fontId="30" fillId="7" borderId="0" xfId="0" applyFont="1" applyFill="1" applyAlignment="1">
      <alignment/>
    </xf>
    <xf numFmtId="179" fontId="30" fillId="0" borderId="0" xfId="0" applyNumberFormat="1" applyFont="1" applyFill="1" applyAlignment="1">
      <alignment/>
    </xf>
    <xf numFmtId="179" fontId="19" fillId="7" borderId="0" xfId="0" applyNumberFormat="1" applyFont="1" applyFill="1" applyAlignment="1">
      <alignment/>
    </xf>
    <xf numFmtId="179" fontId="19" fillId="0" borderId="0" xfId="0" applyNumberFormat="1" applyFont="1" applyBorder="1" applyAlignment="1">
      <alignment/>
    </xf>
    <xf numFmtId="179" fontId="19" fillId="0" borderId="0" xfId="0" applyNumberFormat="1" applyFont="1" applyBorder="1" applyAlignment="1">
      <alignment/>
    </xf>
    <xf numFmtId="179" fontId="30" fillId="0" borderId="13"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7"/>
  <sheetViews>
    <sheetView workbookViewId="0" topLeftCell="A1">
      <selection activeCell="D17" sqref="D17"/>
    </sheetView>
  </sheetViews>
  <sheetFormatPr defaultColWidth="10.7109375" defaultRowHeight="15"/>
  <cols>
    <col min="1" max="16384" width="10.7109375" style="1" customWidth="1"/>
  </cols>
  <sheetData>
    <row r="1" ht="15">
      <c r="A1" s="1" t="s">
        <v>15</v>
      </c>
    </row>
    <row r="2" ht="15">
      <c r="A2" s="21" t="s">
        <v>74</v>
      </c>
    </row>
    <row r="3" ht="15">
      <c r="A3" s="2"/>
    </row>
    <row r="4" ht="15">
      <c r="A4" s="1" t="s">
        <v>19</v>
      </c>
    </row>
    <row r="6" ht="15">
      <c r="A6" s="1" t="s">
        <v>2</v>
      </c>
    </row>
    <row r="7" ht="15">
      <c r="B7" s="3" t="s">
        <v>17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U74"/>
  <sheetViews>
    <sheetView workbookViewId="0" topLeftCell="A44">
      <selection activeCell="A51" sqref="A51:B52"/>
    </sheetView>
  </sheetViews>
  <sheetFormatPr defaultColWidth="10.7109375" defaultRowHeight="15"/>
  <cols>
    <col min="1" max="8" width="10.7109375" style="1" customWidth="1"/>
    <col min="9" max="9" width="11.421875" style="1" customWidth="1"/>
    <col min="10" max="10" width="10.7109375" style="1" customWidth="1"/>
    <col min="11" max="11" width="3.421875" style="1" customWidth="1"/>
    <col min="12" max="16384" width="10.7109375" style="1" customWidth="1"/>
  </cols>
  <sheetData>
    <row r="1" spans="1:47" ht="15">
      <c r="A1" s="21"/>
      <c r="B1" s="21"/>
      <c r="C1" s="21"/>
      <c r="D1" s="21"/>
      <c r="E1" s="21"/>
      <c r="F1" s="21"/>
      <c r="G1" s="21"/>
      <c r="H1" s="21"/>
      <c r="I1" s="21"/>
      <c r="J1" s="21"/>
      <c r="K1" s="21"/>
      <c r="L1" s="9" t="s">
        <v>20</v>
      </c>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row>
    <row r="2" spans="1:47" ht="15">
      <c r="A2" s="21"/>
      <c r="B2" s="22" t="s">
        <v>21</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row>
    <row r="3" spans="1:47" ht="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row>
    <row r="4" spans="1:47" ht="15">
      <c r="A4" s="21"/>
      <c r="B4" s="9" t="s">
        <v>41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row>
    <row r="5" spans="1:47" ht="15">
      <c r="A5" s="21"/>
      <c r="B5" s="21" t="s">
        <v>57</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row>
    <row r="6" spans="1:47" ht="1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row>
    <row r="8" spans="1:47" ht="15">
      <c r="A8" s="21"/>
      <c r="B8" s="23">
        <v>1</v>
      </c>
      <c r="C8" s="23">
        <v>2</v>
      </c>
      <c r="D8" s="23">
        <v>3</v>
      </c>
      <c r="E8" s="23">
        <v>4</v>
      </c>
      <c r="F8" s="23"/>
      <c r="G8" s="23"/>
      <c r="H8" s="23">
        <v>5</v>
      </c>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row>
    <row r="9" spans="1:47" ht="15">
      <c r="A9" s="21"/>
      <c r="B9" s="24" t="s">
        <v>22</v>
      </c>
      <c r="C9" s="24" t="s">
        <v>23</v>
      </c>
      <c r="D9" s="24" t="s">
        <v>24</v>
      </c>
      <c r="E9" s="24" t="s">
        <v>25</v>
      </c>
      <c r="F9" s="21" t="s">
        <v>26</v>
      </c>
      <c r="G9" s="25" t="s">
        <v>27</v>
      </c>
      <c r="H9" s="24" t="s">
        <v>28</v>
      </c>
      <c r="I9" s="21" t="s">
        <v>29</v>
      </c>
      <c r="J9" s="21" t="s">
        <v>30</v>
      </c>
      <c r="K9" s="21"/>
      <c r="L9" s="9" t="s">
        <v>31</v>
      </c>
      <c r="M9" s="9" t="s">
        <v>32</v>
      </c>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row>
    <row r="10" spans="1:47" ht="15">
      <c r="A10" s="21"/>
      <c r="B10" s="21" t="s">
        <v>33</v>
      </c>
      <c r="C10" s="21" t="s">
        <v>34</v>
      </c>
      <c r="D10" s="26">
        <v>0.375</v>
      </c>
      <c r="E10" s="26">
        <v>0.125</v>
      </c>
      <c r="F10" s="21"/>
      <c r="G10" s="25" t="s">
        <v>35</v>
      </c>
      <c r="H10" s="26">
        <v>0.125</v>
      </c>
      <c r="I10" s="21"/>
      <c r="J10" s="21" t="s">
        <v>35</v>
      </c>
      <c r="K10" s="21"/>
      <c r="L10" s="9"/>
      <c r="M10" s="9" t="s">
        <v>27</v>
      </c>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row>
    <row r="11" spans="1:47" ht="15">
      <c r="A11" s="21"/>
      <c r="B11" s="21" t="s">
        <v>13</v>
      </c>
      <c r="C11" s="21"/>
      <c r="D11" s="26"/>
      <c r="E11" s="26"/>
      <c r="F11" s="21"/>
      <c r="G11" s="25"/>
      <c r="H11" s="26" t="s">
        <v>13</v>
      </c>
      <c r="I11" s="21"/>
      <c r="J11" s="21"/>
      <c r="K11" s="21"/>
      <c r="L11" s="9"/>
      <c r="M11" s="9" t="s">
        <v>13</v>
      </c>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row>
    <row r="12" spans="1:47" ht="15">
      <c r="A12" s="21" t="s">
        <v>36</v>
      </c>
      <c r="B12" s="21">
        <v>25</v>
      </c>
      <c r="C12" s="21">
        <v>12.5</v>
      </c>
      <c r="D12" s="27">
        <v>37.5</v>
      </c>
      <c r="E12" s="27">
        <v>12.5</v>
      </c>
      <c r="F12" s="21"/>
      <c r="G12" s="25"/>
      <c r="H12" s="27">
        <v>12.5</v>
      </c>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row>
    <row r="13" spans="1:47" ht="15">
      <c r="A13" s="21"/>
      <c r="B13" s="21"/>
      <c r="C13" s="21"/>
      <c r="D13" s="26"/>
      <c r="E13" s="26"/>
      <c r="F13" s="21"/>
      <c r="G13" s="25"/>
      <c r="H13" s="26"/>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row>
    <row r="14" spans="1:47" ht="15">
      <c r="A14" s="21"/>
      <c r="B14" s="21">
        <v>11</v>
      </c>
      <c r="C14" s="21">
        <v>40</v>
      </c>
      <c r="D14" s="21">
        <v>454</v>
      </c>
      <c r="E14" s="21">
        <v>336</v>
      </c>
      <c r="F14" s="28">
        <v>5</v>
      </c>
      <c r="G14" s="25">
        <f>SUMPRODUCT($B$9:$E$9,B14:E14)/100</f>
        <v>0</v>
      </c>
      <c r="H14" s="29">
        <v>1536.16</v>
      </c>
      <c r="I14" s="28">
        <v>6</v>
      </c>
      <c r="J14" s="29">
        <v>192.02</v>
      </c>
      <c r="K14" s="21"/>
      <c r="L14" s="21">
        <v>5</v>
      </c>
      <c r="M14" s="21">
        <f>G14</f>
        <v>0</v>
      </c>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row>
    <row r="15" spans="1:47" ht="15">
      <c r="A15" s="21"/>
      <c r="B15" s="21">
        <v>13</v>
      </c>
      <c r="C15" s="21">
        <v>112</v>
      </c>
      <c r="D15" s="21">
        <v>1097</v>
      </c>
      <c r="E15" s="21">
        <v>347</v>
      </c>
      <c r="F15" s="28">
        <v>15</v>
      </c>
      <c r="G15" s="25">
        <f aca="true" t="shared" si="0" ref="G15:G46">SUMPRODUCT($B$9:$E$9,B15:E15)/100</f>
        <v>0</v>
      </c>
      <c r="H15" s="29">
        <v>2333.043</v>
      </c>
      <c r="I15" s="28">
        <v>24</v>
      </c>
      <c r="J15" s="29">
        <v>291.630375</v>
      </c>
      <c r="K15" s="21"/>
      <c r="L15" s="21">
        <v>6</v>
      </c>
      <c r="M15" s="29">
        <f>J14</f>
        <v>192.02</v>
      </c>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row>
    <row r="16" spans="1:47" ht="15">
      <c r="A16" s="21"/>
      <c r="B16" s="21">
        <v>69</v>
      </c>
      <c r="C16" s="21">
        <v>80</v>
      </c>
      <c r="D16" s="21">
        <v>791</v>
      </c>
      <c r="E16" s="21">
        <v>103</v>
      </c>
      <c r="F16" s="28">
        <v>25</v>
      </c>
      <c r="G16" s="25">
        <f t="shared" si="0"/>
        <v>0</v>
      </c>
      <c r="H16" s="29">
        <v>2217.831</v>
      </c>
      <c r="I16" s="28">
        <v>48</v>
      </c>
      <c r="J16" s="29">
        <v>277.228875</v>
      </c>
      <c r="K16" s="21"/>
      <c r="L16" s="21">
        <v>15</v>
      </c>
      <c r="M16" s="21">
        <f>G15</f>
        <v>0</v>
      </c>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row>
    <row r="17" spans="1:47" ht="15">
      <c r="A17" s="21"/>
      <c r="B17" s="21">
        <v>275</v>
      </c>
      <c r="C17" s="21">
        <v>70</v>
      </c>
      <c r="D17" s="21">
        <v>508</v>
      </c>
      <c r="E17" s="21">
        <v>73</v>
      </c>
      <c r="F17" s="28">
        <v>35</v>
      </c>
      <c r="G17" s="25">
        <f t="shared" si="0"/>
        <v>0</v>
      </c>
      <c r="H17" s="29">
        <v>1411.347</v>
      </c>
      <c r="I17" s="28">
        <v>72</v>
      </c>
      <c r="J17" s="29">
        <v>176.41837500000003</v>
      </c>
      <c r="K17" s="21"/>
      <c r="L17" s="21">
        <v>24</v>
      </c>
      <c r="M17" s="29">
        <f>J15</f>
        <v>291.630375</v>
      </c>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row>
    <row r="18" spans="1:47" ht="15">
      <c r="A18" s="21"/>
      <c r="B18" s="21">
        <v>259</v>
      </c>
      <c r="C18" s="21">
        <v>56</v>
      </c>
      <c r="D18" s="21">
        <v>179</v>
      </c>
      <c r="E18" s="21">
        <v>42</v>
      </c>
      <c r="F18" s="28">
        <v>45</v>
      </c>
      <c r="G18" s="25">
        <f t="shared" si="0"/>
        <v>0</v>
      </c>
      <c r="H18" s="29">
        <v>614.464</v>
      </c>
      <c r="I18" s="28">
        <v>96</v>
      </c>
      <c r="J18" s="29">
        <v>76.808</v>
      </c>
      <c r="K18" s="21"/>
      <c r="L18" s="21">
        <v>25</v>
      </c>
      <c r="M18" s="21">
        <f>G16</f>
        <v>0</v>
      </c>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row>
    <row r="19" spans="1:47" ht="15">
      <c r="A19" s="21"/>
      <c r="B19" s="21">
        <v>169</v>
      </c>
      <c r="C19" s="21">
        <v>30</v>
      </c>
      <c r="D19" s="21">
        <v>72</v>
      </c>
      <c r="E19" s="21">
        <v>17</v>
      </c>
      <c r="F19" s="28">
        <v>55</v>
      </c>
      <c r="G19" s="25">
        <f t="shared" si="0"/>
        <v>0</v>
      </c>
      <c r="H19" s="29">
        <v>451.247</v>
      </c>
      <c r="I19" s="28">
        <v>120</v>
      </c>
      <c r="J19" s="29">
        <v>56.40587500000001</v>
      </c>
      <c r="K19" s="21"/>
      <c r="L19" s="21">
        <v>35</v>
      </c>
      <c r="M19" s="21">
        <f>G17</f>
        <v>0</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row>
    <row r="20" spans="1:47" ht="15">
      <c r="A20" s="21"/>
      <c r="B20" s="21">
        <v>89</v>
      </c>
      <c r="C20" s="21">
        <v>21</v>
      </c>
      <c r="D20" s="21">
        <v>42</v>
      </c>
      <c r="E20" s="21">
        <v>14</v>
      </c>
      <c r="F20" s="28">
        <v>65</v>
      </c>
      <c r="G20" s="25">
        <f t="shared" si="0"/>
        <v>0</v>
      </c>
      <c r="H20" s="29">
        <v>259.227</v>
      </c>
      <c r="I20" s="28">
        <v>144</v>
      </c>
      <c r="J20" s="29">
        <v>32.403375</v>
      </c>
      <c r="K20" s="21"/>
      <c r="L20" s="21">
        <v>45</v>
      </c>
      <c r="M20" s="21">
        <f>G18</f>
        <v>0</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row>
    <row r="21" spans="1:47" ht="15">
      <c r="A21" s="21"/>
      <c r="B21" s="21">
        <v>91</v>
      </c>
      <c r="C21" s="21">
        <v>19</v>
      </c>
      <c r="D21" s="21">
        <v>14</v>
      </c>
      <c r="E21" s="21">
        <v>9</v>
      </c>
      <c r="F21" s="28">
        <v>75</v>
      </c>
      <c r="G21" s="25">
        <f t="shared" si="0"/>
        <v>0</v>
      </c>
      <c r="H21" s="29">
        <v>134.414</v>
      </c>
      <c r="I21" s="28">
        <v>168</v>
      </c>
      <c r="J21" s="29">
        <v>16.80175</v>
      </c>
      <c r="K21" s="21"/>
      <c r="L21" s="21">
        <v>48</v>
      </c>
      <c r="M21" s="29">
        <f>J16</f>
        <v>277.228875</v>
      </c>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row>
    <row r="22" spans="1:47" ht="15">
      <c r="A22" s="21"/>
      <c r="B22" s="21">
        <v>62</v>
      </c>
      <c r="C22" s="21">
        <v>18</v>
      </c>
      <c r="D22" s="21">
        <v>13</v>
      </c>
      <c r="E22" s="21">
        <v>5</v>
      </c>
      <c r="F22" s="28">
        <v>85</v>
      </c>
      <c r="G22" s="25">
        <f t="shared" si="0"/>
        <v>0</v>
      </c>
      <c r="H22" s="29">
        <v>153.616</v>
      </c>
      <c r="I22" s="28">
        <v>192</v>
      </c>
      <c r="J22" s="29">
        <v>19.202</v>
      </c>
      <c r="K22" s="21"/>
      <c r="L22" s="21">
        <v>55</v>
      </c>
      <c r="M22" s="21">
        <f>G19</f>
        <v>0</v>
      </c>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row>
    <row r="23" spans="1:47" ht="15">
      <c r="A23" s="21"/>
      <c r="B23" s="21">
        <v>80</v>
      </c>
      <c r="C23" s="21">
        <v>22</v>
      </c>
      <c r="D23" s="21">
        <v>10</v>
      </c>
      <c r="E23" s="21">
        <v>4</v>
      </c>
      <c r="F23" s="28">
        <v>95</v>
      </c>
      <c r="G23" s="25">
        <f t="shared" si="0"/>
        <v>0</v>
      </c>
      <c r="H23" s="29">
        <v>76.808</v>
      </c>
      <c r="I23" s="28">
        <v>216</v>
      </c>
      <c r="J23" s="29">
        <v>9.601</v>
      </c>
      <c r="K23" s="21"/>
      <c r="L23" s="21">
        <v>65</v>
      </c>
      <c r="M23" s="21">
        <f>G20</f>
        <v>0</v>
      </c>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row>
    <row r="24" spans="1:47" ht="15">
      <c r="A24" s="21"/>
      <c r="B24" s="21">
        <v>84</v>
      </c>
      <c r="C24" s="21">
        <v>16</v>
      </c>
      <c r="D24" s="21">
        <v>10</v>
      </c>
      <c r="E24" s="21">
        <v>0</v>
      </c>
      <c r="F24" s="28">
        <v>110</v>
      </c>
      <c r="G24" s="25">
        <f t="shared" si="0"/>
        <v>0</v>
      </c>
      <c r="H24" s="29">
        <v>76.808</v>
      </c>
      <c r="I24" s="28">
        <v>240</v>
      </c>
      <c r="J24" s="29">
        <v>9.601</v>
      </c>
      <c r="K24" s="21"/>
      <c r="L24" s="21">
        <v>72</v>
      </c>
      <c r="M24" s="29">
        <f>J17</f>
        <v>176.41837500000003</v>
      </c>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7" ht="15">
      <c r="A25" s="21"/>
      <c r="B25" s="21">
        <v>78</v>
      </c>
      <c r="C25" s="21">
        <v>20</v>
      </c>
      <c r="D25" s="21">
        <v>4</v>
      </c>
      <c r="E25" s="21">
        <v>0</v>
      </c>
      <c r="F25" s="28">
        <v>130</v>
      </c>
      <c r="G25" s="25">
        <f t="shared" si="0"/>
        <v>0</v>
      </c>
      <c r="H25" s="29">
        <v>38.404</v>
      </c>
      <c r="I25" s="28">
        <v>264</v>
      </c>
      <c r="J25" s="29">
        <v>4.8005</v>
      </c>
      <c r="K25" s="21"/>
      <c r="L25" s="21">
        <v>75</v>
      </c>
      <c r="M25" s="21">
        <f>G21</f>
        <v>0</v>
      </c>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row>
    <row r="26" spans="1:47" ht="15">
      <c r="A26" s="21"/>
      <c r="B26" s="21">
        <v>81</v>
      </c>
      <c r="C26" s="21">
        <v>12</v>
      </c>
      <c r="D26" s="21">
        <v>8</v>
      </c>
      <c r="E26" s="21">
        <v>0</v>
      </c>
      <c r="F26" s="28">
        <v>150</v>
      </c>
      <c r="G26" s="25">
        <f t="shared" si="0"/>
        <v>0</v>
      </c>
      <c r="H26" s="29">
        <v>19.202</v>
      </c>
      <c r="I26" s="28">
        <v>288</v>
      </c>
      <c r="J26" s="29">
        <v>2.40025</v>
      </c>
      <c r="K26" s="21"/>
      <c r="L26" s="21">
        <v>85</v>
      </c>
      <c r="M26" s="21">
        <f>G22</f>
        <v>0</v>
      </c>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row>
    <row r="27" spans="1:47" ht="15">
      <c r="A27" s="21"/>
      <c r="B27" s="21">
        <v>44</v>
      </c>
      <c r="C27" s="21">
        <v>2</v>
      </c>
      <c r="D27" s="21">
        <v>0</v>
      </c>
      <c r="E27" s="21">
        <v>0</v>
      </c>
      <c r="F27" s="28">
        <v>170</v>
      </c>
      <c r="G27" s="25">
        <f t="shared" si="0"/>
        <v>0</v>
      </c>
      <c r="H27" s="29">
        <v>240.025</v>
      </c>
      <c r="I27" s="30" t="s">
        <v>37</v>
      </c>
      <c r="J27" s="29">
        <v>30.003125</v>
      </c>
      <c r="K27" s="21"/>
      <c r="L27" s="21">
        <v>95</v>
      </c>
      <c r="M27" s="21">
        <f>G23</f>
        <v>0</v>
      </c>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row>
    <row r="28" spans="1:47" ht="15">
      <c r="A28" s="21"/>
      <c r="B28" s="21">
        <v>59</v>
      </c>
      <c r="C28" s="21">
        <v>8</v>
      </c>
      <c r="D28" s="21">
        <v>1</v>
      </c>
      <c r="E28" s="21">
        <v>0</v>
      </c>
      <c r="F28" s="28">
        <v>190</v>
      </c>
      <c r="G28" s="25">
        <f t="shared" si="0"/>
        <v>0</v>
      </c>
      <c r="H28" s="21"/>
      <c r="I28" s="21"/>
      <c r="J28" s="21"/>
      <c r="K28" s="21"/>
      <c r="L28" s="21">
        <v>96</v>
      </c>
      <c r="M28" s="29">
        <f>J18</f>
        <v>76.808</v>
      </c>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row>
    <row r="29" spans="1:47" ht="15">
      <c r="A29" s="21"/>
      <c r="B29" s="21">
        <v>99</v>
      </c>
      <c r="C29" s="21">
        <v>6</v>
      </c>
      <c r="D29" s="21">
        <v>2</v>
      </c>
      <c r="E29" s="21">
        <v>0</v>
      </c>
      <c r="F29" s="28">
        <v>225</v>
      </c>
      <c r="G29" s="25">
        <f t="shared" si="0"/>
        <v>0</v>
      </c>
      <c r="H29" s="21"/>
      <c r="I29" s="21"/>
      <c r="J29" s="21"/>
      <c r="K29" s="21"/>
      <c r="L29" s="21">
        <v>110</v>
      </c>
      <c r="M29" s="21">
        <f>G24</f>
        <v>0</v>
      </c>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row>
    <row r="30" spans="1:47" ht="15">
      <c r="A30" s="21"/>
      <c r="B30" s="21"/>
      <c r="C30" s="21"/>
      <c r="D30" s="21"/>
      <c r="E30" s="21"/>
      <c r="F30" s="28"/>
      <c r="G30" s="25"/>
      <c r="H30" s="21"/>
      <c r="I30" s="21"/>
      <c r="J30" s="21"/>
      <c r="K30" s="21"/>
      <c r="L30" s="21">
        <v>120</v>
      </c>
      <c r="M30" s="29">
        <f>J19</f>
        <v>56.40587500000001</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row>
    <row r="31" spans="1:47" ht="15">
      <c r="A31" s="21"/>
      <c r="B31" s="21">
        <v>95</v>
      </c>
      <c r="C31" s="21">
        <v>7</v>
      </c>
      <c r="D31" s="21">
        <v>1</v>
      </c>
      <c r="E31" s="21">
        <v>0</v>
      </c>
      <c r="F31" s="28">
        <v>275</v>
      </c>
      <c r="G31" s="25">
        <f t="shared" si="0"/>
        <v>0</v>
      </c>
      <c r="H31" s="21"/>
      <c r="I31" s="21"/>
      <c r="J31" s="21"/>
      <c r="K31" s="21"/>
      <c r="L31" s="21">
        <v>130</v>
      </c>
      <c r="M31" s="21">
        <f>G25</f>
        <v>0</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row>
    <row r="32" spans="1:47" ht="15">
      <c r="A32" s="21"/>
      <c r="B32" s="21">
        <v>68</v>
      </c>
      <c r="C32" s="21">
        <v>2</v>
      </c>
      <c r="D32" s="21">
        <v>0</v>
      </c>
      <c r="E32" s="21">
        <v>0</v>
      </c>
      <c r="F32" s="28">
        <v>325</v>
      </c>
      <c r="G32" s="25">
        <f t="shared" si="0"/>
        <v>0</v>
      </c>
      <c r="H32" s="21"/>
      <c r="I32" s="21"/>
      <c r="J32" s="21"/>
      <c r="K32" s="21"/>
      <c r="L32" s="21">
        <v>144</v>
      </c>
      <c r="M32" s="29">
        <f>J20</f>
        <v>32.403375</v>
      </c>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row>
    <row r="33" spans="1:47" ht="15">
      <c r="A33" s="21"/>
      <c r="B33" s="21">
        <v>46</v>
      </c>
      <c r="C33" s="21">
        <v>2</v>
      </c>
      <c r="D33" s="21">
        <v>0</v>
      </c>
      <c r="E33" s="21">
        <v>0</v>
      </c>
      <c r="F33" s="28">
        <v>375</v>
      </c>
      <c r="G33" s="25">
        <f t="shared" si="0"/>
        <v>0</v>
      </c>
      <c r="H33" s="21"/>
      <c r="I33" s="21"/>
      <c r="J33" s="21"/>
      <c r="K33" s="21"/>
      <c r="L33" s="21">
        <v>150</v>
      </c>
      <c r="M33" s="21">
        <f>G26</f>
        <v>0</v>
      </c>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row>
    <row r="34" spans="1:47" ht="15">
      <c r="A34" s="21"/>
      <c r="B34" s="21">
        <v>50</v>
      </c>
      <c r="C34" s="21">
        <v>1</v>
      </c>
      <c r="D34" s="21">
        <v>0</v>
      </c>
      <c r="E34" s="21">
        <v>0</v>
      </c>
      <c r="F34" s="28">
        <v>425</v>
      </c>
      <c r="G34" s="25">
        <f t="shared" si="0"/>
        <v>0</v>
      </c>
      <c r="H34" s="21"/>
      <c r="I34" s="21"/>
      <c r="J34" s="21"/>
      <c r="K34" s="21"/>
      <c r="L34" s="21">
        <v>168</v>
      </c>
      <c r="M34" s="29">
        <f>J21</f>
        <v>16.80175</v>
      </c>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row>
    <row r="35" spans="1:47" ht="15">
      <c r="A35" s="21"/>
      <c r="B35" s="21">
        <v>50</v>
      </c>
      <c r="C35" s="21"/>
      <c r="D35" s="21">
        <v>0</v>
      </c>
      <c r="E35" s="21">
        <v>0</v>
      </c>
      <c r="F35" s="28">
        <v>475</v>
      </c>
      <c r="G35" s="25">
        <f t="shared" si="0"/>
        <v>0</v>
      </c>
      <c r="H35" s="21"/>
      <c r="I35" s="21"/>
      <c r="J35" s="21"/>
      <c r="K35" s="21"/>
      <c r="L35" s="21">
        <v>170</v>
      </c>
      <c r="M35" s="21">
        <f>G27</f>
        <v>0</v>
      </c>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row>
    <row r="36" spans="1:47" ht="15">
      <c r="A36" s="21"/>
      <c r="B36" s="21">
        <v>22</v>
      </c>
      <c r="C36" s="21"/>
      <c r="D36" s="21">
        <v>0</v>
      </c>
      <c r="E36" s="21">
        <v>0</v>
      </c>
      <c r="F36" s="28">
        <v>525</v>
      </c>
      <c r="G36" s="25">
        <f t="shared" si="0"/>
        <v>0</v>
      </c>
      <c r="H36" s="21"/>
      <c r="I36" s="21"/>
      <c r="J36" s="21"/>
      <c r="K36" s="21"/>
      <c r="L36" s="21">
        <v>190</v>
      </c>
      <c r="M36" s="21">
        <f>G28</f>
        <v>0</v>
      </c>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row>
    <row r="37" spans="1:47" ht="15">
      <c r="A37" s="21"/>
      <c r="B37" s="21">
        <v>19</v>
      </c>
      <c r="C37" s="21"/>
      <c r="D37" s="21">
        <v>1</v>
      </c>
      <c r="E37" s="21">
        <v>0</v>
      </c>
      <c r="F37" s="28">
        <v>575</v>
      </c>
      <c r="G37" s="25">
        <f t="shared" si="0"/>
        <v>0</v>
      </c>
      <c r="H37" s="21"/>
      <c r="I37" s="21"/>
      <c r="J37" s="21"/>
      <c r="K37" s="21"/>
      <c r="L37" s="21">
        <v>192</v>
      </c>
      <c r="M37" s="29">
        <f>J22</f>
        <v>19.202</v>
      </c>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row>
    <row r="38" spans="1:47" ht="15">
      <c r="A38" s="21"/>
      <c r="B38" s="21">
        <v>18</v>
      </c>
      <c r="C38" s="21">
        <v>1</v>
      </c>
      <c r="D38" s="21">
        <v>0</v>
      </c>
      <c r="E38" s="21">
        <v>0</v>
      </c>
      <c r="F38" s="28">
        <v>625</v>
      </c>
      <c r="G38" s="25">
        <f t="shared" si="0"/>
        <v>0</v>
      </c>
      <c r="H38" s="21"/>
      <c r="I38" s="21"/>
      <c r="J38" s="21"/>
      <c r="K38" s="21"/>
      <c r="L38" s="21">
        <v>216</v>
      </c>
      <c r="M38" s="29">
        <f>J23</f>
        <v>9.601</v>
      </c>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row>
    <row r="39" spans="1:47" ht="15">
      <c r="A39" s="21"/>
      <c r="B39" s="21">
        <v>19</v>
      </c>
      <c r="C39" s="21"/>
      <c r="D39" s="21">
        <v>0</v>
      </c>
      <c r="E39" s="21">
        <v>0</v>
      </c>
      <c r="F39" s="28">
        <v>675</v>
      </c>
      <c r="G39" s="25">
        <f t="shared" si="0"/>
        <v>0</v>
      </c>
      <c r="H39" s="21"/>
      <c r="I39" s="21"/>
      <c r="J39" s="21"/>
      <c r="K39" s="21"/>
      <c r="L39" s="21">
        <v>225</v>
      </c>
      <c r="M39" s="21">
        <f>G29</f>
        <v>0</v>
      </c>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row>
    <row r="40" spans="1:47" ht="15">
      <c r="A40" s="21"/>
      <c r="B40" s="21">
        <v>22</v>
      </c>
      <c r="C40" s="21"/>
      <c r="D40" s="21">
        <v>0</v>
      </c>
      <c r="E40" s="21">
        <v>0</v>
      </c>
      <c r="F40" s="28">
        <v>750</v>
      </c>
      <c r="G40" s="25">
        <f t="shared" si="0"/>
        <v>0</v>
      </c>
      <c r="H40" s="21"/>
      <c r="I40" s="21"/>
      <c r="J40" s="21"/>
      <c r="K40" s="21"/>
      <c r="L40" s="21">
        <v>240</v>
      </c>
      <c r="M40" s="29">
        <f>J24</f>
        <v>9.601</v>
      </c>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row>
    <row r="41" spans="1:47" ht="15">
      <c r="A41" s="21"/>
      <c r="B41" s="21">
        <v>22</v>
      </c>
      <c r="C41" s="21">
        <v>1</v>
      </c>
      <c r="D41" s="21">
        <v>0</v>
      </c>
      <c r="E41" s="21">
        <v>0</v>
      </c>
      <c r="F41" s="28">
        <v>850</v>
      </c>
      <c r="G41" s="25">
        <f t="shared" si="0"/>
        <v>0</v>
      </c>
      <c r="H41" s="21"/>
      <c r="I41" s="21"/>
      <c r="J41" s="21"/>
      <c r="K41" s="21"/>
      <c r="L41" s="21">
        <v>264</v>
      </c>
      <c r="M41" s="29">
        <f>J25</f>
        <v>4.8005</v>
      </c>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row>
    <row r="42" spans="1:47" ht="15">
      <c r="A42" s="21"/>
      <c r="B42" s="21">
        <v>14</v>
      </c>
      <c r="C42" s="21"/>
      <c r="D42" s="21">
        <v>1</v>
      </c>
      <c r="E42" s="21">
        <v>0</v>
      </c>
      <c r="F42" s="28">
        <v>950</v>
      </c>
      <c r="G42" s="25">
        <f t="shared" si="0"/>
        <v>0</v>
      </c>
      <c r="H42" s="21"/>
      <c r="I42" s="21"/>
      <c r="J42" s="21"/>
      <c r="K42" s="21"/>
      <c r="L42" s="21">
        <v>275</v>
      </c>
      <c r="M42" s="21">
        <f>G31</f>
        <v>0</v>
      </c>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row>
    <row r="43" spans="1:47" ht="15">
      <c r="A43" s="21"/>
      <c r="B43" s="21">
        <v>16</v>
      </c>
      <c r="C43" s="21"/>
      <c r="D43" s="21">
        <v>0</v>
      </c>
      <c r="E43" s="21">
        <v>0</v>
      </c>
      <c r="F43" s="28">
        <v>1150</v>
      </c>
      <c r="G43" s="25">
        <f t="shared" si="0"/>
        <v>0</v>
      </c>
      <c r="H43" s="21"/>
      <c r="I43" s="21"/>
      <c r="J43" s="21"/>
      <c r="K43" s="21"/>
      <c r="L43" s="21">
        <v>288</v>
      </c>
      <c r="M43" s="29">
        <f>J26</f>
        <v>2.40025</v>
      </c>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row>
    <row r="44" spans="1:47" ht="15">
      <c r="A44" s="21"/>
      <c r="B44" s="21">
        <v>7</v>
      </c>
      <c r="C44" s="21"/>
      <c r="D44" s="21">
        <v>0</v>
      </c>
      <c r="E44" s="21">
        <v>0</v>
      </c>
      <c r="F44" s="28">
        <v>1400</v>
      </c>
      <c r="G44" s="25">
        <f t="shared" si="0"/>
        <v>0</v>
      </c>
      <c r="H44" s="21"/>
      <c r="I44" s="21"/>
      <c r="J44" s="21"/>
      <c r="K44" s="21"/>
      <c r="L44" s="21">
        <v>325</v>
      </c>
      <c r="M44" s="21">
        <f>G32</f>
        <v>0</v>
      </c>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row>
    <row r="45" spans="1:47" ht="15">
      <c r="A45" s="21"/>
      <c r="B45" s="21">
        <v>7</v>
      </c>
      <c r="C45" s="21"/>
      <c r="D45" s="21">
        <v>0</v>
      </c>
      <c r="E45" s="21">
        <v>0</v>
      </c>
      <c r="F45" s="28">
        <v>1750</v>
      </c>
      <c r="G45" s="25">
        <f t="shared" si="0"/>
        <v>0</v>
      </c>
      <c r="H45" s="21"/>
      <c r="I45" s="21"/>
      <c r="J45" s="21"/>
      <c r="K45" s="21"/>
      <c r="L45" s="21">
        <v>375</v>
      </c>
      <c r="M45" s="21">
        <f>G33</f>
        <v>0</v>
      </c>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row>
    <row r="46" spans="1:47" ht="15">
      <c r="A46" s="21"/>
      <c r="B46" s="21">
        <v>1</v>
      </c>
      <c r="C46" s="21"/>
      <c r="D46" s="21">
        <v>0</v>
      </c>
      <c r="E46" s="21">
        <v>0</v>
      </c>
      <c r="F46" s="28">
        <v>2250</v>
      </c>
      <c r="G46" s="25">
        <f t="shared" si="0"/>
        <v>0</v>
      </c>
      <c r="H46" s="21"/>
      <c r="I46" s="21"/>
      <c r="J46" s="21"/>
      <c r="K46" s="21"/>
      <c r="L46" s="21">
        <v>425</v>
      </c>
      <c r="M46" s="21">
        <f>G34</f>
        <v>0</v>
      </c>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row>
    <row r="47" spans="1:47" ht="15">
      <c r="A47" s="21"/>
      <c r="B47" s="21"/>
      <c r="C47" s="21"/>
      <c r="D47" s="21"/>
      <c r="E47" s="21"/>
      <c r="F47" s="21"/>
      <c r="G47" s="25"/>
      <c r="H47" s="21"/>
      <c r="I47" s="21"/>
      <c r="J47" s="21"/>
      <c r="K47" s="21"/>
      <c r="L47" s="21">
        <v>450</v>
      </c>
      <c r="M47" s="29">
        <f>J27</f>
        <v>30.003125</v>
      </c>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row>
    <row r="48" spans="1:47" ht="15">
      <c r="A48" s="21"/>
      <c r="B48" s="21">
        <v>2039</v>
      </c>
      <c r="C48" s="21">
        <v>546</v>
      </c>
      <c r="D48" s="21">
        <v>3208</v>
      </c>
      <c r="E48" s="21">
        <v>950</v>
      </c>
      <c r="F48" s="21"/>
      <c r="G48" s="25">
        <f>SUM(G14:G46)</f>
        <v>0</v>
      </c>
      <c r="H48" s="21"/>
      <c r="I48" s="21"/>
      <c r="J48" s="25">
        <f>SUM(J14:J46)</f>
        <v>1195.3245000000004</v>
      </c>
      <c r="K48" s="21"/>
      <c r="L48" s="21">
        <v>475</v>
      </c>
      <c r="M48" s="21">
        <f aca="true" t="shared" si="1" ref="M48:M59">G35</f>
        <v>0</v>
      </c>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row>
    <row r="49" spans="1:47" ht="15">
      <c r="A49" s="21"/>
      <c r="B49" s="21"/>
      <c r="C49" s="21"/>
      <c r="D49" s="21"/>
      <c r="E49" s="21"/>
      <c r="F49" s="21"/>
      <c r="G49" s="21"/>
      <c r="H49" s="21"/>
      <c r="I49" s="21"/>
      <c r="J49" s="21"/>
      <c r="K49" s="21"/>
      <c r="L49" s="21">
        <v>525</v>
      </c>
      <c r="M49" s="21">
        <f t="shared" si="1"/>
        <v>0</v>
      </c>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row>
    <row r="50" spans="1:47" ht="15">
      <c r="A50" s="21"/>
      <c r="B50" s="21"/>
      <c r="C50" s="21"/>
      <c r="D50" s="21"/>
      <c r="E50" s="21"/>
      <c r="F50" s="21"/>
      <c r="G50" s="21"/>
      <c r="H50" s="21"/>
      <c r="I50" s="21"/>
      <c r="J50" s="21"/>
      <c r="K50" s="21"/>
      <c r="L50" s="21">
        <v>575</v>
      </c>
      <c r="M50" s="21">
        <f t="shared" si="1"/>
        <v>0</v>
      </c>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row>
    <row r="51" spans="1:47" ht="15">
      <c r="A51" s="19" t="s">
        <v>42</v>
      </c>
      <c r="B51" s="20">
        <v>60.97764200733491</v>
      </c>
      <c r="C51" s="21"/>
      <c r="D51" s="21"/>
      <c r="E51" s="21"/>
      <c r="F51" s="21"/>
      <c r="G51" s="21"/>
      <c r="H51" s="21"/>
      <c r="I51" s="21"/>
      <c r="J51" s="21"/>
      <c r="K51" s="21"/>
      <c r="L51" s="21">
        <v>625</v>
      </c>
      <c r="M51" s="21">
        <f t="shared" si="1"/>
        <v>0</v>
      </c>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row>
    <row r="52" spans="1:47" ht="15">
      <c r="A52" s="19" t="s">
        <v>43</v>
      </c>
      <c r="B52" s="20">
        <v>61.14802837017202</v>
      </c>
      <c r="C52" s="21"/>
      <c r="D52" s="21"/>
      <c r="E52" s="21"/>
      <c r="F52" s="21"/>
      <c r="G52" s="21"/>
      <c r="H52" s="21"/>
      <c r="I52" s="21"/>
      <c r="J52" s="21"/>
      <c r="K52" s="21"/>
      <c r="L52" s="21">
        <v>675</v>
      </c>
      <c r="M52" s="21">
        <f t="shared" si="1"/>
        <v>0</v>
      </c>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row>
    <row r="53" spans="1:47" ht="15">
      <c r="A53" s="21"/>
      <c r="B53" s="21"/>
      <c r="C53" s="21"/>
      <c r="D53" s="21"/>
      <c r="E53" s="21"/>
      <c r="F53" s="21"/>
      <c r="G53" s="21"/>
      <c r="H53" s="21"/>
      <c r="I53" s="21"/>
      <c r="J53" s="21"/>
      <c r="K53" s="21"/>
      <c r="L53" s="21">
        <v>750</v>
      </c>
      <c r="M53" s="21">
        <f t="shared" si="1"/>
        <v>0</v>
      </c>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row>
    <row r="54" spans="1:47" ht="15">
      <c r="A54" s="9" t="s">
        <v>44</v>
      </c>
      <c r="B54" s="21"/>
      <c r="C54" s="21"/>
      <c r="D54" s="21"/>
      <c r="E54" s="21"/>
      <c r="F54" s="21"/>
      <c r="G54" s="21"/>
      <c r="H54" s="21"/>
      <c r="I54" s="21"/>
      <c r="J54" s="21"/>
      <c r="K54" s="21"/>
      <c r="L54" s="21">
        <v>850</v>
      </c>
      <c r="M54" s="21">
        <f t="shared" si="1"/>
        <v>0</v>
      </c>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row>
    <row r="55" spans="1:47" ht="15">
      <c r="A55" s="1" t="s">
        <v>45</v>
      </c>
      <c r="B55" s="21"/>
      <c r="C55" s="21"/>
      <c r="D55" s="21"/>
      <c r="E55" s="21"/>
      <c r="F55" s="21"/>
      <c r="G55" s="21"/>
      <c r="H55" s="21"/>
      <c r="I55" s="21"/>
      <c r="J55" s="21"/>
      <c r="K55" s="21"/>
      <c r="L55" s="21">
        <v>950</v>
      </c>
      <c r="M55" s="21">
        <f t="shared" si="1"/>
        <v>0</v>
      </c>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row>
    <row r="56" spans="1:47" ht="15">
      <c r="A56" s="1" t="s">
        <v>46</v>
      </c>
      <c r="B56" s="21"/>
      <c r="C56" s="21"/>
      <c r="D56" s="21"/>
      <c r="E56" s="21"/>
      <c r="F56" s="21"/>
      <c r="G56" s="21"/>
      <c r="H56" s="21"/>
      <c r="I56" s="21"/>
      <c r="J56" s="21"/>
      <c r="K56" s="21"/>
      <c r="L56" s="21">
        <v>1150</v>
      </c>
      <c r="M56" s="21">
        <f t="shared" si="1"/>
        <v>0</v>
      </c>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row>
    <row r="57" spans="2:47" ht="15">
      <c r="B57" s="21"/>
      <c r="C57" s="21"/>
      <c r="D57" s="21"/>
      <c r="E57" s="21"/>
      <c r="F57" s="21"/>
      <c r="G57" s="21"/>
      <c r="H57" s="21"/>
      <c r="I57" s="21"/>
      <c r="J57" s="21"/>
      <c r="K57" s="21"/>
      <c r="L57" s="21">
        <v>1400</v>
      </c>
      <c r="M57" s="21">
        <f t="shared" si="1"/>
        <v>0</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row>
    <row r="58" spans="1:47" ht="15">
      <c r="A58" s="21"/>
      <c r="B58" s="21"/>
      <c r="C58" s="21"/>
      <c r="D58" s="21"/>
      <c r="E58" s="21"/>
      <c r="F58" s="21"/>
      <c r="G58" s="21"/>
      <c r="H58" s="21"/>
      <c r="I58" s="21"/>
      <c r="J58" s="21"/>
      <c r="K58" s="21"/>
      <c r="L58" s="21">
        <v>1750</v>
      </c>
      <c r="M58" s="21">
        <f t="shared" si="1"/>
        <v>0</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row>
    <row r="59" spans="1:47" ht="15">
      <c r="A59" s="21"/>
      <c r="B59" s="21"/>
      <c r="C59" s="21"/>
      <c r="D59" s="21"/>
      <c r="E59" s="21"/>
      <c r="F59" s="21"/>
      <c r="G59" s="21"/>
      <c r="H59" s="21"/>
      <c r="I59" s="21"/>
      <c r="J59" s="21"/>
      <c r="K59" s="21"/>
      <c r="L59" s="21">
        <v>2250</v>
      </c>
      <c r="M59" s="21">
        <f t="shared" si="1"/>
        <v>0</v>
      </c>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row>
    <row r="60" spans="1:47" ht="1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row>
    <row r="61" spans="1:47" ht="15">
      <c r="A61" s="21"/>
      <c r="B61" s="21"/>
      <c r="C61" s="21"/>
      <c r="D61" s="21"/>
      <c r="E61" s="21"/>
      <c r="F61" s="21"/>
      <c r="G61" s="21"/>
      <c r="H61" s="21"/>
      <c r="I61" s="21"/>
      <c r="J61" s="21"/>
      <c r="K61" s="21"/>
      <c r="L61" s="21"/>
      <c r="M61" s="21">
        <f>SUM(M14:M59)</f>
        <v>1195.3245000000004</v>
      </c>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row>
    <row r="62" spans="1:47" ht="15">
      <c r="A62" s="21"/>
      <c r="B62" s="21"/>
      <c r="C62" s="21"/>
      <c r="D62" s="21"/>
      <c r="E62" s="21"/>
      <c r="F62" s="21"/>
      <c r="G62" s="21"/>
      <c r="H62" s="21"/>
      <c r="I62" s="21"/>
      <c r="J62" s="21"/>
      <c r="K62" s="31" t="s">
        <v>38</v>
      </c>
      <c r="L62" s="21"/>
      <c r="M62" s="21">
        <f>M61-J48-G48</f>
        <v>0</v>
      </c>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row>
    <row r="63" spans="1:47" ht="15">
      <c r="A63" s="21"/>
      <c r="B63" s="21"/>
      <c r="C63" s="21"/>
      <c r="D63" s="21"/>
      <c r="E63" s="21"/>
      <c r="F63" s="21"/>
      <c r="G63" s="21"/>
      <c r="H63" s="21"/>
      <c r="I63" s="21"/>
      <c r="J63" s="21"/>
      <c r="K63" s="31" t="s">
        <v>39</v>
      </c>
      <c r="L63" s="27">
        <f>SUMPRODUCT(L14:L59,M14:M59)/M61</f>
        <v>66.35542168674698</v>
      </c>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row>
    <row r="64" spans="1:47" ht="15">
      <c r="A64" s="21"/>
      <c r="B64" s="21"/>
      <c r="C64" s="21"/>
      <c r="D64" s="21"/>
      <c r="E64" s="21"/>
      <c r="F64" s="21"/>
      <c r="G64" s="21"/>
      <c r="H64" s="21"/>
      <c r="I64" s="21"/>
      <c r="J64" s="21"/>
      <c r="K64" s="31" t="s">
        <v>26</v>
      </c>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row>
    <row r="65" spans="1:47" ht="15">
      <c r="A65" s="21"/>
      <c r="B65" s="21"/>
      <c r="C65" s="21"/>
      <c r="D65" s="21"/>
      <c r="E65" s="21"/>
      <c r="F65" s="21"/>
      <c r="G65" s="21"/>
      <c r="H65" s="21"/>
      <c r="I65" s="21"/>
      <c r="J65" s="21"/>
      <c r="K65" s="31" t="s">
        <v>40</v>
      </c>
      <c r="L65" s="21">
        <f>L59/L14</f>
        <v>450</v>
      </c>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row>
    <row r="66" spans="1:47" ht="1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row>
    <row r="67" spans="1:47" ht="1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row>
    <row r="68" spans="1:47" ht="15">
      <c r="A68" s="21"/>
      <c r="B68" s="21"/>
      <c r="C68" s="21"/>
      <c r="D68" s="21"/>
      <c r="E68" s="21"/>
      <c r="F68" s="21"/>
      <c r="G68" s="21"/>
      <c r="H68" s="21"/>
      <c r="I68" s="21"/>
      <c r="J68" s="32"/>
      <c r="K68" s="32"/>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row>
    <row r="69" spans="1:47" ht="15">
      <c r="A69" s="21"/>
      <c r="B69" s="33"/>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row>
    <row r="70" spans="3:47" ht="15">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row>
    <row r="71" spans="3:47" ht="15">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row>
    <row r="72" spans="1:47" ht="1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row>
    <row r="73" spans="3:4" ht="15">
      <c r="C73" s="21"/>
      <c r="D73" s="21"/>
    </row>
    <row r="74" spans="3:4" ht="15">
      <c r="C74" s="21"/>
      <c r="D74" s="2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74"/>
  <sheetViews>
    <sheetView tabSelected="1" workbookViewId="0" topLeftCell="A4">
      <pane ySplit="5440" topLeftCell="BM61" activePane="topLeft" state="split"/>
      <selection pane="topLeft" activeCell="G6" sqref="G6"/>
      <selection pane="bottomLeft" activeCell="Q53" sqref="Q53"/>
    </sheetView>
  </sheetViews>
  <sheetFormatPr defaultColWidth="11.421875" defaultRowHeight="15"/>
  <cols>
    <col min="1" max="1" width="13.7109375" style="35" customWidth="1"/>
    <col min="2" max="2" width="12.421875" style="40" customWidth="1"/>
    <col min="3" max="3" width="10.8515625" style="38" customWidth="1"/>
    <col min="4" max="4" width="15.28125" style="35" customWidth="1"/>
    <col min="5" max="5" width="15.8515625" style="35" customWidth="1"/>
    <col min="6" max="6" width="13.421875" style="38" customWidth="1"/>
    <col min="7" max="7" width="4.8515625" style="38" customWidth="1"/>
    <col min="8" max="10" width="10.8515625" style="35" customWidth="1"/>
    <col min="11" max="11" width="4.8515625" style="35" customWidth="1"/>
    <col min="12" max="13" width="10.8515625" style="35" customWidth="1"/>
    <col min="14" max="14" width="4.8515625" style="35" customWidth="1"/>
    <col min="15" max="15" width="6.140625" style="35" customWidth="1"/>
    <col min="16" max="16384" width="10.8515625" style="35" customWidth="1"/>
  </cols>
  <sheetData>
    <row r="1" ht="15">
      <c r="B1" s="40" t="s">
        <v>75</v>
      </c>
    </row>
    <row r="2" ht="15">
      <c r="B2" s="40" t="s">
        <v>76</v>
      </c>
    </row>
    <row r="3" ht="15">
      <c r="B3" s="40" t="s">
        <v>77</v>
      </c>
    </row>
    <row r="5" spans="1:7" ht="16.5">
      <c r="A5" s="45" t="s">
        <v>21</v>
      </c>
      <c r="E5" s="38"/>
      <c r="F5" s="35"/>
      <c r="G5" s="35"/>
    </row>
    <row r="6" spans="4:14" ht="15.75" thickBot="1">
      <c r="D6" s="36" t="s">
        <v>79</v>
      </c>
      <c r="E6" s="36" t="s">
        <v>79</v>
      </c>
      <c r="G6" s="35"/>
      <c r="K6" s="56"/>
      <c r="L6" s="57"/>
      <c r="M6" s="57"/>
      <c r="N6" s="57"/>
    </row>
    <row r="7" spans="1:16" ht="15.75" thickBot="1">
      <c r="A7" s="36" t="s">
        <v>95</v>
      </c>
      <c r="B7" s="41" t="s">
        <v>96</v>
      </c>
      <c r="C7" s="39"/>
      <c r="D7" s="36" t="s">
        <v>80</v>
      </c>
      <c r="E7" s="36" t="s">
        <v>80</v>
      </c>
      <c r="F7" s="36" t="s">
        <v>59</v>
      </c>
      <c r="G7" s="35"/>
      <c r="K7" s="56"/>
      <c r="L7" s="52" t="s">
        <v>69</v>
      </c>
      <c r="M7" s="62">
        <v>60.97764200733491</v>
      </c>
      <c r="N7" s="57"/>
      <c r="P7" s="1"/>
    </row>
    <row r="8" spans="1:16" ht="15">
      <c r="A8" s="36" t="s">
        <v>97</v>
      </c>
      <c r="B8" s="41" t="s">
        <v>98</v>
      </c>
      <c r="C8" s="39" t="s">
        <v>99</v>
      </c>
      <c r="D8" s="36" t="s">
        <v>97</v>
      </c>
      <c r="E8" s="36" t="s">
        <v>97</v>
      </c>
      <c r="F8" s="36" t="s">
        <v>89</v>
      </c>
      <c r="G8" s="35"/>
      <c r="H8" s="51" t="s">
        <v>85</v>
      </c>
      <c r="I8" s="36"/>
      <c r="J8" s="36"/>
      <c r="K8" s="57"/>
      <c r="L8" s="52"/>
      <c r="M8" s="54" t="s">
        <v>60</v>
      </c>
      <c r="N8" s="57"/>
      <c r="P8" s="21" t="s">
        <v>48</v>
      </c>
    </row>
    <row r="9" spans="1:14" ht="15">
      <c r="A9" s="46" t="s">
        <v>81</v>
      </c>
      <c r="B9" s="47" t="s">
        <v>82</v>
      </c>
      <c r="C9" s="48" t="s">
        <v>83</v>
      </c>
      <c r="D9" s="46" t="s">
        <v>84</v>
      </c>
      <c r="E9" s="48" t="s">
        <v>88</v>
      </c>
      <c r="F9" s="46" t="s">
        <v>90</v>
      </c>
      <c r="G9" s="35"/>
      <c r="H9" s="46" t="s">
        <v>86</v>
      </c>
      <c r="I9" s="46" t="s">
        <v>87</v>
      </c>
      <c r="J9" s="46"/>
      <c r="K9" s="57"/>
      <c r="L9" s="52" t="s">
        <v>61</v>
      </c>
      <c r="M9" s="55">
        <v>13.7</v>
      </c>
      <c r="N9" s="57"/>
    </row>
    <row r="10" spans="1:14" ht="15">
      <c r="A10" s="35">
        <v>1</v>
      </c>
      <c r="B10" s="40">
        <v>220</v>
      </c>
      <c r="C10" s="38">
        <v>7.11</v>
      </c>
      <c r="D10" s="35">
        <v>5</v>
      </c>
      <c r="E10" s="38">
        <v>0.07</v>
      </c>
      <c r="F10" s="44">
        <f>B10*D10</f>
        <v>1100</v>
      </c>
      <c r="G10" s="35"/>
      <c r="H10" s="50">
        <f>C10/100</f>
        <v>0.0711</v>
      </c>
      <c r="I10" s="50">
        <f>F10/209858.625</f>
        <v>0.0052416239742350355</v>
      </c>
      <c r="J10" s="50"/>
      <c r="K10" s="57"/>
      <c r="L10" s="52" t="s">
        <v>62</v>
      </c>
      <c r="M10" s="55">
        <v>36.95005387555553</v>
      </c>
      <c r="N10" s="57"/>
    </row>
    <row r="11" spans="1:14" ht="15">
      <c r="A11" s="35">
        <v>2</v>
      </c>
      <c r="B11" s="40">
        <v>192</v>
      </c>
      <c r="C11" s="38">
        <v>6.2</v>
      </c>
      <c r="D11" s="35">
        <v>6</v>
      </c>
      <c r="E11" s="38">
        <v>0.09</v>
      </c>
      <c r="F11" s="44">
        <f aca="true" t="shared" si="0" ref="F11:F55">B11*D11</f>
        <v>1152</v>
      </c>
      <c r="G11" s="35"/>
      <c r="H11" s="50">
        <f>(C11/100)+H10</f>
        <v>0.1331</v>
      </c>
      <c r="I11" s="50">
        <f>(F11/209858.625)+I10</f>
        <v>0.010731033809070274</v>
      </c>
      <c r="J11" s="50"/>
      <c r="K11" s="57"/>
      <c r="L11" s="52" t="s">
        <v>63</v>
      </c>
      <c r="M11" s="55">
        <v>50.89578928263187</v>
      </c>
      <c r="N11" s="57"/>
    </row>
    <row r="12" spans="1:14" ht="15">
      <c r="A12" s="35">
        <v>3</v>
      </c>
      <c r="B12" s="40">
        <v>472</v>
      </c>
      <c r="C12" s="38">
        <v>15.25</v>
      </c>
      <c r="D12" s="35">
        <v>15</v>
      </c>
      <c r="E12" s="38">
        <v>0.22</v>
      </c>
      <c r="F12" s="44">
        <f t="shared" si="0"/>
        <v>7080</v>
      </c>
      <c r="G12" s="35"/>
      <c r="H12" s="50">
        <f aca="true" t="shared" si="1" ref="H12:H55">(C12/100)+H11</f>
        <v>0.28559999999999997</v>
      </c>
      <c r="I12" s="50">
        <f aca="true" t="shared" si="2" ref="I12:I55">(F12/209858.625)+I11</f>
        <v>0.044468031752328496</v>
      </c>
      <c r="J12" s="50"/>
      <c r="K12" s="57"/>
      <c r="L12" s="52" t="s">
        <v>64</v>
      </c>
      <c r="M12" s="55">
        <v>65.8196258753269</v>
      </c>
      <c r="N12" s="57"/>
    </row>
    <row r="13" spans="1:14" ht="15">
      <c r="A13" s="35">
        <v>4</v>
      </c>
      <c r="B13" s="40">
        <v>292</v>
      </c>
      <c r="C13" s="38">
        <v>9.42</v>
      </c>
      <c r="D13" s="35">
        <v>24</v>
      </c>
      <c r="E13" s="38">
        <v>0.35</v>
      </c>
      <c r="F13" s="44">
        <f t="shared" si="0"/>
        <v>7008</v>
      </c>
      <c r="G13" s="35"/>
      <c r="H13" s="50">
        <f t="shared" si="1"/>
        <v>0.37979999999999997</v>
      </c>
      <c r="I13" s="50">
        <f t="shared" si="2"/>
        <v>0.07786194158090953</v>
      </c>
      <c r="J13" s="50"/>
      <c r="K13" s="57"/>
      <c r="L13" s="52" t="s">
        <v>65</v>
      </c>
      <c r="M13" s="55">
        <f>100-M12-M14</f>
        <v>25.649373799278962</v>
      </c>
      <c r="N13" s="57"/>
    </row>
    <row r="14" spans="1:14" ht="15">
      <c r="A14" s="35">
        <v>5</v>
      </c>
      <c r="B14" s="40">
        <v>336.75</v>
      </c>
      <c r="C14" s="38">
        <v>10.88</v>
      </c>
      <c r="D14" s="35">
        <v>25</v>
      </c>
      <c r="E14" s="38">
        <v>0.37</v>
      </c>
      <c r="F14" s="44">
        <f t="shared" si="0"/>
        <v>8418.75</v>
      </c>
      <c r="G14" s="35"/>
      <c r="H14" s="50">
        <f t="shared" si="1"/>
        <v>0.4886</v>
      </c>
      <c r="I14" s="50">
        <f t="shared" si="2"/>
        <v>0.117978234156447</v>
      </c>
      <c r="J14" s="50"/>
      <c r="K14" s="57"/>
      <c r="L14" s="52" t="s">
        <v>66</v>
      </c>
      <c r="M14" s="55">
        <v>8.531000325394132</v>
      </c>
      <c r="N14" s="57"/>
    </row>
    <row r="15" spans="1:14" ht="15">
      <c r="A15" s="35">
        <v>6</v>
      </c>
      <c r="B15" s="40">
        <v>277.125</v>
      </c>
      <c r="C15" s="38">
        <v>8.95</v>
      </c>
      <c r="D15" s="35">
        <v>35</v>
      </c>
      <c r="E15" s="38">
        <v>0.52</v>
      </c>
      <c r="F15" s="44">
        <f t="shared" si="0"/>
        <v>9699.375</v>
      </c>
      <c r="G15" s="35"/>
      <c r="H15" s="50">
        <f t="shared" si="1"/>
        <v>0.5781</v>
      </c>
      <c r="I15" s="50">
        <f t="shared" si="2"/>
        <v>0.1641968491883524</v>
      </c>
      <c r="J15" s="50"/>
      <c r="K15" s="57"/>
      <c r="L15" s="52"/>
      <c r="M15" s="55"/>
      <c r="N15" s="57"/>
    </row>
    <row r="16" spans="1:14" ht="15">
      <c r="A16" s="35">
        <v>7</v>
      </c>
      <c r="B16" s="40">
        <v>144.125</v>
      </c>
      <c r="C16" s="38">
        <v>4.66</v>
      </c>
      <c r="D16" s="35">
        <v>45</v>
      </c>
      <c r="E16" s="38">
        <v>0.66</v>
      </c>
      <c r="F16" s="44">
        <f t="shared" si="0"/>
        <v>6485.625</v>
      </c>
      <c r="G16" s="35"/>
      <c r="H16" s="50">
        <f t="shared" si="1"/>
        <v>0.6246999999999999</v>
      </c>
      <c r="I16" s="50">
        <f t="shared" si="2"/>
        <v>0.19510158326825977</v>
      </c>
      <c r="J16" s="50"/>
      <c r="K16" s="57"/>
      <c r="L16" s="52" t="s">
        <v>67</v>
      </c>
      <c r="M16" s="58">
        <v>67.8</v>
      </c>
      <c r="N16" s="57"/>
    </row>
    <row r="17" spans="1:14" ht="15">
      <c r="A17" s="35">
        <v>8</v>
      </c>
      <c r="B17" s="40">
        <v>277</v>
      </c>
      <c r="C17" s="38">
        <v>8.96</v>
      </c>
      <c r="D17" s="35">
        <v>48</v>
      </c>
      <c r="E17" s="38">
        <v>0.71</v>
      </c>
      <c r="F17" s="44">
        <f t="shared" si="0"/>
        <v>13296</v>
      </c>
      <c r="G17" s="35"/>
      <c r="H17" s="50">
        <f t="shared" si="1"/>
        <v>0.7142999999999999</v>
      </c>
      <c r="I17" s="50">
        <f t="shared" si="2"/>
        <v>0.2584585217786498</v>
      </c>
      <c r="J17" s="50"/>
      <c r="K17" s="57"/>
      <c r="L17" s="52" t="s">
        <v>68</v>
      </c>
      <c r="M17" s="58">
        <v>35</v>
      </c>
      <c r="N17" s="57"/>
    </row>
    <row r="18" spans="1:14" ht="15">
      <c r="A18" s="35">
        <v>9</v>
      </c>
      <c r="B18" s="40">
        <v>75.125</v>
      </c>
      <c r="C18" s="38">
        <v>2.43</v>
      </c>
      <c r="D18" s="35">
        <v>55</v>
      </c>
      <c r="E18" s="38">
        <v>0.81</v>
      </c>
      <c r="F18" s="44">
        <f t="shared" si="0"/>
        <v>4131.875</v>
      </c>
      <c r="G18" s="35"/>
      <c r="H18" s="50">
        <f t="shared" si="1"/>
        <v>0.7385999999999999</v>
      </c>
      <c r="I18" s="50">
        <f t="shared" si="2"/>
        <v>0.27814737183187016</v>
      </c>
      <c r="J18" s="50"/>
      <c r="K18" s="57"/>
      <c r="L18" s="57"/>
      <c r="M18" s="57"/>
      <c r="N18" s="57"/>
    </row>
    <row r="19" spans="1:10" ht="15">
      <c r="A19" s="35">
        <v>10</v>
      </c>
      <c r="B19" s="40">
        <v>42.375</v>
      </c>
      <c r="C19" s="38">
        <v>1.37</v>
      </c>
      <c r="D19" s="35">
        <v>65</v>
      </c>
      <c r="E19" s="38">
        <v>0.96</v>
      </c>
      <c r="F19" s="44">
        <f t="shared" si="0"/>
        <v>2754.375</v>
      </c>
      <c r="G19" s="35"/>
      <c r="H19" s="50">
        <f t="shared" si="1"/>
        <v>0.7523</v>
      </c>
      <c r="I19" s="50">
        <f t="shared" si="2"/>
        <v>0.2912722791355371</v>
      </c>
      <c r="J19" s="50"/>
    </row>
    <row r="20" spans="1:10" ht="15">
      <c r="A20" s="35">
        <v>11</v>
      </c>
      <c r="B20" s="40">
        <v>176</v>
      </c>
      <c r="C20" s="38">
        <v>5.7</v>
      </c>
      <c r="D20" s="35">
        <v>72</v>
      </c>
      <c r="E20" s="38">
        <v>1.06</v>
      </c>
      <c r="F20" s="44">
        <f t="shared" si="0"/>
        <v>12672</v>
      </c>
      <c r="G20" s="35"/>
      <c r="H20" s="50">
        <f t="shared" si="1"/>
        <v>0.8093</v>
      </c>
      <c r="I20" s="50">
        <f t="shared" si="2"/>
        <v>0.3516557873187247</v>
      </c>
      <c r="J20" s="50"/>
    </row>
    <row r="21" spans="1:10" ht="15">
      <c r="A21" s="35">
        <v>12</v>
      </c>
      <c r="B21" s="40">
        <v>31.5</v>
      </c>
      <c r="C21" s="38">
        <v>1.02</v>
      </c>
      <c r="D21" s="35">
        <v>75</v>
      </c>
      <c r="E21" s="38">
        <v>1.11</v>
      </c>
      <c r="F21" s="44">
        <f t="shared" si="0"/>
        <v>2362.5</v>
      </c>
      <c r="G21" s="35"/>
      <c r="H21" s="50">
        <f t="shared" si="1"/>
        <v>0.8195</v>
      </c>
      <c r="I21" s="50">
        <f t="shared" si="2"/>
        <v>0.36291336608157043</v>
      </c>
      <c r="J21" s="50"/>
    </row>
    <row r="22" spans="1:10" ht="15">
      <c r="A22" s="35">
        <v>13</v>
      </c>
      <c r="B22" s="40">
        <v>23.25</v>
      </c>
      <c r="C22" s="38">
        <v>0.75</v>
      </c>
      <c r="D22" s="35">
        <v>85</v>
      </c>
      <c r="E22" s="38">
        <v>1.25</v>
      </c>
      <c r="F22" s="44">
        <f t="shared" si="0"/>
        <v>1976.25</v>
      </c>
      <c r="G22" s="35"/>
      <c r="H22" s="50">
        <f t="shared" si="1"/>
        <v>0.827</v>
      </c>
      <c r="I22" s="50">
        <f t="shared" si="2"/>
        <v>0.37233042006255407</v>
      </c>
      <c r="J22" s="50"/>
    </row>
    <row r="23" spans="1:10" ht="15">
      <c r="A23" s="35">
        <v>14</v>
      </c>
      <c r="B23" s="40">
        <v>27</v>
      </c>
      <c r="C23" s="38">
        <v>0.87</v>
      </c>
      <c r="D23" s="35">
        <v>95</v>
      </c>
      <c r="E23" s="38">
        <v>1.4</v>
      </c>
      <c r="F23" s="44">
        <f t="shared" si="0"/>
        <v>2565</v>
      </c>
      <c r="G23" s="35"/>
      <c r="H23" s="50">
        <f t="shared" si="1"/>
        <v>0.8357</v>
      </c>
      <c r="I23" s="50">
        <f t="shared" si="2"/>
        <v>0.3845529341479294</v>
      </c>
      <c r="J23" s="50"/>
    </row>
    <row r="24" spans="1:10" ht="15">
      <c r="A24" s="35">
        <v>15</v>
      </c>
      <c r="B24" s="40">
        <v>77</v>
      </c>
      <c r="C24" s="38">
        <v>2.48</v>
      </c>
      <c r="D24" s="35">
        <v>96</v>
      </c>
      <c r="E24" s="38">
        <v>1.42</v>
      </c>
      <c r="F24" s="44">
        <f t="shared" si="0"/>
        <v>7392</v>
      </c>
      <c r="G24" s="35"/>
      <c r="H24" s="50">
        <f t="shared" si="1"/>
        <v>0.8605</v>
      </c>
      <c r="I24" s="50">
        <f t="shared" si="2"/>
        <v>0.41977664725478886</v>
      </c>
      <c r="J24" s="50"/>
    </row>
    <row r="25" spans="1:10" ht="15">
      <c r="A25" s="35">
        <v>16</v>
      </c>
      <c r="B25" s="40">
        <v>26.75</v>
      </c>
      <c r="C25" s="38">
        <v>0.86</v>
      </c>
      <c r="D25" s="35">
        <v>110</v>
      </c>
      <c r="E25" s="38">
        <v>1.62</v>
      </c>
      <c r="F25" s="44">
        <f t="shared" si="0"/>
        <v>2942.5</v>
      </c>
      <c r="G25" s="35"/>
      <c r="H25" s="50">
        <f t="shared" si="1"/>
        <v>0.8691000000000001</v>
      </c>
      <c r="I25" s="50">
        <f t="shared" si="2"/>
        <v>0.43379799138586755</v>
      </c>
      <c r="J25" s="50"/>
    </row>
    <row r="26" spans="1:10" ht="15">
      <c r="A26" s="35">
        <v>17</v>
      </c>
      <c r="B26" s="40">
        <v>56</v>
      </c>
      <c r="C26" s="38">
        <v>1.82</v>
      </c>
      <c r="D26" s="35">
        <v>120</v>
      </c>
      <c r="E26" s="38">
        <v>1.77</v>
      </c>
      <c r="F26" s="44">
        <f t="shared" si="0"/>
        <v>6720</v>
      </c>
      <c r="G26" s="35"/>
      <c r="H26" s="50">
        <f t="shared" si="1"/>
        <v>0.8873000000000001</v>
      </c>
      <c r="I26" s="50">
        <f t="shared" si="2"/>
        <v>0.4658195487557398</v>
      </c>
      <c r="J26" s="50"/>
    </row>
    <row r="27" spans="1:10" ht="15">
      <c r="A27" s="35">
        <v>18</v>
      </c>
      <c r="B27" s="40">
        <v>23.5</v>
      </c>
      <c r="C27" s="38">
        <v>0.76</v>
      </c>
      <c r="D27" s="35">
        <v>130</v>
      </c>
      <c r="E27" s="38">
        <v>1.92</v>
      </c>
      <c r="F27" s="44">
        <f t="shared" si="0"/>
        <v>3055</v>
      </c>
      <c r="G27" s="35"/>
      <c r="H27" s="50">
        <f t="shared" si="1"/>
        <v>0.8949000000000001</v>
      </c>
      <c r="I27" s="50">
        <f t="shared" si="2"/>
        <v>0.4803769680660016</v>
      </c>
      <c r="J27" s="50"/>
    </row>
    <row r="28" spans="1:10" ht="15">
      <c r="A28" s="35">
        <v>19</v>
      </c>
      <c r="B28" s="40">
        <v>32</v>
      </c>
      <c r="C28" s="38">
        <v>1.05</v>
      </c>
      <c r="D28" s="35">
        <v>144</v>
      </c>
      <c r="E28" s="38">
        <v>2.12</v>
      </c>
      <c r="F28" s="44">
        <f t="shared" si="0"/>
        <v>4608</v>
      </c>
      <c r="G28" s="35"/>
      <c r="H28" s="50">
        <f t="shared" si="1"/>
        <v>0.9054000000000001</v>
      </c>
      <c r="I28" s="50">
        <f t="shared" si="2"/>
        <v>0.5023346074053425</v>
      </c>
      <c r="J28" s="50"/>
    </row>
    <row r="29" spans="1:10" ht="15">
      <c r="A29" s="35">
        <v>20</v>
      </c>
      <c r="B29" s="40">
        <v>24.75</v>
      </c>
      <c r="C29" s="38">
        <v>0.8</v>
      </c>
      <c r="D29" s="35">
        <v>150</v>
      </c>
      <c r="E29" s="38">
        <v>2.21</v>
      </c>
      <c r="F29" s="44">
        <f t="shared" si="0"/>
        <v>3712.5</v>
      </c>
      <c r="G29" s="35"/>
      <c r="H29" s="50">
        <f t="shared" si="1"/>
        <v>0.9134000000000001</v>
      </c>
      <c r="I29" s="50">
        <f t="shared" si="2"/>
        <v>0.5200250883183858</v>
      </c>
      <c r="J29" s="50"/>
    </row>
    <row r="30" spans="1:10" ht="15">
      <c r="A30" s="35">
        <v>21</v>
      </c>
      <c r="B30" s="40">
        <v>17</v>
      </c>
      <c r="C30" s="38">
        <v>0.54</v>
      </c>
      <c r="D30" s="35">
        <v>168</v>
      </c>
      <c r="E30" s="38">
        <v>2.48</v>
      </c>
      <c r="F30" s="44">
        <f t="shared" si="0"/>
        <v>2856</v>
      </c>
      <c r="G30" s="35"/>
      <c r="H30" s="50">
        <f t="shared" si="1"/>
        <v>0.9188000000000001</v>
      </c>
      <c r="I30" s="50">
        <f t="shared" si="2"/>
        <v>0.5336342502005815</v>
      </c>
      <c r="J30" s="50"/>
    </row>
    <row r="31" spans="1:10" ht="15">
      <c r="A31" s="35">
        <v>22</v>
      </c>
      <c r="B31" s="40">
        <v>11.25</v>
      </c>
      <c r="C31" s="38">
        <v>0.36</v>
      </c>
      <c r="D31" s="35">
        <v>170</v>
      </c>
      <c r="E31" s="38">
        <v>2.51</v>
      </c>
      <c r="F31" s="44">
        <f t="shared" si="0"/>
        <v>1912.5</v>
      </c>
      <c r="G31" s="35"/>
      <c r="H31" s="50">
        <f t="shared" si="1"/>
        <v>0.9224000000000001</v>
      </c>
      <c r="I31" s="50">
        <f t="shared" si="2"/>
        <v>0.5427475282466947</v>
      </c>
      <c r="J31" s="50"/>
    </row>
    <row r="32" spans="1:10" ht="15">
      <c r="A32" s="35">
        <v>23</v>
      </c>
      <c r="B32" s="40">
        <v>16.125</v>
      </c>
      <c r="C32" s="38">
        <v>0.52</v>
      </c>
      <c r="D32" s="35">
        <v>190</v>
      </c>
      <c r="E32" s="38">
        <v>2.8</v>
      </c>
      <c r="F32" s="44">
        <f t="shared" si="0"/>
        <v>3063.75</v>
      </c>
      <c r="G32" s="35"/>
      <c r="H32" s="50">
        <f t="shared" si="1"/>
        <v>0.9276000000000001</v>
      </c>
      <c r="I32" s="50">
        <f t="shared" si="2"/>
        <v>0.5573466422931153</v>
      </c>
      <c r="J32" s="50"/>
    </row>
    <row r="33" spans="1:10" ht="15">
      <c r="A33" s="35">
        <v>24</v>
      </c>
      <c r="B33" s="40">
        <v>19</v>
      </c>
      <c r="C33" s="38">
        <v>0.62</v>
      </c>
      <c r="D33" s="35">
        <v>192</v>
      </c>
      <c r="E33" s="38">
        <v>2.83</v>
      </c>
      <c r="F33" s="44">
        <f t="shared" si="0"/>
        <v>3648</v>
      </c>
      <c r="G33" s="35"/>
      <c r="H33" s="50">
        <f t="shared" si="1"/>
        <v>0.9338000000000001</v>
      </c>
      <c r="I33" s="50">
        <f t="shared" si="2"/>
        <v>0.5747297734367601</v>
      </c>
      <c r="J33" s="50"/>
    </row>
    <row r="34" spans="1:10" ht="15">
      <c r="A34" s="35">
        <v>25</v>
      </c>
      <c r="B34" s="40">
        <v>10</v>
      </c>
      <c r="C34" s="38">
        <v>0.31</v>
      </c>
      <c r="D34" s="35">
        <v>216</v>
      </c>
      <c r="E34" s="38">
        <v>3.19</v>
      </c>
      <c r="F34" s="44">
        <f t="shared" si="0"/>
        <v>2160</v>
      </c>
      <c r="G34" s="35"/>
      <c r="H34" s="50">
        <f t="shared" si="1"/>
        <v>0.9369000000000001</v>
      </c>
      <c r="I34" s="50">
        <f t="shared" si="2"/>
        <v>0.5850224168770762</v>
      </c>
      <c r="J34" s="50"/>
    </row>
    <row r="35" spans="1:10" ht="15">
      <c r="A35" s="35">
        <v>26</v>
      </c>
      <c r="B35" s="40">
        <v>26.25</v>
      </c>
      <c r="C35" s="38">
        <v>0.85</v>
      </c>
      <c r="D35" s="35">
        <v>225</v>
      </c>
      <c r="E35" s="38">
        <v>3.32</v>
      </c>
      <c r="F35" s="44">
        <f t="shared" si="0"/>
        <v>5906.25</v>
      </c>
      <c r="G35" s="35"/>
      <c r="H35" s="50">
        <f t="shared" si="1"/>
        <v>0.9454</v>
      </c>
      <c r="I35" s="50">
        <f t="shared" si="2"/>
        <v>0.6131663637841905</v>
      </c>
      <c r="J35" s="50"/>
    </row>
    <row r="36" spans="1:10" ht="15">
      <c r="A36" s="35">
        <v>27</v>
      </c>
      <c r="B36" s="40">
        <v>10</v>
      </c>
      <c r="C36" s="38">
        <v>0.31</v>
      </c>
      <c r="D36" s="35">
        <v>240</v>
      </c>
      <c r="E36" s="38">
        <v>3.54</v>
      </c>
      <c r="F36" s="44">
        <f t="shared" si="0"/>
        <v>2400</v>
      </c>
      <c r="G36" s="35"/>
      <c r="H36" s="50">
        <f t="shared" si="1"/>
        <v>0.9485</v>
      </c>
      <c r="I36" s="50">
        <f t="shared" si="2"/>
        <v>0.6246026342734307</v>
      </c>
      <c r="J36" s="50"/>
    </row>
    <row r="37" spans="1:10" ht="15">
      <c r="A37" s="35">
        <v>28</v>
      </c>
      <c r="B37" s="40">
        <v>5</v>
      </c>
      <c r="C37" s="38">
        <v>0.16</v>
      </c>
      <c r="D37" s="35">
        <v>264</v>
      </c>
      <c r="E37" s="38">
        <v>3.89</v>
      </c>
      <c r="F37" s="44">
        <f t="shared" si="0"/>
        <v>1320</v>
      </c>
      <c r="G37" s="35"/>
      <c r="H37" s="50">
        <f t="shared" si="1"/>
        <v>0.9501000000000001</v>
      </c>
      <c r="I37" s="50">
        <f t="shared" si="2"/>
        <v>0.6308925830425127</v>
      </c>
      <c r="J37" s="50"/>
    </row>
    <row r="38" spans="1:10" ht="15">
      <c r="A38" s="35">
        <v>29</v>
      </c>
      <c r="B38" s="40">
        <v>25</v>
      </c>
      <c r="C38" s="38">
        <v>0.81</v>
      </c>
      <c r="D38" s="35">
        <v>275</v>
      </c>
      <c r="E38" s="38">
        <v>4.06</v>
      </c>
      <c r="F38" s="44">
        <f t="shared" si="0"/>
        <v>6875</v>
      </c>
      <c r="G38" s="35"/>
      <c r="H38" s="50">
        <f t="shared" si="1"/>
        <v>0.9582</v>
      </c>
      <c r="I38" s="50">
        <f t="shared" si="2"/>
        <v>0.6636527328814817</v>
      </c>
      <c r="J38" s="50"/>
    </row>
    <row r="39" spans="1:10" ht="15">
      <c r="A39" s="35">
        <v>30</v>
      </c>
      <c r="B39" s="40">
        <v>2</v>
      </c>
      <c r="C39" s="38">
        <v>0.08</v>
      </c>
      <c r="D39" s="35">
        <v>288</v>
      </c>
      <c r="E39" s="38">
        <v>4.25</v>
      </c>
      <c r="F39" s="44">
        <f t="shared" si="0"/>
        <v>576</v>
      </c>
      <c r="G39" s="35"/>
      <c r="H39" s="50">
        <f t="shared" si="1"/>
        <v>0.9590000000000001</v>
      </c>
      <c r="I39" s="50">
        <f t="shared" si="2"/>
        <v>0.6663974377988994</v>
      </c>
      <c r="J39" s="50"/>
    </row>
    <row r="40" spans="1:10" ht="15">
      <c r="A40" s="35">
        <v>31</v>
      </c>
      <c r="B40" s="40">
        <v>17.25</v>
      </c>
      <c r="C40" s="38">
        <v>0.56</v>
      </c>
      <c r="D40" s="35">
        <v>325</v>
      </c>
      <c r="E40" s="38">
        <v>4.79</v>
      </c>
      <c r="F40" s="44">
        <f t="shared" si="0"/>
        <v>5606.25</v>
      </c>
      <c r="G40" s="35"/>
      <c r="H40" s="50">
        <f t="shared" si="1"/>
        <v>0.9646000000000001</v>
      </c>
      <c r="I40" s="50">
        <f t="shared" si="2"/>
        <v>0.6931118508948586</v>
      </c>
      <c r="J40" s="50"/>
    </row>
    <row r="41" spans="1:10" ht="15">
      <c r="A41" s="35">
        <v>32</v>
      </c>
      <c r="B41" s="40">
        <v>11.75</v>
      </c>
      <c r="C41" s="38">
        <v>0.38</v>
      </c>
      <c r="D41" s="35">
        <v>375</v>
      </c>
      <c r="E41" s="38">
        <v>5.53</v>
      </c>
      <c r="F41" s="44">
        <f t="shared" si="0"/>
        <v>4406.25</v>
      </c>
      <c r="G41" s="35"/>
      <c r="H41" s="50">
        <f t="shared" si="1"/>
        <v>0.9684000000000001</v>
      </c>
      <c r="I41" s="50">
        <f t="shared" si="2"/>
        <v>0.7141081287461978</v>
      </c>
      <c r="J41" s="50"/>
    </row>
    <row r="42" spans="1:10" ht="15">
      <c r="A42" s="35">
        <v>33</v>
      </c>
      <c r="B42" s="40">
        <v>12.625</v>
      </c>
      <c r="C42" s="38">
        <v>0.41</v>
      </c>
      <c r="D42" s="35">
        <v>425</v>
      </c>
      <c r="E42" s="38">
        <v>6.27</v>
      </c>
      <c r="F42" s="44">
        <f t="shared" si="0"/>
        <v>5365.625</v>
      </c>
      <c r="G42" s="35"/>
      <c r="H42" s="50">
        <f t="shared" si="1"/>
        <v>0.9725000000000001</v>
      </c>
      <c r="I42" s="50">
        <f t="shared" si="2"/>
        <v>0.7396759365977931</v>
      </c>
      <c r="J42" s="50"/>
    </row>
    <row r="43" spans="1:10" ht="15">
      <c r="A43" s="35">
        <v>34</v>
      </c>
      <c r="B43" s="40">
        <v>30</v>
      </c>
      <c r="C43" s="38">
        <v>0.97</v>
      </c>
      <c r="D43" s="35">
        <v>450</v>
      </c>
      <c r="E43" s="38">
        <v>6.64</v>
      </c>
      <c r="F43" s="44">
        <f t="shared" si="0"/>
        <v>13500</v>
      </c>
      <c r="G43" s="35"/>
      <c r="H43" s="50">
        <f t="shared" si="1"/>
        <v>0.9822000000000002</v>
      </c>
      <c r="I43" s="50">
        <f t="shared" si="2"/>
        <v>0.8040049580997685</v>
      </c>
      <c r="J43" s="50"/>
    </row>
    <row r="44" spans="1:10" ht="15">
      <c r="A44" s="35">
        <v>35</v>
      </c>
      <c r="B44" s="40">
        <v>12.5</v>
      </c>
      <c r="C44" s="38">
        <v>0.4</v>
      </c>
      <c r="D44" s="35">
        <v>475</v>
      </c>
      <c r="E44" s="38">
        <v>7.01</v>
      </c>
      <c r="F44" s="44">
        <f t="shared" si="0"/>
        <v>5937.5</v>
      </c>
      <c r="G44" s="35"/>
      <c r="H44" s="50">
        <f t="shared" si="1"/>
        <v>0.9862000000000002</v>
      </c>
      <c r="I44" s="50">
        <f t="shared" si="2"/>
        <v>0.832297814778878</v>
      </c>
      <c r="J44" s="50"/>
    </row>
    <row r="45" spans="1:10" ht="15">
      <c r="A45" s="35">
        <v>36</v>
      </c>
      <c r="B45" s="40">
        <v>5.5</v>
      </c>
      <c r="C45" s="38">
        <v>0.18</v>
      </c>
      <c r="D45" s="35">
        <v>525</v>
      </c>
      <c r="E45" s="38">
        <v>7.74</v>
      </c>
      <c r="F45" s="44">
        <f t="shared" si="0"/>
        <v>2887.5</v>
      </c>
      <c r="G45" s="35"/>
      <c r="H45" s="50">
        <f t="shared" si="1"/>
        <v>0.9880000000000002</v>
      </c>
      <c r="I45" s="50">
        <f t="shared" si="2"/>
        <v>0.8460570777112449</v>
      </c>
      <c r="J45" s="50"/>
    </row>
    <row r="46" spans="1:10" ht="15">
      <c r="A46" s="35">
        <v>37</v>
      </c>
      <c r="B46" s="40">
        <v>5.125</v>
      </c>
      <c r="C46" s="38">
        <v>0.17</v>
      </c>
      <c r="D46" s="35">
        <v>575</v>
      </c>
      <c r="E46" s="38">
        <v>8.48</v>
      </c>
      <c r="F46" s="44">
        <f t="shared" si="0"/>
        <v>2946.875</v>
      </c>
      <c r="G46" s="35"/>
      <c r="H46" s="50">
        <f t="shared" si="1"/>
        <v>0.9897000000000002</v>
      </c>
      <c r="I46" s="50">
        <f t="shared" si="2"/>
        <v>0.860099269210403</v>
      </c>
      <c r="J46" s="50"/>
    </row>
    <row r="47" spans="1:10" ht="15">
      <c r="A47" s="35">
        <v>38</v>
      </c>
      <c r="B47" s="40">
        <v>4.625</v>
      </c>
      <c r="C47" s="38">
        <v>0.15</v>
      </c>
      <c r="D47" s="35">
        <v>625</v>
      </c>
      <c r="E47" s="38">
        <v>9.22</v>
      </c>
      <c r="F47" s="44">
        <f t="shared" si="0"/>
        <v>2890.625</v>
      </c>
      <c r="G47" s="35"/>
      <c r="H47" s="50">
        <f t="shared" si="1"/>
        <v>0.9912000000000002</v>
      </c>
      <c r="I47" s="50">
        <f t="shared" si="2"/>
        <v>0.8738734231199695</v>
      </c>
      <c r="J47" s="50"/>
    </row>
    <row r="48" spans="1:10" ht="15">
      <c r="A48" s="35">
        <v>39</v>
      </c>
      <c r="B48" s="40">
        <v>4.75</v>
      </c>
      <c r="C48" s="38">
        <v>0.15</v>
      </c>
      <c r="D48" s="35">
        <v>675</v>
      </c>
      <c r="E48" s="38">
        <v>9.95</v>
      </c>
      <c r="F48" s="44">
        <f t="shared" si="0"/>
        <v>3206.25</v>
      </c>
      <c r="G48" s="35"/>
      <c r="H48" s="50">
        <f t="shared" si="1"/>
        <v>0.9927000000000001</v>
      </c>
      <c r="I48" s="50">
        <f t="shared" si="2"/>
        <v>0.8891515657266886</v>
      </c>
      <c r="J48" s="50"/>
    </row>
    <row r="49" spans="1:10" ht="15">
      <c r="A49" s="35">
        <v>40</v>
      </c>
      <c r="B49" s="40">
        <v>5.5</v>
      </c>
      <c r="C49" s="38">
        <v>0.18</v>
      </c>
      <c r="D49" s="35">
        <v>750</v>
      </c>
      <c r="E49" s="38">
        <v>11.06</v>
      </c>
      <c r="F49" s="44">
        <f t="shared" si="0"/>
        <v>4125</v>
      </c>
      <c r="G49" s="35"/>
      <c r="H49" s="50">
        <f t="shared" si="1"/>
        <v>0.9945000000000002</v>
      </c>
      <c r="I49" s="50">
        <f t="shared" si="2"/>
        <v>0.90880765563007</v>
      </c>
      <c r="J49" s="50"/>
    </row>
    <row r="50" spans="1:10" ht="15">
      <c r="A50" s="35">
        <v>41</v>
      </c>
      <c r="B50" s="40">
        <v>5.625</v>
      </c>
      <c r="C50" s="38">
        <v>0.18</v>
      </c>
      <c r="D50" s="35">
        <v>850</v>
      </c>
      <c r="E50" s="38">
        <v>12.54</v>
      </c>
      <c r="F50" s="44">
        <f t="shared" si="0"/>
        <v>4781.25</v>
      </c>
      <c r="G50" s="35"/>
      <c r="H50" s="50">
        <f t="shared" si="1"/>
        <v>0.9963000000000002</v>
      </c>
      <c r="I50" s="50">
        <f t="shared" si="2"/>
        <v>0.931590850745353</v>
      </c>
      <c r="J50" s="50"/>
    </row>
    <row r="51" spans="1:10" ht="15">
      <c r="A51" s="35">
        <v>42</v>
      </c>
      <c r="B51" s="40">
        <v>3.875</v>
      </c>
      <c r="C51" s="38">
        <v>0.13</v>
      </c>
      <c r="D51" s="35">
        <v>950</v>
      </c>
      <c r="E51" s="38">
        <v>14.01</v>
      </c>
      <c r="F51" s="44">
        <f t="shared" si="0"/>
        <v>3681.25</v>
      </c>
      <c r="G51" s="35"/>
      <c r="H51" s="50">
        <f t="shared" si="1"/>
        <v>0.9976000000000002</v>
      </c>
      <c r="I51" s="50">
        <f t="shared" si="2"/>
        <v>0.9491324218864009</v>
      </c>
      <c r="J51" s="50"/>
    </row>
    <row r="52" spans="1:10" ht="15">
      <c r="A52" s="35">
        <v>43</v>
      </c>
      <c r="B52" s="40">
        <v>4</v>
      </c>
      <c r="C52" s="38">
        <v>0.13</v>
      </c>
      <c r="D52" s="35">
        <v>1150</v>
      </c>
      <c r="E52" s="38">
        <v>16.96</v>
      </c>
      <c r="F52" s="44">
        <f t="shared" si="0"/>
        <v>4600</v>
      </c>
      <c r="G52" s="35"/>
      <c r="H52" s="50">
        <f t="shared" si="1"/>
        <v>0.9989000000000001</v>
      </c>
      <c r="I52" s="50">
        <f t="shared" si="2"/>
        <v>0.971051940324111</v>
      </c>
      <c r="J52" s="50"/>
    </row>
    <row r="53" spans="1:10" ht="15">
      <c r="A53" s="35">
        <v>44</v>
      </c>
      <c r="B53" s="40">
        <v>1.75</v>
      </c>
      <c r="C53" s="38">
        <v>0.06</v>
      </c>
      <c r="D53" s="35">
        <v>1400</v>
      </c>
      <c r="E53" s="38">
        <v>20.65</v>
      </c>
      <c r="F53" s="44">
        <f t="shared" si="0"/>
        <v>2450</v>
      </c>
      <c r="G53" s="35"/>
      <c r="H53" s="50">
        <f t="shared" si="1"/>
        <v>0.9995000000000002</v>
      </c>
      <c r="I53" s="50">
        <f t="shared" si="2"/>
        <v>0.9827264664485436</v>
      </c>
      <c r="J53" s="50"/>
    </row>
    <row r="54" spans="1:10" ht="15">
      <c r="A54" s="35">
        <v>45</v>
      </c>
      <c r="B54" s="40">
        <v>1.75</v>
      </c>
      <c r="C54" s="38">
        <v>0.06</v>
      </c>
      <c r="D54" s="35">
        <v>1750</v>
      </c>
      <c r="E54" s="38">
        <v>25.81</v>
      </c>
      <c r="F54" s="44">
        <f t="shared" si="0"/>
        <v>3062.5</v>
      </c>
      <c r="G54" s="35"/>
      <c r="H54" s="50">
        <f t="shared" si="1"/>
        <v>1.0001000000000002</v>
      </c>
      <c r="I54" s="50">
        <f t="shared" si="2"/>
        <v>0.9973196241040843</v>
      </c>
      <c r="J54" s="50"/>
    </row>
    <row r="55" spans="1:10" ht="15">
      <c r="A55" s="35">
        <v>46</v>
      </c>
      <c r="B55" s="40">
        <v>0.25</v>
      </c>
      <c r="C55" s="38">
        <v>0.01</v>
      </c>
      <c r="D55" s="35">
        <v>2250</v>
      </c>
      <c r="E55" s="38">
        <v>33.18</v>
      </c>
      <c r="F55" s="44">
        <f t="shared" si="0"/>
        <v>562.5</v>
      </c>
      <c r="G55" s="35"/>
      <c r="H55" s="50">
        <f t="shared" si="1"/>
        <v>1.0002000000000002</v>
      </c>
      <c r="I55" s="50">
        <f t="shared" si="2"/>
        <v>0.9999999999999999</v>
      </c>
      <c r="J55" s="50"/>
    </row>
    <row r="56" spans="1:7" ht="15">
      <c r="A56" s="35" t="s">
        <v>47</v>
      </c>
      <c r="B56" s="43">
        <v>3095</v>
      </c>
      <c r="C56" s="38">
        <v>100</v>
      </c>
      <c r="D56" s="42">
        <v>67.8</v>
      </c>
      <c r="E56" s="38">
        <v>1</v>
      </c>
      <c r="F56" s="49">
        <f>SUM(F10:F55)</f>
        <v>209858.625</v>
      </c>
      <c r="G56" s="35"/>
    </row>
    <row r="59" ht="15">
      <c r="A59" s="35" t="s">
        <v>78</v>
      </c>
    </row>
    <row r="60" ht="15">
      <c r="B60" s="40" t="s">
        <v>49</v>
      </c>
    </row>
    <row r="61" ht="15">
      <c r="B61" s="40" t="s">
        <v>50</v>
      </c>
    </row>
    <row r="63" ht="15">
      <c r="A63" s="35" t="s">
        <v>51</v>
      </c>
    </row>
    <row r="64" ht="15">
      <c r="A64" s="35" t="s">
        <v>52</v>
      </c>
    </row>
    <row r="65" ht="15">
      <c r="A65" s="35" t="s">
        <v>53</v>
      </c>
    </row>
    <row r="67" ht="15">
      <c r="A67" s="35" t="s">
        <v>54</v>
      </c>
    </row>
    <row r="69" ht="15">
      <c r="A69" s="35" t="s">
        <v>55</v>
      </c>
    </row>
    <row r="70" ht="15">
      <c r="A70" s="35" t="s">
        <v>56</v>
      </c>
    </row>
    <row r="71" ht="15">
      <c r="A71" s="35" t="s">
        <v>91</v>
      </c>
    </row>
    <row r="72" ht="15">
      <c r="A72" s="35" t="s">
        <v>92</v>
      </c>
    </row>
    <row r="73" ht="15">
      <c r="A73" s="35" t="s">
        <v>93</v>
      </c>
    </row>
    <row r="74" ht="15">
      <c r="A74" s="35" t="s">
        <v>94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O34"/>
  <sheetViews>
    <sheetView zoomScalePageLayoutView="0" workbookViewId="0" topLeftCell="C1">
      <selection activeCell="Q9" sqref="Q9:R11"/>
    </sheetView>
  </sheetViews>
  <sheetFormatPr defaultColWidth="8.7109375" defaultRowHeight="15"/>
  <cols>
    <col min="1" max="1" width="7.8515625" style="1" customWidth="1"/>
    <col min="2" max="2" width="9.140625" style="1" customWidth="1"/>
    <col min="3" max="3" width="11.140625" style="1" customWidth="1"/>
    <col min="4" max="4" width="11.421875" style="1" customWidth="1"/>
    <col min="5" max="5" width="3.7109375" style="1" customWidth="1"/>
    <col min="6" max="11" width="8.7109375" style="1" customWidth="1"/>
    <col min="12" max="12" width="4.8515625" style="1" customWidth="1"/>
    <col min="13" max="13" width="12.421875" style="1" customWidth="1"/>
    <col min="14" max="14" width="8.7109375" style="1" customWidth="1"/>
    <col min="15" max="15" width="4.8515625" style="1" customWidth="1"/>
    <col min="16" max="16384" width="8.7109375" style="1" customWidth="1"/>
  </cols>
  <sheetData>
    <row r="1" ht="15.75">
      <c r="B1" s="18" t="s">
        <v>3</v>
      </c>
    </row>
    <row r="2" ht="15.75">
      <c r="B2" s="18" t="s">
        <v>14</v>
      </c>
    </row>
    <row r="3" spans="2:10" ht="15.75">
      <c r="B3" s="18" t="s">
        <v>4</v>
      </c>
      <c r="F3" s="5" t="s">
        <v>10</v>
      </c>
      <c r="G3" s="9"/>
      <c r="H3" s="9"/>
      <c r="I3" s="9"/>
      <c r="J3" s="9"/>
    </row>
    <row r="4" spans="6:10" ht="15">
      <c r="F4" s="9"/>
      <c r="G4" s="5" t="s">
        <v>58</v>
      </c>
      <c r="H4" s="9"/>
      <c r="I4" s="9"/>
      <c r="J4" s="9"/>
    </row>
    <row r="5" spans="1:10" ht="15">
      <c r="A5" s="4"/>
      <c r="B5" s="4"/>
      <c r="C5" s="4" t="s">
        <v>5</v>
      </c>
      <c r="D5" s="4" t="s">
        <v>7</v>
      </c>
      <c r="E5" s="4"/>
      <c r="F5" s="9"/>
      <c r="G5" s="9"/>
      <c r="H5" s="5" t="s">
        <v>11</v>
      </c>
      <c r="I5" s="9"/>
      <c r="J5" s="9"/>
    </row>
    <row r="6" spans="1:10" ht="15">
      <c r="A6" s="31" t="s">
        <v>70</v>
      </c>
      <c r="B6" s="31" t="s">
        <v>72</v>
      </c>
      <c r="C6" s="4" t="s">
        <v>6</v>
      </c>
      <c r="D6" s="4" t="s">
        <v>8</v>
      </c>
      <c r="E6" s="4"/>
      <c r="F6" s="9"/>
      <c r="G6" s="9"/>
      <c r="H6" s="9"/>
      <c r="I6" s="5" t="s">
        <v>0</v>
      </c>
      <c r="J6" s="9"/>
    </row>
    <row r="7" spans="1:10" ht="15">
      <c r="A7" s="31" t="s">
        <v>71</v>
      </c>
      <c r="B7" s="31" t="s">
        <v>73</v>
      </c>
      <c r="C7" s="4" t="s">
        <v>16</v>
      </c>
      <c r="D7" s="4" t="s">
        <v>9</v>
      </c>
      <c r="E7" s="4"/>
      <c r="F7" s="9"/>
      <c r="G7" s="9"/>
      <c r="H7" s="9"/>
      <c r="I7" s="9"/>
      <c r="J7" s="1" t="s">
        <v>1</v>
      </c>
    </row>
    <row r="9" spans="1:15" ht="15.75" thickBot="1">
      <c r="A9" s="1">
        <v>1</v>
      </c>
      <c r="B9" s="1">
        <v>173440</v>
      </c>
      <c r="C9" s="1">
        <v>100</v>
      </c>
      <c r="D9" s="37">
        <f>B9*C9/1000000</f>
        <v>17.344</v>
      </c>
      <c r="E9" s="59"/>
      <c r="F9" s="8">
        <f>100*B9/369787</f>
        <v>46.90267640560647</v>
      </c>
      <c r="G9" s="8">
        <f>100*D9/118.089</f>
        <v>14.687227430158611</v>
      </c>
      <c r="H9" s="8">
        <v>46.90267640560647</v>
      </c>
      <c r="I9" s="8">
        <v>14.687227430158611</v>
      </c>
      <c r="J9" s="10">
        <f>F9*(H9-I9)/100</f>
        <v>15.109907785567573</v>
      </c>
      <c r="L9" s="56"/>
      <c r="M9" s="57"/>
      <c r="N9" s="57"/>
      <c r="O9" s="57"/>
    </row>
    <row r="10" spans="1:15" ht="15.75" thickBot="1">
      <c r="A10" s="1">
        <v>2</v>
      </c>
      <c r="B10" s="1">
        <v>45414</v>
      </c>
      <c r="C10" s="1">
        <v>150</v>
      </c>
      <c r="D10" s="37">
        <f aca="true" t="shared" si="0" ref="D10:D28">B10*C10/1000000</f>
        <v>6.8121</v>
      </c>
      <c r="E10" s="59"/>
      <c r="F10" s="8">
        <f aca="true" t="shared" si="1" ref="F10:F28">100*B10/369787</f>
        <v>12.281123998409896</v>
      </c>
      <c r="G10" s="8">
        <f aca="true" t="shared" si="2" ref="G10:G28">100*D10/118.089</f>
        <v>5.768615197012423</v>
      </c>
      <c r="H10" s="8">
        <f>F10+H9</f>
        <v>59.18380040401637</v>
      </c>
      <c r="I10" s="8">
        <f>G10+I9</f>
        <v>20.455842627171034</v>
      </c>
      <c r="J10" s="11">
        <f>F10*((H10-I10)+(H9-I9))/100</f>
        <v>8.712647751945426</v>
      </c>
      <c r="L10" s="56"/>
      <c r="M10" s="52" t="s">
        <v>69</v>
      </c>
      <c r="N10" s="53">
        <v>0.5633</v>
      </c>
      <c r="O10" s="57"/>
    </row>
    <row r="11" spans="1:15" ht="15">
      <c r="A11" s="1">
        <v>3</v>
      </c>
      <c r="B11" s="1">
        <v>38998</v>
      </c>
      <c r="C11" s="1">
        <v>200</v>
      </c>
      <c r="D11" s="37">
        <f t="shared" si="0"/>
        <v>7.7996</v>
      </c>
      <c r="E11" s="59"/>
      <c r="F11" s="8">
        <f t="shared" si="1"/>
        <v>10.546071116615781</v>
      </c>
      <c r="G11" s="8">
        <f t="shared" si="2"/>
        <v>6.604848885162886</v>
      </c>
      <c r="H11" s="8">
        <f aca="true" t="shared" si="3" ref="H11:H28">F11+H10</f>
        <v>69.72987152063214</v>
      </c>
      <c r="I11" s="8">
        <f aca="true" t="shared" si="4" ref="I11:I28">G11+I10</f>
        <v>27.060691512333918</v>
      </c>
      <c r="J11" s="11">
        <f aca="true" t="shared" si="5" ref="J11:J28">F11*((H11-I11)+(H10-I10))/100</f>
        <v>8.584200037710975</v>
      </c>
      <c r="L11" s="57"/>
      <c r="M11" s="52"/>
      <c r="N11" s="54" t="s">
        <v>60</v>
      </c>
      <c r="O11" s="57"/>
    </row>
    <row r="12" spans="1:15" ht="15">
      <c r="A12" s="1">
        <v>4</v>
      </c>
      <c r="B12" s="1">
        <v>26816</v>
      </c>
      <c r="C12" s="1">
        <v>240</v>
      </c>
      <c r="D12" s="37">
        <f t="shared" si="0"/>
        <v>6.43584</v>
      </c>
      <c r="E12" s="59"/>
      <c r="F12" s="8">
        <f t="shared" si="1"/>
        <v>7.251742219169413</v>
      </c>
      <c r="G12" s="8">
        <f t="shared" si="2"/>
        <v>5.44999110840129</v>
      </c>
      <c r="H12" s="8">
        <f t="shared" si="3"/>
        <v>76.98161373980156</v>
      </c>
      <c r="I12" s="8">
        <f t="shared" si="4"/>
        <v>32.51068262073521</v>
      </c>
      <c r="J12" s="11">
        <f t="shared" si="5"/>
        <v>6.319176228454242</v>
      </c>
      <c r="L12" s="57"/>
      <c r="M12" s="52" t="s">
        <v>61</v>
      </c>
      <c r="N12" s="55">
        <v>16.989025226735762</v>
      </c>
      <c r="O12" s="57"/>
    </row>
    <row r="13" spans="1:15" ht="15">
      <c r="A13" s="1">
        <v>5</v>
      </c>
      <c r="B13" s="1">
        <v>16799</v>
      </c>
      <c r="C13" s="1">
        <v>300</v>
      </c>
      <c r="D13" s="37">
        <f t="shared" si="0"/>
        <v>5.0397</v>
      </c>
      <c r="E13" s="59"/>
      <c r="F13" s="8">
        <f t="shared" si="1"/>
        <v>4.542885498949395</v>
      </c>
      <c r="G13" s="8">
        <f t="shared" si="2"/>
        <v>4.267713334857607</v>
      </c>
      <c r="H13" s="8">
        <f t="shared" si="3"/>
        <v>81.52449923875095</v>
      </c>
      <c r="I13" s="8">
        <f t="shared" si="4"/>
        <v>36.77839595559281</v>
      </c>
      <c r="J13" s="11">
        <f t="shared" si="5"/>
        <v>4.053027718451349</v>
      </c>
      <c r="L13" s="57"/>
      <c r="M13" s="52" t="s">
        <v>62</v>
      </c>
      <c r="N13" s="55">
        <v>39.500215938825775</v>
      </c>
      <c r="O13" s="57"/>
    </row>
    <row r="14" spans="1:15" ht="15">
      <c r="A14" s="1">
        <v>6</v>
      </c>
      <c r="B14" s="1">
        <v>18959</v>
      </c>
      <c r="C14" s="1">
        <v>400</v>
      </c>
      <c r="D14" s="37">
        <f t="shared" si="0"/>
        <v>7.5836</v>
      </c>
      <c r="E14" s="59"/>
      <c r="F14" s="8">
        <f t="shared" si="1"/>
        <v>5.127005546436192</v>
      </c>
      <c r="G14" s="8">
        <f t="shared" si="2"/>
        <v>6.4219359974256705</v>
      </c>
      <c r="H14" s="8">
        <f t="shared" si="3"/>
        <v>86.65150478518714</v>
      </c>
      <c r="I14" s="8">
        <f t="shared" si="4"/>
        <v>43.200331953018484</v>
      </c>
      <c r="J14" s="11">
        <f t="shared" si="5"/>
        <v>4.521879238238447</v>
      </c>
      <c r="L14" s="57"/>
      <c r="M14" s="52" t="s">
        <v>63</v>
      </c>
      <c r="N14" s="55">
        <v>51.341682967930964</v>
      </c>
      <c r="O14" s="57"/>
    </row>
    <row r="15" spans="1:15" ht="15">
      <c r="A15" s="1">
        <v>7</v>
      </c>
      <c r="B15" s="1">
        <v>9841</v>
      </c>
      <c r="C15" s="1">
        <v>500</v>
      </c>
      <c r="D15" s="37">
        <f t="shared" si="0"/>
        <v>4.9205</v>
      </c>
      <c r="E15" s="59"/>
      <c r="F15" s="8">
        <f t="shared" si="1"/>
        <v>2.661261753387761</v>
      </c>
      <c r="G15" s="8">
        <f t="shared" si="2"/>
        <v>4.166772519032255</v>
      </c>
      <c r="H15" s="8">
        <f t="shared" si="3"/>
        <v>89.3127665385749</v>
      </c>
      <c r="I15" s="8">
        <f t="shared" si="4"/>
        <v>47.36710447205074</v>
      </c>
      <c r="J15" s="11">
        <f t="shared" si="5"/>
        <v>2.272633305762604</v>
      </c>
      <c r="L15" s="57"/>
      <c r="M15" s="52" t="s">
        <v>64</v>
      </c>
      <c r="N15" s="55">
        <v>64.65376114625408</v>
      </c>
      <c r="O15" s="57"/>
    </row>
    <row r="16" spans="1:15" ht="15">
      <c r="A16" s="1">
        <v>8</v>
      </c>
      <c r="B16" s="1">
        <v>13806</v>
      </c>
      <c r="C16" s="1">
        <v>600</v>
      </c>
      <c r="D16" s="37">
        <f t="shared" si="0"/>
        <v>8.2836</v>
      </c>
      <c r="E16" s="59"/>
      <c r="F16" s="8">
        <f t="shared" si="1"/>
        <v>3.7335006368531074</v>
      </c>
      <c r="G16" s="8">
        <f t="shared" si="2"/>
        <v>7.0147092447222015</v>
      </c>
      <c r="H16" s="8">
        <f t="shared" si="3"/>
        <v>93.04626717542801</v>
      </c>
      <c r="I16" s="8">
        <f t="shared" si="4"/>
        <v>54.38181371677294</v>
      </c>
      <c r="J16" s="11">
        <f t="shared" si="5"/>
        <v>3.0095791765005924</v>
      </c>
      <c r="L16" s="57"/>
      <c r="M16" s="52" t="s">
        <v>65</v>
      </c>
      <c r="N16" s="55">
        <f>100-N15-N17</f>
        <v>22.820533665286362</v>
      </c>
      <c r="O16" s="57"/>
    </row>
    <row r="17" spans="1:15" ht="15">
      <c r="A17" s="1">
        <v>9</v>
      </c>
      <c r="B17" s="1">
        <v>7398</v>
      </c>
      <c r="C17" s="1">
        <v>1000</v>
      </c>
      <c r="D17" s="37">
        <f t="shared" si="0"/>
        <v>7.398</v>
      </c>
      <c r="E17" s="59"/>
      <c r="F17" s="8">
        <f t="shared" si="1"/>
        <v>2.000611162642278</v>
      </c>
      <c r="G17" s="60">
        <f t="shared" si="2"/>
        <v>6.264766404999619</v>
      </c>
      <c r="H17" s="61">
        <f t="shared" si="3"/>
        <v>95.04687833807029</v>
      </c>
      <c r="I17" s="60">
        <f t="shared" si="4"/>
        <v>60.64658012177256</v>
      </c>
      <c r="J17" s="11">
        <f t="shared" si="5"/>
        <v>1.4617415779659666</v>
      </c>
      <c r="L17" s="57"/>
      <c r="M17" s="52" t="s">
        <v>66</v>
      </c>
      <c r="N17" s="55">
        <v>12.525705188459554</v>
      </c>
      <c r="O17" s="57"/>
    </row>
    <row r="18" spans="1:15" ht="15">
      <c r="A18" s="1">
        <v>10</v>
      </c>
      <c r="B18" s="1">
        <v>7735</v>
      </c>
      <c r="C18" s="1">
        <v>1500</v>
      </c>
      <c r="D18" s="37">
        <f t="shared" si="0"/>
        <v>11.6025</v>
      </c>
      <c r="E18" s="59"/>
      <c r="F18" s="8">
        <f t="shared" si="1"/>
        <v>2.0917447070881345</v>
      </c>
      <c r="G18" s="60">
        <f t="shared" si="2"/>
        <v>9.825216573939995</v>
      </c>
      <c r="H18" s="60">
        <f t="shared" si="3"/>
        <v>97.13862304515843</v>
      </c>
      <c r="I18" s="60">
        <f t="shared" si="4"/>
        <v>70.47179669571256</v>
      </c>
      <c r="J18" s="11">
        <f t="shared" si="5"/>
        <v>1.2773683458748597</v>
      </c>
      <c r="L18" s="57"/>
      <c r="M18" s="52"/>
      <c r="N18" s="55"/>
      <c r="O18" s="57"/>
    </row>
    <row r="19" spans="1:15" ht="15">
      <c r="A19" s="1">
        <v>11</v>
      </c>
      <c r="B19" s="1">
        <v>5842</v>
      </c>
      <c r="C19" s="1">
        <v>2000</v>
      </c>
      <c r="D19" s="37">
        <f t="shared" si="0"/>
        <v>11.684</v>
      </c>
      <c r="E19" s="59"/>
      <c r="F19" s="7">
        <f t="shared" si="1"/>
        <v>1.579828387693456</v>
      </c>
      <c r="G19" s="60">
        <f t="shared" si="2"/>
        <v>9.894232316303803</v>
      </c>
      <c r="H19" s="60">
        <f t="shared" si="3"/>
        <v>98.71845143285188</v>
      </c>
      <c r="I19" s="60">
        <f t="shared" si="4"/>
        <v>80.36602901201636</v>
      </c>
      <c r="J19" s="11">
        <f t="shared" si="5"/>
        <v>0.7112268719992426</v>
      </c>
      <c r="L19" s="57"/>
      <c r="M19" s="52" t="s">
        <v>67</v>
      </c>
      <c r="N19" s="58">
        <v>319.3</v>
      </c>
      <c r="O19" s="57"/>
    </row>
    <row r="20" spans="1:15" ht="15">
      <c r="A20" s="1">
        <v>12</v>
      </c>
      <c r="B20" s="1">
        <v>1349</v>
      </c>
      <c r="C20" s="1">
        <v>3000</v>
      </c>
      <c r="D20" s="37">
        <f t="shared" si="0"/>
        <v>4.047</v>
      </c>
      <c r="E20" s="59"/>
      <c r="F20" s="7">
        <f t="shared" si="1"/>
        <v>0.3648046037313372</v>
      </c>
      <c r="G20" s="60">
        <f t="shared" si="2"/>
        <v>3.4270761882986562</v>
      </c>
      <c r="H20" s="60">
        <f t="shared" si="3"/>
        <v>99.08325603658322</v>
      </c>
      <c r="I20" s="60">
        <f t="shared" si="4"/>
        <v>83.79310520031501</v>
      </c>
      <c r="J20" s="11">
        <f t="shared" si="5"/>
        <v>0.12272965605560211</v>
      </c>
      <c r="L20" s="57"/>
      <c r="M20" s="52" t="s">
        <v>68</v>
      </c>
      <c r="N20" s="58">
        <v>150</v>
      </c>
      <c r="O20" s="57"/>
    </row>
    <row r="21" spans="1:15" ht="15">
      <c r="A21" s="1">
        <v>13</v>
      </c>
      <c r="B21" s="1">
        <v>1506</v>
      </c>
      <c r="C21" s="1">
        <v>4000</v>
      </c>
      <c r="D21" s="37">
        <f t="shared" si="0"/>
        <v>6.024</v>
      </c>
      <c r="E21" s="59"/>
      <c r="F21" s="8">
        <f t="shared" si="1"/>
        <v>0.40726147755329417</v>
      </c>
      <c r="G21" s="60">
        <f t="shared" si="2"/>
        <v>5.101237202449</v>
      </c>
      <c r="H21" s="60">
        <f t="shared" si="3"/>
        <v>99.49051751413651</v>
      </c>
      <c r="I21" s="60">
        <f t="shared" si="4"/>
        <v>88.89434240276401</v>
      </c>
      <c r="J21" s="11">
        <f t="shared" si="5"/>
        <v>0.10542503353862336</v>
      </c>
      <c r="L21" s="57"/>
      <c r="M21" s="57"/>
      <c r="N21" s="57"/>
      <c r="O21" s="57"/>
    </row>
    <row r="22" spans="1:10" ht="15">
      <c r="A22" s="1">
        <v>14</v>
      </c>
      <c r="B22" s="1">
        <v>749</v>
      </c>
      <c r="C22" s="1">
        <v>5000</v>
      </c>
      <c r="D22" s="37">
        <f t="shared" si="0"/>
        <v>3.745</v>
      </c>
      <c r="E22" s="59"/>
      <c r="F22" s="8">
        <f t="shared" si="1"/>
        <v>0.20254903498500487</v>
      </c>
      <c r="G22" s="60">
        <f t="shared" si="2"/>
        <v>3.171336873036439</v>
      </c>
      <c r="H22" s="60">
        <f t="shared" si="3"/>
        <v>99.69306654912153</v>
      </c>
      <c r="I22" s="60">
        <f t="shared" si="4"/>
        <v>92.06567927580045</v>
      </c>
      <c r="J22" s="11">
        <f t="shared" si="5"/>
        <v>0.036911649750087185</v>
      </c>
    </row>
    <row r="23" spans="1:10" ht="15">
      <c r="A23" s="1">
        <v>15</v>
      </c>
      <c r="B23" s="1">
        <v>445</v>
      </c>
      <c r="C23" s="1">
        <v>6000</v>
      </c>
      <c r="D23" s="37">
        <f t="shared" si="0"/>
        <v>2.67</v>
      </c>
      <c r="E23" s="59"/>
      <c r="F23" s="7">
        <f t="shared" si="1"/>
        <v>0.12033954682019649</v>
      </c>
      <c r="G23" s="60">
        <f t="shared" si="2"/>
        <v>2.2610065289739096</v>
      </c>
      <c r="H23" s="60">
        <f t="shared" si="3"/>
        <v>99.81340609594172</v>
      </c>
      <c r="I23" s="60">
        <f t="shared" si="4"/>
        <v>94.32668580477436</v>
      </c>
      <c r="J23" s="11">
        <f t="shared" si="5"/>
        <v>0.01578145761261849</v>
      </c>
    </row>
    <row r="24" spans="1:10" ht="15">
      <c r="A24" s="1">
        <v>16</v>
      </c>
      <c r="B24" s="1">
        <v>385</v>
      </c>
      <c r="C24" s="1">
        <v>8000</v>
      </c>
      <c r="D24" s="37">
        <f t="shared" si="0"/>
        <v>3.08</v>
      </c>
      <c r="E24" s="59"/>
      <c r="F24" s="7">
        <f t="shared" si="1"/>
        <v>0.10411398994556326</v>
      </c>
      <c r="G24" s="8">
        <f t="shared" si="2"/>
        <v>2.6082022881047346</v>
      </c>
      <c r="H24" s="8">
        <f t="shared" si="3"/>
        <v>99.91752008588728</v>
      </c>
      <c r="I24" s="8">
        <f t="shared" si="4"/>
        <v>96.93488809287909</v>
      </c>
      <c r="J24" s="11">
        <f t="shared" si="5"/>
        <v>0.008817780585600857</v>
      </c>
    </row>
    <row r="25" spans="1:10" ht="15">
      <c r="A25" s="1">
        <v>17</v>
      </c>
      <c r="B25" s="1">
        <v>211</v>
      </c>
      <c r="C25" s="1">
        <v>10000</v>
      </c>
      <c r="D25" s="37">
        <f t="shared" si="0"/>
        <v>2.11</v>
      </c>
      <c r="E25" s="59"/>
      <c r="F25" s="7">
        <f t="shared" si="1"/>
        <v>0.057059875009126876</v>
      </c>
      <c r="G25" s="8">
        <f t="shared" si="2"/>
        <v>1.786787931136685</v>
      </c>
      <c r="H25" s="8">
        <f t="shared" si="3"/>
        <v>99.9745799608964</v>
      </c>
      <c r="I25" s="8">
        <f t="shared" si="4"/>
        <v>98.72167602401578</v>
      </c>
      <c r="J25" s="12">
        <f t="shared" si="5"/>
        <v>0.0024167915075612154</v>
      </c>
    </row>
    <row r="26" spans="1:10" ht="15">
      <c r="A26" s="1">
        <v>18</v>
      </c>
      <c r="B26" s="1">
        <v>82</v>
      </c>
      <c r="C26" s="1">
        <v>15000</v>
      </c>
      <c r="D26" s="37">
        <f t="shared" si="0"/>
        <v>1.23</v>
      </c>
      <c r="E26" s="59"/>
      <c r="F26" s="7">
        <f t="shared" si="1"/>
        <v>0.02217492772866542</v>
      </c>
      <c r="G26" s="8">
        <f t="shared" si="2"/>
        <v>1.0415872773924753</v>
      </c>
      <c r="H26" s="8">
        <f t="shared" si="3"/>
        <v>99.99675488862508</v>
      </c>
      <c r="I26" s="8">
        <f t="shared" si="4"/>
        <v>99.76326330140826</v>
      </c>
      <c r="J26" s="13">
        <f t="shared" si="5"/>
        <v>0.00032960713323072635</v>
      </c>
    </row>
    <row r="27" spans="1:10" ht="15">
      <c r="A27" s="1">
        <v>19</v>
      </c>
      <c r="B27" s="1">
        <v>8</v>
      </c>
      <c r="C27" s="1">
        <v>20000</v>
      </c>
      <c r="D27" s="37">
        <f t="shared" si="0"/>
        <v>0.16</v>
      </c>
      <c r="E27" s="59"/>
      <c r="F27" s="6">
        <f t="shared" si="1"/>
        <v>0.002163407583284431</v>
      </c>
      <c r="G27" s="8">
        <f t="shared" si="2"/>
        <v>0.13549102795349272</v>
      </c>
      <c r="H27" s="8">
        <f t="shared" si="3"/>
        <v>99.99891829620836</v>
      </c>
      <c r="I27" s="8">
        <f t="shared" si="4"/>
        <v>99.89875432936175</v>
      </c>
      <c r="J27" s="14">
        <f t="shared" si="5"/>
        <v>7.218329558657855E-06</v>
      </c>
    </row>
    <row r="28" spans="1:10" ht="15">
      <c r="A28" s="1">
        <v>20</v>
      </c>
      <c r="B28" s="1">
        <v>4</v>
      </c>
      <c r="C28" s="1">
        <v>30000</v>
      </c>
      <c r="D28" s="37">
        <f t="shared" si="0"/>
        <v>0.12</v>
      </c>
      <c r="E28" s="59"/>
      <c r="F28" s="6">
        <f t="shared" si="1"/>
        <v>0.0010817037916422156</v>
      </c>
      <c r="G28" s="8">
        <f t="shared" si="2"/>
        <v>0.10161827096511954</v>
      </c>
      <c r="H28" s="8">
        <f t="shared" si="3"/>
        <v>100</v>
      </c>
      <c r="I28" s="8">
        <f t="shared" si="4"/>
        <v>100.00037260032687</v>
      </c>
      <c r="J28" s="15">
        <f t="shared" si="5"/>
        <v>1.0794469953755944E-06</v>
      </c>
    </row>
    <row r="30" spans="2:10" ht="15">
      <c r="B30" s="1">
        <v>369787</v>
      </c>
      <c r="C30" s="34">
        <v>319.3444875022648</v>
      </c>
      <c r="D30" s="8">
        <v>118.08944</v>
      </c>
      <c r="E30" s="8"/>
      <c r="I30" s="16" t="s">
        <v>12</v>
      </c>
      <c r="J30" s="17">
        <f>SUM(J9:J28)</f>
        <v>56.32580831243116</v>
      </c>
    </row>
    <row r="31" spans="9:10" ht="15">
      <c r="I31" s="1" t="s">
        <v>18</v>
      </c>
      <c r="J31" s="1">
        <v>57.03</v>
      </c>
    </row>
    <row r="32" ht="15">
      <c r="F32" s="9" t="s">
        <v>44</v>
      </c>
    </row>
    <row r="33" ht="15">
      <c r="F33" s="1" t="s">
        <v>45</v>
      </c>
    </row>
    <row r="34" ht="15">
      <c r="F34" s="1"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IISG-User</dc:creator>
  <cp:keywords/>
  <dc:description/>
  <cp:lastModifiedBy>Peter Lindert</cp:lastModifiedBy>
  <dcterms:created xsi:type="dcterms:W3CDTF">2007-11-26T14:06:18Z</dcterms:created>
  <dcterms:modified xsi:type="dcterms:W3CDTF">2011-03-09T18:57:46Z</dcterms:modified>
  <cp:category/>
  <cp:version/>
  <cp:contentType/>
  <cp:contentStatus/>
</cp:coreProperties>
</file>