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jpeg" ContentType="image/jpeg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40" yWindow="1180" windowWidth="26300" windowHeight="12860" tabRatio="580"/>
  </bookViews>
  <sheets>
    <sheet name="1774 LF summary" sheetId="11" r:id="rId1"/>
    <sheet name="1774 free white age dist" sheetId="13" r:id="rId2"/>
    <sheet name="Maine" sheetId="1" r:id="rId3"/>
    <sheet name="New Hampshire" sheetId="9" r:id="rId4"/>
    <sheet name="Vermont" sheetId="5" r:id="rId5"/>
    <sheet name="Massachusetts" sheetId="6" r:id="rId6"/>
    <sheet name="Rhode Island" sheetId="8" r:id="rId7"/>
    <sheet name="Connecticut" sheetId="7" r:id="rId8"/>
    <sheet name="New York" sheetId="3" r:id="rId9"/>
    <sheet name="New Jersey" sheetId="4" r:id="rId10"/>
    <sheet name="Maryland" sheetId="2" r:id="rId11"/>
    <sheet name="6 other colonies" sheetId="10" r:id="rId12"/>
    <sheet name="Slave age shares" sheetId="12" r:id="rId13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63" i="13"/>
  <c r="I63"/>
  <c r="H63"/>
  <c r="C63"/>
  <c r="J62"/>
  <c r="I62"/>
  <c r="H62"/>
  <c r="E62"/>
  <c r="D62"/>
  <c r="C62"/>
  <c r="K61"/>
  <c r="J61"/>
  <c r="I61"/>
  <c r="H61"/>
  <c r="F61"/>
  <c r="C61"/>
  <c r="C59"/>
  <c r="E58"/>
  <c r="D58"/>
  <c r="C58"/>
  <c r="F57"/>
  <c r="C57"/>
  <c r="C55"/>
  <c r="E54"/>
  <c r="D54"/>
  <c r="C54"/>
  <c r="F53"/>
  <c r="C53"/>
  <c r="J51"/>
  <c r="I51"/>
  <c r="H51"/>
  <c r="C51"/>
  <c r="J50"/>
  <c r="I50"/>
  <c r="H50"/>
  <c r="E50"/>
  <c r="D50"/>
  <c r="C50"/>
  <c r="K49"/>
  <c r="J49"/>
  <c r="I49"/>
  <c r="H49"/>
  <c r="F49"/>
  <c r="C49"/>
  <c r="F45"/>
  <c r="C43"/>
  <c r="E42"/>
  <c r="D42"/>
  <c r="C42"/>
  <c r="F41"/>
  <c r="C41"/>
  <c r="C39"/>
  <c r="E38"/>
  <c r="D38"/>
  <c r="C38"/>
  <c r="F37"/>
  <c r="C37"/>
  <c r="J35"/>
  <c r="I35"/>
  <c r="H35"/>
  <c r="J34"/>
  <c r="I34"/>
  <c r="H34"/>
  <c r="K33"/>
  <c r="J33"/>
  <c r="I33"/>
  <c r="H33"/>
  <c r="F33"/>
  <c r="F29"/>
  <c r="J27"/>
  <c r="I27"/>
  <c r="H27"/>
  <c r="J26"/>
  <c r="I26"/>
  <c r="H26"/>
  <c r="K25"/>
  <c r="J25"/>
  <c r="I25"/>
  <c r="H25"/>
  <c r="C11" i="11"/>
  <c r="D11"/>
  <c r="C12"/>
  <c r="D12"/>
  <c r="C13"/>
  <c r="D13"/>
  <c r="C14"/>
  <c r="D14"/>
  <c r="C15"/>
  <c r="D15"/>
  <c r="E16"/>
  <c r="F16"/>
  <c r="G16"/>
  <c r="H16"/>
  <c r="I16"/>
  <c r="J16"/>
  <c r="K16"/>
  <c r="L16"/>
  <c r="N16"/>
  <c r="C16"/>
  <c r="B16"/>
  <c r="D16"/>
  <c r="C18"/>
  <c r="D18"/>
  <c r="C19"/>
  <c r="D19"/>
  <c r="C20"/>
  <c r="D20"/>
  <c r="C21"/>
  <c r="D21"/>
  <c r="E23"/>
  <c r="F23"/>
  <c r="G23"/>
  <c r="H23"/>
  <c r="I23"/>
  <c r="J23"/>
  <c r="K23"/>
  <c r="L23"/>
  <c r="N23"/>
  <c r="C23"/>
  <c r="B23"/>
  <c r="D23"/>
  <c r="E24"/>
  <c r="F24"/>
  <c r="G24"/>
  <c r="H24"/>
  <c r="I24"/>
  <c r="J24"/>
  <c r="K24"/>
  <c r="L24"/>
  <c r="N24"/>
  <c r="C24"/>
  <c r="B24"/>
  <c r="D24"/>
  <c r="E25"/>
  <c r="F25"/>
  <c r="G25"/>
  <c r="H25"/>
  <c r="I25"/>
  <c r="J25"/>
  <c r="K25"/>
  <c r="L25"/>
  <c r="N25"/>
  <c r="C25"/>
  <c r="B25"/>
  <c r="D25"/>
  <c r="C27"/>
  <c r="B27"/>
  <c r="D27"/>
  <c r="C28"/>
  <c r="D28"/>
  <c r="C29"/>
  <c r="D29"/>
  <c r="C30"/>
  <c r="D30"/>
  <c r="C31"/>
  <c r="D31"/>
  <c r="E33"/>
  <c r="F33"/>
  <c r="G33"/>
  <c r="H33"/>
  <c r="I33"/>
  <c r="J33"/>
  <c r="K33"/>
  <c r="L33"/>
  <c r="M33"/>
  <c r="N33"/>
  <c r="C33"/>
  <c r="B33"/>
  <c r="D33"/>
  <c r="E34"/>
  <c r="F34"/>
  <c r="G34"/>
  <c r="H34"/>
  <c r="I34"/>
  <c r="J34"/>
  <c r="K34"/>
  <c r="L34"/>
  <c r="M34"/>
  <c r="N34"/>
  <c r="C34"/>
  <c r="B34"/>
  <c r="D34"/>
  <c r="E36"/>
  <c r="F36"/>
  <c r="G36"/>
  <c r="H36"/>
  <c r="I36"/>
  <c r="J36"/>
  <c r="K36"/>
  <c r="L36"/>
  <c r="M36"/>
  <c r="N36"/>
  <c r="C36"/>
  <c r="B36"/>
  <c r="D36"/>
  <c r="C10"/>
  <c r="D10"/>
  <c r="P36"/>
  <c r="S33"/>
  <c r="S34"/>
  <c r="R33"/>
  <c r="R34"/>
  <c r="Q34"/>
  <c r="P34"/>
  <c r="Q33"/>
  <c r="P33"/>
  <c r="P32"/>
  <c r="Q31"/>
  <c r="P31"/>
  <c r="Q30"/>
  <c r="P30"/>
  <c r="Q29"/>
  <c r="P29"/>
  <c r="Q28"/>
  <c r="P28"/>
  <c r="P27"/>
  <c r="S25"/>
  <c r="R25"/>
  <c r="Q25"/>
  <c r="P25"/>
  <c r="S24"/>
  <c r="R24"/>
  <c r="Q24"/>
  <c r="P24"/>
  <c r="S23"/>
  <c r="R23"/>
  <c r="Q23"/>
  <c r="P23"/>
  <c r="Q21"/>
  <c r="P21"/>
  <c r="Q20"/>
  <c r="P20"/>
  <c r="Q19"/>
  <c r="P19"/>
  <c r="Q18"/>
  <c r="P18"/>
  <c r="S16"/>
  <c r="R16"/>
  <c r="Q16"/>
  <c r="P16"/>
  <c r="Q15"/>
  <c r="P15"/>
  <c r="Q14"/>
  <c r="P14"/>
  <c r="Q13"/>
  <c r="P13"/>
  <c r="Q12"/>
  <c r="P12"/>
  <c r="Q11"/>
  <c r="P11"/>
  <c r="Q10"/>
  <c r="P10"/>
  <c r="O37" i="10"/>
  <c r="O36"/>
  <c r="O35"/>
  <c r="O34"/>
  <c r="O33"/>
  <c r="O32"/>
  <c r="T28"/>
  <c r="S28"/>
  <c r="R28"/>
  <c r="Q28"/>
  <c r="P28"/>
  <c r="O28"/>
  <c r="M28"/>
  <c r="L28"/>
  <c r="K28"/>
  <c r="J28"/>
  <c r="I28"/>
  <c r="H28"/>
  <c r="T27"/>
  <c r="S27"/>
  <c r="R27"/>
  <c r="Q27"/>
  <c r="P27"/>
  <c r="O27"/>
  <c r="M27"/>
  <c r="L27"/>
  <c r="K27"/>
  <c r="J27"/>
  <c r="I27"/>
  <c r="H27"/>
  <c r="T26"/>
  <c r="S26"/>
  <c r="R26"/>
  <c r="Q26"/>
  <c r="P26"/>
  <c r="O26"/>
  <c r="M26"/>
  <c r="L26"/>
  <c r="K26"/>
  <c r="J26"/>
  <c r="I26"/>
  <c r="H26"/>
  <c r="T25"/>
  <c r="S25"/>
  <c r="R25"/>
  <c r="Q25"/>
  <c r="P25"/>
  <c r="O25"/>
  <c r="M25"/>
  <c r="L25"/>
  <c r="K25"/>
  <c r="J25"/>
  <c r="I25"/>
  <c r="H25"/>
  <c r="T24"/>
  <c r="S24"/>
  <c r="R24"/>
  <c r="Q24"/>
  <c r="P24"/>
  <c r="O24"/>
  <c r="M24"/>
  <c r="L24"/>
  <c r="K24"/>
  <c r="J24"/>
  <c r="I24"/>
  <c r="H24"/>
  <c r="T23"/>
  <c r="S23"/>
  <c r="R23"/>
  <c r="Q23"/>
  <c r="P23"/>
  <c r="O23"/>
  <c r="M23"/>
  <c r="L23"/>
  <c r="K23"/>
  <c r="J23"/>
  <c r="I23"/>
  <c r="H23"/>
  <c r="BH16"/>
  <c r="BG16"/>
  <c r="BF16"/>
  <c r="BE16"/>
  <c r="BD16"/>
  <c r="BB16"/>
  <c r="BA16"/>
  <c r="AY16"/>
  <c r="AX16"/>
  <c r="AV16"/>
  <c r="AU16"/>
  <c r="AL16"/>
  <c r="AK16"/>
  <c r="AJ16"/>
  <c r="AI16"/>
  <c r="AH16"/>
  <c r="AG16"/>
  <c r="AF16"/>
  <c r="AE16"/>
  <c r="AD16"/>
  <c r="AC16"/>
  <c r="AB16"/>
  <c r="AA16"/>
  <c r="Z16"/>
  <c r="Y16"/>
  <c r="X16"/>
  <c r="W16"/>
  <c r="R16"/>
  <c r="Q16"/>
  <c r="P16"/>
  <c r="O16"/>
  <c r="H16"/>
  <c r="E16"/>
  <c r="BH15"/>
  <c r="BG15"/>
  <c r="BF15"/>
  <c r="BE15"/>
  <c r="BD15"/>
  <c r="BB15"/>
  <c r="BA15"/>
  <c r="AY15"/>
  <c r="AX15"/>
  <c r="AV15"/>
  <c r="AU15"/>
  <c r="AL15"/>
  <c r="AK15"/>
  <c r="AJ15"/>
  <c r="AI15"/>
  <c r="AH15"/>
  <c r="AG15"/>
  <c r="AF15"/>
  <c r="AE15"/>
  <c r="AD15"/>
  <c r="AC15"/>
  <c r="AB15"/>
  <c r="AA15"/>
  <c r="Z15"/>
  <c r="Y15"/>
  <c r="X15"/>
  <c r="W15"/>
  <c r="R15"/>
  <c r="Q15"/>
  <c r="P15"/>
  <c r="O15"/>
  <c r="H15"/>
  <c r="E15"/>
  <c r="C15"/>
  <c r="BH14"/>
  <c r="BG14"/>
  <c r="BF14"/>
  <c r="BE14"/>
  <c r="BD14"/>
  <c r="BB14"/>
  <c r="BA14"/>
  <c r="AY14"/>
  <c r="AX14"/>
  <c r="AV14"/>
  <c r="AU14"/>
  <c r="AL14"/>
  <c r="AK14"/>
  <c r="AJ14"/>
  <c r="AI14"/>
  <c r="AH14"/>
  <c r="AG14"/>
  <c r="AF14"/>
  <c r="AE14"/>
  <c r="AD14"/>
  <c r="AC14"/>
  <c r="AB14"/>
  <c r="AA14"/>
  <c r="Z14"/>
  <c r="Y14"/>
  <c r="X14"/>
  <c r="W14"/>
  <c r="R14"/>
  <c r="Q14"/>
  <c r="P14"/>
  <c r="O14"/>
  <c r="H14"/>
  <c r="E14"/>
  <c r="BH13"/>
  <c r="BG13"/>
  <c r="BF13"/>
  <c r="BE13"/>
  <c r="BD13"/>
  <c r="BB13"/>
  <c r="BA13"/>
  <c r="AY13"/>
  <c r="AX13"/>
  <c r="AV13"/>
  <c r="AU13"/>
  <c r="AL13"/>
  <c r="AK13"/>
  <c r="AJ13"/>
  <c r="AI13"/>
  <c r="AH13"/>
  <c r="AG13"/>
  <c r="AF13"/>
  <c r="AE13"/>
  <c r="AD13"/>
  <c r="AC13"/>
  <c r="AB13"/>
  <c r="AA13"/>
  <c r="Z13"/>
  <c r="Y13"/>
  <c r="X13"/>
  <c r="W13"/>
  <c r="R13"/>
  <c r="Q13"/>
  <c r="P13"/>
  <c r="O13"/>
  <c r="H13"/>
  <c r="E13"/>
  <c r="BH12"/>
  <c r="BG12"/>
  <c r="BF12"/>
  <c r="BE12"/>
  <c r="BD12"/>
  <c r="BB12"/>
  <c r="BA12"/>
  <c r="AY12"/>
  <c r="AX12"/>
  <c r="AV12"/>
  <c r="AU12"/>
  <c r="AL12"/>
  <c r="AK12"/>
  <c r="AJ12"/>
  <c r="AI12"/>
  <c r="AH12"/>
  <c r="AG12"/>
  <c r="AF12"/>
  <c r="AE12"/>
  <c r="AD12"/>
  <c r="AC12"/>
  <c r="AB12"/>
  <c r="AA12"/>
  <c r="Z12"/>
  <c r="Y12"/>
  <c r="X12"/>
  <c r="W12"/>
  <c r="R12"/>
  <c r="Q12"/>
  <c r="P12"/>
  <c r="O12"/>
  <c r="H12"/>
  <c r="E12"/>
  <c r="BH11"/>
  <c r="BG11"/>
  <c r="BF11"/>
  <c r="BE11"/>
  <c r="BD11"/>
  <c r="BB11"/>
  <c r="BA11"/>
  <c r="AY11"/>
  <c r="AX11"/>
  <c r="AV11"/>
  <c r="AU11"/>
  <c r="AL11"/>
  <c r="AK11"/>
  <c r="AJ11"/>
  <c r="AI11"/>
  <c r="AH11"/>
  <c r="AG11"/>
  <c r="AF11"/>
  <c r="AE11"/>
  <c r="AD11"/>
  <c r="AC11"/>
  <c r="AB11"/>
  <c r="AA11"/>
  <c r="Z11"/>
  <c r="Y11"/>
  <c r="X11"/>
  <c r="W11"/>
  <c r="R11"/>
  <c r="Q11"/>
  <c r="P11"/>
  <c r="O11"/>
  <c r="H11"/>
  <c r="E11"/>
  <c r="K36" i="7"/>
  <c r="J36"/>
  <c r="I36"/>
  <c r="K35"/>
  <c r="J35"/>
  <c r="I35"/>
  <c r="AG34"/>
  <c r="K34"/>
  <c r="J34"/>
  <c r="I34"/>
  <c r="AG33"/>
  <c r="AG32"/>
  <c r="AI25"/>
  <c r="AH25"/>
  <c r="AG25"/>
  <c r="Z25"/>
  <c r="Y25"/>
  <c r="X25"/>
  <c r="AI24"/>
  <c r="AH24"/>
  <c r="AG24"/>
  <c r="AE24"/>
  <c r="AD24"/>
  <c r="Z24"/>
  <c r="Y24"/>
  <c r="X24"/>
  <c r="AI23"/>
  <c r="AH23"/>
  <c r="AG23"/>
  <c r="Z23"/>
  <c r="Y23"/>
  <c r="X23"/>
  <c r="N22"/>
  <c r="M22"/>
  <c r="L22"/>
  <c r="I22"/>
  <c r="F22"/>
  <c r="AI21"/>
  <c r="AH21"/>
  <c r="AG21"/>
  <c r="Z21"/>
  <c r="Y21"/>
  <c r="X21"/>
  <c r="N21"/>
  <c r="M21"/>
  <c r="L21"/>
  <c r="I21"/>
  <c r="F21"/>
  <c r="AI20"/>
  <c r="AH20"/>
  <c r="AG20"/>
  <c r="AE20"/>
  <c r="AD20"/>
  <c r="Z20"/>
  <c r="Y20"/>
  <c r="X20"/>
  <c r="AI19"/>
  <c r="AH19"/>
  <c r="AG19"/>
  <c r="Z19"/>
  <c r="Y19"/>
  <c r="X19"/>
  <c r="AI17"/>
  <c r="AH17"/>
  <c r="AG17"/>
  <c r="AI16"/>
  <c r="AH16"/>
  <c r="AG16"/>
  <c r="AI15"/>
  <c r="AH15"/>
  <c r="AG15"/>
  <c r="AI13"/>
  <c r="AH13"/>
  <c r="AG13"/>
  <c r="X13"/>
  <c r="AI12"/>
  <c r="AH12"/>
  <c r="AG12"/>
  <c r="AE12"/>
  <c r="AD12"/>
  <c r="X12"/>
  <c r="AI11"/>
  <c r="AH11"/>
  <c r="AG11"/>
  <c r="X11"/>
  <c r="U11"/>
  <c r="AI9"/>
  <c r="AH9"/>
  <c r="AG9"/>
  <c r="Z9"/>
  <c r="Y9"/>
  <c r="X9"/>
  <c r="AI8"/>
  <c r="AH8"/>
  <c r="AG8"/>
  <c r="Z8"/>
  <c r="Y8"/>
  <c r="X8"/>
  <c r="AI7"/>
  <c r="AH7"/>
  <c r="AG7"/>
  <c r="Z7"/>
  <c r="Y7"/>
  <c r="X7"/>
  <c r="AB30" i="1"/>
  <c r="J30"/>
  <c r="I30"/>
  <c r="H30"/>
  <c r="AB29"/>
  <c r="J29"/>
  <c r="I29"/>
  <c r="H29"/>
  <c r="AB28"/>
  <c r="J28"/>
  <c r="I28"/>
  <c r="H28"/>
  <c r="AD20"/>
  <c r="AC20"/>
  <c r="AB20"/>
  <c r="AD19"/>
  <c r="AC19"/>
  <c r="AB19"/>
  <c r="Z19"/>
  <c r="Y19"/>
  <c r="AD18"/>
  <c r="AC18"/>
  <c r="AB18"/>
  <c r="AD16"/>
  <c r="AC16"/>
  <c r="AB16"/>
  <c r="AD15"/>
  <c r="AC15"/>
  <c r="AB15"/>
  <c r="Z15"/>
  <c r="Y15"/>
  <c r="M15"/>
  <c r="L15"/>
  <c r="K15"/>
  <c r="J15"/>
  <c r="I15"/>
  <c r="H15"/>
  <c r="G15"/>
  <c r="AD14"/>
  <c r="AC14"/>
  <c r="AB14"/>
  <c r="M14"/>
  <c r="L14"/>
  <c r="K14"/>
  <c r="J14"/>
  <c r="I14"/>
  <c r="H14"/>
  <c r="G14"/>
  <c r="M13"/>
  <c r="L13"/>
  <c r="K13"/>
  <c r="J13"/>
  <c r="I13"/>
  <c r="H13"/>
  <c r="AD12"/>
  <c r="AC12"/>
  <c r="AB12"/>
  <c r="AD11"/>
  <c r="AC11"/>
  <c r="AB11"/>
  <c r="AD10"/>
  <c r="AC10"/>
  <c r="AB10"/>
  <c r="J72" i="2"/>
  <c r="AC64"/>
  <c r="AC62"/>
  <c r="AC60"/>
  <c r="AB58"/>
  <c r="W58"/>
  <c r="AB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AB56"/>
  <c r="AC55"/>
  <c r="AB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R48"/>
  <c r="Q48"/>
  <c r="P48"/>
  <c r="O48"/>
  <c r="N48"/>
  <c r="M48"/>
  <c r="L48"/>
  <c r="H48"/>
  <c r="G48"/>
  <c r="F48"/>
  <c r="E48"/>
  <c r="R47"/>
  <c r="Q47"/>
  <c r="P47"/>
  <c r="O47"/>
  <c r="N47"/>
  <c r="M47"/>
  <c r="L47"/>
  <c r="H47"/>
  <c r="G47"/>
  <c r="F47"/>
  <c r="E47"/>
  <c r="R46"/>
  <c r="Q46"/>
  <c r="P46"/>
  <c r="O46"/>
  <c r="N46"/>
  <c r="M46"/>
  <c r="L46"/>
  <c r="H46"/>
  <c r="G46"/>
  <c r="F46"/>
  <c r="E46"/>
  <c r="R45"/>
  <c r="Q45"/>
  <c r="P45"/>
  <c r="O45"/>
  <c r="N45"/>
  <c r="M45"/>
  <c r="L45"/>
  <c r="H45"/>
  <c r="G45"/>
  <c r="F45"/>
  <c r="E45"/>
  <c r="R44"/>
  <c r="Q44"/>
  <c r="P44"/>
  <c r="O44"/>
  <c r="N44"/>
  <c r="M44"/>
  <c r="L44"/>
  <c r="H44"/>
  <c r="G44"/>
  <c r="F44"/>
  <c r="E44"/>
  <c r="R43"/>
  <c r="Q43"/>
  <c r="P43"/>
  <c r="O43"/>
  <c r="N43"/>
  <c r="M43"/>
  <c r="L43"/>
  <c r="H43"/>
  <c r="G43"/>
  <c r="F43"/>
  <c r="E43"/>
  <c r="R42"/>
  <c r="Q42"/>
  <c r="P42"/>
  <c r="O42"/>
  <c r="N42"/>
  <c r="M42"/>
  <c r="L42"/>
  <c r="H42"/>
  <c r="G42"/>
  <c r="F42"/>
  <c r="E42"/>
  <c r="R34"/>
  <c r="Q34"/>
  <c r="P34"/>
  <c r="O34"/>
  <c r="N34"/>
  <c r="M34"/>
  <c r="L34"/>
  <c r="H34"/>
  <c r="G34"/>
  <c r="F34"/>
  <c r="E34"/>
  <c r="R33"/>
  <c r="Q33"/>
  <c r="P33"/>
  <c r="O33"/>
  <c r="N33"/>
  <c r="M33"/>
  <c r="L33"/>
  <c r="H33"/>
  <c r="G33"/>
  <c r="F33"/>
  <c r="E33"/>
  <c r="R32"/>
  <c r="Q32"/>
  <c r="P32"/>
  <c r="O32"/>
  <c r="N32"/>
  <c r="M32"/>
  <c r="L32"/>
  <c r="H32"/>
  <c r="G32"/>
  <c r="F32"/>
  <c r="E32"/>
  <c r="R31"/>
  <c r="Q31"/>
  <c r="P31"/>
  <c r="O31"/>
  <c r="N31"/>
  <c r="M31"/>
  <c r="L31"/>
  <c r="H31"/>
  <c r="G31"/>
  <c r="F31"/>
  <c r="E31"/>
  <c r="R30"/>
  <c r="Q30"/>
  <c r="P30"/>
  <c r="O30"/>
  <c r="N30"/>
  <c r="M30"/>
  <c r="L30"/>
  <c r="H30"/>
  <c r="G30"/>
  <c r="F30"/>
  <c r="E30"/>
  <c r="R29"/>
  <c r="Q29"/>
  <c r="P29"/>
  <c r="O29"/>
  <c r="N29"/>
  <c r="M29"/>
  <c r="L29"/>
  <c r="H29"/>
  <c r="G29"/>
  <c r="F29"/>
  <c r="E29"/>
  <c r="R28"/>
  <c r="Q28"/>
  <c r="P28"/>
  <c r="O28"/>
  <c r="N28"/>
  <c r="M28"/>
  <c r="L28"/>
  <c r="Q24"/>
  <c r="P24"/>
  <c r="O24"/>
  <c r="N24"/>
  <c r="M24"/>
  <c r="L24"/>
  <c r="Q21"/>
  <c r="P21"/>
  <c r="O21"/>
  <c r="N21"/>
  <c r="M21"/>
  <c r="L21"/>
  <c r="E21"/>
  <c r="Q20"/>
  <c r="P20"/>
  <c r="O20"/>
  <c r="N20"/>
  <c r="M20"/>
  <c r="L20"/>
  <c r="E20"/>
  <c r="AC33" i="6"/>
  <c r="AC32"/>
  <c r="AC31"/>
  <c r="K31"/>
  <c r="J31"/>
  <c r="I31"/>
  <c r="K30"/>
  <c r="J30"/>
  <c r="I30"/>
  <c r="K29"/>
  <c r="J29"/>
  <c r="I29"/>
  <c r="A27"/>
  <c r="AA21"/>
  <c r="Z21"/>
  <c r="AE18"/>
  <c r="AD18"/>
  <c r="AC18"/>
  <c r="AE17"/>
  <c r="AD17"/>
  <c r="AC17"/>
  <c r="AA17"/>
  <c r="Z17"/>
  <c r="AE16"/>
  <c r="AD16"/>
  <c r="AC16"/>
  <c r="L14"/>
  <c r="K14"/>
  <c r="J14"/>
  <c r="I14"/>
  <c r="H14"/>
  <c r="G14"/>
  <c r="AE13"/>
  <c r="AD13"/>
  <c r="AC13"/>
  <c r="L13"/>
  <c r="K13"/>
  <c r="J13"/>
  <c r="I13"/>
  <c r="H13"/>
  <c r="G13"/>
  <c r="AE12"/>
  <c r="AD12"/>
  <c r="AC12"/>
  <c r="AA12"/>
  <c r="Z12"/>
  <c r="L12"/>
  <c r="K12"/>
  <c r="J12"/>
  <c r="I12"/>
  <c r="H12"/>
  <c r="G12"/>
  <c r="F12"/>
  <c r="AE11"/>
  <c r="AD11"/>
  <c r="AC11"/>
  <c r="AE9"/>
  <c r="AD9"/>
  <c r="AC9"/>
  <c r="AE8"/>
  <c r="AD8"/>
  <c r="AC8"/>
  <c r="AE7"/>
  <c r="AD7"/>
  <c r="AC7"/>
  <c r="J38" i="9"/>
  <c r="I38"/>
  <c r="H38"/>
  <c r="J37"/>
  <c r="I37"/>
  <c r="H37"/>
  <c r="J36"/>
  <c r="I36"/>
  <c r="H36"/>
  <c r="AE35"/>
  <c r="AE34"/>
  <c r="AE33"/>
  <c r="AG26"/>
  <c r="AF26"/>
  <c r="AE26"/>
  <c r="X26"/>
  <c r="W26"/>
  <c r="V26"/>
  <c r="AG25"/>
  <c r="AF25"/>
  <c r="AE25"/>
  <c r="AC25"/>
  <c r="AB25"/>
  <c r="X25"/>
  <c r="W25"/>
  <c r="V25"/>
  <c r="AG24"/>
  <c r="AF24"/>
  <c r="AE24"/>
  <c r="X24"/>
  <c r="W24"/>
  <c r="V24"/>
  <c r="AG22"/>
  <c r="AF22"/>
  <c r="AE22"/>
  <c r="X22"/>
  <c r="W22"/>
  <c r="V22"/>
  <c r="AG21"/>
  <c r="AF21"/>
  <c r="AE21"/>
  <c r="AC21"/>
  <c r="AB21"/>
  <c r="X21"/>
  <c r="W21"/>
  <c r="V21"/>
  <c r="AG20"/>
  <c r="AF20"/>
  <c r="AE20"/>
  <c r="X20"/>
  <c r="W20"/>
  <c r="V20"/>
  <c r="O19"/>
  <c r="N19"/>
  <c r="M19"/>
  <c r="I19"/>
  <c r="F19"/>
  <c r="E19"/>
  <c r="D19"/>
  <c r="AG18"/>
  <c r="AF18"/>
  <c r="AE18"/>
  <c r="O18"/>
  <c r="N18"/>
  <c r="M18"/>
  <c r="I18"/>
  <c r="F18"/>
  <c r="E18"/>
  <c r="D18"/>
  <c r="AG17"/>
  <c r="AF17"/>
  <c r="AE17"/>
  <c r="O17"/>
  <c r="N17"/>
  <c r="M17"/>
  <c r="I17"/>
  <c r="F17"/>
  <c r="E17"/>
  <c r="D17"/>
  <c r="AG16"/>
  <c r="AF16"/>
  <c r="AE16"/>
  <c r="AG14"/>
  <c r="AF14"/>
  <c r="AE14"/>
  <c r="V14"/>
  <c r="AG13"/>
  <c r="AF13"/>
  <c r="AE13"/>
  <c r="AC13"/>
  <c r="AB13"/>
  <c r="V13"/>
  <c r="AG12"/>
  <c r="AF12"/>
  <c r="AE12"/>
  <c r="V12"/>
  <c r="T11"/>
  <c r="AG10"/>
  <c r="AF10"/>
  <c r="AE10"/>
  <c r="X10"/>
  <c r="W10"/>
  <c r="V10"/>
  <c r="AG9"/>
  <c r="AF9"/>
  <c r="AE9"/>
  <c r="X9"/>
  <c r="W9"/>
  <c r="V9"/>
  <c r="AG8"/>
  <c r="AF8"/>
  <c r="AE8"/>
  <c r="X8"/>
  <c r="W8"/>
  <c r="V8"/>
  <c r="C40" i="4"/>
  <c r="Y38"/>
  <c r="Y37"/>
  <c r="G33"/>
  <c r="F33"/>
  <c r="E33"/>
  <c r="G32"/>
  <c r="F32"/>
  <c r="E32"/>
  <c r="G31"/>
  <c r="F31"/>
  <c r="E31"/>
  <c r="AA27"/>
  <c r="Z27"/>
  <c r="Y27"/>
  <c r="S27"/>
  <c r="R27"/>
  <c r="Q27"/>
  <c r="AA26"/>
  <c r="Z26"/>
  <c r="Y26"/>
  <c r="S26"/>
  <c r="R26"/>
  <c r="Q26"/>
  <c r="AA25"/>
  <c r="Z25"/>
  <c r="Y25"/>
  <c r="S25"/>
  <c r="R25"/>
  <c r="Q25"/>
  <c r="AA23"/>
  <c r="Z23"/>
  <c r="Y23"/>
  <c r="S23"/>
  <c r="R23"/>
  <c r="Q23"/>
  <c r="AA22"/>
  <c r="Z22"/>
  <c r="Y22"/>
  <c r="S22"/>
  <c r="R22"/>
  <c r="Q22"/>
  <c r="AA21"/>
  <c r="Z21"/>
  <c r="Y21"/>
  <c r="S21"/>
  <c r="R21"/>
  <c r="Q21"/>
  <c r="S19"/>
  <c r="R19"/>
  <c r="Q19"/>
  <c r="H19"/>
  <c r="E19"/>
  <c r="D19"/>
  <c r="S18"/>
  <c r="R18"/>
  <c r="Q18"/>
  <c r="H18"/>
  <c r="S17"/>
  <c r="R17"/>
  <c r="J17"/>
  <c r="I17"/>
  <c r="H17"/>
  <c r="D17"/>
  <c r="J16"/>
  <c r="I16"/>
  <c r="H16"/>
  <c r="D16"/>
  <c r="AA15"/>
  <c r="Z15"/>
  <c r="Y15"/>
  <c r="S15"/>
  <c r="R15"/>
  <c r="Q15"/>
  <c r="AA14"/>
  <c r="Z14"/>
  <c r="Y14"/>
  <c r="S14"/>
  <c r="R14"/>
  <c r="Q14"/>
  <c r="AA13"/>
  <c r="Z13"/>
  <c r="Y13"/>
  <c r="S13"/>
  <c r="R13"/>
  <c r="AA11"/>
  <c r="Z11"/>
  <c r="Y11"/>
  <c r="S11"/>
  <c r="R11"/>
  <c r="Q11"/>
  <c r="AA10"/>
  <c r="Z10"/>
  <c r="Y10"/>
  <c r="S10"/>
  <c r="R10"/>
  <c r="Q10"/>
  <c r="AA9"/>
  <c r="Z9"/>
  <c r="Y9"/>
  <c r="S9"/>
  <c r="R9"/>
  <c r="N8"/>
  <c r="S40" i="3"/>
  <c r="R40"/>
  <c r="Q40"/>
  <c r="Y39"/>
  <c r="S39"/>
  <c r="R39"/>
  <c r="Q39"/>
  <c r="Y38"/>
  <c r="S38"/>
  <c r="R38"/>
  <c r="Q38"/>
  <c r="Y37"/>
  <c r="F30"/>
  <c r="AB29"/>
  <c r="AA29"/>
  <c r="Z29"/>
  <c r="S29"/>
  <c r="R29"/>
  <c r="Q29"/>
  <c r="AB28"/>
  <c r="AA28"/>
  <c r="Z28"/>
  <c r="S28"/>
  <c r="R28"/>
  <c r="Q28"/>
  <c r="AB27"/>
  <c r="AA27"/>
  <c r="Z27"/>
  <c r="S27"/>
  <c r="R27"/>
  <c r="Q27"/>
  <c r="AB25"/>
  <c r="AA25"/>
  <c r="Z25"/>
  <c r="S25"/>
  <c r="R25"/>
  <c r="Q25"/>
  <c r="AB24"/>
  <c r="AA24"/>
  <c r="Z24"/>
  <c r="S24"/>
  <c r="R24"/>
  <c r="Q24"/>
  <c r="AB23"/>
  <c r="AA23"/>
  <c r="Z23"/>
  <c r="S23"/>
  <c r="R23"/>
  <c r="Q23"/>
  <c r="AB20"/>
  <c r="AA20"/>
  <c r="Z20"/>
  <c r="AB19"/>
  <c r="AA19"/>
  <c r="Z19"/>
  <c r="AB18"/>
  <c r="AA18"/>
  <c r="Z18"/>
  <c r="Z15"/>
  <c r="Z14"/>
  <c r="Z13"/>
  <c r="O12"/>
  <c r="AB10"/>
  <c r="AA10"/>
  <c r="Z10"/>
  <c r="AB9"/>
  <c r="AA9"/>
  <c r="Z9"/>
  <c r="AB8"/>
  <c r="AA8"/>
  <c r="Z8"/>
  <c r="AB35" i="8"/>
  <c r="J35"/>
  <c r="I35"/>
  <c r="H35"/>
  <c r="AB34"/>
  <c r="J34"/>
  <c r="I34"/>
  <c r="H34"/>
  <c r="AB33"/>
  <c r="J33"/>
  <c r="I33"/>
  <c r="H33"/>
  <c r="AD26"/>
  <c r="AC26"/>
  <c r="AB26"/>
  <c r="U26"/>
  <c r="T26"/>
  <c r="S26"/>
  <c r="AD25"/>
  <c r="AC25"/>
  <c r="AB25"/>
  <c r="U25"/>
  <c r="T25"/>
  <c r="S25"/>
  <c r="K25"/>
  <c r="J25"/>
  <c r="AD24"/>
  <c r="AC24"/>
  <c r="AB24"/>
  <c r="U24"/>
  <c r="T24"/>
  <c r="S24"/>
  <c r="AD22"/>
  <c r="AC22"/>
  <c r="AB22"/>
  <c r="U22"/>
  <c r="T22"/>
  <c r="S22"/>
  <c r="AD21"/>
  <c r="AC21"/>
  <c r="AB21"/>
  <c r="U21"/>
  <c r="T21"/>
  <c r="S21"/>
  <c r="AD20"/>
  <c r="AC20"/>
  <c r="AB20"/>
  <c r="U20"/>
  <c r="T20"/>
  <c r="S20"/>
  <c r="AD18"/>
  <c r="AC18"/>
  <c r="AB18"/>
  <c r="U18"/>
  <c r="T18"/>
  <c r="S18"/>
  <c r="K18"/>
  <c r="J18"/>
  <c r="I18"/>
  <c r="E18"/>
  <c r="AD17"/>
  <c r="AC17"/>
  <c r="AB17"/>
  <c r="U17"/>
  <c r="T17"/>
  <c r="S17"/>
  <c r="K17"/>
  <c r="J17"/>
  <c r="I17"/>
  <c r="E17"/>
  <c r="AD16"/>
  <c r="AC16"/>
  <c r="AB16"/>
  <c r="U16"/>
  <c r="T16"/>
  <c r="S16"/>
  <c r="K16"/>
  <c r="J16"/>
  <c r="AD14"/>
  <c r="AC14"/>
  <c r="AB14"/>
  <c r="U14"/>
  <c r="T14"/>
  <c r="S14"/>
  <c r="AD13"/>
  <c r="AC13"/>
  <c r="AB13"/>
  <c r="U13"/>
  <c r="T13"/>
  <c r="S13"/>
  <c r="AD12"/>
  <c r="AC12"/>
  <c r="AB12"/>
  <c r="U12"/>
  <c r="T12"/>
  <c r="S12"/>
  <c r="P12"/>
  <c r="AD10"/>
  <c r="AC10"/>
  <c r="AB10"/>
  <c r="U10"/>
  <c r="T10"/>
  <c r="S10"/>
  <c r="AD9"/>
  <c r="AC9"/>
  <c r="AB9"/>
  <c r="U9"/>
  <c r="T9"/>
  <c r="S9"/>
  <c r="AD8"/>
  <c r="AC8"/>
  <c r="AB8"/>
  <c r="U8"/>
  <c r="T8"/>
  <c r="S8"/>
  <c r="C28" i="12"/>
  <c r="C27"/>
  <c r="C26"/>
  <c r="C25"/>
  <c r="C20"/>
  <c r="C18"/>
  <c r="C17"/>
  <c r="C13"/>
  <c r="C12"/>
  <c r="C11"/>
  <c r="U37" i="5"/>
  <c r="U36"/>
  <c r="U35"/>
  <c r="J31"/>
  <c r="I31"/>
  <c r="H31"/>
  <c r="J30"/>
  <c r="I30"/>
  <c r="H30"/>
  <c r="J29"/>
  <c r="I29"/>
  <c r="H29"/>
  <c r="W27"/>
  <c r="V27"/>
  <c r="U27"/>
  <c r="W26"/>
  <c r="V26"/>
  <c r="U26"/>
  <c r="S26"/>
  <c r="R26"/>
  <c r="W25"/>
  <c r="V25"/>
  <c r="U25"/>
  <c r="W23"/>
  <c r="V23"/>
  <c r="U23"/>
  <c r="W22"/>
  <c r="V22"/>
  <c r="U22"/>
  <c r="S22"/>
  <c r="R22"/>
  <c r="W21"/>
  <c r="V21"/>
  <c r="U21"/>
  <c r="J20"/>
  <c r="I20"/>
  <c r="H20"/>
  <c r="W19"/>
  <c r="V19"/>
  <c r="U19"/>
  <c r="J19"/>
  <c r="I19"/>
  <c r="H19"/>
  <c r="W18"/>
  <c r="V18"/>
  <c r="U18"/>
  <c r="J18"/>
  <c r="I18"/>
  <c r="H18"/>
  <c r="W17"/>
  <c r="V17"/>
  <c r="U17"/>
  <c r="W15"/>
  <c r="V15"/>
  <c r="U15"/>
  <c r="W14"/>
  <c r="V14"/>
  <c r="U14"/>
  <c r="S14"/>
  <c r="R14"/>
  <c r="W13"/>
  <c r="V13"/>
  <c r="U13"/>
  <c r="W11"/>
  <c r="V11"/>
  <c r="U11"/>
  <c r="N11"/>
  <c r="W10"/>
  <c r="V10"/>
  <c r="U10"/>
  <c r="W9"/>
  <c r="V9"/>
  <c r="U9"/>
</calcChain>
</file>

<file path=xl/sharedStrings.xml><?xml version="1.0" encoding="utf-8"?>
<sst xmlns="http://schemas.openxmlformats.org/spreadsheetml/2006/main" count="2228" uniqueCount="821">
  <si>
    <t>Lindert-Williamson estimates, 12 November 2010; with corrections to slave LF numbers for 6 states, May-June 2011</t>
    <phoneticPr fontId="1" type="noConversion"/>
  </si>
  <si>
    <r>
      <t xml:space="preserve">Sources: The colonial censuses in </t>
    </r>
    <r>
      <rPr>
        <i/>
        <sz val="12"/>
        <rFont val="Arial"/>
      </rPr>
      <t>Historical Statistics of the United States, Millennial Edition</t>
    </r>
    <r>
      <rPr>
        <sz val="12"/>
        <rFont val="Arial"/>
      </rPr>
      <t xml:space="preserve"> (2006); the US censuses of 1790 and 1800; and Thomas Weiss's estimates of labor force participation rates.</t>
    </r>
    <phoneticPr fontId="1" type="noConversion"/>
  </si>
  <si>
    <t xml:space="preserve">long ago by the "social tables" authors (Gregory King and others) and </t>
    <phoneticPr fontId="1" type="noConversion"/>
  </si>
  <si>
    <t>proxy for the number of free white household heads.  This implicitly assumes</t>
    <phoneticPr fontId="1" type="noConversion"/>
  </si>
  <si>
    <t>resemble households.  Similarly, in the US censuses of 1856-1870 the</t>
    <phoneticPr fontId="1" type="noConversion"/>
  </si>
  <si>
    <t>Household heads, as potential wealthholders</t>
    <phoneticPr fontId="1" type="noConversion"/>
  </si>
  <si>
    <t>|</t>
    <phoneticPr fontId="1" type="noConversion"/>
  </si>
  <si>
    <t>heads, versus the inclusion of free adult white males who were non-heads</t>
    <phoneticPr fontId="1" type="noConversion"/>
  </si>
  <si>
    <t xml:space="preserve">in somebody else's household.  </t>
    <phoneticPr fontId="1" type="noConversion"/>
  </si>
  <si>
    <t>Household heads, New Hampshire 1774</t>
    <phoneticPr fontId="1" type="noConversion"/>
  </si>
  <si>
    <t>[Revised</t>
    <phoneticPr fontId="1" type="noConversion"/>
  </si>
  <si>
    <t>May 2011]</t>
    <phoneticPr fontId="1" type="noConversion"/>
  </si>
  <si>
    <t>widely used population unit for tracking wealthy inequality, as evidenced</t>
    <phoneticPr fontId="1" type="noConversion"/>
  </si>
  <si>
    <t>(Assuming same age</t>
    <phoneticPr fontId="1" type="noConversion"/>
  </si>
  <si>
    <t>All slaves</t>
    <phoneticPr fontId="1" type="noConversion"/>
  </si>
  <si>
    <t>heads of the sort that would be considered such by the recorders of population</t>
    <phoneticPr fontId="1" type="noConversion"/>
  </si>
  <si>
    <t xml:space="preserve">numbers of positive wealtholders per household tend to be only a bit above one, </t>
    <phoneticPr fontId="1" type="noConversion"/>
  </si>
  <si>
    <t>suggesting the pooling of assets at the household level.</t>
    <phoneticPr fontId="1" type="noConversion"/>
  </si>
  <si>
    <t>Free household heads, New Jersey 1774</t>
    <phoneticPr fontId="1" type="noConversion"/>
  </si>
  <si>
    <t>Free black household heads NY 1774 = (1/6 of free blacks) = 587.</t>
    <phoneticPr fontId="1" type="noConversion"/>
  </si>
  <si>
    <t>Free household heads, Massachusetts 1774</t>
    <phoneticPr fontId="1" type="noConversion"/>
  </si>
  <si>
    <t>Free black household heads MA 1774 = (1/6 of total free blacks) = 797.</t>
    <phoneticPr fontId="1" type="noConversion"/>
  </si>
  <si>
    <r>
      <t>Millennial Edition</t>
    </r>
    <r>
      <rPr>
        <sz val="12"/>
        <rFont val="Arial"/>
      </rPr>
      <t>, namely Pennsylvania</t>
    </r>
    <phoneticPr fontId="1" type="noConversion"/>
  </si>
  <si>
    <t>Delaware, Virginia, North Carolina,</t>
    <phoneticPr fontId="1" type="noConversion"/>
  </si>
  <si>
    <t>South Carolina, and Georgia.]</t>
    <phoneticPr fontId="1" type="noConversion"/>
  </si>
  <si>
    <t>Estimated 1774 labor force -- summary by colonies and regions</t>
    <phoneticPr fontId="1" type="noConversion"/>
  </si>
  <si>
    <r>
      <t xml:space="preserve">[Footnotes from the source, </t>
    </r>
    <r>
      <rPr>
        <i/>
        <sz val="12"/>
        <rFont val="Arial"/>
      </rPr>
      <t>HSUS Millennial Edition</t>
    </r>
    <r>
      <rPr>
        <sz val="12"/>
        <rFont val="Arial"/>
      </rPr>
      <t xml:space="preserve">, were trimmed here. </t>
    </r>
    <phoneticPr fontId="1" type="noConversion"/>
  </si>
  <si>
    <t>The figures are from Cumberland and Gloucester counties, then part of the colony of New York.]</t>
    <phoneticPr fontId="1" type="noConversion"/>
  </si>
  <si>
    <t>unity</t>
    <phoneticPr fontId="1" type="noConversion"/>
  </si>
  <si>
    <t>Total 16-up</t>
    <phoneticPr fontId="1" type="noConversion"/>
  </si>
  <si>
    <t>Blacks 16-up</t>
    <phoneticPr fontId="1" type="noConversion"/>
  </si>
  <si>
    <t>Whites 16-up</t>
    <phoneticPr fontId="1" type="noConversion"/>
  </si>
  <si>
    <t>Indian household heads, Connecticut 1774 = (1/6 of total Indians) = 227,</t>
    <phoneticPr fontId="1" type="noConversion"/>
  </si>
  <si>
    <t>Black household heads, Connecticut 1774 = (1/6 of free blacks) = 428.</t>
    <phoneticPr fontId="1" type="noConversion"/>
  </si>
  <si>
    <t>Total household heads for Connecticut in 1774 = 46221.</t>
    <phoneticPr fontId="1" type="noConversion"/>
  </si>
  <si>
    <t>among free blacks and mulattos.</t>
    <phoneticPr fontId="1" type="noConversion"/>
  </si>
  <si>
    <t>Total labor</t>
    <phoneticPr fontId="1" type="noConversion"/>
  </si>
  <si>
    <t>force</t>
    <phoneticPr fontId="1" type="noConversion"/>
  </si>
  <si>
    <t>[Household heads = free white males over 21</t>
    <phoneticPr fontId="1" type="noConversion"/>
  </si>
  <si>
    <t>Implied % of</t>
    <phoneticPr fontId="1" type="noConversion"/>
  </si>
  <si>
    <t>more recently by Alice Hanson Jones's study.  Her "potential wealthholders"</t>
    <phoneticPr fontId="1" type="noConversion"/>
  </si>
  <si>
    <t>fw males</t>
    <phoneticPr fontId="1" type="noConversion"/>
  </si>
  <si>
    <t>Black household heads, Connecticut 1774 = (1/6 of total blacks) = 850.</t>
    <phoneticPr fontId="1" type="noConversion"/>
  </si>
  <si>
    <t xml:space="preserve">suspicious given its rounding.  </t>
    <phoneticPr fontId="1" type="noConversion"/>
  </si>
  <si>
    <t>Total</t>
    <phoneticPr fontId="1" type="noConversion"/>
  </si>
  <si>
    <t>interp</t>
    <phoneticPr fontId="1" type="noConversion"/>
  </si>
  <si>
    <t>total, fix</t>
    <phoneticPr fontId="1" type="noConversion"/>
  </si>
  <si>
    <t>figure is reasonable, given the large total population of</t>
    <phoneticPr fontId="1" type="noConversion"/>
  </si>
  <si>
    <t>85,539 in the 1790 census. The 10,000 is allegedly</t>
    <phoneticPr fontId="1" type="noConversion"/>
  </si>
  <si>
    <t>based on cited British and colonial sources, but seems</t>
    <phoneticPr fontId="1" type="noConversion"/>
  </si>
  <si>
    <t>[See the note below these columns.]</t>
    <phoneticPr fontId="1" type="noConversion"/>
  </si>
  <si>
    <t>Thirteen colonies</t>
    <phoneticPr fontId="1" type="noConversion"/>
  </si>
  <si>
    <t>Free whites' LF</t>
    <phoneticPr fontId="1" type="noConversion"/>
  </si>
  <si>
    <t>Free blacks' LF *</t>
    <phoneticPr fontId="1" type="noConversion"/>
  </si>
  <si>
    <t>Slaves' LF</t>
    <phoneticPr fontId="1" type="noConversion"/>
  </si>
  <si>
    <t xml:space="preserve">the total population of free non-whites consisted of household heads. </t>
    <phoneticPr fontId="1" type="noConversion"/>
  </si>
  <si>
    <r>
      <t>For free non-whites in the fewer-slave North</t>
    </r>
    <r>
      <rPr>
        <sz val="12"/>
        <rFont val="Arial"/>
      </rPr>
      <t xml:space="preserve">, we arbitrarily assume that 1/6 of </t>
    </r>
    <phoneticPr fontId="1" type="noConversion"/>
  </si>
  <si>
    <t>VA</t>
    <phoneticPr fontId="1" type="noConversion"/>
  </si>
  <si>
    <t>Total</t>
    <phoneticPr fontId="1" type="noConversion"/>
  </si>
  <si>
    <t>population</t>
    <phoneticPr fontId="1" type="noConversion"/>
  </si>
  <si>
    <t>Males</t>
    <phoneticPr fontId="1" type="noConversion"/>
  </si>
  <si>
    <t>Females</t>
    <phoneticPr fontId="1" type="noConversion"/>
  </si>
  <si>
    <t>Household heads, Vermont 1774</t>
    <phoneticPr fontId="1" type="noConversion"/>
  </si>
  <si>
    <t>[Fixing the age distributions for blacks at their 1771 shares.]</t>
    <phoneticPr fontId="1" type="noConversion"/>
  </si>
  <si>
    <t>(In 1786, the total includes 12 Indians who paid taxes. Their sexes not given.)</t>
    <phoneticPr fontId="1" type="noConversion"/>
  </si>
  <si>
    <t>30.76% of the males were over 10, as were</t>
    <phoneticPr fontId="1" type="noConversion"/>
  </si>
  <si>
    <t xml:space="preserve">(The Bicentennial edition of HSUS notes that the 1786 census "includes 3204 persons in </t>
    <phoneticPr fontId="1" type="noConversion"/>
  </si>
  <si>
    <t>Other free</t>
    <phoneticPr fontId="1" type="noConversion"/>
  </si>
  <si>
    <t>Free white</t>
    <phoneticPr fontId="1" type="noConversion"/>
  </si>
  <si>
    <t>HH's only</t>
    <phoneticPr fontId="1" type="noConversion"/>
  </si>
  <si>
    <t>White household heads, NH 1774 = 15601.</t>
    <phoneticPr fontId="1" type="noConversion"/>
  </si>
  <si>
    <t>But the 1790 census gives, for NH,</t>
    <phoneticPr fontId="1" type="noConversion"/>
  </si>
  <si>
    <t>Assuming that 0.8130 of the white males over 16 were over 21,</t>
    <phoneticPr fontId="1" type="noConversion"/>
  </si>
  <si>
    <t>30.55% of the males were over 10, as were</t>
    <phoneticPr fontId="1" type="noConversion"/>
  </si>
  <si>
    <t>29.74% of females in Maine in 1800.</t>
    <phoneticPr fontId="1" type="noConversion"/>
  </si>
  <si>
    <t xml:space="preserve"> as in NH 1800, and equaled total white household heads,</t>
    <phoneticPr fontId="1" type="noConversion"/>
  </si>
  <si>
    <t>interp</t>
    <phoneticPr fontId="1" type="noConversion"/>
  </si>
  <si>
    <t>a net cancelation of two opposing errors:  the failure to include female household</t>
    <phoneticPr fontId="1" type="noConversion"/>
  </si>
  <si>
    <t>(D.) Estimated 1774 population counts</t>
    <phoneticPr fontId="1" type="noConversion"/>
  </si>
  <si>
    <t>Free white females</t>
    <phoneticPr fontId="1" type="noConversion"/>
  </si>
  <si>
    <t>29.05% of the males were over 10, as were</t>
    <phoneticPr fontId="1" type="noConversion"/>
  </si>
  <si>
    <r>
      <t>For free whites</t>
    </r>
    <r>
      <rPr>
        <sz val="12"/>
        <rFont val="Arial"/>
      </rPr>
      <t>, we use the number of free white males 21 and older as a</t>
    </r>
    <phoneticPr fontId="1" type="noConversion"/>
  </si>
  <si>
    <t>the number of houses or the number of families.  Households are the most</t>
    <phoneticPr fontId="1" type="noConversion"/>
  </si>
  <si>
    <t>Populations 1774</t>
    <phoneticPr fontId="1" type="noConversion"/>
  </si>
  <si>
    <t>white household heads for Rhode Island in 1774=</t>
    <phoneticPr fontId="1" type="noConversion"/>
  </si>
  <si>
    <t>over 16</t>
    <phoneticPr fontId="1" type="noConversion"/>
  </si>
  <si>
    <t>Check sum</t>
    <phoneticPr fontId="1" type="noConversion"/>
  </si>
  <si>
    <t>vs. total</t>
    <phoneticPr fontId="1" type="noConversion"/>
  </si>
  <si>
    <t>Slaves</t>
    <phoneticPr fontId="1" type="noConversion"/>
  </si>
  <si>
    <t>10-up</t>
    <phoneticPr fontId="1" type="noConversion"/>
  </si>
  <si>
    <t>Pennsylvania</t>
    <phoneticPr fontId="1" type="noConversion"/>
  </si>
  <si>
    <t>among free blacks.</t>
    <phoneticPr fontId="1" type="noConversion"/>
  </si>
  <si>
    <t>The purpose of estimating household heads is to gain an impression of</t>
    <phoneticPr fontId="1" type="noConversion"/>
  </si>
  <si>
    <t>how many households a census taker or assessor might find in the houses</t>
    <phoneticPr fontId="1" type="noConversion"/>
  </si>
  <si>
    <t>he visited.  The number of households, as economic units, would exceed either</t>
    <phoneticPr fontId="1" type="noConversion"/>
  </si>
  <si>
    <t>are the colonies for which no near-1774</t>
    <phoneticPr fontId="1" type="noConversion"/>
  </si>
  <si>
    <r>
      <t xml:space="preserve">age-sex counts are given in </t>
    </r>
    <r>
      <rPr>
        <i/>
        <sz val="12"/>
        <rFont val="Arial"/>
      </rPr>
      <t xml:space="preserve">HSUS </t>
    </r>
    <phoneticPr fontId="1" type="noConversion"/>
  </si>
  <si>
    <t>Free blacks 16-up</t>
    <phoneticPr fontId="1" type="noConversion"/>
  </si>
  <si>
    <t>Slaves</t>
    <phoneticPr fontId="1" type="noConversion"/>
  </si>
  <si>
    <t>Slaves &lt; 16</t>
    <phoneticPr fontId="1" type="noConversion"/>
  </si>
  <si>
    <t>Estimated labor force, NJ 1774</t>
    <phoneticPr fontId="1" type="noConversion"/>
  </si>
  <si>
    <t>(from Weiss, for Rhode Island 1800)</t>
    <phoneticPr fontId="1" type="noConversion"/>
  </si>
  <si>
    <t>29.31% of females in New York State in 1800.</t>
    <phoneticPr fontId="1" type="noConversion"/>
  </si>
  <si>
    <t>M+F</t>
    <phoneticPr fontId="1" type="noConversion"/>
  </si>
  <si>
    <t>Male</t>
    <phoneticPr fontId="1" type="noConversion"/>
  </si>
  <si>
    <t>Female</t>
    <phoneticPr fontId="1" type="noConversion"/>
  </si>
  <si>
    <t>Interpolated populations 1774</t>
    <phoneticPr fontId="1" type="noConversion"/>
  </si>
  <si>
    <t>Labor force participation rates</t>
    <phoneticPr fontId="1" type="noConversion"/>
  </si>
  <si>
    <t>Estimated labor force, NY 1774</t>
    <phoneticPr fontId="1" type="noConversion"/>
  </si>
  <si>
    <t>versus</t>
    <phoneticPr fontId="1" type="noConversion"/>
  </si>
  <si>
    <t>Assuming that 0.8146 of the white males over 16 were over 21,</t>
    <phoneticPr fontId="1" type="noConversion"/>
  </si>
  <si>
    <t xml:space="preserve"> as in Vermont 1800, and equaled total white household heads,</t>
    <phoneticPr fontId="1" type="noConversion"/>
  </si>
  <si>
    <t>Slaves 16-up</t>
    <phoneticPr fontId="1" type="noConversion"/>
  </si>
  <si>
    <t>(E.) Thomas Weiss's "antebellum" [and 1800] labor force participation rates</t>
    <phoneticPr fontId="1" type="noConversion"/>
  </si>
  <si>
    <t>Women</t>
  </si>
  <si>
    <t>Children</t>
  </si>
  <si>
    <t>Slave</t>
  </si>
  <si>
    <t>Black</t>
  </si>
  <si>
    <t>Black household heads Vermont 1774 = (1/2 of black males over 16) = 9.</t>
    <phoneticPr fontId="1" type="noConversion"/>
  </si>
  <si>
    <t>(F.) Estimated 1774 labor force</t>
    <phoneticPr fontId="1" type="noConversion"/>
  </si>
  <si>
    <t>plus (1/6) of "all other free persons".]</t>
    <phoneticPr fontId="1" type="noConversion"/>
  </si>
  <si>
    <t>white males</t>
    <phoneticPr fontId="1" type="noConversion"/>
  </si>
  <si>
    <t>(free) house-</t>
    <phoneticPr fontId="1" type="noConversion"/>
  </si>
  <si>
    <t>under 16</t>
    <phoneticPr fontId="1" type="noConversion"/>
  </si>
  <si>
    <t>Share of free</t>
    <phoneticPr fontId="1" type="noConversion"/>
  </si>
  <si>
    <t>Share of free</t>
    <phoneticPr fontId="1" type="noConversion"/>
  </si>
  <si>
    <t>white females</t>
    <phoneticPr fontId="1" type="noConversion"/>
  </si>
  <si>
    <t>population</t>
    <phoneticPr fontId="1" type="noConversion"/>
  </si>
  <si>
    <t>Grand</t>
    <phoneticPr fontId="1" type="noConversion"/>
  </si>
  <si>
    <t>total</t>
    <phoneticPr fontId="1" type="noConversion"/>
  </si>
  <si>
    <t>White household heads, Connecticut 1774 =45,793.</t>
    <phoneticPr fontId="1" type="noConversion"/>
  </si>
  <si>
    <t>Total household heads for Connecticut in 1774 = 46,643.</t>
    <phoneticPr fontId="1" type="noConversion"/>
  </si>
  <si>
    <t>33.84% of the males were over 10, as were</t>
    <phoneticPr fontId="1" type="noConversion"/>
  </si>
  <si>
    <t>33.77% of females in Connecticut in 1800.</t>
    <phoneticPr fontId="1" type="noConversion"/>
  </si>
  <si>
    <t xml:space="preserve">So labor force per household in Connecticut 1774= </t>
    <phoneticPr fontId="1" type="noConversion"/>
  </si>
  <si>
    <r>
      <t xml:space="preserve">Use these shares to derive the </t>
    </r>
    <r>
      <rPr>
        <u/>
        <sz val="12"/>
        <rFont val="Arial"/>
      </rPr>
      <t>10-15 age group populations</t>
    </r>
    <r>
      <rPr>
        <sz val="12"/>
        <rFont val="Arial"/>
      </rPr>
      <t>,</t>
    </r>
    <phoneticPr fontId="1" type="noConversion"/>
  </si>
  <si>
    <t>shares</t>
    <phoneticPr fontId="1" type="noConversion"/>
  </si>
  <si>
    <t>Absent a colonial</t>
    <phoneticPr fontId="1" type="noConversion"/>
  </si>
  <si>
    <t xml:space="preserve">[* For 6 colonies, these "free blacks" totals </t>
    <phoneticPr fontId="1" type="noConversion"/>
  </si>
  <si>
    <t xml:space="preserve">persons" from the 1790 US census, </t>
    <phoneticPr fontId="1" type="noConversion"/>
  </si>
  <si>
    <t xml:space="preserve">extrapolated back to 1774, on the basis </t>
    <phoneticPr fontId="1" type="noConversion"/>
  </si>
  <si>
    <t>to estimate the female age shares, males 10-15, and household heads</t>
    <phoneticPr fontId="1" type="noConversion"/>
  </si>
  <si>
    <t>ages 10-15</t>
    <phoneticPr fontId="1" type="noConversion"/>
  </si>
  <si>
    <t xml:space="preserve"> &lt; 16 who are </t>
    <phoneticPr fontId="1" type="noConversion"/>
  </si>
  <si>
    <t>who are</t>
    <phoneticPr fontId="1" type="noConversion"/>
  </si>
  <si>
    <t>under 16</t>
    <phoneticPr fontId="1" type="noConversion"/>
  </si>
  <si>
    <t xml:space="preserve"> over 16 who</t>
    <phoneticPr fontId="1" type="noConversion"/>
  </si>
  <si>
    <t>are over 21</t>
    <phoneticPr fontId="1" type="noConversion"/>
  </si>
  <si>
    <t>PA</t>
    <phoneticPr fontId="1" type="noConversion"/>
  </si>
  <si>
    <t>DE</t>
    <phoneticPr fontId="1" type="noConversion"/>
  </si>
  <si>
    <t>Total household heads, of which</t>
    <phoneticPr fontId="1" type="noConversion"/>
  </si>
  <si>
    <t>free white household heads, and</t>
    <phoneticPr fontId="1" type="noConversion"/>
  </si>
  <si>
    <t>free mulatto and black household heads.</t>
    <phoneticPr fontId="1" type="noConversion"/>
  </si>
  <si>
    <t xml:space="preserve">versus </t>
    <phoneticPr fontId="1" type="noConversion"/>
  </si>
  <si>
    <t>or 39.37% of the population.  This exceeds Weiss's 37.5% for Maryland 1800 because we added servants and free mulattos and blacks as counted in the colonial censuses.</t>
    <phoneticPr fontId="1" type="noConversion"/>
  </si>
  <si>
    <t>This implies</t>
    <phoneticPr fontId="1" type="noConversion"/>
  </si>
  <si>
    <t>Kings and Richmond counties not returned in detail. An 'imperfect' census according to Rossiter."</t>
    <phoneticPr fontId="1" type="noConversion"/>
  </si>
  <si>
    <r>
      <t>NY City population (</t>
    </r>
    <r>
      <rPr>
        <i/>
        <sz val="12"/>
        <rFont val="Arial"/>
      </rPr>
      <t>HSUS</t>
    </r>
    <r>
      <rPr>
        <sz val="12"/>
        <rFont val="Arial"/>
      </rPr>
      <t>, Volume 5, p. 5-655) =</t>
    </r>
    <phoneticPr fontId="1" type="noConversion"/>
  </si>
  <si>
    <t>Total 10-15</t>
    <phoneticPr fontId="1" type="noConversion"/>
  </si>
  <si>
    <t>Whites 10-15</t>
    <phoneticPr fontId="1" type="noConversion"/>
  </si>
  <si>
    <t xml:space="preserve"> as in Maine 1800, and equaled total white household heads,</t>
    <phoneticPr fontId="1" type="noConversion"/>
  </si>
  <si>
    <t>Overall</t>
    <phoneticPr fontId="1" type="noConversion"/>
  </si>
  <si>
    <t>Within the 0-15 age group for free whites,</t>
    <phoneticPr fontId="1" type="noConversion"/>
  </si>
  <si>
    <t>Not enough information.</t>
    <phoneticPr fontId="1" type="noConversion"/>
  </si>
  <si>
    <t>Ages 10-15</t>
    <phoneticPr fontId="1" type="noConversion"/>
  </si>
  <si>
    <t>LFP rate</t>
    <phoneticPr fontId="1" type="noConversion"/>
  </si>
  <si>
    <t>(repeated)</t>
    <phoneticPr fontId="1" type="noConversion"/>
  </si>
  <si>
    <t>Free white males</t>
    <phoneticPr fontId="1" type="noConversion"/>
  </si>
  <si>
    <t>Ages 0-9</t>
    <phoneticPr fontId="1" type="noConversion"/>
  </si>
  <si>
    <t>rule number (5 heads), given the data for 1771.]</t>
    <phoneticPr fontId="1" type="noConversion"/>
  </si>
  <si>
    <t>16–up</t>
    <phoneticPr fontId="1" type="noConversion"/>
  </si>
  <si>
    <t>Ages 16-up</t>
    <phoneticPr fontId="1" type="noConversion"/>
  </si>
  <si>
    <t>Household</t>
    <phoneticPr fontId="1" type="noConversion"/>
  </si>
  <si>
    <t>Fw male</t>
    <phoneticPr fontId="1" type="noConversion"/>
  </si>
  <si>
    <t>for Vermont of 10,000 in 1770 and 47,620 for 1880. The latter</t>
    <phoneticPr fontId="1" type="noConversion"/>
  </si>
  <si>
    <t>Estimated labor force, New Hampshire 1774</t>
    <phoneticPr fontId="1" type="noConversion"/>
  </si>
  <si>
    <t>28.67% of females in Vermont in 1800.</t>
    <phoneticPr fontId="1" type="noConversion"/>
  </si>
  <si>
    <t>Blacks, total</t>
    <phoneticPr fontId="1" type="noConversion"/>
  </si>
  <si>
    <t>Blacks &lt; 16</t>
    <phoneticPr fontId="1" type="noConversion"/>
  </si>
  <si>
    <t>Blacks 16-up</t>
    <phoneticPr fontId="1" type="noConversion"/>
  </si>
  <si>
    <t>(from Weiss, for Vermont 1800)</t>
    <phoneticPr fontId="1" type="noConversion"/>
  </si>
  <si>
    <t>Black household heads Vermont 1774 = 9.</t>
    <phoneticPr fontId="1" type="noConversion"/>
  </si>
  <si>
    <t>Georgia</t>
    <phoneticPr fontId="1" type="noConversion"/>
  </si>
  <si>
    <t>Total household heads for Rhode Island in 1774 = 11865.</t>
    <phoneticPr fontId="1" type="noConversion"/>
  </si>
  <si>
    <t>Free black household heads RI 1774 = 478</t>
    <phoneticPr fontId="1" type="noConversion"/>
  </si>
  <si>
    <t>of estimated total populations. These six</t>
    <phoneticPr fontId="1" type="noConversion"/>
  </si>
  <si>
    <t>But the 1790 census gives, for ME,</t>
    <phoneticPr fontId="1" type="noConversion"/>
  </si>
  <si>
    <t>none</t>
    <phoneticPr fontId="1" type="noConversion"/>
  </si>
  <si>
    <t>unity</t>
    <phoneticPr fontId="1" type="noConversion"/>
  </si>
  <si>
    <t>Black household heads NH 1774 = 0 (explicitly slaves).</t>
    <phoneticPr fontId="1" type="noConversion"/>
  </si>
  <si>
    <t>Assuming that 0.8100 of the white males over 16 were over 21,</t>
    <phoneticPr fontId="1" type="noConversion"/>
  </si>
  <si>
    <t>Total household heads for New Hampshire in 1774 = 15601.</t>
    <phoneticPr fontId="1" type="noConversion"/>
  </si>
  <si>
    <t>White household heads, New Hampshire 1774 = 15601.</t>
    <phoneticPr fontId="1" type="noConversion"/>
  </si>
  <si>
    <t>Slaves</t>
    <phoneticPr fontId="1" type="noConversion"/>
  </si>
  <si>
    <t>Free blacks</t>
    <phoneticPr fontId="1" type="noConversion"/>
  </si>
  <si>
    <t>Free blacks &lt; 16</t>
    <phoneticPr fontId="1" type="noConversion"/>
  </si>
  <si>
    <t>[Pasted from the "NY population" worksheet of the Excel file "Aggregating NY 1774" (November 2010)]</t>
    <phoneticPr fontId="1" type="noConversion"/>
  </si>
  <si>
    <t>Eg162</t>
  </si>
  <si>
    <t>Eg163</t>
  </si>
  <si>
    <t>Eg110</t>
  </si>
  <si>
    <t>Eg111</t>
  </si>
  <si>
    <t>Eg112</t>
  </si>
  <si>
    <t>Eg113</t>
  </si>
  <si>
    <t>Eg114</t>
  </si>
  <si>
    <t>Eg115</t>
  </si>
  <si>
    <t>16–60</t>
  </si>
  <si>
    <t>Over 60</t>
  </si>
  <si>
    <t>Vermont 1771</t>
    <phoneticPr fontId="1" type="noConversion"/>
  </si>
  <si>
    <t xml:space="preserve">  --</t>
    <phoneticPr fontId="1" type="noConversion"/>
  </si>
  <si>
    <t>Eg116</t>
    <phoneticPr fontId="1" type="noConversion"/>
  </si>
  <si>
    <t>Female</t>
    <phoneticPr fontId="1" type="noConversion"/>
  </si>
  <si>
    <t>Eg117</t>
  </si>
  <si>
    <t>Eg118</t>
  </si>
  <si>
    <t>Eg119</t>
  </si>
  <si>
    <t>Eg120</t>
  </si>
  <si>
    <t>Eg121</t>
  </si>
  <si>
    <t>Eg122</t>
  </si>
  <si>
    <t>Eg123</t>
  </si>
  <si>
    <t>Indian</t>
  </si>
  <si>
    <t>Eg129</t>
  </si>
  <si>
    <t>Eg124</t>
  </si>
  <si>
    <t>Eg125</t>
  </si>
  <si>
    <t>Females</t>
    <phoneticPr fontId="1" type="noConversion"/>
  </si>
  <si>
    <t>[= total population in (C.) above]</t>
    <phoneticPr fontId="1" type="noConversion"/>
  </si>
  <si>
    <t>Maryland 1704-1782</t>
    <phoneticPr fontId="1" type="noConversion"/>
  </si>
  <si>
    <t>Eg174</t>
  </si>
  <si>
    <t>Eg175</t>
  </si>
  <si>
    <t>Eg177</t>
  </si>
  <si>
    <t>Eg178</t>
  </si>
  <si>
    <t>Mulatto</t>
  </si>
  <si>
    <t>for which the colonial censuses gave too little detail for an age distribution.</t>
    <phoneticPr fontId="1" type="noConversion"/>
  </si>
  <si>
    <t>total,</t>
    <phoneticPr fontId="1" type="noConversion"/>
  </si>
  <si>
    <t xml:space="preserve">among whites, and </t>
    <phoneticPr fontId="1" type="noConversion"/>
  </si>
  <si>
    <t>fw females</t>
    <phoneticPr fontId="1" type="noConversion"/>
  </si>
  <si>
    <t>among whites, and</t>
    <phoneticPr fontId="1" type="noConversion"/>
  </si>
  <si>
    <t>[Source footnotes trimmed here.]</t>
    <phoneticPr fontId="1" type="noConversion"/>
  </si>
  <si>
    <t xml:space="preserve">    16+</t>
  </si>
  <si>
    <t xml:space="preserve">  10-15</t>
  </si>
  <si>
    <t>White household heads, Vermont 1774 = 1,617.</t>
    <phoneticPr fontId="1" type="noConversion"/>
  </si>
  <si>
    <t>hold heads</t>
    <phoneticPr fontId="1" type="noConversion"/>
  </si>
  <si>
    <t>in total pop'n</t>
    <phoneticPr fontId="1" type="noConversion"/>
  </si>
  <si>
    <t>Total</t>
    <phoneticPr fontId="1" type="noConversion"/>
  </si>
  <si>
    <t>Number of</t>
    <phoneticPr fontId="1" type="noConversion"/>
  </si>
  <si>
    <t xml:space="preserve">who are </t>
    <phoneticPr fontId="1" type="noConversion"/>
  </si>
  <si>
    <t>Estimated</t>
    <phoneticPr fontId="1" type="noConversion"/>
  </si>
  <si>
    <t xml:space="preserve">Assuming that 0.8200 of the white males over 16 were over 21, </t>
    <phoneticPr fontId="1" type="noConversion"/>
  </si>
  <si>
    <t>or 13.8% of the total population.</t>
    <phoneticPr fontId="1" type="noConversion"/>
  </si>
  <si>
    <t>total, or</t>
    <phoneticPr fontId="1" type="noConversion"/>
  </si>
  <si>
    <t>among whites.</t>
    <phoneticPr fontId="1" type="noConversion"/>
  </si>
  <si>
    <t>Interpolated 1774/1771 for total population,</t>
    <phoneticPr fontId="1" type="noConversion"/>
  </si>
  <si>
    <t>Interpolated 1774 total population,</t>
    <phoneticPr fontId="1" type="noConversion"/>
  </si>
  <si>
    <t>Click on cells for more precise values.]</t>
    <phoneticPr fontId="1" type="noConversion"/>
  </si>
  <si>
    <t xml:space="preserve">are based on the category "all other free </t>
    <phoneticPr fontId="1" type="noConversion"/>
  </si>
  <si>
    <t>Free white</t>
    <phoneticPr fontId="1" type="noConversion"/>
  </si>
  <si>
    <t>apply this share to 1774.</t>
    <phoneticPr fontId="1" type="noConversion"/>
  </si>
  <si>
    <t>(B.2) Shares of total population,based on the 1790 US census</t>
    <phoneticPr fontId="1" type="noConversion"/>
  </si>
  <si>
    <t>(from Weiss, for NY 1800)</t>
    <phoneticPr fontId="1" type="noConversion"/>
  </si>
  <si>
    <t>(from Weiss, for NJ 1800)</t>
    <phoneticPr fontId="1" type="noConversion"/>
  </si>
  <si>
    <t>interp</t>
    <phoneticPr fontId="1" type="noConversion"/>
  </si>
  <si>
    <t>Household heads, Maine 1774</t>
    <phoneticPr fontId="1" type="noConversion"/>
  </si>
  <si>
    <t>Total household heads for New Jersey in 1774=</t>
    <phoneticPr fontId="1" type="noConversion"/>
  </si>
  <si>
    <t xml:space="preserve"> </t>
    <phoneticPr fontId="1" type="noConversion"/>
  </si>
  <si>
    <t>Total 16-60</t>
    <phoneticPr fontId="1" type="noConversion"/>
  </si>
  <si>
    <t>Black household heads NY 1774 = (1/6 of total blacks) =</t>
    <phoneticPr fontId="1" type="noConversion"/>
  </si>
  <si>
    <t>and equaled total white household heads, and that 1/6 of the non-white free pop were HHs,</t>
    <phoneticPr fontId="1" type="noConversion"/>
  </si>
  <si>
    <t>White household heads, New York 1774 =</t>
    <phoneticPr fontId="1" type="noConversion"/>
  </si>
  <si>
    <t>Eg133</t>
  </si>
  <si>
    <t>Eg134</t>
  </si>
  <si>
    <t>Eg135</t>
  </si>
  <si>
    <t>Eg136</t>
  </si>
  <si>
    <t>Eg137</t>
  </si>
  <si>
    <t>Adults</t>
  </si>
  <si>
    <t>Rhode Island 1708-1783</t>
    <phoneticPr fontId="1" type="noConversion"/>
  </si>
  <si>
    <t>Eg138</t>
  </si>
  <si>
    <t>Eg139</t>
  </si>
  <si>
    <t>Eg140</t>
  </si>
  <si>
    <t>Eg97</t>
  </si>
  <si>
    <t>Eg98</t>
  </si>
  <si>
    <t>Eg99</t>
  </si>
  <si>
    <t>Eg100</t>
  </si>
  <si>
    <t>Eg101</t>
  </si>
  <si>
    <t>Eg102</t>
  </si>
  <si>
    <t>Free white</t>
  </si>
  <si>
    <t>60 and older</t>
  </si>
  <si>
    <t>16-50</t>
  </si>
  <si>
    <t>50 and older</t>
  </si>
  <si>
    <t>In Army</t>
  </si>
  <si>
    <t>Eg103</t>
  </si>
  <si>
    <t>Eg104</t>
  </si>
  <si>
    <t>Eg105</t>
  </si>
  <si>
    <t>Eg106</t>
  </si>
  <si>
    <t>Eg107</t>
  </si>
  <si>
    <t>Eg108</t>
  </si>
  <si>
    <t>Widowed</t>
  </si>
  <si>
    <t>32.65% of the males were over 10, as were</t>
    <phoneticPr fontId="1" type="noConversion"/>
  </si>
  <si>
    <t>32.21% of females in New Hampshire in 1800.</t>
    <phoneticPr fontId="1" type="noConversion"/>
  </si>
  <si>
    <t>participants</t>
    <phoneticPr fontId="1" type="noConversion"/>
  </si>
  <si>
    <t>Younger than 16 years</t>
  </si>
  <si>
    <t>----</t>
  </si>
  <si>
    <t>16 years and older</t>
  </si>
  <si>
    <t>Eg91</t>
  </si>
  <si>
    <t>interp</t>
    <phoneticPr fontId="1" type="noConversion"/>
  </si>
  <si>
    <t>White household heads, Maine 1774 = 8,337.</t>
    <phoneticPr fontId="1" type="noConversion"/>
  </si>
  <si>
    <t>Black household heads ME 1774 = (total black population / 6) =77.</t>
    <phoneticPr fontId="1" type="noConversion"/>
  </si>
  <si>
    <t>33.81% of the males were over 10, as were</t>
    <phoneticPr fontId="1" type="noConversion"/>
  </si>
  <si>
    <t>[In this small case, 9 seems a better estimate than the 1/6</t>
    <phoneticPr fontId="1" type="noConversion"/>
  </si>
  <si>
    <r>
      <t xml:space="preserve">Side-note: The </t>
    </r>
    <r>
      <rPr>
        <i/>
        <sz val="12"/>
        <rFont val="Arial"/>
      </rPr>
      <t>HSUS Bicentennial Edition</t>
    </r>
    <r>
      <rPr>
        <sz val="12"/>
        <rFont val="Arial"/>
      </rPr>
      <t xml:space="preserve"> gives these total populations</t>
    </r>
    <phoneticPr fontId="1" type="noConversion"/>
  </si>
  <si>
    <t>and fix the white and black shares of the 10-15  age group total.</t>
    <phoneticPr fontId="1" type="noConversion"/>
  </si>
  <si>
    <t>(B.1) State population totals from the 1790 US census</t>
    <phoneticPr fontId="1" type="noConversion"/>
  </si>
  <si>
    <t>total LF/white HH, or</t>
    <phoneticPr fontId="1" type="noConversion"/>
  </si>
  <si>
    <t>Household heads, Rhode Island 1774</t>
    <phoneticPr fontId="1" type="noConversion"/>
  </si>
  <si>
    <t>[Assume that no white servants and no slaves were household heads of the sort that Alice Hanson Jones meant to capture as potential wealthholders.]</t>
    <phoneticPr fontId="1" type="noConversion"/>
  </si>
  <si>
    <t>and equaled total white household heads,</t>
    <phoneticPr fontId="1" type="noConversion"/>
  </si>
  <si>
    <t>34.54% of females in Rhode Island in 1800.</t>
    <phoneticPr fontId="1" type="noConversion"/>
  </si>
  <si>
    <t>Delaware</t>
    <phoneticPr fontId="1" type="noConversion"/>
  </si>
  <si>
    <t>Virginia</t>
    <phoneticPr fontId="1" type="noConversion"/>
  </si>
  <si>
    <t>North Carolina</t>
    <phoneticPr fontId="1" type="noConversion"/>
  </si>
  <si>
    <t>South Carolina</t>
    <phoneticPr fontId="1" type="noConversion"/>
  </si>
  <si>
    <t>34.99% of the males were over 10, as were</t>
    <phoneticPr fontId="1" type="noConversion"/>
  </si>
  <si>
    <t>Total household heads for Vermont in 1774 = 1,626.</t>
    <phoneticPr fontId="1" type="noConversion"/>
  </si>
  <si>
    <t>Estimated labor force, Vermont 1774</t>
    <phoneticPr fontId="1" type="noConversion"/>
  </si>
  <si>
    <t>Reminder: These omit American Indians.</t>
    <phoneticPr fontId="1" type="noConversion"/>
  </si>
  <si>
    <t>those 1,479 American Indians of undetermined sex.</t>
    <phoneticPr fontId="1" type="noConversion"/>
  </si>
  <si>
    <t>The 1774 population total seems to include</t>
    <phoneticPr fontId="1" type="noConversion"/>
  </si>
  <si>
    <t>New Jersey 1726-1784</t>
    <phoneticPr fontId="1" type="noConversion"/>
  </si>
  <si>
    <t>Female</t>
    <phoneticPr fontId="1" type="noConversion"/>
  </si>
  <si>
    <t>Eg168</t>
    <phoneticPr fontId="1" type="noConversion"/>
  </si>
  <si>
    <r>
      <t xml:space="preserve">(A.) As given in </t>
    </r>
    <r>
      <rPr>
        <b/>
        <i/>
        <u/>
        <sz val="12"/>
        <rFont val="Arial"/>
      </rPr>
      <t>HSUS Millennial</t>
    </r>
    <r>
      <rPr>
        <sz val="12"/>
        <rFont val="Arial"/>
      </rPr>
      <t xml:space="preserve"> (2006).</t>
    </r>
    <phoneticPr fontId="1" type="noConversion"/>
  </si>
  <si>
    <t>Blacks &amp; mulattos &lt; 16</t>
    <phoneticPr fontId="1" type="noConversion"/>
  </si>
  <si>
    <t>Blacks &amp; mulattos 16-up</t>
    <phoneticPr fontId="1" type="noConversion"/>
  </si>
  <si>
    <t>[NB: white rates borrowed for these,</t>
    <phoneticPr fontId="1" type="noConversion"/>
  </si>
  <si>
    <t>absent an indication of slavery.]</t>
    <phoneticPr fontId="1" type="noConversion"/>
  </si>
  <si>
    <t>Total household heads for Massachusetts in 1774 = 44,640.</t>
    <phoneticPr fontId="1" type="noConversion"/>
  </si>
  <si>
    <t>White household heads, Massachusetts 1774 =43,843.</t>
    <phoneticPr fontId="1" type="noConversion"/>
  </si>
  <si>
    <t>Eg180</t>
    <phoneticPr fontId="1" type="noConversion"/>
  </si>
  <si>
    <t>Eg181</t>
    <phoneticPr fontId="1" type="noConversion"/>
  </si>
  <si>
    <t>White household heads, New York 1774 = 35430.</t>
    <phoneticPr fontId="1" type="noConversion"/>
  </si>
  <si>
    <t xml:space="preserve">So labor force per household = </t>
    <phoneticPr fontId="1" type="noConversion"/>
  </si>
  <si>
    <t>total,</t>
    <phoneticPr fontId="1" type="noConversion"/>
  </si>
  <si>
    <t>Virginia</t>
    <phoneticPr fontId="1" type="noConversion"/>
  </si>
  <si>
    <t>North Carolina</t>
    <phoneticPr fontId="1" type="noConversion"/>
  </si>
  <si>
    <t>South Carolina</t>
    <phoneticPr fontId="1" type="noConversion"/>
  </si>
  <si>
    <t>Georgia</t>
    <phoneticPr fontId="1" type="noConversion"/>
  </si>
  <si>
    <t>Colony</t>
    <phoneticPr fontId="1" type="noConversion"/>
  </si>
  <si>
    <t xml:space="preserve"> --------FREE POPULATION ----</t>
  </si>
  <si>
    <t xml:space="preserve">   MALES</t>
  </si>
  <si>
    <t xml:space="preserve">  FEMALES</t>
  </si>
  <si>
    <t>Black household heads MA 1774 = (total black population / 6) =797.</t>
    <phoneticPr fontId="1" type="noConversion"/>
  </si>
  <si>
    <t>Overall</t>
  </si>
  <si>
    <t>(Assuming same age</t>
  </si>
  <si>
    <t>33.49% of females in Massachusetts in 1800.</t>
    <phoneticPr fontId="1" type="noConversion"/>
  </si>
  <si>
    <t>[Use the 16th-birthday age division from 1764-65</t>
    <phoneticPr fontId="1" type="noConversion"/>
  </si>
  <si>
    <t>for 1774 as well.]</t>
    <phoneticPr fontId="1" type="noConversion"/>
  </si>
  <si>
    <t>Estimated labor force, Rhode Island 1774</t>
    <phoneticPr fontId="1" type="noConversion"/>
  </si>
  <si>
    <t>among blacks and mulattos.</t>
    <phoneticPr fontId="1" type="noConversion"/>
  </si>
  <si>
    <t>Eg179</t>
    <phoneticPr fontId="1" type="noConversion"/>
  </si>
  <si>
    <t>Slaves</t>
    <phoneticPr fontId="1" type="noConversion"/>
  </si>
  <si>
    <t>Population</t>
    <phoneticPr fontId="1" type="noConversion"/>
  </si>
  <si>
    <t>Total household heads for Vermont in 1774=1,626.</t>
    <phoneticPr fontId="1" type="noConversion"/>
  </si>
  <si>
    <t>NC</t>
    <phoneticPr fontId="1" type="noConversion"/>
  </si>
  <si>
    <t>SC</t>
    <phoneticPr fontId="1" type="noConversion"/>
  </si>
  <si>
    <t>GA</t>
    <phoneticPr fontId="1" type="noConversion"/>
  </si>
  <si>
    <t>31.82% of the males were over 10, as were</t>
    <phoneticPr fontId="1" type="noConversion"/>
  </si>
  <si>
    <t>Interpolated age shares to 1774</t>
    <phoneticPr fontId="1" type="noConversion"/>
  </si>
  <si>
    <t>number of</t>
    <phoneticPr fontId="1" type="noConversion"/>
  </si>
  <si>
    <t>household</t>
    <phoneticPr fontId="1" type="noConversion"/>
  </si>
  <si>
    <t>heads</t>
    <phoneticPr fontId="1" type="noConversion"/>
  </si>
  <si>
    <t>For blacks in 1745, re-use the 1738 age-group shares.</t>
    <phoneticPr fontId="1" type="noConversion"/>
  </si>
  <si>
    <t>Number</t>
    <phoneticPr fontId="1" type="noConversion"/>
  </si>
  <si>
    <t>interp</t>
    <phoneticPr fontId="1" type="noConversion"/>
  </si>
  <si>
    <r>
      <t xml:space="preserve">Black total populations in 1772 and 1774 were interpolated using </t>
    </r>
    <r>
      <rPr>
        <i/>
        <sz val="12"/>
        <rFont val="Arial"/>
      </rPr>
      <t>HSUS Bicentennial Edition</t>
    </r>
    <r>
      <rPr>
        <sz val="12"/>
        <rFont val="Arial"/>
      </rPr>
      <t>.</t>
    </r>
    <phoneticPr fontId="1" type="noConversion"/>
  </si>
  <si>
    <t>M+F</t>
    <phoneticPr fontId="1" type="noConversion"/>
  </si>
  <si>
    <t>Male</t>
    <phoneticPr fontId="1" type="noConversion"/>
  </si>
  <si>
    <t>Female</t>
    <phoneticPr fontId="1" type="noConversion"/>
  </si>
  <si>
    <t>However, judging from the white series, the under 16 share</t>
    <phoneticPr fontId="1" type="noConversion"/>
  </si>
  <si>
    <t>Total</t>
    <phoneticPr fontId="1" type="noConversion"/>
  </si>
  <si>
    <t>for 1774 is close to the "children" share for 1755.  Use the</t>
    <phoneticPr fontId="1" type="noConversion"/>
  </si>
  <si>
    <t>[Details may not equal totals due to rounding.</t>
    <phoneticPr fontId="1" type="noConversion"/>
  </si>
  <si>
    <t>Female</t>
    <phoneticPr fontId="1" type="noConversion"/>
  </si>
  <si>
    <t>Total</t>
    <phoneticPr fontId="1" type="noConversion"/>
  </si>
  <si>
    <t>Under 20 years</t>
  </si>
  <si>
    <t>Over 20 years</t>
  </si>
  <si>
    <t>Eg131</t>
  </si>
  <si>
    <t>20–70 years</t>
  </si>
  <si>
    <t>Total 16-up</t>
    <phoneticPr fontId="1" type="noConversion"/>
  </si>
  <si>
    <t>Blacks 16-up</t>
    <phoneticPr fontId="1" type="noConversion"/>
  </si>
  <si>
    <t>Total 16-up</t>
    <phoneticPr fontId="1" type="noConversion"/>
  </si>
  <si>
    <t xml:space="preserve">For blacks, age group populations were not shown for 1774.  </t>
    <phoneticPr fontId="1" type="noConversion"/>
  </si>
  <si>
    <t>Under 10 years</t>
  </si>
  <si>
    <t>10–20 years</t>
  </si>
  <si>
    <t>(from Weiss, for Connecticut 1800)</t>
    <phoneticPr fontId="1" type="noConversion"/>
  </si>
  <si>
    <t>Estimated labor force, Connecticut 1774</t>
    <phoneticPr fontId="1" type="noConversion"/>
  </si>
  <si>
    <t>White household heads, Maine 1774 = 8,337.</t>
    <phoneticPr fontId="1" type="noConversion"/>
  </si>
  <si>
    <t>Black &amp; mulatto household heads, Maine 1774 =77.</t>
    <phoneticPr fontId="1" type="noConversion"/>
  </si>
  <si>
    <t>Total household heads for Maine in 1774 =8,414.</t>
    <phoneticPr fontId="1" type="noConversion"/>
  </si>
  <si>
    <t>Eg109</t>
    <phoneticPr fontId="1" type="noConversion"/>
  </si>
  <si>
    <t>Pennsylvania</t>
    <phoneticPr fontId="1" type="noConversion"/>
  </si>
  <si>
    <t>Delaware</t>
    <phoneticPr fontId="1" type="noConversion"/>
  </si>
  <si>
    <t>Virginia</t>
    <phoneticPr fontId="1" type="noConversion"/>
  </si>
  <si>
    <t>North Carolina</t>
    <phoneticPr fontId="1" type="noConversion"/>
  </si>
  <si>
    <t>South Carolina</t>
    <phoneticPr fontId="1" type="noConversion"/>
  </si>
  <si>
    <t>Georgia</t>
    <phoneticPr fontId="1" type="noConversion"/>
  </si>
  <si>
    <t>Maine</t>
    <phoneticPr fontId="1" type="noConversion"/>
  </si>
  <si>
    <t>Vermont</t>
    <phoneticPr fontId="1" type="noConversion"/>
  </si>
  <si>
    <t>Massachusetts</t>
    <phoneticPr fontId="1" type="noConversion"/>
  </si>
  <si>
    <t>Connecticut</t>
    <phoneticPr fontId="1" type="noConversion"/>
  </si>
  <si>
    <t>Rhode Island</t>
    <phoneticPr fontId="1" type="noConversion"/>
  </si>
  <si>
    <t>New York</t>
    <phoneticPr fontId="1" type="noConversion"/>
  </si>
  <si>
    <t>New Jersey</t>
    <phoneticPr fontId="1" type="noConversion"/>
  </si>
  <si>
    <t>New England</t>
    <phoneticPr fontId="1" type="noConversion"/>
  </si>
  <si>
    <t>Total household heads for Maine in 1774 = 8,414.</t>
    <phoneticPr fontId="1" type="noConversion"/>
  </si>
  <si>
    <t>with NY, no DE</t>
    <phoneticPr fontId="1" type="noConversion"/>
  </si>
  <si>
    <t>Maryland</t>
    <phoneticPr fontId="1" type="noConversion"/>
  </si>
  <si>
    <t>Southern colonies</t>
    <phoneticPr fontId="1" type="noConversion"/>
  </si>
  <si>
    <t>without DE</t>
    <phoneticPr fontId="1" type="noConversion"/>
  </si>
  <si>
    <t>with DE</t>
    <phoneticPr fontId="1" type="noConversion"/>
  </si>
  <si>
    <t>Total</t>
    <phoneticPr fontId="1" type="noConversion"/>
  </si>
  <si>
    <t>Under 16</t>
    <phoneticPr fontId="1" type="noConversion"/>
  </si>
  <si>
    <t>[Assume for 1755 that males were the same share of those over 16 for non-whites as the share (0.531) implied for whites.]</t>
    <phoneticPr fontId="1" type="noConversion"/>
  </si>
  <si>
    <t>Assumption: 16-29 age population = 0.38 * age 10-19 population</t>
    <phoneticPr fontId="1" type="noConversion"/>
  </si>
  <si>
    <t>(B.) Shares of total population, 1755</t>
    <phoneticPr fontId="1" type="noConversion"/>
  </si>
  <si>
    <r>
      <t xml:space="preserve">[Footnotes from the source, </t>
    </r>
    <r>
      <rPr>
        <i/>
        <sz val="12"/>
        <rFont val="Arial"/>
      </rPr>
      <t>HSUS Millennial Edition</t>
    </r>
    <r>
      <rPr>
        <sz val="12"/>
        <rFont val="Arial"/>
      </rPr>
      <t>, were trimmed here.]</t>
    </r>
    <phoneticPr fontId="1" type="noConversion"/>
  </si>
  <si>
    <t>Maine 1764-1784</t>
    <phoneticPr fontId="1" type="noConversion"/>
  </si>
  <si>
    <t>Eg92</t>
  </si>
  <si>
    <t>Eg93</t>
  </si>
  <si>
    <t>Eg94</t>
  </si>
  <si>
    <t>Eg95</t>
  </si>
  <si>
    <t>Eg96</t>
  </si>
  <si>
    <r>
      <t xml:space="preserve">Source = </t>
    </r>
    <r>
      <rPr>
        <i/>
        <sz val="12"/>
        <rFont val="Arial"/>
      </rPr>
      <t>HSUS</t>
    </r>
    <r>
      <rPr>
        <sz val="12"/>
        <rFont val="Arial"/>
      </rPr>
      <t>, volume 5, Page 5-661.</t>
    </r>
    <phoneticPr fontId="1" type="noConversion"/>
  </si>
  <si>
    <t>Total household heads, Maryland in 1774=</t>
    <phoneticPr fontId="1" type="noConversion"/>
  </si>
  <si>
    <r>
      <t xml:space="preserve">(A.) As given in </t>
    </r>
    <r>
      <rPr>
        <b/>
        <i/>
        <u/>
        <sz val="12"/>
        <rFont val="Arial"/>
      </rPr>
      <t>HSUS Millennial Edition</t>
    </r>
    <phoneticPr fontId="1" type="noConversion"/>
  </si>
  <si>
    <t>(from Weiss, for New Hampshire 1800)</t>
    <phoneticPr fontId="1" type="noConversion"/>
  </si>
  <si>
    <t>(F.) Household heads, Maryland 1774</t>
    <phoneticPr fontId="1" type="noConversion"/>
  </si>
  <si>
    <t>New Hampshire 1767-1786</t>
    <phoneticPr fontId="1" type="noConversion"/>
  </si>
  <si>
    <t>Assuming that 0.80257 of the free white males over 16 were over 21, as in Maryland 1800,</t>
    <phoneticPr fontId="1" type="noConversion"/>
  </si>
  <si>
    <t>Assuming that 81.15% of the white males over 16 were over 21, as in Rhode Island in 1800,</t>
    <phoneticPr fontId="1" type="noConversion"/>
  </si>
  <si>
    <t>White household heads, Rhode Island 1774 = 11,387.</t>
    <phoneticPr fontId="1" type="noConversion"/>
  </si>
  <si>
    <t>under-16 share for blacks in 1774.</t>
    <phoneticPr fontId="1" type="noConversion"/>
  </si>
  <si>
    <t>White household heads, Vermont 1774 =1,617</t>
    <phoneticPr fontId="1" type="noConversion"/>
  </si>
  <si>
    <t>Estimated labor force, Maine 1774</t>
    <phoneticPr fontId="1" type="noConversion"/>
  </si>
  <si>
    <t>among blacks &amp; mulattos.</t>
    <phoneticPr fontId="1" type="noConversion"/>
  </si>
  <si>
    <t>Eg164</t>
  </si>
  <si>
    <t>Eg165</t>
  </si>
  <si>
    <t>children share for blacks in 1755 as an estimate of the</t>
    <phoneticPr fontId="1" type="noConversion"/>
  </si>
  <si>
    <t>Eg1661</t>
  </si>
  <si>
    <t>Eg167</t>
  </si>
  <si>
    <t>Under 16</t>
  </si>
  <si>
    <t>16 and over</t>
  </si>
  <si>
    <t>free persons</t>
    <phoneticPr fontId="1" type="noConversion"/>
  </si>
  <si>
    <t>Pennsylvania</t>
    <phoneticPr fontId="1" type="noConversion"/>
  </si>
  <si>
    <t>Delaware</t>
    <phoneticPr fontId="1" type="noConversion"/>
  </si>
  <si>
    <t>All other</t>
    <phoneticPr fontId="1" type="noConversion"/>
  </si>
  <si>
    <t>males, 16-up</t>
    <phoneticPr fontId="1" type="noConversion"/>
  </si>
  <si>
    <t>males, &lt; 16</t>
    <phoneticPr fontId="1" type="noConversion"/>
  </si>
  <si>
    <t>females</t>
    <phoneticPr fontId="1" type="noConversion"/>
  </si>
  <si>
    <t>and equaled total white household heads, and that 1/6 of the non-white free pop were HHs,</t>
    <phoneticPr fontId="1" type="noConversion"/>
  </si>
  <si>
    <t>Black and mulatto</t>
  </si>
  <si>
    <t xml:space="preserve"> in the 1790 census. (3) Within these 1790-based shares, apply finer shares from the 1800 census.</t>
    <phoneticPr fontId="1" type="noConversion"/>
  </si>
  <si>
    <r>
      <t>(A.) Grand-total 1774 populations</t>
    </r>
    <r>
      <rPr>
        <sz val="12"/>
        <rFont val="Arial"/>
      </rPr>
      <t xml:space="preserve"> </t>
    </r>
    <phoneticPr fontId="1" type="noConversion"/>
  </si>
  <si>
    <r>
      <t xml:space="preserve">These are the ones for which no colonial census data were given in </t>
    </r>
    <r>
      <rPr>
        <i/>
        <sz val="12"/>
        <rFont val="Arial"/>
      </rPr>
      <t>HSUS Millennial Edition</t>
    </r>
    <phoneticPr fontId="1" type="noConversion"/>
  </si>
  <si>
    <t xml:space="preserve">Strategy: (1) Start with extrapolated total colony/state populations for 1774. </t>
    <phoneticPr fontId="1" type="noConversion"/>
  </si>
  <si>
    <t>Assumed labor force participation rate</t>
    <phoneticPr fontId="1" type="noConversion"/>
  </si>
  <si>
    <t>Total &lt; 16</t>
    <phoneticPr fontId="1" type="noConversion"/>
  </si>
  <si>
    <t>Pennsylvania</t>
    <phoneticPr fontId="1" type="noConversion"/>
  </si>
  <si>
    <t>Delaware</t>
    <phoneticPr fontId="1" type="noConversion"/>
  </si>
  <si>
    <t>Virginia</t>
    <phoneticPr fontId="1" type="noConversion"/>
  </si>
  <si>
    <t>Estimating 1774 labor forces and household heads for six other colonies</t>
    <phoneticPr fontId="1" type="noConversion"/>
  </si>
  <si>
    <t>Assuming that 82.33% of the white males over 16 were over 21, as in New Jersey 1800,</t>
    <phoneticPr fontId="1" type="noConversion"/>
  </si>
  <si>
    <t xml:space="preserve">   10+</t>
  </si>
  <si>
    <t>all ages</t>
  </si>
  <si>
    <t>Free whites</t>
    <phoneticPr fontId="1" type="noConversion"/>
  </si>
  <si>
    <t>Males</t>
    <phoneticPr fontId="1" type="noConversion"/>
  </si>
  <si>
    <t>Females</t>
    <phoneticPr fontId="1" type="noConversion"/>
  </si>
  <si>
    <t>Males</t>
    <phoneticPr fontId="1" type="noConversion"/>
  </si>
  <si>
    <t>M+F</t>
  </si>
  <si>
    <t>Masters &amp; taxable</t>
    <phoneticPr fontId="1" type="noConversion"/>
  </si>
  <si>
    <t>men, number</t>
    <phoneticPr fontId="1" type="noConversion"/>
  </si>
  <si>
    <t>Total</t>
    <phoneticPr fontId="1" type="noConversion"/>
  </si>
  <si>
    <t>White servants</t>
    <phoneticPr fontId="1" type="noConversion"/>
  </si>
  <si>
    <t>M+F</t>
    <phoneticPr fontId="1" type="noConversion"/>
  </si>
  <si>
    <t>White household heads, NJ 1774 = 25648</t>
    <phoneticPr fontId="1" type="noConversion"/>
  </si>
  <si>
    <t>Household heads, New York State 1774</t>
    <phoneticPr fontId="1" type="noConversion"/>
  </si>
  <si>
    <t>Blacks 10-15</t>
    <phoneticPr fontId="1" type="noConversion"/>
  </si>
  <si>
    <r>
      <t xml:space="preserve">of 10,000 in 1770 and 47,620 in 1780, according to the Becentennial Edition of </t>
    </r>
    <r>
      <rPr>
        <i/>
        <sz val="12"/>
        <rFont val="Arial"/>
      </rPr>
      <t>HSUS</t>
    </r>
    <r>
      <rPr>
        <sz val="12"/>
        <rFont val="Arial"/>
      </rPr>
      <t>, p. 1168.</t>
    </r>
    <phoneticPr fontId="1" type="noConversion"/>
  </si>
  <si>
    <t>and that 1/6 of the non-white free pop were HHs,</t>
    <phoneticPr fontId="1" type="noConversion"/>
  </si>
  <si>
    <t>with 1745 age shares</t>
    <phoneticPr fontId="1" type="noConversion"/>
  </si>
  <si>
    <t>applied to 1774</t>
    <phoneticPr fontId="1" type="noConversion"/>
  </si>
  <si>
    <t>Whites 16-up</t>
    <phoneticPr fontId="1" type="noConversion"/>
  </si>
  <si>
    <t>Blacks 16-up</t>
    <phoneticPr fontId="1" type="noConversion"/>
  </si>
  <si>
    <t>Eg127</t>
  </si>
  <si>
    <t>Eg128</t>
  </si>
  <si>
    <t>Eg130</t>
  </si>
  <si>
    <t>Total &gt; 60</t>
    <phoneticPr fontId="1" type="noConversion"/>
  </si>
  <si>
    <t>Whites</t>
  </si>
  <si>
    <t>Whites &lt; 16</t>
  </si>
  <si>
    <t>Whites 16-60</t>
  </si>
  <si>
    <t>Whites &gt; 60</t>
  </si>
  <si>
    <t>Over 70 years</t>
  </si>
  <si>
    <t>Connecticut 1756-1782</t>
    <phoneticPr fontId="1" type="noConversion"/>
  </si>
  <si>
    <t>Eg147</t>
  </si>
  <si>
    <t>Eg148</t>
  </si>
  <si>
    <t>Eg150</t>
  </si>
  <si>
    <t>Eg151</t>
  </si>
  <si>
    <t>Eg152</t>
  </si>
  <si>
    <t>Eg153</t>
  </si>
  <si>
    <t>Eg154</t>
  </si>
  <si>
    <t>Eg132</t>
  </si>
  <si>
    <t>Re-structuring the age groups for 1774, to conform to the 16th-birthday standard used elsewhere:</t>
    <phoneticPr fontId="1" type="noConversion"/>
  </si>
  <si>
    <t>New Hampshire</t>
    <phoneticPr fontId="1" type="noConversion"/>
  </si>
  <si>
    <t>Total household heads for NJ in 1774 = 25937</t>
    <phoneticPr fontId="1" type="noConversion"/>
  </si>
  <si>
    <t>Within the 0-15 age group for free whites,</t>
  </si>
  <si>
    <t>but these will be handled separately, as in other colonies/states.</t>
    <phoneticPr fontId="1" type="noConversion"/>
  </si>
  <si>
    <t xml:space="preserve">The black population totals include these numbers of slaves: </t>
    <phoneticPr fontId="1" type="noConversion"/>
  </si>
  <si>
    <t>30.76% of the males were over 10, as were</t>
  </si>
  <si>
    <t>29.31% of females in New York State in 1800.</t>
  </si>
  <si>
    <t>Use these shares to derive the 10-15 age group populations,</t>
  </si>
  <si>
    <t>and fix the white and black shares of the 10-15  age group total.</t>
  </si>
  <si>
    <t>age shares and LFP)</t>
    <phoneticPr fontId="1" type="noConversion"/>
  </si>
  <si>
    <t>(Use free white 1800</t>
    <phoneticPr fontId="1" type="noConversion"/>
  </si>
  <si>
    <t>among free blacks.</t>
    <phoneticPr fontId="1" type="noConversion"/>
  </si>
  <si>
    <t>(Residual of 2 persons, unknown sex.)</t>
    <phoneticPr fontId="1" type="noConversion"/>
  </si>
  <si>
    <t>16 and up</t>
    <phoneticPr fontId="1" type="noConversion"/>
  </si>
  <si>
    <t>or 0.19 of the age 0-19 population</t>
    <phoneticPr fontId="1" type="noConversion"/>
  </si>
  <si>
    <t>AHJ Middle Colonies</t>
    <phoneticPr fontId="1" type="noConversion"/>
  </si>
  <si>
    <t xml:space="preserve"> with NY and DE</t>
    <phoneticPr fontId="1" type="noConversion"/>
  </si>
  <si>
    <t>DE, no NY</t>
    <phoneticPr fontId="1" type="noConversion"/>
  </si>
  <si>
    <t>Problem: colonial censuses</t>
  </si>
  <si>
    <t>usually did not distinguish</t>
  </si>
  <si>
    <t>This was 0.333 for males, 0.412 for females.</t>
    <phoneticPr fontId="1" type="noConversion"/>
  </si>
  <si>
    <t>0-9</t>
    <phoneticPr fontId="1" type="noConversion"/>
  </si>
  <si>
    <t>0-9</t>
    <phoneticPr fontId="1" type="noConversion"/>
  </si>
  <si>
    <t>ages 0-9</t>
    <phoneticPr fontId="1" type="noConversion"/>
  </si>
  <si>
    <t>population</t>
    <phoneticPr fontId="1" type="noConversion"/>
  </si>
  <si>
    <t>Other</t>
    <phoneticPr fontId="1" type="noConversion"/>
  </si>
  <si>
    <t>(Residual)</t>
    <phoneticPr fontId="1" type="noConversion"/>
  </si>
  <si>
    <t>Total 10-15</t>
  </si>
  <si>
    <t>Whites 10-15</t>
  </si>
  <si>
    <t>Blacks 10-15</t>
  </si>
  <si>
    <t>M+F</t>
    <phoneticPr fontId="1" type="noConversion"/>
  </si>
  <si>
    <t>Male</t>
    <phoneticPr fontId="1" type="noConversion"/>
  </si>
  <si>
    <t>Eg85</t>
  </si>
  <si>
    <t>French neutral</t>
  </si>
  <si>
    <t>Eg169</t>
  </si>
  <si>
    <t>Eg170</t>
  </si>
  <si>
    <t>Eg171</t>
  </si>
  <si>
    <t>New York State population totals and derived labor force, 1774</t>
    <phoneticPr fontId="1" type="noConversion"/>
  </si>
  <si>
    <r>
      <t>(A.) As given in</t>
    </r>
    <r>
      <rPr>
        <i/>
        <sz val="12"/>
        <rFont val="Arial"/>
      </rPr>
      <t xml:space="preserve"> HSUS Millennial Edition</t>
    </r>
    <r>
      <rPr>
        <sz val="12"/>
        <rFont val="Arial"/>
      </rPr>
      <t xml:space="preserve"> (2006)</t>
    </r>
    <phoneticPr fontId="1" type="noConversion"/>
  </si>
  <si>
    <t>16 and older not taxable</t>
  </si>
  <si>
    <t>Other</t>
    <phoneticPr fontId="1" type="noConversion"/>
  </si>
  <si>
    <t>Problem: colonial censuses</t>
    <phoneticPr fontId="1" type="noConversion"/>
  </si>
  <si>
    <t>Assuming that 0.81566 of the white males over 16 were over 21, as in 1800,</t>
    <phoneticPr fontId="1" type="noConversion"/>
  </si>
  <si>
    <t>White household heads, Massachusetts 1774 = 43,843.</t>
    <phoneticPr fontId="1" type="noConversion"/>
  </si>
  <si>
    <t>Free white household heads, Maryland in 1774 =</t>
    <phoneticPr fontId="1" type="noConversion"/>
  </si>
  <si>
    <t>31.25-% of females in New Jersey in 1800.</t>
    <phoneticPr fontId="1" type="noConversion"/>
  </si>
  <si>
    <t>using (1/6) of the free black population.</t>
    <phoneticPr fontId="1" type="noConversion"/>
  </si>
  <si>
    <t>Black household heads NJ 1774 = 289</t>
    <phoneticPr fontId="1" type="noConversion"/>
  </si>
  <si>
    <t xml:space="preserve">Age shares from 1764-65 were borrowed for 1774 and applied to both racial groups.  </t>
    <phoneticPr fontId="1" type="noConversion"/>
  </si>
  <si>
    <t>Blacks &amp; mulattos, total</t>
    <phoneticPr fontId="1" type="noConversion"/>
  </si>
  <si>
    <t>Georgia</t>
    <phoneticPr fontId="1" type="noConversion"/>
  </si>
  <si>
    <t>Free white</t>
    <phoneticPr fontId="1" type="noConversion"/>
  </si>
  <si>
    <t>were a high share fo the black population.)</t>
    <phoneticPr fontId="1" type="noConversion"/>
  </si>
  <si>
    <t xml:space="preserve">(Don't apply the 1/6 rule here, given that adult males </t>
    <phoneticPr fontId="1" type="noConversion"/>
  </si>
  <si>
    <t>among free blacks.</t>
    <phoneticPr fontId="1" type="noConversion"/>
  </si>
  <si>
    <t>"Slave" (but see 1790-base breakdown)</t>
    <phoneticPr fontId="1" type="noConversion"/>
  </si>
  <si>
    <t>Problem: colonial censuses usually</t>
    <phoneticPr fontId="1" type="noConversion"/>
  </si>
  <si>
    <t>did not distinguish free blacks</t>
    <phoneticPr fontId="1" type="noConversion"/>
  </si>
  <si>
    <t>from slaves, and NH explicitly said "slaves".</t>
    <phoneticPr fontId="1" type="noConversion"/>
  </si>
  <si>
    <t>Black household heads NH 1774 = (1/6) of total black pop = 111.</t>
    <phoneticPr fontId="1" type="noConversion"/>
  </si>
  <si>
    <t>Total household heads for New Hampshire in 1774 = 15712.</t>
    <phoneticPr fontId="1" type="noConversion"/>
  </si>
  <si>
    <t>total,</t>
    <phoneticPr fontId="1" type="noConversion"/>
  </si>
  <si>
    <t>among whites, and</t>
    <phoneticPr fontId="1" type="noConversion"/>
  </si>
  <si>
    <t>among free blacks.</t>
    <phoneticPr fontId="1" type="noConversion"/>
  </si>
  <si>
    <t>(Sums</t>
    <phoneticPr fontId="1" type="noConversion"/>
  </si>
  <si>
    <t>check)</t>
    <phoneticPr fontId="1" type="noConversion"/>
  </si>
  <si>
    <t>(2) To stay close to 1774, start with breakdowns (by sex, race, status) from the same places</t>
    <phoneticPr fontId="1" type="noConversion"/>
  </si>
  <si>
    <t>Slaves</t>
    <phoneticPr fontId="1" type="noConversion"/>
  </si>
  <si>
    <t xml:space="preserve">free/slave division, </t>
    <phoneticPr fontId="1" type="noConversion"/>
  </si>
  <si>
    <t>"All other free persons" =</t>
  </si>
  <si>
    <t>"All other free persons" =</t>
    <phoneticPr fontId="1" type="noConversion"/>
  </si>
  <si>
    <t>Slaves =</t>
  </si>
  <si>
    <t>Slaves =</t>
    <phoneticPr fontId="1" type="noConversion"/>
  </si>
  <si>
    <t>distrib'n as free M+F)</t>
  </si>
  <si>
    <t>participants</t>
  </si>
  <si>
    <t>LFP rate</t>
  </si>
  <si>
    <t>Ages 10-15</t>
  </si>
  <si>
    <t>Ages 16-up</t>
  </si>
  <si>
    <t>Slaves 10-up</t>
  </si>
  <si>
    <t>Estimated labor force, Massachusetts 1774</t>
    <phoneticPr fontId="1" type="noConversion"/>
  </si>
  <si>
    <t>(from Weiss, for Massachusetts 1800)</t>
    <phoneticPr fontId="1" type="noConversion"/>
  </si>
  <si>
    <t>(D.) Age, sex, race, and freedom detail for 1774</t>
    <phoneticPr fontId="1" type="noConversion"/>
  </si>
  <si>
    <t>Males</t>
    <phoneticPr fontId="1" type="noConversion"/>
  </si>
  <si>
    <t>Females</t>
    <phoneticPr fontId="1" type="noConversion"/>
  </si>
  <si>
    <t>16 and older</t>
  </si>
  <si>
    <t>16 and older</t>
    <phoneticPr fontId="1" type="noConversion"/>
  </si>
  <si>
    <r>
      <t>Vermont, which AHJ apparently included in New York (</t>
    </r>
    <r>
      <rPr>
        <i/>
        <sz val="12"/>
        <rFont val="Arial"/>
      </rPr>
      <t>ACW</t>
    </r>
    <r>
      <rPr>
        <sz val="12"/>
        <rFont val="Arial"/>
      </rPr>
      <t>, p. 1790), had a total population</t>
    </r>
    <phoneticPr fontId="1" type="noConversion"/>
  </si>
  <si>
    <t>(free and slave, excl. untaxed American Indian pop'ns)</t>
    <phoneticPr fontId="1" type="noConversion"/>
  </si>
  <si>
    <t>Big city</t>
    <phoneticPr fontId="1" type="noConversion"/>
  </si>
  <si>
    <t>Lesser cities</t>
    <phoneticPr fontId="1" type="noConversion"/>
  </si>
  <si>
    <t>Rural</t>
    <phoneticPr fontId="1" type="noConversion"/>
  </si>
  <si>
    <t>Total household heads for Massachusetts in 1774=</t>
    <phoneticPr fontId="1" type="noConversion"/>
  </si>
  <si>
    <t>in the Rhode Island 1774 census.</t>
    <phoneticPr fontId="1" type="noConversion"/>
  </si>
  <si>
    <t>Assuming that 0.8171 of the white males over 16 were over 21, as in 1800,</t>
    <phoneticPr fontId="1" type="noConversion"/>
  </si>
  <si>
    <t>Massachusetts 1764-1784</t>
    <phoneticPr fontId="1" type="noConversion"/>
  </si>
  <si>
    <t>Eg141</t>
  </si>
  <si>
    <t>Eg142</t>
  </si>
  <si>
    <t>Eg143</t>
  </si>
  <si>
    <t>Eg144</t>
  </si>
  <si>
    <t>Eg149</t>
  </si>
  <si>
    <t>Row</t>
  </si>
  <si>
    <t>Year</t>
  </si>
  <si>
    <t>Age</t>
  </si>
  <si>
    <t>Number</t>
  </si>
  <si>
    <t>1764–1765</t>
  </si>
  <si>
    <t>Eg126</t>
  </si>
  <si>
    <t>Female slave population</t>
    <phoneticPr fontId="1" type="noConversion"/>
  </si>
  <si>
    <t>Females</t>
    <phoneticPr fontId="1" type="noConversion"/>
  </si>
  <si>
    <t>Male slave population</t>
    <phoneticPr fontId="1" type="noConversion"/>
  </si>
  <si>
    <t>and colonies/states further South. [An ulterior motive: This brings the number of household heads</t>
    <phoneticPr fontId="1" type="noConversion"/>
  </si>
  <si>
    <t>free blacks from slaves.</t>
  </si>
  <si>
    <t>free blacks from slaves.</t>
    <phoneticPr fontId="1" type="noConversion"/>
  </si>
  <si>
    <t>But the 1790 census gives, for NY,</t>
    <phoneticPr fontId="1" type="noConversion"/>
  </si>
  <si>
    <t>But the 1790 census gives, for NJ,</t>
    <phoneticPr fontId="1" type="noConversion"/>
  </si>
  <si>
    <t>But the 1790 census gives, for RI,</t>
    <phoneticPr fontId="1" type="noConversion"/>
  </si>
  <si>
    <t xml:space="preserve">censuses or tax assessments.  The arbitrary assumption taken in this case is that </t>
    <phoneticPr fontId="1" type="noConversion"/>
  </si>
  <si>
    <t xml:space="preserve">1/10 of them were heads of households defined as separate economic units.  </t>
    <phoneticPr fontId="1" type="noConversion"/>
  </si>
  <si>
    <t xml:space="preserve">Thus we use a headship rate of 1/10 for free non-whites in Maryland, Delaware, </t>
    <phoneticPr fontId="1" type="noConversion"/>
  </si>
  <si>
    <t>Total household heads for NY in 1774 = 36017.</t>
    <phoneticPr fontId="1" type="noConversion"/>
  </si>
  <si>
    <t>Blacks</t>
  </si>
  <si>
    <t>Blacks &lt; 16</t>
  </si>
  <si>
    <t>Blacks 16-60</t>
  </si>
  <si>
    <t>Blacks &gt; 60</t>
  </si>
  <si>
    <t>Total participants in the labor force per household head.</t>
    <phoneticPr fontId="1" type="noConversion"/>
  </si>
  <si>
    <r>
      <t>Household headship -- estimation motives and assumptions</t>
    </r>
    <r>
      <rPr>
        <b/>
        <sz val="14"/>
        <color indexed="10"/>
        <rFont val="Arial"/>
      </rPr>
      <t>:</t>
    </r>
    <phoneticPr fontId="1" type="noConversion"/>
  </si>
  <si>
    <t>Absent a colonial</t>
  </si>
  <si>
    <t>free/slave division,</t>
  </si>
  <si>
    <t>apply this share to 1774.</t>
  </si>
  <si>
    <t>But the 1790 census gives, for MA,</t>
    <phoneticPr fontId="1" type="noConversion"/>
  </si>
  <si>
    <t>But the 1790 census gives, for VT,</t>
    <phoneticPr fontId="1" type="noConversion"/>
  </si>
  <si>
    <t>1771 (apparently excluding VT)</t>
    <phoneticPr fontId="1" type="noConversion"/>
  </si>
  <si>
    <t>as in CT 1800, and equaled total white household heads,</t>
    <phoneticPr fontId="1" type="noConversion"/>
  </si>
  <si>
    <t>Eg172</t>
  </si>
  <si>
    <t>Eg173</t>
  </si>
  <si>
    <t>Free</t>
  </si>
  <si>
    <t>Servant</t>
  </si>
  <si>
    <t>Age, taxable status</t>
  </si>
  <si>
    <t>Sex</t>
  </si>
  <si>
    <t>Eg176</t>
  </si>
  <si>
    <t>Younger than 16</t>
  </si>
  <si>
    <t>16 and older taxable</t>
  </si>
  <si>
    <t>Household heads, Connecticut 1774</t>
    <phoneticPr fontId="1" type="noConversion"/>
  </si>
  <si>
    <t>Reminder: These omit American Indians, and the special (non-"white"?) group called "French neutral",</t>
    <phoneticPr fontId="1" type="noConversion"/>
  </si>
  <si>
    <t>Males, both martial statuses</t>
    <phoneticPr fontId="1" type="noConversion"/>
  </si>
  <si>
    <t>Males 10-15</t>
    <phoneticPr fontId="1" type="noConversion"/>
  </si>
  <si>
    <t>Males 16-up</t>
    <phoneticPr fontId="1" type="noConversion"/>
  </si>
  <si>
    <t>M+F 0-9</t>
    <phoneticPr fontId="1" type="noConversion"/>
  </si>
  <si>
    <t>(from Weiss, for Maine 1800)</t>
    <phoneticPr fontId="1" type="noConversion"/>
  </si>
  <si>
    <t>Blacks &amp; mulattos 10-15</t>
    <phoneticPr fontId="1" type="noConversion"/>
  </si>
  <si>
    <t>(interpolated between 1775 and 1782)</t>
    <phoneticPr fontId="1" type="noConversion"/>
  </si>
  <si>
    <t>Free mulattos and blacks</t>
    <phoneticPr fontId="1" type="noConversion"/>
  </si>
  <si>
    <t>Males</t>
    <phoneticPr fontId="1" type="noConversion"/>
  </si>
  <si>
    <t>under 16</t>
    <phoneticPr fontId="1" type="noConversion"/>
  </si>
  <si>
    <t>Implied labor force, Maryland 1774</t>
    <phoneticPr fontId="1" type="noConversion"/>
  </si>
  <si>
    <t>Total household heads for NY in 1774=</t>
  </si>
  <si>
    <t>or</t>
  </si>
  <si>
    <t>[Excluding Maine.]</t>
    <phoneticPr fontId="1" type="noConversion"/>
  </si>
  <si>
    <t>percent of total population.</t>
  </si>
  <si>
    <t>Blacks 0-9 =</t>
    <phoneticPr fontId="1" type="noConversion"/>
  </si>
  <si>
    <t xml:space="preserve">Blacks 10-up = </t>
    <phoneticPr fontId="1" type="noConversion"/>
  </si>
  <si>
    <t>Then, for the US in 1820,</t>
    <phoneticPr fontId="1" type="noConversion"/>
  </si>
  <si>
    <t>percent were 10 and older.</t>
    <phoneticPr fontId="1" type="noConversion"/>
  </si>
  <si>
    <t xml:space="preserve">Among blacks in 1820, </t>
    <phoneticPr fontId="1" type="noConversion"/>
  </si>
  <si>
    <t>(2) From the 1830 census for the whole United States</t>
    <phoneticPr fontId="1" type="noConversion"/>
  </si>
  <si>
    <t xml:space="preserve">Among blacks in 1830, </t>
    <phoneticPr fontId="1" type="noConversion"/>
  </si>
  <si>
    <t>Total pop =</t>
    <phoneticPr fontId="1" type="noConversion"/>
  </si>
  <si>
    <t>Slave LF =</t>
    <phoneticPr fontId="1" type="noConversion"/>
  </si>
  <si>
    <t>LFP rate =</t>
    <phoneticPr fontId="1" type="noConversion"/>
  </si>
  <si>
    <t xml:space="preserve">Slave </t>
    <phoneticPr fontId="1" type="noConversion"/>
  </si>
  <si>
    <t>totals</t>
    <phoneticPr fontId="1" type="noConversion"/>
  </si>
  <si>
    <t xml:space="preserve">Pop share 10-up = </t>
    <phoneticPr fontId="1" type="noConversion"/>
  </si>
  <si>
    <t xml:space="preserve">Pop share 10-up = </t>
    <phoneticPr fontId="1" type="noConversion"/>
  </si>
  <si>
    <t>(3) Maryland 1774 (see Maryland worksheet in this file)</t>
    <phoneticPr fontId="1" type="noConversion"/>
  </si>
  <si>
    <t>"All other free persons"</t>
    <phoneticPr fontId="1" type="noConversion"/>
  </si>
  <si>
    <t>Total</t>
    <phoneticPr fontId="1" type="noConversion"/>
  </si>
  <si>
    <t>"Other</t>
    <phoneticPr fontId="1" type="noConversion"/>
  </si>
  <si>
    <t>free" house-</t>
    <phoneticPr fontId="1" type="noConversion"/>
  </si>
  <si>
    <t>hold heads</t>
    <phoneticPr fontId="1" type="noConversion"/>
  </si>
  <si>
    <t>one could assume that 2/3 were of ages 10 years old and up.</t>
    <phoneticPr fontId="1" type="noConversion"/>
  </si>
  <si>
    <t>Females 10-15</t>
    <phoneticPr fontId="1" type="noConversion"/>
  </si>
  <si>
    <t>Females 16-up</t>
    <phoneticPr fontId="1" type="noConversion"/>
  </si>
  <si>
    <t>White</t>
    <phoneticPr fontId="1" type="noConversion"/>
  </si>
  <si>
    <t>servants</t>
    <phoneticPr fontId="1" type="noConversion"/>
  </si>
  <si>
    <t>Implied free share =</t>
  </si>
  <si>
    <t>Implied free share =</t>
    <phoneticPr fontId="1" type="noConversion"/>
  </si>
  <si>
    <t>But the 1790 census gives, for CT,</t>
    <phoneticPr fontId="1" type="noConversion"/>
  </si>
  <si>
    <t>(both taxable &amp; not)</t>
    <phoneticPr fontId="1" type="noConversion"/>
  </si>
  <si>
    <r>
      <t>(C.) Total population, 1774</t>
    </r>
    <r>
      <rPr>
        <sz val="12"/>
        <rFont val="Arial"/>
      </rPr>
      <t xml:space="preserve"> =</t>
    </r>
    <phoneticPr fontId="1" type="noConversion"/>
  </si>
  <si>
    <t>colonial censuses.]</t>
    <phoneticPr fontId="1" type="noConversion"/>
  </si>
  <si>
    <t>distrib'n as free white M+F)</t>
    <phoneticPr fontId="1" type="noConversion"/>
  </si>
  <si>
    <t>and equaled total white household heads,</t>
    <phoneticPr fontId="1" type="noConversion"/>
  </si>
  <si>
    <t>North Carolina</t>
    <phoneticPr fontId="1" type="noConversion"/>
  </si>
  <si>
    <t>Eg145</t>
  </si>
  <si>
    <t>Eg146</t>
  </si>
  <si>
    <t>Married</t>
  </si>
  <si>
    <t>Single</t>
  </si>
  <si>
    <t>Tom Weiss has estimated a labor force participation rate (LFPR) of 90%.</t>
    <phoneticPr fontId="1" type="noConversion"/>
  </si>
  <si>
    <t>He assumed zero labor force participation for those 0-9.</t>
    <phoneticPr fontId="1" type="noConversion"/>
  </si>
  <si>
    <t>Indirect clues on slave age shares for 1774</t>
    <phoneticPr fontId="1" type="noConversion"/>
  </si>
  <si>
    <r>
      <t xml:space="preserve">(1) From </t>
    </r>
    <r>
      <rPr>
        <i/>
        <sz val="12"/>
        <rFont val="Arial"/>
      </rPr>
      <t xml:space="preserve">HSUS Millennial </t>
    </r>
    <r>
      <rPr>
        <sz val="12"/>
        <rFont val="Arial"/>
      </rPr>
      <t>(2006), Page 1-61ff:</t>
    </r>
    <phoneticPr fontId="1" type="noConversion"/>
  </si>
  <si>
    <t xml:space="preserve">For Massachusetts blacks and mulattoes, </t>
    <phoneticPr fontId="1" type="noConversion"/>
  </si>
  <si>
    <t>use their under-16 shares recorded</t>
    <phoneticPr fontId="1" type="noConversion"/>
  </si>
  <si>
    <t>NONE, according to the 1790 census,</t>
    <phoneticPr fontId="1" type="noConversion"/>
  </si>
  <si>
    <t xml:space="preserve">and implied by omission in the </t>
    <phoneticPr fontId="1" type="noConversion"/>
  </si>
  <si>
    <t>colonial censuses.</t>
    <phoneticPr fontId="1" type="noConversion"/>
  </si>
  <si>
    <t>Free blacks</t>
    <phoneticPr fontId="1" type="noConversion"/>
  </si>
  <si>
    <t>Blacks, total</t>
    <phoneticPr fontId="1" type="noConversion"/>
  </si>
  <si>
    <t>Black, all</t>
    <phoneticPr fontId="1" type="noConversion"/>
  </si>
  <si>
    <t>down below the numbers of non-white adults in the Southern labor force, using Weiss's LF rates.]</t>
    <phoneticPr fontId="1" type="noConversion"/>
  </si>
  <si>
    <r>
      <t>Something borrowed</t>
    </r>
    <r>
      <rPr>
        <sz val="12"/>
        <rFont val="Arial"/>
      </rPr>
      <t>: From Maryland 1800, the shares of males 0-15 and of females 0-15 that were in the 10-15 age range.</t>
    </r>
    <phoneticPr fontId="1" type="noConversion"/>
  </si>
  <si>
    <r>
      <t xml:space="preserve">(E.) </t>
    </r>
    <r>
      <rPr>
        <b/>
        <u/>
        <sz val="12"/>
        <rFont val="Arial"/>
      </rPr>
      <t>Re-aligning these estimates for 1774</t>
    </r>
    <r>
      <rPr>
        <sz val="12"/>
        <rFont val="Arial"/>
      </rPr>
      <t xml:space="preserve"> to match the categories for which Weiss has estimated positive LFP rates for 1800</t>
    </r>
    <phoneticPr fontId="1" type="noConversion"/>
  </si>
  <si>
    <r>
      <t>(C.1) Finer age shares for free whites, from the 1800 census</t>
    </r>
    <r>
      <rPr>
        <sz val="12"/>
        <rFont val="Arial"/>
      </rPr>
      <t>,</t>
    </r>
    <phoneticPr fontId="1" type="noConversion"/>
  </si>
  <si>
    <t>(C.2) Results of applying 1800 sub-group shares to 1790 free white populations</t>
    <phoneticPr fontId="1" type="noConversion"/>
  </si>
  <si>
    <t>Free black and mulatto household heads, Maryland 1774 = (1/10 of free blacks + mulattos, all ages) =</t>
    <phoneticPr fontId="1" type="noConversion"/>
  </si>
  <si>
    <t xml:space="preserve">in </t>
    <phoneticPr fontId="1" type="noConversion"/>
  </si>
  <si>
    <t>Maryland **</t>
    <phoneticPr fontId="1" type="noConversion"/>
  </si>
  <si>
    <t>[*These were</t>
    <phoneticPr fontId="1" type="noConversion"/>
  </si>
  <si>
    <t>given separately</t>
    <phoneticPr fontId="1" type="noConversion"/>
  </si>
  <si>
    <t>from "free whites"</t>
    <phoneticPr fontId="1" type="noConversion"/>
  </si>
  <si>
    <t>in the Maryland</t>
    <phoneticPr fontId="1" type="noConversion"/>
  </si>
  <si>
    <r>
      <t>For free non-whites in the slave South</t>
    </r>
    <r>
      <rPr>
        <sz val="12"/>
        <rFont val="Arial"/>
      </rPr>
      <t>, it appears unlikely that many were household</t>
    </r>
    <phoneticPr fontId="1" type="noConversion"/>
  </si>
  <si>
    <t>Eg86</t>
  </si>
  <si>
    <t>Eg87</t>
  </si>
  <si>
    <t>Eg88</t>
  </si>
  <si>
    <t>Eg89</t>
  </si>
  <si>
    <t>Eg90</t>
  </si>
  <si>
    <t>Houses</t>
  </si>
  <si>
    <t>Families</t>
  </si>
  <si>
    <t>Population</t>
  </si>
  <si>
    <t>Total</t>
  </si>
  <si>
    <t>White</t>
  </si>
  <si>
    <t>Male</t>
  </si>
  <si>
    <t>Female</t>
  </si>
  <si>
    <t>Our objective = To estimate the share 10 years old or older, for which</t>
    <phoneticPr fontId="1" type="noConversion"/>
  </si>
  <si>
    <t>South Carolina</t>
    <phoneticPr fontId="1" type="noConversion"/>
  </si>
  <si>
    <t>usually did not distinguish</t>
    <phoneticPr fontId="1" type="noConversion"/>
  </si>
  <si>
    <t>Females, both martial statuses</t>
    <phoneticPr fontId="1" type="noConversion"/>
  </si>
  <si>
    <t>Combining this with Tom Weiss's estimate that the labor force participation</t>
    <phoneticPr fontId="1" type="noConversion"/>
  </si>
  <si>
    <t xml:space="preserve">rate (LFPR) for slaves 10-up was 90%, and for those aged 0-9 it was zero, </t>
    <phoneticPr fontId="1" type="noConversion"/>
  </si>
  <si>
    <r>
      <t xml:space="preserve">the </t>
    </r>
    <r>
      <rPr>
        <b/>
        <u/>
        <sz val="12"/>
        <rFont val="Arial"/>
      </rPr>
      <t>LFPR for slaves was 60%</t>
    </r>
    <r>
      <rPr>
        <sz val="12"/>
        <rFont val="Arial"/>
      </rPr>
      <t>.</t>
    </r>
    <phoneticPr fontId="1" type="noConversion"/>
  </si>
  <si>
    <t>(Assuming the slave labor force =</t>
    <phoneticPr fontId="1" type="noConversion"/>
  </si>
  <si>
    <t>60% of the total slave population.</t>
    <phoneticPr fontId="1" type="noConversion"/>
  </si>
  <si>
    <t>See the "Slave age shares"</t>
    <phoneticPr fontId="1" type="noConversion"/>
  </si>
  <si>
    <t>worksheet in this file.)</t>
    <phoneticPr fontId="1" type="noConversion"/>
  </si>
  <si>
    <t>Slave</t>
    <phoneticPr fontId="1" type="noConversion"/>
  </si>
  <si>
    <t>labor</t>
    <phoneticPr fontId="1" type="noConversion"/>
  </si>
  <si>
    <t>force</t>
    <phoneticPr fontId="1" type="noConversion"/>
  </si>
  <si>
    <t xml:space="preserve">|    </t>
    <phoneticPr fontId="1" type="noConversion"/>
  </si>
  <si>
    <t>From the 1820 census for the whole United States</t>
    <phoneticPr fontId="1" type="noConversion"/>
  </si>
  <si>
    <t xml:space="preserve">Total black population = </t>
    <phoneticPr fontId="1" type="noConversion"/>
  </si>
  <si>
    <t>Blacks 0-13 =</t>
    <phoneticPr fontId="1" type="noConversion"/>
  </si>
  <si>
    <t xml:space="preserve">Blacks 14-up = </t>
    <phoneticPr fontId="1" type="noConversion"/>
  </si>
  <si>
    <t>Assume that the share of blacks 0-13 that were 0-9 was 0.75%, given the likely child mortality rates.</t>
    <phoneticPr fontId="1" type="noConversion"/>
  </si>
  <si>
    <t>vs. same 49.9% in 1800.</t>
    <phoneticPr fontId="1" type="noConversion"/>
  </si>
  <si>
    <t>South Atlantic 1774</t>
    <phoneticPr fontId="1" type="noConversion"/>
  </si>
  <si>
    <t>All 13 colonies 1774</t>
    <phoneticPr fontId="1" type="noConversion"/>
  </si>
  <si>
    <t>vs. 50.4% in 1800.</t>
    <phoneticPr fontId="1" type="noConversion"/>
  </si>
  <si>
    <t>vs. 49.1% in 1800.</t>
    <phoneticPr fontId="1" type="noConversion"/>
  </si>
  <si>
    <t>PA 1774</t>
    <phoneticPr fontId="1" type="noConversion"/>
  </si>
  <si>
    <t>DE 1774</t>
    <phoneticPr fontId="1" type="noConversion"/>
  </si>
  <si>
    <t>New England 1774</t>
    <phoneticPr fontId="1" type="noConversion"/>
  </si>
  <si>
    <t>VA 1774</t>
    <phoneticPr fontId="1" type="noConversion"/>
  </si>
  <si>
    <t>Both sexes</t>
    <phoneticPr fontId="1" type="noConversion"/>
  </si>
  <si>
    <t>Male</t>
    <phoneticPr fontId="1" type="noConversion"/>
  </si>
  <si>
    <t>Female</t>
    <phoneticPr fontId="1" type="noConversion"/>
  </si>
  <si>
    <t>NC 1774</t>
    <phoneticPr fontId="1" type="noConversion"/>
  </si>
  <si>
    <t>vs. 49.6</t>
    <phoneticPr fontId="1" type="noConversion"/>
  </si>
  <si>
    <t>Meanwhile, the</t>
    <phoneticPr fontId="1" type="noConversion"/>
  </si>
  <si>
    <t xml:space="preserve">slave share of </t>
    <phoneticPr fontId="1" type="noConversion"/>
  </si>
  <si>
    <t xml:space="preserve">total population </t>
    <phoneticPr fontId="1" type="noConversion"/>
  </si>
  <si>
    <t>dropped from</t>
    <phoneticPr fontId="1" type="noConversion"/>
  </si>
  <si>
    <t>17.5% in 1774</t>
    <phoneticPr fontId="1" type="noConversion"/>
  </si>
  <si>
    <t>to 16.7% in 1800</t>
    <phoneticPr fontId="1" type="noConversion"/>
  </si>
  <si>
    <t>(caution: latter is</t>
    <phoneticPr fontId="1" type="noConversion"/>
  </si>
  <si>
    <t>all US, not just</t>
    <phoneticPr fontId="1" type="noConversion"/>
  </si>
  <si>
    <t>the 15+DC).</t>
    <phoneticPr fontId="1" type="noConversion"/>
  </si>
  <si>
    <t>vs. 49.9</t>
    <phoneticPr fontId="1" type="noConversion"/>
  </si>
  <si>
    <t>vs 50.0</t>
    <phoneticPr fontId="1" type="noConversion"/>
  </si>
  <si>
    <t>vs 52.2</t>
  </si>
  <si>
    <t>vs 49.6</t>
  </si>
  <si>
    <t>vs 50.7</t>
  </si>
  <si>
    <t>vs 48.1</t>
    <phoneticPr fontId="1" type="noConversion"/>
  </si>
  <si>
    <t>SC 1774</t>
    <phoneticPr fontId="1" type="noConversion"/>
  </si>
  <si>
    <t>GA 1774</t>
    <phoneticPr fontId="1" type="noConversion"/>
  </si>
  <si>
    <t>vs 47.0</t>
    <phoneticPr fontId="1" type="noConversion"/>
  </si>
  <si>
    <t>vs. 46.6</t>
    <phoneticPr fontId="1" type="noConversion"/>
  </si>
  <si>
    <t>Mid Atlantic 1774</t>
    <phoneticPr fontId="1" type="noConversion"/>
  </si>
  <si>
    <t>% over 16,</t>
    <phoneticPr fontId="1" type="noConversion"/>
  </si>
  <si>
    <t>both sexes</t>
    <phoneticPr fontId="1" type="noConversion"/>
  </si>
  <si>
    <t>NY (ex VT) 1774</t>
    <phoneticPr fontId="1" type="noConversion"/>
  </si>
  <si>
    <t>NJ 1774</t>
    <phoneticPr fontId="1" type="noConversion"/>
  </si>
  <si>
    <t>MD 1774</t>
    <phoneticPr fontId="1" type="noConversion"/>
  </si>
  <si>
    <t>["Free whites" exclude "French neutrals", free non-whites, and MD servants.]</t>
    <phoneticPr fontId="1" type="noConversion"/>
  </si>
  <si>
    <t>versus 52.4 in 1800</t>
    <phoneticPr fontId="1" type="noConversion"/>
  </si>
  <si>
    <t>% in 1800.</t>
    <phoneticPr fontId="1" type="noConversion"/>
  </si>
  <si>
    <t>All ages</t>
    <phoneticPr fontId="1" type="noConversion"/>
  </si>
  <si>
    <t>Under 16</t>
    <phoneticPr fontId="1" type="noConversion"/>
  </si>
  <si>
    <t>16 and up</t>
    <phoneticPr fontId="1" type="noConversion"/>
  </si>
  <si>
    <t>Maine 1774</t>
    <phoneticPr fontId="1" type="noConversion"/>
  </si>
  <si>
    <t>Deriving shares of the free white population that are 16 years old and up in 1774</t>
    <phoneticPr fontId="1" type="noConversion"/>
  </si>
  <si>
    <t>NH 1774</t>
    <phoneticPr fontId="1" type="noConversion"/>
  </si>
  <si>
    <t>Total no.</t>
    <phoneticPr fontId="1" type="noConversion"/>
  </si>
  <si>
    <t>Male no.</t>
    <phoneticPr fontId="1" type="noConversion"/>
  </si>
  <si>
    <t>Female no.</t>
    <phoneticPr fontId="1" type="noConversion"/>
  </si>
  <si>
    <t>VT 1774</t>
    <phoneticPr fontId="1" type="noConversion"/>
  </si>
  <si>
    <t>MA 1774</t>
    <phoneticPr fontId="1" type="noConversion"/>
  </si>
  <si>
    <t>RI 1774</t>
    <phoneticPr fontId="1" type="noConversion"/>
  </si>
  <si>
    <t>CT 1774</t>
    <phoneticPr fontId="1" type="noConversion"/>
  </si>
  <si>
    <t>percent.</t>
    <phoneticPr fontId="1" type="noConversion"/>
  </si>
  <si>
    <t>Inference:  When given a total slave population for a colony in 1774,</t>
    <phoneticPr fontId="1" type="noConversion"/>
  </si>
  <si>
    <t>SUMMED</t>
    <phoneticPr fontId="1" type="noConversion"/>
  </si>
  <si>
    <t xml:space="preserve">HERE, updated </t>
    <phoneticPr fontId="1" type="noConversion"/>
  </si>
  <si>
    <t>Total LF</t>
    <phoneticPr fontId="1" type="noConversion"/>
  </si>
</sst>
</file>

<file path=xl/styles.xml><?xml version="1.0" encoding="utf-8"?>
<styleSheet xmlns="http://schemas.openxmlformats.org/spreadsheetml/2006/main">
  <numFmts count="7">
    <numFmt numFmtId="164" formatCode="0.0"/>
    <numFmt numFmtId="165" formatCode="0.000"/>
    <numFmt numFmtId="166" formatCode="&quot;$&quot;0_);\(&quot;$&quot;0\)"/>
    <numFmt numFmtId="167" formatCode="0.0000"/>
    <numFmt numFmtId="168" formatCode="0.000000"/>
    <numFmt numFmtId="169" formatCode="0.00000"/>
    <numFmt numFmtId="171" formatCode="0,000"/>
  </numFmts>
  <fonts count="18">
    <font>
      <sz val="10"/>
      <name val="Verdana"/>
    </font>
    <font>
      <sz val="8"/>
      <name val="Verdana"/>
    </font>
    <font>
      <sz val="12"/>
      <name val="Arial"/>
    </font>
    <font>
      <b/>
      <sz val="14"/>
      <name val="Arial"/>
      <family val="2"/>
    </font>
    <font>
      <b/>
      <sz val="12"/>
      <name val="Arial"/>
    </font>
    <font>
      <b/>
      <u/>
      <sz val="12"/>
      <name val="Arial"/>
    </font>
    <font>
      <i/>
      <sz val="12"/>
      <name val="Arial"/>
    </font>
    <font>
      <b/>
      <i/>
      <u/>
      <sz val="12"/>
      <name val="Arial"/>
    </font>
    <font>
      <sz val="12"/>
      <color indexed="10"/>
      <name val="Arial"/>
    </font>
    <font>
      <u/>
      <sz val="12"/>
      <name val="Arial"/>
    </font>
    <font>
      <b/>
      <u/>
      <sz val="12"/>
      <color indexed="10"/>
      <name val="Arial"/>
    </font>
    <font>
      <i/>
      <sz val="12"/>
      <color indexed="10"/>
      <name val="Arial"/>
    </font>
    <font>
      <sz val="12"/>
      <color indexed="8"/>
      <name val="Arial"/>
    </font>
    <font>
      <b/>
      <sz val="14"/>
      <color indexed="10"/>
      <name val="Arial"/>
    </font>
    <font>
      <sz val="12"/>
      <name val="Verdana"/>
    </font>
    <font>
      <sz val="14"/>
      <name val="Arial"/>
    </font>
    <font>
      <sz val="14"/>
      <color indexed="10"/>
      <name val="Arial"/>
    </font>
    <font>
      <b/>
      <u/>
      <sz val="14"/>
      <color indexed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5" fillId="0" borderId="0" xfId="0" applyFont="1"/>
    <xf numFmtId="165" fontId="2" fillId="0" borderId="0" xfId="0" applyNumberFormat="1" applyFont="1"/>
    <xf numFmtId="1" fontId="2" fillId="0" borderId="0" xfId="0" applyNumberFormat="1" applyFont="1"/>
    <xf numFmtId="1" fontId="2" fillId="0" borderId="0" xfId="0" applyNumberFormat="1" applyFont="1"/>
    <xf numFmtId="0" fontId="2" fillId="0" borderId="0" xfId="0" applyFont="1" applyBorder="1"/>
    <xf numFmtId="1" fontId="4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0" borderId="4" xfId="0" applyNumberFormat="1" applyFont="1" applyBorder="1"/>
    <xf numFmtId="1" fontId="6" fillId="0" borderId="0" xfId="0" applyNumberFormat="1" applyFont="1"/>
    <xf numFmtId="165" fontId="6" fillId="0" borderId="0" xfId="0" applyNumberFormat="1" applyFont="1" applyBorder="1"/>
    <xf numFmtId="1" fontId="2" fillId="0" borderId="0" xfId="0" applyNumberFormat="1" applyFont="1" applyBorder="1"/>
    <xf numFmtId="0" fontId="2" fillId="0" borderId="6" xfId="0" applyFont="1" applyBorder="1"/>
    <xf numFmtId="0" fontId="2" fillId="0" borderId="5" xfId="0" applyFont="1" applyBorder="1"/>
    <xf numFmtId="0" fontId="6" fillId="0" borderId="0" xfId="0" applyFont="1"/>
    <xf numFmtId="0" fontId="2" fillId="0" borderId="0" xfId="0" applyFont="1" applyFill="1" applyBorder="1"/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0" xfId="0" applyFont="1"/>
    <xf numFmtId="165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right"/>
    </xf>
    <xf numFmtId="166" fontId="9" fillId="0" borderId="0" xfId="0" applyNumberFormat="1" applyFont="1" applyAlignment="1" applyProtection="1">
      <alignment horizontal="right"/>
      <protection locked="0"/>
    </xf>
    <xf numFmtId="0" fontId="2" fillId="3" borderId="0" xfId="0" applyFont="1" applyFill="1"/>
    <xf numFmtId="3" fontId="2" fillId="3" borderId="4" xfId="0" applyNumberFormat="1" applyFont="1" applyFill="1" applyBorder="1" applyAlignment="1">
      <alignment horizontal="right"/>
    </xf>
    <xf numFmtId="3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right"/>
    </xf>
    <xf numFmtId="3" fontId="2" fillId="3" borderId="0" xfId="0" applyNumberFormat="1" applyFont="1" applyFill="1"/>
    <xf numFmtId="1" fontId="6" fillId="3" borderId="0" xfId="0" applyNumberFormat="1" applyFont="1" applyFill="1"/>
    <xf numFmtId="1" fontId="6" fillId="3" borderId="0" xfId="0" applyNumberFormat="1" applyFont="1" applyFill="1" applyAlignment="1">
      <alignment horizontal="right"/>
    </xf>
    <xf numFmtId="165" fontId="2" fillId="0" borderId="0" xfId="0" applyNumberFormat="1" applyFont="1"/>
    <xf numFmtId="1" fontId="2" fillId="0" borderId="10" xfId="0" applyNumberFormat="1" applyFont="1" applyBorder="1"/>
    <xf numFmtId="1" fontId="2" fillId="0" borderId="4" xfId="0" applyNumberFormat="1" applyFont="1" applyBorder="1"/>
    <xf numFmtId="1" fontId="3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167" fontId="2" fillId="0" borderId="0" xfId="0" applyNumberFormat="1" applyFont="1"/>
    <xf numFmtId="1" fontId="2" fillId="0" borderId="0" xfId="0" applyNumberFormat="1" applyFont="1"/>
    <xf numFmtId="1" fontId="2" fillId="0" borderId="0" xfId="0" applyNumberFormat="1" applyFont="1"/>
    <xf numFmtId="0" fontId="10" fillId="0" borderId="0" xfId="0" applyFont="1"/>
    <xf numFmtId="1" fontId="2" fillId="0" borderId="0" xfId="0" applyNumberFormat="1" applyFont="1"/>
    <xf numFmtId="1" fontId="2" fillId="0" borderId="4" xfId="0" applyNumberFormat="1" applyFont="1" applyBorder="1"/>
    <xf numFmtId="1" fontId="2" fillId="0" borderId="4" xfId="0" applyNumberFormat="1" applyFont="1" applyBorder="1"/>
    <xf numFmtId="1" fontId="2" fillId="0" borderId="0" xfId="0" applyNumberFormat="1" applyFont="1" applyAlignment="1">
      <alignment horizontal="right"/>
    </xf>
    <xf numFmtId="165" fontId="6" fillId="0" borderId="0" xfId="0" applyNumberFormat="1" applyFont="1" applyBorder="1"/>
    <xf numFmtId="165" fontId="6" fillId="0" borderId="0" xfId="0" applyNumberFormat="1" applyFont="1"/>
    <xf numFmtId="165" fontId="6" fillId="0" borderId="0" xfId="0" applyNumberFormat="1" applyFont="1" applyBorder="1"/>
    <xf numFmtId="2" fontId="2" fillId="0" borderId="0" xfId="0" applyNumberFormat="1" applyFont="1"/>
    <xf numFmtId="165" fontId="2" fillId="0" borderId="0" xfId="0" applyNumberFormat="1" applyFont="1"/>
    <xf numFmtId="167" fontId="2" fillId="0" borderId="0" xfId="0" applyNumberFormat="1" applyFont="1"/>
    <xf numFmtId="1" fontId="2" fillId="0" borderId="0" xfId="0" applyNumberFormat="1" applyFont="1"/>
    <xf numFmtId="1" fontId="9" fillId="0" borderId="0" xfId="0" applyNumberFormat="1" applyFont="1" applyAlignment="1">
      <alignment horizontal="right"/>
    </xf>
    <xf numFmtId="165" fontId="2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" fontId="2" fillId="0" borderId="10" xfId="0" applyNumberFormat="1" applyFont="1" applyBorder="1"/>
    <xf numFmtId="1" fontId="3" fillId="2" borderId="0" xfId="0" applyNumberFormat="1" applyFont="1" applyFill="1"/>
    <xf numFmtId="1" fontId="2" fillId="2" borderId="0" xfId="0" applyNumberFormat="1" applyFont="1" applyFill="1"/>
    <xf numFmtId="3" fontId="2" fillId="4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3" borderId="0" xfId="0" applyFont="1" applyFill="1" applyAlignment="1"/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0" fontId="4" fillId="3" borderId="9" xfId="0" applyFont="1" applyFill="1" applyBorder="1" applyAlignment="1"/>
    <xf numFmtId="0" fontId="2" fillId="4" borderId="0" xfId="0" applyFont="1" applyFill="1" applyAlignment="1"/>
    <xf numFmtId="1" fontId="2" fillId="0" borderId="0" xfId="0" applyNumberFormat="1" applyFont="1"/>
    <xf numFmtId="1" fontId="6" fillId="3" borderId="0" xfId="0" applyNumberFormat="1" applyFont="1" applyFill="1" applyAlignment="1">
      <alignment horizontal="right"/>
    </xf>
    <xf numFmtId="3" fontId="6" fillId="3" borderId="0" xfId="0" applyNumberFormat="1" applyFont="1" applyFill="1" applyAlignment="1">
      <alignment horizontal="right"/>
    </xf>
    <xf numFmtId="1" fontId="6" fillId="0" borderId="0" xfId="0" applyNumberFormat="1" applyFont="1"/>
    <xf numFmtId="0" fontId="2" fillId="2" borderId="0" xfId="0" applyFont="1" applyFill="1" applyBorder="1"/>
    <xf numFmtId="3" fontId="6" fillId="0" borderId="0" xfId="0" applyNumberFormat="1" applyFont="1" applyAlignment="1">
      <alignment horizontal="right"/>
    </xf>
    <xf numFmtId="1" fontId="2" fillId="0" borderId="0" xfId="0" applyNumberFormat="1" applyFont="1"/>
    <xf numFmtId="0" fontId="2" fillId="2" borderId="0" xfId="0" applyFont="1" applyFill="1" applyAlignment="1">
      <alignment horizontal="right"/>
    </xf>
    <xf numFmtId="0" fontId="2" fillId="2" borderId="0" xfId="0" applyFont="1" applyFill="1"/>
    <xf numFmtId="3" fontId="2" fillId="3" borderId="4" xfId="0" applyNumberFormat="1" applyFont="1" applyFill="1" applyBorder="1"/>
    <xf numFmtId="0" fontId="2" fillId="0" borderId="0" xfId="0" applyFont="1" applyBorder="1" applyAlignment="1">
      <alignment horizontal="right"/>
    </xf>
    <xf numFmtId="0" fontId="6" fillId="0" borderId="0" xfId="0" applyFont="1" applyBorder="1"/>
    <xf numFmtId="165" fontId="2" fillId="0" borderId="0" xfId="0" applyNumberFormat="1" applyFont="1" applyBorder="1"/>
    <xf numFmtId="1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" fontId="2" fillId="0" borderId="0" xfId="0" applyNumberFormat="1" applyFont="1"/>
    <xf numFmtId="1" fontId="6" fillId="3" borderId="0" xfId="0" applyNumberFormat="1" applyFont="1" applyFill="1" applyAlignment="1">
      <alignment horizontal="right"/>
    </xf>
    <xf numFmtId="1" fontId="2" fillId="0" borderId="0" xfId="0" applyNumberFormat="1" applyFont="1" applyAlignment="1"/>
    <xf numFmtId="1" fontId="2" fillId="0" borderId="0" xfId="0" applyNumberFormat="1" applyFont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/>
    </xf>
    <xf numFmtId="1" fontId="2" fillId="0" borderId="0" xfId="0" applyNumberFormat="1" applyFont="1" applyAlignment="1"/>
    <xf numFmtId="1" fontId="2" fillId="0" borderId="0" xfId="0" applyNumberFormat="1" applyFont="1"/>
    <xf numFmtId="1" fontId="2" fillId="0" borderId="10" xfId="0" applyNumberFormat="1" applyFont="1" applyBorder="1"/>
    <xf numFmtId="0" fontId="6" fillId="0" borderId="0" xfId="0" applyFont="1" applyAlignment="1">
      <alignment horizontal="left"/>
    </xf>
    <xf numFmtId="2" fontId="2" fillId="0" borderId="0" xfId="0" applyNumberFormat="1" applyFont="1" applyAlignment="1"/>
    <xf numFmtId="3" fontId="2" fillId="0" borderId="0" xfId="0" applyNumberFormat="1" applyFont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Alignment="1">
      <alignment horizontal="right"/>
    </xf>
    <xf numFmtId="1" fontId="12" fillId="0" borderId="4" xfId="0" applyNumberFormat="1" applyFont="1" applyBorder="1" applyAlignment="1">
      <alignment horizontal="right"/>
    </xf>
    <xf numFmtId="0" fontId="12" fillId="0" borderId="0" xfId="0" applyFont="1"/>
    <xf numFmtId="1" fontId="12" fillId="0" borderId="0" xfId="0" applyNumberFormat="1" applyFont="1" applyBorder="1" applyAlignment="1">
      <alignment horizontal="right"/>
    </xf>
    <xf numFmtId="1" fontId="12" fillId="0" borderId="0" xfId="0" applyNumberFormat="1" applyFont="1"/>
    <xf numFmtId="1" fontId="2" fillId="0" borderId="0" xfId="0" applyNumberFormat="1" applyFont="1"/>
    <xf numFmtId="165" fontId="2" fillId="0" borderId="0" xfId="0" applyNumberFormat="1" applyFont="1" applyProtection="1">
      <protection locked="0"/>
    </xf>
    <xf numFmtId="1" fontId="2" fillId="0" borderId="0" xfId="0" applyNumberFormat="1" applyFont="1" applyAlignment="1"/>
    <xf numFmtId="1" fontId="2" fillId="0" borderId="0" xfId="0" applyNumberFormat="1" applyFont="1" applyFill="1" applyAlignment="1"/>
    <xf numFmtId="164" fontId="2" fillId="0" borderId="0" xfId="0" applyNumberFormat="1" applyFont="1"/>
    <xf numFmtId="164" fontId="2" fillId="0" borderId="0" xfId="0" applyNumberFormat="1" applyFont="1" applyAlignment="1"/>
    <xf numFmtId="0" fontId="2" fillId="2" borderId="0" xfId="0" applyFont="1" applyFill="1" applyAlignment="1"/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Alignment="1"/>
    <xf numFmtId="1" fontId="2" fillId="0" borderId="0" xfId="0" applyNumberFormat="1" applyFont="1"/>
    <xf numFmtId="1" fontId="2" fillId="0" borderId="10" xfId="0" applyNumberFormat="1" applyFont="1" applyBorder="1"/>
    <xf numFmtId="0" fontId="2" fillId="0" borderId="0" xfId="0" applyFont="1" applyFill="1"/>
    <xf numFmtId="1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1" fontId="2" fillId="0" borderId="0" xfId="0" applyNumberFormat="1" applyFont="1"/>
    <xf numFmtId="1" fontId="2" fillId="0" borderId="0" xfId="0" applyNumberFormat="1" applyFont="1" applyAlignment="1"/>
    <xf numFmtId="1" fontId="2" fillId="0" borderId="0" xfId="0" applyNumberFormat="1" applyFont="1" applyFill="1" applyAlignment="1"/>
    <xf numFmtId="1" fontId="2" fillId="0" borderId="0" xfId="0" applyNumberFormat="1" applyFont="1"/>
    <xf numFmtId="1" fontId="2" fillId="0" borderId="10" xfId="0" applyNumberFormat="1" applyFont="1" applyBorder="1" applyAlignment="1"/>
    <xf numFmtId="2" fontId="2" fillId="0" borderId="0" xfId="0" applyNumberFormat="1" applyFont="1"/>
    <xf numFmtId="2" fontId="2" fillId="0" borderId="0" xfId="0" applyNumberFormat="1" applyFont="1" applyAlignment="1"/>
    <xf numFmtId="1" fontId="2" fillId="0" borderId="0" xfId="0" applyNumberFormat="1" applyFont="1"/>
    <xf numFmtId="0" fontId="2" fillId="2" borderId="3" xfId="0" applyFont="1" applyFill="1" applyBorder="1" applyAlignment="1"/>
    <xf numFmtId="165" fontId="8" fillId="0" borderId="0" xfId="0" applyNumberFormat="1" applyFont="1"/>
    <xf numFmtId="0" fontId="6" fillId="0" borderId="2" xfId="0" applyFont="1" applyBorder="1" applyAlignment="1">
      <alignment horizontal="left"/>
    </xf>
    <xf numFmtId="1" fontId="2" fillId="0" borderId="0" xfId="0" applyNumberFormat="1" applyFont="1" applyAlignment="1"/>
    <xf numFmtId="165" fontId="12" fillId="0" borderId="0" xfId="0" applyNumberFormat="1" applyFont="1"/>
    <xf numFmtId="1" fontId="2" fillId="0" borderId="0" xfId="0" applyNumberFormat="1" applyFont="1" applyAlignment="1"/>
    <xf numFmtId="1" fontId="2" fillId="0" borderId="0" xfId="0" applyNumberFormat="1" applyFont="1"/>
    <xf numFmtId="1" fontId="2" fillId="0" borderId="10" xfId="0" applyNumberFormat="1" applyFont="1" applyBorder="1" applyAlignment="1"/>
    <xf numFmtId="2" fontId="2" fillId="0" borderId="0" xfId="0" applyNumberFormat="1" applyFont="1"/>
    <xf numFmtId="2" fontId="2" fillId="0" borderId="0" xfId="0" applyNumberFormat="1" applyFont="1" applyAlignment="1"/>
    <xf numFmtId="0" fontId="13" fillId="0" borderId="0" xfId="0" applyFont="1"/>
    <xf numFmtId="1" fontId="2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right"/>
    </xf>
    <xf numFmtId="165" fontId="2" fillId="0" borderId="0" xfId="0" applyNumberFormat="1" applyFont="1" applyAlignment="1" applyProtection="1">
      <alignment horizontal="right"/>
      <protection locked="0"/>
    </xf>
    <xf numFmtId="0" fontId="14" fillId="0" borderId="0" xfId="0" applyFont="1"/>
    <xf numFmtId="164" fontId="2" fillId="0" borderId="0" xfId="0" applyNumberFormat="1" applyFont="1"/>
    <xf numFmtId="1" fontId="2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" fontId="4" fillId="2" borderId="0" xfId="0" applyNumberFormat="1" applyFont="1" applyFill="1" applyAlignment="1">
      <alignment horizontal="left"/>
    </xf>
    <xf numFmtId="0" fontId="2" fillId="4" borderId="0" xfId="0" applyFont="1" applyFill="1"/>
    <xf numFmtId="1" fontId="2" fillId="0" borderId="0" xfId="0" applyNumberFormat="1" applyFont="1"/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 horizontal="right"/>
    </xf>
    <xf numFmtId="165" fontId="2" fillId="0" borderId="0" xfId="0" applyNumberFormat="1" applyFont="1"/>
    <xf numFmtId="0" fontId="2" fillId="0" borderId="0" xfId="0" applyFont="1" applyAlignment="1">
      <alignment horizontal="center"/>
    </xf>
    <xf numFmtId="165" fontId="4" fillId="0" borderId="0" xfId="0" applyNumberFormat="1" applyFont="1" applyProtection="1">
      <protection locked="0"/>
    </xf>
    <xf numFmtId="1" fontId="2" fillId="0" borderId="0" xfId="0" applyNumberFormat="1" applyFont="1"/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5" fillId="0" borderId="0" xfId="0" applyNumberFormat="1" applyFont="1"/>
    <xf numFmtId="1" fontId="2" fillId="2" borderId="0" xfId="0" applyNumberFormat="1" applyFont="1" applyFill="1"/>
    <xf numFmtId="1" fontId="2" fillId="0" borderId="3" xfId="0" applyNumberFormat="1" applyFont="1" applyBorder="1"/>
    <xf numFmtId="1" fontId="2" fillId="0" borderId="0" xfId="0" applyNumberFormat="1" applyFont="1" applyBorder="1" applyAlignment="1">
      <alignment horizontal="right"/>
    </xf>
    <xf numFmtId="1" fontId="6" fillId="0" borderId="0" xfId="0" applyNumberFormat="1" applyFont="1"/>
    <xf numFmtId="1" fontId="2" fillId="0" borderId="0" xfId="0" applyNumberFormat="1" applyFont="1"/>
    <xf numFmtId="1" fontId="2" fillId="0" borderId="2" xfId="0" applyNumberFormat="1" applyFont="1" applyBorder="1"/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" fontId="2" fillId="0" borderId="0" xfId="0" applyNumberFormat="1" applyFont="1"/>
    <xf numFmtId="1" fontId="2" fillId="2" borderId="0" xfId="0" applyNumberFormat="1" applyFont="1" applyFill="1"/>
    <xf numFmtId="1" fontId="2" fillId="0" borderId="0" xfId="0" applyNumberFormat="1" applyFont="1" applyAlignment="1">
      <alignment horizontal="right"/>
    </xf>
    <xf numFmtId="1" fontId="2" fillId="0" borderId="0" xfId="0" applyNumberFormat="1" applyFont="1"/>
    <xf numFmtId="1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/>
    <xf numFmtId="1" fontId="2" fillId="0" borderId="2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1" fontId="2" fillId="0" borderId="0" xfId="0" applyNumberFormat="1" applyFont="1"/>
    <xf numFmtId="1" fontId="2" fillId="0" borderId="0" xfId="0" applyNumberFormat="1" applyFont="1"/>
    <xf numFmtId="1" fontId="2" fillId="0" borderId="0" xfId="0" applyNumberFormat="1" applyFont="1"/>
    <xf numFmtId="165" fontId="2" fillId="0" borderId="0" xfId="0" applyNumberFormat="1" applyFont="1" applyAlignment="1">
      <alignment horizontal="right"/>
    </xf>
    <xf numFmtId="1" fontId="2" fillId="0" borderId="0" xfId="0" applyNumberFormat="1" applyFont="1"/>
    <xf numFmtId="1" fontId="2" fillId="0" borderId="0" xfId="0" applyNumberFormat="1" applyFont="1"/>
    <xf numFmtId="0" fontId="2" fillId="0" borderId="4" xfId="0" applyFont="1" applyBorder="1"/>
    <xf numFmtId="1" fontId="2" fillId="0" borderId="0" xfId="0" applyNumberFormat="1" applyFont="1"/>
    <xf numFmtId="168" fontId="2" fillId="0" borderId="4" xfId="0" applyNumberFormat="1" applyFont="1" applyBorder="1"/>
    <xf numFmtId="1" fontId="2" fillId="0" borderId="0" xfId="0" applyNumberFormat="1" applyFont="1"/>
    <xf numFmtId="1" fontId="2" fillId="0" borderId="0" xfId="0" applyNumberFormat="1" applyFont="1" applyBorder="1"/>
    <xf numFmtId="1" fontId="2" fillId="0" borderId="0" xfId="0" applyNumberFormat="1" applyFont="1"/>
    <xf numFmtId="168" fontId="2" fillId="0" borderId="4" xfId="0" applyNumberFormat="1" applyFont="1" applyBorder="1"/>
    <xf numFmtId="0" fontId="2" fillId="0" borderId="0" xfId="0" applyFont="1"/>
    <xf numFmtId="0" fontId="2" fillId="0" borderId="0" xfId="0" applyFont="1"/>
    <xf numFmtId="1" fontId="4" fillId="2" borderId="1" xfId="0" applyNumberFormat="1" applyFont="1" applyFill="1" applyBorder="1" applyAlignment="1"/>
    <xf numFmtId="1" fontId="2" fillId="2" borderId="2" xfId="0" applyNumberFormat="1" applyFont="1" applyFill="1" applyBorder="1" applyAlignment="1"/>
    <xf numFmtId="1" fontId="2" fillId="2" borderId="3" xfId="0" applyNumberFormat="1" applyFont="1" applyFill="1" applyBorder="1" applyAlignment="1"/>
    <xf numFmtId="165" fontId="2" fillId="0" borderId="0" xfId="0" applyNumberFormat="1" applyFont="1" applyAlignment="1"/>
    <xf numFmtId="0" fontId="2" fillId="0" borderId="11" xfId="0" applyFont="1" applyBorder="1" applyAlignment="1"/>
    <xf numFmtId="168" fontId="2" fillId="0" borderId="4" xfId="0" applyNumberFormat="1" applyFont="1" applyBorder="1" applyAlignment="1"/>
    <xf numFmtId="0" fontId="6" fillId="0" borderId="0" xfId="0" applyFont="1" applyAlignment="1"/>
    <xf numFmtId="0" fontId="10" fillId="0" borderId="0" xfId="0" applyFont="1" applyAlignment="1"/>
    <xf numFmtId="168" fontId="2" fillId="0" borderId="4" xfId="0" applyNumberFormat="1" applyFont="1" applyBorder="1" applyAlignment="1">
      <alignment horizontal="right"/>
    </xf>
    <xf numFmtId="169" fontId="2" fillId="0" borderId="4" xfId="0" applyNumberFormat="1" applyFont="1" applyBorder="1" applyAlignment="1">
      <alignment horizontal="right"/>
    </xf>
    <xf numFmtId="168" fontId="2" fillId="0" borderId="0" xfId="0" applyNumberFormat="1" applyFont="1" applyBorder="1"/>
    <xf numFmtId="1" fontId="2" fillId="0" borderId="0" xfId="0" applyNumberFormat="1" applyFont="1"/>
    <xf numFmtId="2" fontId="2" fillId="0" borderId="0" xfId="0" applyNumberFormat="1" applyFont="1" applyAlignment="1"/>
    <xf numFmtId="1" fontId="2" fillId="0" borderId="0" xfId="0" applyNumberFormat="1" applyFont="1" applyAlignment="1"/>
    <xf numFmtId="0" fontId="2" fillId="0" borderId="0" xfId="0" applyFont="1"/>
    <xf numFmtId="165" fontId="2" fillId="0" borderId="0" xfId="0" applyNumberFormat="1" applyFont="1"/>
    <xf numFmtId="169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4" fontId="12" fillId="0" borderId="0" xfId="0" applyNumberFormat="1" applyFont="1" applyAlignment="1">
      <alignment horizontal="right"/>
    </xf>
    <xf numFmtId="165" fontId="2" fillId="0" borderId="0" xfId="0" applyNumberFormat="1" applyFont="1"/>
    <xf numFmtId="164" fontId="2" fillId="0" borderId="0" xfId="0" applyNumberFormat="1" applyFont="1" applyAlignment="1"/>
    <xf numFmtId="1" fontId="2" fillId="0" borderId="10" xfId="0" applyNumberFormat="1" applyFont="1" applyBorder="1" applyAlignment="1"/>
    <xf numFmtId="0" fontId="2" fillId="2" borderId="0" xfId="0" applyFont="1" applyFill="1" applyAlignment="1">
      <alignment horizontal="left"/>
    </xf>
    <xf numFmtId="2" fontId="2" fillId="0" borderId="0" xfId="0" applyNumberFormat="1" applyFont="1" applyAlignment="1"/>
    <xf numFmtId="164" fontId="2" fillId="0" borderId="0" xfId="0" applyNumberFormat="1" applyFont="1" applyAlignment="1"/>
    <xf numFmtId="164" fontId="2" fillId="0" borderId="0" xfId="0" applyNumberFormat="1" applyFont="1" applyAlignment="1"/>
    <xf numFmtId="1" fontId="2" fillId="0" borderId="0" xfId="0" applyNumberFormat="1" applyFont="1" applyFill="1"/>
    <xf numFmtId="1" fontId="2" fillId="0" borderId="0" xfId="0" applyNumberFormat="1" applyFont="1" applyFill="1"/>
    <xf numFmtId="164" fontId="2" fillId="0" borderId="0" xfId="0" applyNumberFormat="1" applyFont="1"/>
    <xf numFmtId="1" fontId="16" fillId="0" borderId="0" xfId="0" applyNumberFormat="1" applyFont="1"/>
    <xf numFmtId="0" fontId="2" fillId="0" borderId="0" xfId="0" applyFont="1"/>
    <xf numFmtId="1" fontId="9" fillId="0" borderId="0" xfId="0" applyNumberFormat="1" applyFont="1"/>
    <xf numFmtId="0" fontId="2" fillId="0" borderId="0" xfId="0" applyFont="1"/>
    <xf numFmtId="0" fontId="4" fillId="4" borderId="0" xfId="0" applyFont="1" applyFill="1"/>
    <xf numFmtId="0" fontId="2" fillId="0" borderId="0" xfId="0" applyFont="1"/>
    <xf numFmtId="1" fontId="17" fillId="0" borderId="0" xfId="0" applyNumberFormat="1" applyFont="1"/>
    <xf numFmtId="0" fontId="2" fillId="0" borderId="0" xfId="0" applyFont="1"/>
    <xf numFmtId="165" fontId="2" fillId="0" borderId="0" xfId="0" applyNumberFormat="1" applyFont="1"/>
    <xf numFmtId="164" fontId="2" fillId="0" borderId="4" xfId="0" applyNumberFormat="1" applyFont="1" applyBorder="1"/>
    <xf numFmtId="164" fontId="2" fillId="0" borderId="0" xfId="0" applyNumberFormat="1" applyFont="1"/>
    <xf numFmtId="0" fontId="2" fillId="0" borderId="4" xfId="0" applyFont="1" applyBorder="1" applyAlignment="1">
      <alignment horizontal="right"/>
    </xf>
    <xf numFmtId="0" fontId="2" fillId="0" borderId="0" xfId="0" applyFont="1"/>
    <xf numFmtId="0" fontId="2" fillId="0" borderId="0" xfId="0" applyFont="1"/>
    <xf numFmtId="1" fontId="2" fillId="3" borderId="0" xfId="0" applyNumberFormat="1" applyFont="1" applyFill="1"/>
    <xf numFmtId="1" fontId="2" fillId="0" borderId="10" xfId="0" applyNumberFormat="1" applyFont="1" applyBorder="1" applyAlignment="1">
      <alignment horizontal="right"/>
    </xf>
    <xf numFmtId="1" fontId="4" fillId="0" borderId="0" xfId="0" applyNumberFormat="1" applyFont="1"/>
    <xf numFmtId="1" fontId="4" fillId="0" borderId="0" xfId="0" applyNumberFormat="1" applyFont="1" applyAlignment="1">
      <alignment horizontal="left"/>
    </xf>
    <xf numFmtId="171" fontId="2" fillId="0" borderId="0" xfId="0" applyNumberFormat="1" applyFont="1"/>
    <xf numFmtId="171" fontId="2" fillId="0" borderId="0" xfId="0" applyNumberFormat="1" applyFont="1" applyAlignment="1"/>
    <xf numFmtId="171" fontId="2" fillId="0" borderId="0" xfId="0" applyNumberFormat="1" applyFont="1"/>
    <xf numFmtId="171" fontId="9" fillId="0" borderId="0" xfId="0" applyNumberFormat="1" applyFont="1" applyAlignment="1">
      <alignment horizontal="right"/>
    </xf>
    <xf numFmtId="164" fontId="2" fillId="0" borderId="4" xfId="0" applyNumberFormat="1" applyFont="1" applyBorder="1"/>
    <xf numFmtId="171" fontId="2" fillId="0" borderId="0" xfId="0" applyNumberFormat="1" applyFont="1"/>
    <xf numFmtId="171" fontId="2" fillId="0" borderId="0" xfId="0" applyNumberFormat="1" applyFont="1"/>
    <xf numFmtId="164" fontId="2" fillId="0" borderId="0" xfId="0" applyNumberFormat="1" applyFont="1" applyBorder="1"/>
    <xf numFmtId="171" fontId="5" fillId="0" borderId="0" xfId="0" applyNumberFormat="1" applyFont="1" applyAlignment="1">
      <alignment horizontal="right"/>
    </xf>
    <xf numFmtId="0" fontId="2" fillId="7" borderId="0" xfId="0" applyFont="1" applyFill="1"/>
    <xf numFmtId="164" fontId="2" fillId="0" borderId="4" xfId="0" applyNumberFormat="1" applyFont="1" applyBorder="1"/>
    <xf numFmtId="0" fontId="2" fillId="5" borderId="0" xfId="0" applyFont="1" applyFill="1"/>
    <xf numFmtId="0" fontId="2" fillId="6" borderId="0" xfId="0" applyFont="1" applyFill="1"/>
    <xf numFmtId="171" fontId="2" fillId="2" borderId="0" xfId="0" applyNumberFormat="1" applyFont="1" applyFill="1"/>
    <xf numFmtId="0" fontId="2" fillId="0" borderId="0" xfId="0" applyFont="1"/>
    <xf numFmtId="0" fontId="2" fillId="0" borderId="11" xfId="0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W65"/>
  <sheetViews>
    <sheetView tabSelected="1" workbookViewId="0">
      <pane ySplit="3980" topLeftCell="A37"/>
      <selection activeCell="B4" sqref="B4"/>
      <selection pane="bottomLeft" activeCell="F43" sqref="F43"/>
    </sheetView>
  </sheetViews>
  <sheetFormatPr baseColWidth="10" defaultRowHeight="15"/>
  <cols>
    <col min="1" max="1" width="17.42578125" style="1" customWidth="1"/>
    <col min="2" max="2" width="11" style="187" customWidth="1"/>
    <col min="3" max="3" width="13.5703125" style="242" customWidth="1"/>
    <col min="4" max="4" width="9.28515625" style="187" customWidth="1"/>
    <col min="5" max="12" width="10.7109375" style="187"/>
    <col min="13" max="13" width="11.85546875" style="187" customWidth="1"/>
    <col min="14" max="14" width="17.7109375" style="187" customWidth="1"/>
    <col min="15" max="15" width="13.42578125" style="1" customWidth="1"/>
    <col min="16" max="16" width="7" style="142" customWidth="1"/>
    <col min="17" max="19" width="9.140625" style="198" customWidth="1"/>
    <col min="20" max="16384" width="10.7109375" style="1"/>
  </cols>
  <sheetData>
    <row r="1" spans="1:19" ht="17">
      <c r="B1" s="254" t="s">
        <v>25</v>
      </c>
      <c r="I1" s="235"/>
      <c r="N1" s="242"/>
    </row>
    <row r="2" spans="1:19" ht="17">
      <c r="B2" s="242" t="s">
        <v>0</v>
      </c>
      <c r="C2" s="189"/>
      <c r="I2" s="235"/>
      <c r="N2" s="242"/>
    </row>
    <row r="3" spans="1:19" s="238" customFormat="1" ht="17">
      <c r="B3" s="242" t="s">
        <v>1</v>
      </c>
      <c r="C3" s="189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P3" s="142"/>
      <c r="Q3" s="242"/>
      <c r="R3" s="242"/>
      <c r="S3" s="242"/>
    </row>
    <row r="5" spans="1:19">
      <c r="B5" s="190">
        <v>1774</v>
      </c>
      <c r="C5" s="199">
        <v>1774</v>
      </c>
      <c r="D5" s="190">
        <v>1774</v>
      </c>
      <c r="E5" s="190">
        <v>1774</v>
      </c>
      <c r="F5" s="190">
        <v>1774</v>
      </c>
      <c r="G5" s="190">
        <v>1774</v>
      </c>
      <c r="H5" s="190">
        <v>1774</v>
      </c>
      <c r="I5" s="190">
        <v>1774</v>
      </c>
      <c r="J5" s="190">
        <v>1774</v>
      </c>
      <c r="K5" s="190">
        <v>1774</v>
      </c>
      <c r="L5" s="190">
        <v>1774</v>
      </c>
      <c r="M5" s="190">
        <v>1774</v>
      </c>
      <c r="N5" s="190">
        <v>1774</v>
      </c>
      <c r="Q5" s="199">
        <v>1774</v>
      </c>
      <c r="R5" s="199">
        <v>1774</v>
      </c>
      <c r="S5" s="199">
        <v>1774</v>
      </c>
    </row>
    <row r="6" spans="1:19">
      <c r="C6" s="270" t="s">
        <v>818</v>
      </c>
      <c r="E6" s="206" t="s">
        <v>52</v>
      </c>
      <c r="F6" s="195"/>
      <c r="G6" s="195"/>
      <c r="H6" s="191"/>
      <c r="I6" s="195" t="s">
        <v>53</v>
      </c>
      <c r="J6" s="195"/>
      <c r="K6" s="195"/>
      <c r="L6" s="191"/>
      <c r="M6" s="200" t="s">
        <v>689</v>
      </c>
      <c r="N6" s="62" t="s">
        <v>54</v>
      </c>
    </row>
    <row r="7" spans="1:19">
      <c r="C7" s="271" t="s">
        <v>819</v>
      </c>
      <c r="D7" s="200"/>
      <c r="M7" s="200" t="s">
        <v>690</v>
      </c>
      <c r="N7" s="187" t="s">
        <v>349</v>
      </c>
      <c r="Q7" s="167" t="s">
        <v>5</v>
      </c>
      <c r="R7" s="200"/>
      <c r="S7" s="200"/>
    </row>
    <row r="8" spans="1:19">
      <c r="B8" s="188" t="s">
        <v>58</v>
      </c>
      <c r="C8" s="200" t="s">
        <v>820</v>
      </c>
      <c r="D8" s="200" t="s">
        <v>348</v>
      </c>
      <c r="E8" s="188" t="s">
        <v>584</v>
      </c>
      <c r="F8" s="188" t="s">
        <v>584</v>
      </c>
      <c r="G8" s="188" t="s">
        <v>585</v>
      </c>
      <c r="H8" s="188" t="s">
        <v>585</v>
      </c>
      <c r="I8" s="188" t="s">
        <v>584</v>
      </c>
      <c r="J8" s="188" t="s">
        <v>584</v>
      </c>
      <c r="K8" s="188" t="s">
        <v>585</v>
      </c>
      <c r="L8" s="188" t="s">
        <v>585</v>
      </c>
      <c r="M8" s="200" t="s">
        <v>722</v>
      </c>
      <c r="N8" s="187" t="s">
        <v>581</v>
      </c>
      <c r="P8" s="113" t="s">
        <v>572</v>
      </c>
      <c r="Q8" s="167" t="s">
        <v>50</v>
      </c>
      <c r="R8" s="200"/>
      <c r="S8" s="200"/>
    </row>
    <row r="9" spans="1:19">
      <c r="B9" s="188" t="s">
        <v>59</v>
      </c>
      <c r="C9" s="200" t="s">
        <v>582</v>
      </c>
      <c r="D9" s="188" t="s">
        <v>583</v>
      </c>
      <c r="E9" s="188" t="s">
        <v>60</v>
      </c>
      <c r="F9" s="188" t="s">
        <v>61</v>
      </c>
      <c r="G9" s="188" t="s">
        <v>60</v>
      </c>
      <c r="H9" s="188" t="s">
        <v>61</v>
      </c>
      <c r="I9" s="188" t="s">
        <v>60</v>
      </c>
      <c r="J9" s="188" t="s">
        <v>61</v>
      </c>
      <c r="K9" s="188" t="s">
        <v>60</v>
      </c>
      <c r="L9" s="188" t="s">
        <v>61</v>
      </c>
      <c r="M9" s="200" t="s">
        <v>723</v>
      </c>
      <c r="N9" s="188" t="s">
        <v>586</v>
      </c>
      <c r="P9" s="113" t="s">
        <v>573</v>
      </c>
      <c r="Q9" s="200" t="s">
        <v>375</v>
      </c>
      <c r="R9" s="200" t="s">
        <v>253</v>
      </c>
      <c r="S9" s="200" t="s">
        <v>67</v>
      </c>
    </row>
    <row r="10" spans="1:19">
      <c r="A10" s="1" t="s">
        <v>402</v>
      </c>
      <c r="B10" s="188">
        <v>41694.424264445166</v>
      </c>
      <c r="C10" s="200">
        <f>SUM(E10:N10)</f>
        <v>10161.47934047612</v>
      </c>
      <c r="D10" s="197">
        <f>C10/B10</f>
        <v>0.24371314677539033</v>
      </c>
      <c r="E10" s="194">
        <v>283.60642262060657</v>
      </c>
      <c r="F10" s="194">
        <v>95.644190056364934</v>
      </c>
      <c r="G10" s="188">
        <v>9144.4581144766689</v>
      </c>
      <c r="H10" s="188">
        <v>515.94324283399374</v>
      </c>
      <c r="I10" s="194">
        <v>3.4810514388309102</v>
      </c>
      <c r="J10" s="194">
        <v>0.95475778080694906</v>
      </c>
      <c r="K10" s="194">
        <v>112.24121366007145</v>
      </c>
      <c r="L10" s="194">
        <v>5.1503476087802689</v>
      </c>
      <c r="M10" s="188"/>
      <c r="N10" s="188">
        <v>0</v>
      </c>
      <c r="O10" s="1" t="s">
        <v>402</v>
      </c>
      <c r="P10" s="251">
        <f>SUM(E10:N10)-C10</f>
        <v>0</v>
      </c>
      <c r="Q10" s="198">
        <f>R10+S10</f>
        <v>8414</v>
      </c>
      <c r="R10" s="198">
        <v>8337</v>
      </c>
      <c r="S10" s="198">
        <v>77</v>
      </c>
    </row>
    <row r="11" spans="1:19">
      <c r="A11" s="1" t="s">
        <v>508</v>
      </c>
      <c r="B11" s="188">
        <v>77089.468152270972</v>
      </c>
      <c r="C11" s="200">
        <f t="shared" ref="C11:C36" si="0">SUM(E11:N11)</f>
        <v>20481.03351882823</v>
      </c>
      <c r="D11" s="212">
        <f>C11/B11</f>
        <v>0.26567874976609085</v>
      </c>
      <c r="E11" s="202">
        <v>583.31045474445523</v>
      </c>
      <c r="F11" s="202">
        <v>308.98612202026078</v>
      </c>
      <c r="G11" s="202">
        <v>17362.662022795957</v>
      </c>
      <c r="H11" s="202">
        <v>1994.5893551748038</v>
      </c>
      <c r="I11" s="202">
        <v>4.4945029051992949</v>
      </c>
      <c r="J11" s="202">
        <v>1.9136528126955232</v>
      </c>
      <c r="K11" s="202">
        <v>133.78428137322828</v>
      </c>
      <c r="L11" s="202">
        <v>12.344346256324735</v>
      </c>
      <c r="M11" s="188"/>
      <c r="N11" s="188">
        <v>78.948780745304276</v>
      </c>
      <c r="O11" s="1" t="s">
        <v>508</v>
      </c>
      <c r="P11" s="252">
        <f t="shared" ref="P11:P36" si="1">SUM(E11:N11)-C11</f>
        <v>0</v>
      </c>
      <c r="Q11" s="242">
        <f t="shared" ref="Q11:Q15" si="2">R11+S11</f>
        <v>15712</v>
      </c>
      <c r="R11" s="198">
        <v>15601</v>
      </c>
      <c r="S11" s="198">
        <v>111</v>
      </c>
    </row>
    <row r="12" spans="1:19">
      <c r="A12" s="1" t="s">
        <v>403</v>
      </c>
      <c r="B12" s="188">
        <v>7389.8478953183685</v>
      </c>
      <c r="C12" s="200">
        <f t="shared" si="0"/>
        <v>1931.8180971139554</v>
      </c>
      <c r="D12" s="212">
        <f>C12/B12</f>
        <v>0.26141513661435506</v>
      </c>
      <c r="E12" s="203">
        <v>62.700713832240602</v>
      </c>
      <c r="F12" s="203">
        <v>22.629421258088374</v>
      </c>
      <c r="G12" s="203">
        <v>1756.3719495350185</v>
      </c>
      <c r="H12" s="203">
        <v>74.073050734632687</v>
      </c>
      <c r="I12" s="204">
        <v>9.4473760908863266E-2</v>
      </c>
      <c r="J12" s="204">
        <v>7.5108924963001172E-2</v>
      </c>
      <c r="K12" s="188">
        <v>14.49715569854799</v>
      </c>
      <c r="L12" s="196">
        <v>0.1376106176095952</v>
      </c>
      <c r="M12" s="188"/>
      <c r="N12" s="188">
        <v>1.2386127519459929</v>
      </c>
      <c r="O12" s="1" t="s">
        <v>403</v>
      </c>
      <c r="P12" s="252">
        <f t="shared" si="1"/>
        <v>0</v>
      </c>
      <c r="Q12" s="242">
        <f t="shared" si="2"/>
        <v>1626</v>
      </c>
      <c r="R12" s="198">
        <v>1617</v>
      </c>
      <c r="S12" s="198">
        <v>9</v>
      </c>
    </row>
    <row r="13" spans="1:19">
      <c r="A13" s="1" t="s">
        <v>404</v>
      </c>
      <c r="B13" s="188">
        <v>277940.41821196565</v>
      </c>
      <c r="C13" s="200">
        <f t="shared" si="0"/>
        <v>76718.802876380112</v>
      </c>
      <c r="D13" s="212">
        <f>C13/B13</f>
        <v>0.27602607555217845</v>
      </c>
      <c r="E13" s="205">
        <v>2511.2982414712933</v>
      </c>
      <c r="F13" s="205">
        <v>1434.3523522908756</v>
      </c>
      <c r="G13" s="205">
        <v>61536.76310307227</v>
      </c>
      <c r="H13" s="205">
        <v>9866.5054232984185</v>
      </c>
      <c r="I13" s="206">
        <v>55.796807557459466</v>
      </c>
      <c r="J13" s="207">
        <v>24.948224574215111</v>
      </c>
      <c r="K13" s="207">
        <v>1168.6089079419448</v>
      </c>
      <c r="L13" s="208">
        <v>120.52981617362312</v>
      </c>
      <c r="M13" s="188"/>
      <c r="N13" s="188">
        <v>0</v>
      </c>
      <c r="O13" s="1" t="s">
        <v>404</v>
      </c>
      <c r="P13" s="252">
        <f t="shared" si="1"/>
        <v>0</v>
      </c>
      <c r="Q13" s="242">
        <f t="shared" si="2"/>
        <v>44640</v>
      </c>
      <c r="R13" s="198">
        <v>43843</v>
      </c>
      <c r="S13" s="198">
        <v>797</v>
      </c>
    </row>
    <row r="14" spans="1:19">
      <c r="A14" s="1" t="s">
        <v>406</v>
      </c>
      <c r="B14" s="188">
        <v>59607</v>
      </c>
      <c r="C14" s="200">
        <f t="shared" si="0"/>
        <v>18126.996862463417</v>
      </c>
      <c r="D14" s="212">
        <f>C14/B14</f>
        <v>0.30410852521454557</v>
      </c>
      <c r="E14" s="209">
        <v>937.10536915112732</v>
      </c>
      <c r="F14" s="209">
        <v>610.50204303911062</v>
      </c>
      <c r="G14" s="209">
        <v>12925.717119999999</v>
      </c>
      <c r="H14" s="209">
        <v>2369.8856000000001</v>
      </c>
      <c r="I14" s="209">
        <v>57.426116821985055</v>
      </c>
      <c r="J14" s="209">
        <v>38.209703806721201</v>
      </c>
      <c r="K14" s="209">
        <v>624.67006529667003</v>
      </c>
      <c r="L14" s="209">
        <v>98.572604396852469</v>
      </c>
      <c r="M14" s="188"/>
      <c r="N14" s="188">
        <v>464.90823995094888</v>
      </c>
      <c r="O14" s="1" t="s">
        <v>406</v>
      </c>
      <c r="P14" s="252">
        <f t="shared" si="1"/>
        <v>0</v>
      </c>
      <c r="Q14" s="242">
        <f t="shared" si="2"/>
        <v>11865</v>
      </c>
      <c r="R14" s="198">
        <v>11387</v>
      </c>
      <c r="S14" s="198">
        <v>478</v>
      </c>
    </row>
    <row r="15" spans="1:19">
      <c r="A15" s="1" t="s">
        <v>405</v>
      </c>
      <c r="B15" s="192">
        <v>197842</v>
      </c>
      <c r="C15" s="200">
        <f t="shared" si="0"/>
        <v>60804.826012525802</v>
      </c>
      <c r="D15" s="212">
        <f>C15/B15</f>
        <v>0.30734033224758039</v>
      </c>
      <c r="E15" s="210">
        <v>1694.4754389175439</v>
      </c>
      <c r="F15" s="210">
        <v>1016.0470092615642</v>
      </c>
      <c r="G15" s="210">
        <v>50346.798555900008</v>
      </c>
      <c r="H15" s="210">
        <v>4620.9702200000002</v>
      </c>
      <c r="I15" s="188">
        <v>22.394729455029694</v>
      </c>
      <c r="J15" s="188">
        <v>12.510640245977546</v>
      </c>
      <c r="K15" s="188">
        <v>827.79808744799982</v>
      </c>
      <c r="L15" s="188">
        <v>577.98552041999994</v>
      </c>
      <c r="M15" s="188"/>
      <c r="N15" s="188">
        <v>1685.8458108776772</v>
      </c>
      <c r="O15" s="1" t="s">
        <v>405</v>
      </c>
      <c r="P15" s="252">
        <f t="shared" si="1"/>
        <v>0</v>
      </c>
      <c r="Q15" s="242">
        <f t="shared" si="2"/>
        <v>46643</v>
      </c>
      <c r="R15" s="198">
        <v>45793</v>
      </c>
      <c r="S15" s="198">
        <v>850</v>
      </c>
    </row>
    <row r="16" spans="1:19">
      <c r="A16" s="185" t="s">
        <v>409</v>
      </c>
      <c r="B16" s="186">
        <f>SUM(B10:B15)</f>
        <v>661563.15852400009</v>
      </c>
      <c r="C16" s="200">
        <f t="shared" si="0"/>
        <v>188224.95670778764</v>
      </c>
      <c r="D16" s="212">
        <f>C16/B16</f>
        <v>0.28451547563158214</v>
      </c>
      <c r="E16" s="186">
        <f t="shared" ref="E16:N16" si="3">SUM(E10:E15)</f>
        <v>6072.4966407372667</v>
      </c>
      <c r="F16" s="186">
        <f t="shared" si="3"/>
        <v>3488.1611379262645</v>
      </c>
      <c r="G16" s="186">
        <f t="shared" si="3"/>
        <v>153072.77086577992</v>
      </c>
      <c r="H16" s="186">
        <f t="shared" si="3"/>
        <v>19441.966892041848</v>
      </c>
      <c r="I16" s="186">
        <f t="shared" si="3"/>
        <v>143.6876819394133</v>
      </c>
      <c r="J16" s="186">
        <f t="shared" si="3"/>
        <v>78.612088145379332</v>
      </c>
      <c r="K16" s="186">
        <f t="shared" si="3"/>
        <v>2881.5997114184624</v>
      </c>
      <c r="L16" s="186">
        <f t="shared" si="3"/>
        <v>814.72024547319006</v>
      </c>
      <c r="M16" s="186"/>
      <c r="N16" s="186">
        <f t="shared" si="3"/>
        <v>2230.9414443258765</v>
      </c>
      <c r="O16" s="185" t="s">
        <v>409</v>
      </c>
      <c r="P16" s="252">
        <f t="shared" si="1"/>
        <v>0</v>
      </c>
      <c r="Q16" s="242">
        <f t="shared" ref="Q16:Q34" si="4">R16+S16</f>
        <v>128900</v>
      </c>
      <c r="R16" s="193">
        <f t="shared" ref="R16:S16" si="5">SUM(R10:R15)</f>
        <v>126578</v>
      </c>
      <c r="S16" s="193">
        <f t="shared" si="5"/>
        <v>2322</v>
      </c>
    </row>
    <row r="17" spans="1:21">
      <c r="C17" s="200"/>
      <c r="D17" s="212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P17" s="252"/>
      <c r="Q17" s="242"/>
    </row>
    <row r="18" spans="1:21">
      <c r="A18" s="1" t="s">
        <v>407</v>
      </c>
      <c r="B18" s="192">
        <v>176251.65201766195</v>
      </c>
      <c r="C18" s="200">
        <f t="shared" si="0"/>
        <v>54908.433866190375</v>
      </c>
      <c r="D18" s="212">
        <f>C18/B18</f>
        <v>0.31153429336757688</v>
      </c>
      <c r="E18" s="188">
        <v>1331.9354260572961</v>
      </c>
      <c r="F18" s="188">
        <v>698.85123512257678</v>
      </c>
      <c r="G18" s="188">
        <v>39364.607610738378</v>
      </c>
      <c r="H18" s="188">
        <v>2964.3089430053319</v>
      </c>
      <c r="I18" s="211">
        <v>27.779462054874813</v>
      </c>
      <c r="J18" s="211">
        <v>14.320632701503728</v>
      </c>
      <c r="K18" s="211">
        <v>853.21448179176207</v>
      </c>
      <c r="L18" s="211">
        <v>68.671363871826372</v>
      </c>
      <c r="M18" s="188"/>
      <c r="N18" s="188">
        <v>9584.7447108468223</v>
      </c>
      <c r="O18" s="1" t="s">
        <v>407</v>
      </c>
      <c r="P18" s="252">
        <f t="shared" si="1"/>
        <v>0</v>
      </c>
      <c r="Q18" s="242">
        <f t="shared" si="4"/>
        <v>36017</v>
      </c>
      <c r="R18" s="198">
        <v>35430</v>
      </c>
      <c r="S18" s="198">
        <v>587</v>
      </c>
      <c r="U18" s="255"/>
    </row>
    <row r="19" spans="1:21">
      <c r="A19" s="1" t="s">
        <v>408</v>
      </c>
      <c r="B19" s="192">
        <v>128357.84956438492</v>
      </c>
      <c r="C19" s="200">
        <f t="shared" si="0"/>
        <v>35692.979569729723</v>
      </c>
      <c r="D19" s="212">
        <f>C19/B19</f>
        <v>0.27807399150782713</v>
      </c>
      <c r="E19" s="130">
        <v>617.16424996799992</v>
      </c>
      <c r="F19" s="130">
        <v>318.71135866751996</v>
      </c>
      <c r="G19" s="130">
        <v>28178.678774998527</v>
      </c>
      <c r="H19" s="130">
        <v>1737.5194149134229</v>
      </c>
      <c r="I19" s="130">
        <v>7.8625974435485766</v>
      </c>
      <c r="J19" s="213">
        <v>3.7297637377761839</v>
      </c>
      <c r="K19" s="213">
        <v>542.91251672813996</v>
      </c>
      <c r="L19" s="213">
        <v>26.279914952842137</v>
      </c>
      <c r="M19" s="188"/>
      <c r="N19" s="188">
        <v>4260.120978319942</v>
      </c>
      <c r="O19" s="1" t="s">
        <v>408</v>
      </c>
      <c r="P19" s="252">
        <f t="shared" si="1"/>
        <v>0</v>
      </c>
      <c r="Q19" s="242">
        <f t="shared" si="4"/>
        <v>25937</v>
      </c>
      <c r="R19" s="198">
        <v>25648</v>
      </c>
      <c r="S19" s="198">
        <v>289</v>
      </c>
      <c r="U19" s="255"/>
    </row>
    <row r="20" spans="1:21">
      <c r="A20" s="1" t="s">
        <v>396</v>
      </c>
      <c r="B20" s="192">
        <v>269820.63851020683</v>
      </c>
      <c r="C20" s="200">
        <f t="shared" si="0"/>
        <v>72511.131625704016</v>
      </c>
      <c r="D20" s="212">
        <f>C20/B20</f>
        <v>0.26873827008218665</v>
      </c>
      <c r="E20" s="130">
        <v>3545.8342665563928</v>
      </c>
      <c r="F20" s="130">
        <v>1533.0437666376952</v>
      </c>
      <c r="G20" s="130">
        <v>62290.185453658276</v>
      </c>
      <c r="H20" s="130">
        <v>2669.7073887193196</v>
      </c>
      <c r="I20" s="130">
        <v>54.654971128154365</v>
      </c>
      <c r="J20" s="187">
        <v>23.630112550396522</v>
      </c>
      <c r="K20" s="187">
        <v>960.13181429469091</v>
      </c>
      <c r="L20" s="187">
        <v>41.150479487238101</v>
      </c>
      <c r="N20" s="268">
        <v>1392.7933726718413</v>
      </c>
      <c r="O20" s="1" t="s">
        <v>396</v>
      </c>
      <c r="P20" s="252">
        <f t="shared" si="1"/>
        <v>0</v>
      </c>
      <c r="Q20" s="242">
        <f t="shared" si="4"/>
        <v>56482.286656731354</v>
      </c>
      <c r="R20" s="198">
        <v>55805.519026936519</v>
      </c>
      <c r="S20" s="198">
        <v>676.76762979483146</v>
      </c>
      <c r="U20" s="255"/>
    </row>
    <row r="21" spans="1:21">
      <c r="A21" s="1" t="s">
        <v>397</v>
      </c>
      <c r="B21" s="192">
        <v>39255.223946836704</v>
      </c>
      <c r="C21" s="200">
        <f t="shared" si="0"/>
        <v>12542.603030585527</v>
      </c>
      <c r="D21" s="212">
        <f>C21/B21</f>
        <v>0.31951423962252662</v>
      </c>
      <c r="E21" s="130">
        <v>642.51133939554404</v>
      </c>
      <c r="F21" s="130">
        <v>201.17453778562839</v>
      </c>
      <c r="G21" s="130">
        <v>7100.3203980509898</v>
      </c>
      <c r="H21" s="130">
        <v>357.67203215476968</v>
      </c>
      <c r="I21" s="130">
        <v>54.095264787372621</v>
      </c>
      <c r="J21" s="187">
        <v>16.937584168131398</v>
      </c>
      <c r="K21" s="187">
        <v>597.80067441159167</v>
      </c>
      <c r="L21" s="187">
        <v>30.113652631644289</v>
      </c>
      <c r="N21" s="268">
        <v>3541.9775471998555</v>
      </c>
      <c r="O21" s="1" t="s">
        <v>397</v>
      </c>
      <c r="P21" s="252">
        <f t="shared" si="1"/>
        <v>0</v>
      </c>
      <c r="Q21" s="242">
        <f t="shared" si="4"/>
        <v>6365.3161691468213</v>
      </c>
      <c r="R21" s="198">
        <v>6106.3204364936528</v>
      </c>
      <c r="S21" s="198">
        <v>258.99573265316826</v>
      </c>
      <c r="U21" s="255"/>
    </row>
    <row r="22" spans="1:21">
      <c r="A22" s="27" t="s">
        <v>523</v>
      </c>
      <c r="B22" s="193"/>
      <c r="C22" s="200"/>
      <c r="D22" s="212"/>
      <c r="E22" s="130"/>
      <c r="F22" s="130"/>
      <c r="G22" s="130"/>
      <c r="H22" s="130"/>
      <c r="I22" s="130"/>
      <c r="M22" s="242"/>
      <c r="O22" s="27" t="s">
        <v>523</v>
      </c>
      <c r="P22" s="252"/>
      <c r="Q22" s="242"/>
      <c r="U22" s="255"/>
    </row>
    <row r="23" spans="1:21">
      <c r="A23" s="185" t="s">
        <v>524</v>
      </c>
      <c r="B23" s="193">
        <f>SUM(B18:B21)</f>
        <v>613685.36403909035</v>
      </c>
      <c r="C23" s="200">
        <f t="shared" si="0"/>
        <v>175655.14809220962</v>
      </c>
      <c r="D23" s="212">
        <f>C23/B23</f>
        <v>0.28622997774641534</v>
      </c>
      <c r="E23" s="193">
        <f t="shared" ref="E23:N23" si="6">SUM(E18:E21)</f>
        <v>6137.4452819772332</v>
      </c>
      <c r="F23" s="193">
        <f t="shared" si="6"/>
        <v>2751.7808982134202</v>
      </c>
      <c r="G23" s="193">
        <f t="shared" si="6"/>
        <v>136933.79223744618</v>
      </c>
      <c r="H23" s="193">
        <f t="shared" si="6"/>
        <v>7729.2077787928438</v>
      </c>
      <c r="I23" s="193">
        <f t="shared" si="6"/>
        <v>144.39229541395039</v>
      </c>
      <c r="J23" s="193">
        <f t="shared" si="6"/>
        <v>58.618093157807834</v>
      </c>
      <c r="K23" s="193">
        <f t="shared" si="6"/>
        <v>2954.0594872261845</v>
      </c>
      <c r="L23" s="193">
        <f t="shared" si="6"/>
        <v>166.21541094355092</v>
      </c>
      <c r="M23" s="242"/>
      <c r="N23" s="193">
        <f t="shared" si="6"/>
        <v>18779.636609038462</v>
      </c>
      <c r="O23" s="185" t="s">
        <v>524</v>
      </c>
      <c r="P23" s="252">
        <f t="shared" si="1"/>
        <v>0</v>
      </c>
      <c r="Q23" s="242">
        <f t="shared" si="4"/>
        <v>124801.60282587817</v>
      </c>
      <c r="R23" s="193">
        <f t="shared" ref="R23:S23" si="7">SUM(R18:R21)</f>
        <v>122989.83946343018</v>
      </c>
      <c r="S23" s="193">
        <f t="shared" si="7"/>
        <v>1811.7633624479997</v>
      </c>
      <c r="U23" s="255"/>
    </row>
    <row r="24" spans="1:21">
      <c r="A24" s="185" t="s">
        <v>525</v>
      </c>
      <c r="B24" s="186">
        <f>B19+B20+B21</f>
        <v>437433.71202142845</v>
      </c>
      <c r="C24" s="200">
        <f t="shared" si="0"/>
        <v>120746.71422601925</v>
      </c>
      <c r="D24" s="212">
        <f>C24/B24</f>
        <v>0.27603431310320287</v>
      </c>
      <c r="E24" s="186">
        <f t="shared" ref="E24:N24" si="8">E19+E20+E21</f>
        <v>4805.5098559199369</v>
      </c>
      <c r="F24" s="186">
        <f t="shared" si="8"/>
        <v>2052.9296630908434</v>
      </c>
      <c r="G24" s="186">
        <f t="shared" si="8"/>
        <v>97569.184626707793</v>
      </c>
      <c r="H24" s="186">
        <f t="shared" si="8"/>
        <v>4764.8988357875123</v>
      </c>
      <c r="I24" s="186">
        <f t="shared" si="8"/>
        <v>116.61283335907555</v>
      </c>
      <c r="J24" s="186">
        <f t="shared" si="8"/>
        <v>44.297460456304108</v>
      </c>
      <c r="K24" s="186">
        <f t="shared" si="8"/>
        <v>2100.8450054344225</v>
      </c>
      <c r="L24" s="186">
        <f t="shared" si="8"/>
        <v>97.54404707172452</v>
      </c>
      <c r="M24" s="242"/>
      <c r="N24" s="186">
        <f t="shared" si="8"/>
        <v>9194.8918981916395</v>
      </c>
      <c r="O24" s="185" t="s">
        <v>525</v>
      </c>
      <c r="P24" s="252">
        <f t="shared" si="1"/>
        <v>0</v>
      </c>
      <c r="Q24" s="242">
        <f t="shared" si="4"/>
        <v>88784.602825878173</v>
      </c>
      <c r="R24" s="186">
        <f t="shared" ref="R24:S24" si="9">R19+R20+R21</f>
        <v>87559.83946343018</v>
      </c>
      <c r="S24" s="186">
        <f t="shared" si="9"/>
        <v>1224.7633624479997</v>
      </c>
      <c r="U24" s="255"/>
    </row>
    <row r="25" spans="1:21">
      <c r="A25" s="185" t="s">
        <v>411</v>
      </c>
      <c r="B25" s="186">
        <f>B18+B19+B20</f>
        <v>574430.14009225368</v>
      </c>
      <c r="C25" s="200">
        <f t="shared" si="0"/>
        <v>163112.54506162409</v>
      </c>
      <c r="D25" s="212">
        <f>C25/B25</f>
        <v>0.28395540845998812</v>
      </c>
      <c r="E25" s="186">
        <f t="shared" ref="E25:N25" si="10">E18+E19+E20</f>
        <v>5494.9339425816888</v>
      </c>
      <c r="F25" s="186">
        <f t="shared" si="10"/>
        <v>2550.606360427792</v>
      </c>
      <c r="G25" s="186">
        <f t="shared" si="10"/>
        <v>129833.47183939518</v>
      </c>
      <c r="H25" s="186">
        <f t="shared" si="10"/>
        <v>7371.5357466380738</v>
      </c>
      <c r="I25" s="186">
        <f t="shared" si="10"/>
        <v>90.297030626577765</v>
      </c>
      <c r="J25" s="186">
        <f t="shared" si="10"/>
        <v>41.680508989676433</v>
      </c>
      <c r="K25" s="186">
        <f t="shared" si="10"/>
        <v>2356.2588128145926</v>
      </c>
      <c r="L25" s="186">
        <f t="shared" si="10"/>
        <v>136.10175831190662</v>
      </c>
      <c r="M25" s="242"/>
      <c r="N25" s="186">
        <f t="shared" si="10"/>
        <v>15237.659061838605</v>
      </c>
      <c r="O25" s="185" t="s">
        <v>411</v>
      </c>
      <c r="P25" s="252">
        <f t="shared" si="1"/>
        <v>0</v>
      </c>
      <c r="Q25" s="242">
        <f t="shared" si="4"/>
        <v>118436.28665673136</v>
      </c>
      <c r="R25" s="186">
        <f t="shared" ref="R25:S25" si="11">R18+R19+R20</f>
        <v>116883.51902693653</v>
      </c>
      <c r="S25" s="186">
        <f t="shared" si="11"/>
        <v>1552.7676297948315</v>
      </c>
      <c r="U25" s="255"/>
    </row>
    <row r="26" spans="1:21">
      <c r="A26" s="185"/>
      <c r="B26" s="186"/>
      <c r="C26" s="200"/>
      <c r="D26" s="212"/>
      <c r="E26" s="130"/>
      <c r="F26" s="130"/>
      <c r="G26" s="130"/>
      <c r="H26" s="130"/>
      <c r="I26" s="130"/>
      <c r="O26" s="185"/>
      <c r="P26" s="252"/>
      <c r="Q26" s="242"/>
      <c r="U26" s="255"/>
    </row>
    <row r="27" spans="1:21">
      <c r="A27" s="1" t="s">
        <v>412</v>
      </c>
      <c r="B27" s="187">
        <f>153505*(EXP(LN(254050/153505)/27)^19)</f>
        <v>218821.78445791494</v>
      </c>
      <c r="C27" s="200">
        <f t="shared" si="0"/>
        <v>86157.614297085442</v>
      </c>
      <c r="D27" s="212">
        <f>C27/B27</f>
        <v>0.39373417281338263</v>
      </c>
      <c r="E27" s="130">
        <v>2287.6101470569806</v>
      </c>
      <c r="F27" s="130">
        <v>1231.8341387756986</v>
      </c>
      <c r="G27" s="130">
        <v>31104.902952347555</v>
      </c>
      <c r="H27" s="130">
        <v>2145.3052140472901</v>
      </c>
      <c r="I27" s="130">
        <v>42.031164405173648</v>
      </c>
      <c r="J27" s="187">
        <v>21.187894977743113</v>
      </c>
      <c r="K27" s="187">
        <v>655.82111099250267</v>
      </c>
      <c r="L27" s="187">
        <v>35.366570889134614</v>
      </c>
      <c r="M27" s="187">
        <v>11499.529862401878</v>
      </c>
      <c r="N27" s="187">
        <v>37134.025241191484</v>
      </c>
      <c r="O27" s="1" t="s">
        <v>412</v>
      </c>
      <c r="P27" s="252">
        <f t="shared" si="1"/>
        <v>0</v>
      </c>
      <c r="Q27" s="242">
        <v>27783.013831163807</v>
      </c>
      <c r="R27" s="198">
        <v>27524</v>
      </c>
      <c r="S27" s="198">
        <v>259.01383116380578</v>
      </c>
      <c r="U27" s="255"/>
    </row>
    <row r="28" spans="1:21">
      <c r="A28" s="1" t="s">
        <v>398</v>
      </c>
      <c r="B28" s="188">
        <v>481402.16898928455</v>
      </c>
      <c r="C28" s="200">
        <f t="shared" si="0"/>
        <v>191452.67331394533</v>
      </c>
      <c r="D28" s="212">
        <f>C28/B28</f>
        <v>0.39769798652113436</v>
      </c>
      <c r="E28" s="130">
        <v>6443.1116056970577</v>
      </c>
      <c r="F28" s="130">
        <v>1087.8866727100274</v>
      </c>
      <c r="G28" s="130">
        <v>64496.757473262194</v>
      </c>
      <c r="H28" s="130">
        <v>4150.7607077452649</v>
      </c>
      <c r="I28" s="130">
        <v>187.50030855836428</v>
      </c>
      <c r="J28" s="187">
        <v>31.658474863186008</v>
      </c>
      <c r="K28" s="187">
        <v>1876.9133094881929</v>
      </c>
      <c r="L28" s="187">
        <v>120.79084782048771</v>
      </c>
      <c r="N28" s="268">
        <v>113057.29391380055</v>
      </c>
      <c r="O28" s="1" t="s">
        <v>398</v>
      </c>
      <c r="P28" s="252">
        <f t="shared" si="1"/>
        <v>0</v>
      </c>
      <c r="Q28" s="242">
        <f t="shared" si="4"/>
        <v>56801.000243299291</v>
      </c>
      <c r="R28" s="198">
        <v>55972.530813219957</v>
      </c>
      <c r="S28" s="242">
        <v>828.46943007933749</v>
      </c>
      <c r="U28" s="255"/>
    </row>
    <row r="29" spans="1:21">
      <c r="A29" s="1" t="s">
        <v>399</v>
      </c>
      <c r="B29" s="188">
        <v>223653.24463599495</v>
      </c>
      <c r="C29" s="200">
        <f t="shared" si="0"/>
        <v>81986.078132588271</v>
      </c>
      <c r="D29" s="212">
        <f>C29/B29</f>
        <v>0.36657674368205145</v>
      </c>
      <c r="E29" s="130">
        <v>6685.1378959653466</v>
      </c>
      <c r="F29" s="130">
        <v>2063.4386050568587</v>
      </c>
      <c r="G29" s="130">
        <v>36260.108143590471</v>
      </c>
      <c r="H29" s="130">
        <v>1892.4348922052045</v>
      </c>
      <c r="I29" s="130">
        <v>115.39937347305244</v>
      </c>
      <c r="J29" s="187">
        <v>35.61923866482725</v>
      </c>
      <c r="K29" s="187">
        <v>625.92482413277617</v>
      </c>
      <c r="L29" s="187">
        <v>32.667359192519513</v>
      </c>
      <c r="N29" s="268">
        <v>34275.347800307223</v>
      </c>
      <c r="O29" s="1" t="s">
        <v>399</v>
      </c>
      <c r="P29" s="252">
        <f t="shared" si="1"/>
        <v>0</v>
      </c>
      <c r="Q29" s="242">
        <f t="shared" si="4"/>
        <v>33482.220099950086</v>
      </c>
      <c r="R29" s="198">
        <v>33199.636718050337</v>
      </c>
      <c r="S29" s="242">
        <v>282.58338189974751</v>
      </c>
      <c r="U29" s="255"/>
    </row>
    <row r="30" spans="1:21">
      <c r="A30" s="1" t="s">
        <v>400</v>
      </c>
      <c r="B30" s="188">
        <v>144103.40970485506</v>
      </c>
      <c r="C30" s="200">
        <f t="shared" si="0"/>
        <v>63135.247088577002</v>
      </c>
      <c r="D30" s="212">
        <f>C30/B30</f>
        <v>0.4381245885707164</v>
      </c>
      <c r="E30" s="130">
        <v>2597.5081711405387</v>
      </c>
      <c r="F30" s="130">
        <v>1416.7044910540624</v>
      </c>
      <c r="G30" s="130">
        <v>18854.576817054109</v>
      </c>
      <c r="H30" s="130">
        <v>2761.0522982634775</v>
      </c>
      <c r="I30" s="130">
        <v>33.372656310006647</v>
      </c>
      <c r="J30" s="187">
        <v>18.201749121747827</v>
      </c>
      <c r="K30" s="187">
        <v>242.24266894601476</v>
      </c>
      <c r="L30" s="187">
        <v>35.473863153793921</v>
      </c>
      <c r="N30" s="268">
        <v>37176.114373533252</v>
      </c>
      <c r="O30" s="1" t="s">
        <v>400</v>
      </c>
      <c r="P30" s="252">
        <f t="shared" si="1"/>
        <v>0</v>
      </c>
      <c r="Q30" s="242">
        <f t="shared" si="4"/>
        <v>16594.996361884634</v>
      </c>
      <c r="R30" s="198">
        <v>16490.797897627792</v>
      </c>
      <c r="S30" s="242">
        <v>104.19846425684196</v>
      </c>
      <c r="U30" s="255"/>
    </row>
    <row r="31" spans="1:21">
      <c r="A31" s="1" t="s">
        <v>401</v>
      </c>
      <c r="B31" s="188">
        <v>33170.062693887623</v>
      </c>
      <c r="C31" s="200">
        <f t="shared" si="0"/>
        <v>13407.921079688333</v>
      </c>
      <c r="D31" s="212">
        <f>C31/B31</f>
        <v>0.40421753806811656</v>
      </c>
      <c r="E31" s="130">
        <v>752.56295274155354</v>
      </c>
      <c r="F31" s="130">
        <v>231.6730252113644</v>
      </c>
      <c r="G31" s="130">
        <v>4846.699184823312</v>
      </c>
      <c r="H31" s="130">
        <v>474.08740588064842</v>
      </c>
      <c r="I31" s="130">
        <v>5.6635036718817524</v>
      </c>
      <c r="J31" s="187">
        <v>1.7434834178066607</v>
      </c>
      <c r="K31" s="187">
        <v>36.474421880264686</v>
      </c>
      <c r="L31" s="187">
        <v>3.5678022073988971</v>
      </c>
      <c r="N31" s="268">
        <v>7055.4492998541027</v>
      </c>
      <c r="O31" s="1" t="s">
        <v>401</v>
      </c>
      <c r="P31" s="252">
        <f t="shared" si="1"/>
        <v>0</v>
      </c>
      <c r="Q31" s="242">
        <f t="shared" si="4"/>
        <v>4216.7191911515929</v>
      </c>
      <c r="R31" s="198">
        <v>4200.7264536507846</v>
      </c>
      <c r="S31" s="242">
        <v>15.992737500808349</v>
      </c>
      <c r="U31" s="255"/>
    </row>
    <row r="32" spans="1:21">
      <c r="A32" s="27" t="s">
        <v>413</v>
      </c>
      <c r="B32" s="192"/>
      <c r="C32" s="200"/>
      <c r="D32" s="212"/>
      <c r="E32" s="130"/>
      <c r="F32" s="130"/>
      <c r="G32" s="130"/>
      <c r="H32" s="130"/>
      <c r="I32" s="130"/>
      <c r="O32" s="27" t="s">
        <v>413</v>
      </c>
      <c r="P32" s="252">
        <f t="shared" si="1"/>
        <v>0</v>
      </c>
      <c r="Q32" s="242"/>
    </row>
    <row r="33" spans="1:23">
      <c r="A33" s="185" t="s">
        <v>414</v>
      </c>
      <c r="B33" s="186">
        <f>SUM(B27:B31)</f>
        <v>1101150.6704819372</v>
      </c>
      <c r="C33" s="200">
        <f t="shared" si="0"/>
        <v>436139.53391188441</v>
      </c>
      <c r="D33" s="212">
        <f>C33/B33</f>
        <v>0.3960761643281755</v>
      </c>
      <c r="E33" s="186">
        <f t="shared" ref="E33:N33" si="12">SUM(E27:E31)</f>
        <v>18765.930772601478</v>
      </c>
      <c r="F33" s="186">
        <f t="shared" si="12"/>
        <v>6031.5369328080124</v>
      </c>
      <c r="G33" s="186">
        <f t="shared" si="12"/>
        <v>155563.04457107763</v>
      </c>
      <c r="H33" s="186">
        <f t="shared" si="12"/>
        <v>11423.640518141885</v>
      </c>
      <c r="I33" s="186">
        <f t="shared" si="12"/>
        <v>383.96700641847877</v>
      </c>
      <c r="J33" s="186">
        <f t="shared" si="12"/>
        <v>108.41084104531085</v>
      </c>
      <c r="K33" s="186">
        <f t="shared" si="12"/>
        <v>3437.3763354397515</v>
      </c>
      <c r="L33" s="186">
        <f t="shared" si="12"/>
        <v>227.86644326333467</v>
      </c>
      <c r="M33" s="186">
        <f t="shared" si="12"/>
        <v>11499.529862401878</v>
      </c>
      <c r="N33" s="186">
        <f t="shared" si="12"/>
        <v>228698.23062868664</v>
      </c>
      <c r="O33" s="185" t="s">
        <v>414</v>
      </c>
      <c r="P33" s="252">
        <f t="shared" si="1"/>
        <v>0</v>
      </c>
      <c r="Q33" s="242">
        <f t="shared" si="4"/>
        <v>138877.94972744939</v>
      </c>
      <c r="R33" s="186">
        <f t="shared" ref="R33:S33" si="13">SUM(R27:R31)</f>
        <v>137387.69188254885</v>
      </c>
      <c r="S33" s="186">
        <f t="shared" si="13"/>
        <v>1490.2578449005412</v>
      </c>
    </row>
    <row r="34" spans="1:23">
      <c r="A34" s="185" t="s">
        <v>415</v>
      </c>
      <c r="B34" s="186">
        <f>B33+B21</f>
        <v>1140405.894428774</v>
      </c>
      <c r="C34" s="200">
        <f t="shared" si="0"/>
        <v>448682.13694246998</v>
      </c>
      <c r="D34" s="212">
        <f>C34/B34</f>
        <v>0.39344073819191677</v>
      </c>
      <c r="E34" s="186">
        <f t="shared" ref="E34:N34" si="14">E33+E21</f>
        <v>19408.442111997021</v>
      </c>
      <c r="F34" s="186">
        <f t="shared" si="14"/>
        <v>6232.711470593641</v>
      </c>
      <c r="G34" s="186">
        <f t="shared" si="14"/>
        <v>162663.36496912863</v>
      </c>
      <c r="H34" s="186">
        <f t="shared" si="14"/>
        <v>11781.312550296654</v>
      </c>
      <c r="I34" s="186">
        <f t="shared" si="14"/>
        <v>438.0622712058514</v>
      </c>
      <c r="J34" s="186">
        <f t="shared" si="14"/>
        <v>125.34842521344224</v>
      </c>
      <c r="K34" s="186">
        <f t="shared" si="14"/>
        <v>4035.1770098513434</v>
      </c>
      <c r="L34" s="186">
        <f t="shared" si="14"/>
        <v>257.98009589497894</v>
      </c>
      <c r="M34" s="186">
        <f t="shared" si="14"/>
        <v>11499.529862401878</v>
      </c>
      <c r="N34" s="186">
        <f t="shared" si="14"/>
        <v>232240.20817588648</v>
      </c>
      <c r="O34" s="185" t="s">
        <v>415</v>
      </c>
      <c r="P34" s="252">
        <f t="shared" si="1"/>
        <v>0</v>
      </c>
      <c r="Q34" s="242">
        <f t="shared" si="4"/>
        <v>145243.26589659619</v>
      </c>
      <c r="R34" s="186">
        <f t="shared" ref="R34" si="15">R33+R21</f>
        <v>143494.01231904249</v>
      </c>
      <c r="S34" s="186">
        <f t="shared" ref="S34" si="16">S33+S21</f>
        <v>1749.2535775537094</v>
      </c>
    </row>
    <row r="35" spans="1:23" ht="16" thickBot="1">
      <c r="C35" s="200"/>
      <c r="D35" s="212"/>
      <c r="E35" s="130"/>
      <c r="F35" s="130"/>
      <c r="G35" s="130"/>
      <c r="H35" s="186"/>
      <c r="I35" s="186"/>
      <c r="J35" s="186"/>
      <c r="K35" s="186"/>
      <c r="L35" s="186"/>
      <c r="M35" s="186"/>
      <c r="N35" s="186"/>
      <c r="O35" s="185"/>
      <c r="P35" s="252"/>
      <c r="Q35" s="242"/>
      <c r="R35" s="186"/>
      <c r="S35" s="186"/>
      <c r="T35" s="255"/>
      <c r="U35" s="255"/>
      <c r="V35" s="255"/>
      <c r="W35" s="255"/>
    </row>
    <row r="36" spans="1:23" ht="16" thickBot="1">
      <c r="A36" s="255" t="s">
        <v>51</v>
      </c>
      <c r="B36" s="187">
        <f>B16+B18+B24+B33</f>
        <v>2376399.1930450276</v>
      </c>
      <c r="C36" s="269">
        <f t="shared" si="0"/>
        <v>800019.63871188159</v>
      </c>
      <c r="D36" s="212">
        <f>C36/B36</f>
        <v>0.3366520410599731</v>
      </c>
      <c r="E36" s="242">
        <f>E16+E18+E24+E33</f>
        <v>30975.872695315978</v>
      </c>
      <c r="F36" s="242">
        <f t="shared" ref="F36:N36" si="17">F16+F18+F24+F33</f>
        <v>12271.478968947697</v>
      </c>
      <c r="G36" s="242">
        <f t="shared" si="17"/>
        <v>445569.6076743037</v>
      </c>
      <c r="H36" s="242">
        <f t="shared" si="17"/>
        <v>38594.81518897658</v>
      </c>
      <c r="I36" s="242">
        <f t="shared" si="17"/>
        <v>672.04698377184241</v>
      </c>
      <c r="J36" s="242">
        <f t="shared" si="17"/>
        <v>245.64102234849804</v>
      </c>
      <c r="K36" s="242">
        <f t="shared" si="17"/>
        <v>9273.0355340843998</v>
      </c>
      <c r="L36" s="242">
        <f t="shared" si="17"/>
        <v>1208.8020996800756</v>
      </c>
      <c r="M36" s="242">
        <f t="shared" si="17"/>
        <v>11499.529862401878</v>
      </c>
      <c r="N36" s="242">
        <f t="shared" si="17"/>
        <v>249708.80868205096</v>
      </c>
      <c r="O36" s="185"/>
      <c r="P36" s="252">
        <f t="shared" si="1"/>
        <v>0</v>
      </c>
      <c r="Q36" s="242"/>
      <c r="R36" s="186"/>
      <c r="S36" s="186"/>
      <c r="T36" s="255"/>
      <c r="U36" s="255"/>
      <c r="V36" s="255"/>
      <c r="W36" s="255"/>
    </row>
    <row r="37" spans="1:23">
      <c r="E37" s="130"/>
      <c r="F37" s="130"/>
      <c r="G37" s="130"/>
      <c r="H37" s="130"/>
      <c r="I37" s="130"/>
    </row>
    <row r="38" spans="1:23" ht="17">
      <c r="A38" s="281" t="s">
        <v>775</v>
      </c>
      <c r="E38" s="130"/>
      <c r="F38" s="130"/>
      <c r="G38" s="130"/>
      <c r="H38" s="130"/>
      <c r="I38" s="130" t="s">
        <v>138</v>
      </c>
      <c r="M38" s="235" t="s">
        <v>724</v>
      </c>
      <c r="Q38" s="260" t="s">
        <v>632</v>
      </c>
    </row>
    <row r="39" spans="1:23">
      <c r="A39" s="281" t="s">
        <v>776</v>
      </c>
      <c r="E39" s="130"/>
      <c r="F39" s="130"/>
      <c r="G39" s="130"/>
      <c r="H39" s="130"/>
      <c r="I39" s="130" t="s">
        <v>252</v>
      </c>
      <c r="M39" s="235" t="s">
        <v>725</v>
      </c>
      <c r="Q39" s="242" t="s">
        <v>92</v>
      </c>
    </row>
    <row r="40" spans="1:23">
      <c r="A40" s="281" t="s">
        <v>777</v>
      </c>
      <c r="H40" s="130"/>
      <c r="I40" s="130" t="s">
        <v>139</v>
      </c>
      <c r="M40" s="235" t="s">
        <v>726</v>
      </c>
      <c r="Q40" s="242" t="s">
        <v>93</v>
      </c>
    </row>
    <row r="41" spans="1:23">
      <c r="A41" s="281" t="s">
        <v>778</v>
      </c>
      <c r="B41" s="242"/>
      <c r="H41" s="130"/>
      <c r="I41" s="130" t="s">
        <v>140</v>
      </c>
      <c r="M41" s="235" t="s">
        <v>727</v>
      </c>
      <c r="Q41" s="242" t="s">
        <v>94</v>
      </c>
    </row>
    <row r="42" spans="1:23">
      <c r="A42" s="281" t="s">
        <v>779</v>
      </c>
      <c r="I42" s="242" t="s">
        <v>185</v>
      </c>
      <c r="M42" s="235" t="s">
        <v>696</v>
      </c>
      <c r="Q42" s="242" t="s">
        <v>82</v>
      </c>
    </row>
    <row r="43" spans="1:23">
      <c r="A43" s="281" t="s">
        <v>780</v>
      </c>
      <c r="I43" s="242" t="s">
        <v>95</v>
      </c>
      <c r="M43" s="220"/>
      <c r="Q43" s="242" t="s">
        <v>12</v>
      </c>
    </row>
    <row r="44" spans="1:23">
      <c r="A44" s="281" t="s">
        <v>781</v>
      </c>
      <c r="I44" s="242" t="s">
        <v>96</v>
      </c>
      <c r="M44" s="220"/>
      <c r="Q44" s="242" t="s">
        <v>2</v>
      </c>
    </row>
    <row r="45" spans="1:23">
      <c r="A45" s="281" t="s">
        <v>782</v>
      </c>
      <c r="I45" s="193" t="s">
        <v>22</v>
      </c>
      <c r="M45" s="220"/>
      <c r="Q45" s="242" t="s">
        <v>40</v>
      </c>
    </row>
    <row r="46" spans="1:23">
      <c r="A46" s="281" t="s">
        <v>783</v>
      </c>
      <c r="I46" s="242" t="s">
        <v>23</v>
      </c>
      <c r="M46" s="220"/>
      <c r="Q46" s="242" t="s">
        <v>4</v>
      </c>
    </row>
    <row r="47" spans="1:23">
      <c r="I47" s="242" t="s">
        <v>24</v>
      </c>
      <c r="M47" s="220"/>
      <c r="Q47" s="242" t="s">
        <v>16</v>
      </c>
    </row>
    <row r="48" spans="1:23">
      <c r="Q48" s="242" t="s">
        <v>17</v>
      </c>
    </row>
    <row r="50" spans="17:17">
      <c r="Q50" s="256" t="s">
        <v>81</v>
      </c>
    </row>
    <row r="51" spans="17:17">
      <c r="Q51" s="242" t="s">
        <v>3</v>
      </c>
    </row>
    <row r="52" spans="17:17">
      <c r="Q52" s="242" t="s">
        <v>77</v>
      </c>
    </row>
    <row r="53" spans="17:17">
      <c r="Q53" s="242" t="s">
        <v>7</v>
      </c>
    </row>
    <row r="54" spans="17:17">
      <c r="Q54" s="242" t="s">
        <v>8</v>
      </c>
    </row>
    <row r="56" spans="17:17">
      <c r="Q56" s="256" t="s">
        <v>56</v>
      </c>
    </row>
    <row r="57" spans="17:17">
      <c r="Q57" s="242" t="s">
        <v>55</v>
      </c>
    </row>
    <row r="58" spans="17:17">
      <c r="Q58" s="242"/>
    </row>
    <row r="59" spans="17:17">
      <c r="Q59" s="256" t="s">
        <v>728</v>
      </c>
    </row>
    <row r="60" spans="17:17">
      <c r="Q60" s="242" t="s">
        <v>15</v>
      </c>
    </row>
    <row r="61" spans="17:17">
      <c r="Q61" s="242" t="s">
        <v>623</v>
      </c>
    </row>
    <row r="62" spans="17:17">
      <c r="Q62" s="242" t="s">
        <v>624</v>
      </c>
    </row>
    <row r="63" spans="17:17">
      <c r="Q63" s="242" t="s">
        <v>625</v>
      </c>
    </row>
    <row r="64" spans="17:17">
      <c r="Q64" s="242" t="s">
        <v>617</v>
      </c>
    </row>
    <row r="65" spans="17:17">
      <c r="Q65" s="242" t="s">
        <v>716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D40"/>
  <sheetViews>
    <sheetView topLeftCell="G3" workbookViewId="0">
      <selection activeCell="Q13" sqref="Q13:S15"/>
    </sheetView>
  </sheetViews>
  <sheetFormatPr baseColWidth="10" defaultRowHeight="15"/>
  <cols>
    <col min="1" max="1" width="5.5703125" style="1" customWidth="1"/>
    <col min="2" max="2" width="7.140625" style="1" customWidth="1"/>
    <col min="3" max="10" width="10.7109375" style="1"/>
    <col min="11" max="11" width="5.7109375" style="1" customWidth="1"/>
    <col min="12" max="14" width="9.42578125" style="1" customWidth="1"/>
    <col min="15" max="15" width="5.7109375" style="1" customWidth="1"/>
    <col min="16" max="16" width="11.7109375" style="1" customWidth="1"/>
    <col min="17" max="18" width="8.85546875" style="1" customWidth="1"/>
    <col min="19" max="19" width="9.140625" style="1" customWidth="1"/>
    <col min="20" max="20" width="3.7109375" style="1" customWidth="1"/>
    <col min="21" max="23" width="8.140625" style="1" customWidth="1"/>
    <col min="24" max="24" width="3.85546875" style="1" customWidth="1"/>
    <col min="25" max="27" width="8.7109375" style="1" customWidth="1"/>
    <col min="28" max="16384" width="10.7109375" style="1"/>
  </cols>
  <sheetData>
    <row r="1" spans="1:27" ht="17">
      <c r="B1" s="3" t="s">
        <v>324</v>
      </c>
      <c r="L1" s="1" t="s">
        <v>549</v>
      </c>
      <c r="Q1" s="1" t="s">
        <v>377</v>
      </c>
    </row>
    <row r="2" spans="1:27">
      <c r="B2" s="1" t="s">
        <v>421</v>
      </c>
      <c r="L2" s="1" t="s">
        <v>743</v>
      </c>
      <c r="Q2" s="1" t="s">
        <v>251</v>
      </c>
    </row>
    <row r="3" spans="1:27">
      <c r="L3" s="1" t="s">
        <v>618</v>
      </c>
    </row>
    <row r="4" spans="1:27" ht="17">
      <c r="A4" s="1" t="s">
        <v>546</v>
      </c>
      <c r="B4" s="3"/>
    </row>
    <row r="5" spans="1:27">
      <c r="D5" s="4" t="s">
        <v>197</v>
      </c>
      <c r="E5" s="4" t="s">
        <v>198</v>
      </c>
      <c r="F5" s="4" t="s">
        <v>441</v>
      </c>
      <c r="G5" s="4" t="s">
        <v>442</v>
      </c>
      <c r="H5" s="4" t="s">
        <v>444</v>
      </c>
      <c r="I5" s="4" t="s">
        <v>445</v>
      </c>
      <c r="J5" s="4" t="s">
        <v>326</v>
      </c>
      <c r="L5" s="1" t="s">
        <v>621</v>
      </c>
      <c r="Q5" s="96" t="s">
        <v>250</v>
      </c>
      <c r="R5" s="96"/>
      <c r="S5" s="96"/>
    </row>
    <row r="6" spans="1:27">
      <c r="D6" s="4" t="s">
        <v>737</v>
      </c>
      <c r="E6" s="7" t="s">
        <v>738</v>
      </c>
      <c r="F6" s="8"/>
      <c r="G6" s="9"/>
      <c r="H6" s="7" t="s">
        <v>117</v>
      </c>
      <c r="I6" s="8"/>
      <c r="J6" s="9"/>
      <c r="L6" s="1" t="s">
        <v>577</v>
      </c>
      <c r="N6" s="1">
        <v>2762</v>
      </c>
      <c r="Q6" s="17" t="s">
        <v>485</v>
      </c>
      <c r="R6" s="17"/>
      <c r="S6" s="17"/>
      <c r="U6" s="1" t="s">
        <v>107</v>
      </c>
    </row>
    <row r="7" spans="1:27">
      <c r="D7" s="4"/>
      <c r="E7" s="4" t="s">
        <v>737</v>
      </c>
      <c r="F7" s="4" t="s">
        <v>739</v>
      </c>
      <c r="G7" s="4" t="s">
        <v>740</v>
      </c>
      <c r="H7" s="4" t="s">
        <v>737</v>
      </c>
      <c r="I7" s="4" t="s">
        <v>739</v>
      </c>
      <c r="J7" s="4" t="s">
        <v>325</v>
      </c>
      <c r="L7" s="1" t="s">
        <v>579</v>
      </c>
      <c r="N7" s="1">
        <v>11423</v>
      </c>
      <c r="Q7" s="17" t="s">
        <v>486</v>
      </c>
      <c r="R7" s="17"/>
      <c r="S7" s="17"/>
      <c r="U7" s="1" t="s">
        <v>257</v>
      </c>
      <c r="Y7" s="18" t="s">
        <v>100</v>
      </c>
      <c r="Z7" s="19"/>
      <c r="AA7" s="20"/>
    </row>
    <row r="8" spans="1:27">
      <c r="A8" s="40" t="s">
        <v>608</v>
      </c>
      <c r="B8" s="40" t="s">
        <v>609</v>
      </c>
      <c r="C8" s="39" t="s">
        <v>610</v>
      </c>
      <c r="D8" s="40" t="s">
        <v>611</v>
      </c>
      <c r="E8" s="40" t="s">
        <v>611</v>
      </c>
      <c r="F8" s="40" t="s">
        <v>611</v>
      </c>
      <c r="G8" s="40" t="s">
        <v>611</v>
      </c>
      <c r="H8" s="40" t="s">
        <v>611</v>
      </c>
      <c r="I8" s="40" t="s">
        <v>611</v>
      </c>
      <c r="J8" s="40" t="s">
        <v>368</v>
      </c>
      <c r="L8" s="1" t="s">
        <v>691</v>
      </c>
      <c r="N8" s="215">
        <f>N6/(N6+N7)</f>
        <v>0.19471272470919987</v>
      </c>
      <c r="Q8" s="40" t="s">
        <v>371</v>
      </c>
      <c r="R8" s="40" t="s">
        <v>372</v>
      </c>
      <c r="S8" s="40" t="s">
        <v>373</v>
      </c>
      <c r="U8" s="71" t="s">
        <v>538</v>
      </c>
      <c r="V8" s="71" t="s">
        <v>539</v>
      </c>
      <c r="W8" s="71" t="s">
        <v>378</v>
      </c>
      <c r="Y8" s="71" t="s">
        <v>538</v>
      </c>
      <c r="Z8" s="71" t="s">
        <v>539</v>
      </c>
      <c r="AA8" s="71" t="s">
        <v>378</v>
      </c>
    </row>
    <row r="9" spans="1:27">
      <c r="A9" s="1">
        <v>1</v>
      </c>
      <c r="B9" s="1">
        <v>1726</v>
      </c>
      <c r="C9" s="1" t="s">
        <v>737</v>
      </c>
      <c r="D9" s="2">
        <v>32442</v>
      </c>
      <c r="E9" s="2">
        <v>29861</v>
      </c>
      <c r="F9" s="2">
        <v>15737</v>
      </c>
      <c r="G9" s="2">
        <v>14124</v>
      </c>
      <c r="H9" s="2">
        <v>2581</v>
      </c>
      <c r="I9" s="2">
        <v>1435</v>
      </c>
      <c r="J9" s="2">
        <v>1146</v>
      </c>
      <c r="L9" s="1" t="s">
        <v>137</v>
      </c>
      <c r="P9" s="4" t="s">
        <v>379</v>
      </c>
      <c r="Q9" s="98">
        <v>126197.51783885161</v>
      </c>
      <c r="R9" s="98">
        <f>R13+R17</f>
        <v>65592.385694853219</v>
      </c>
      <c r="S9" s="98">
        <f>S13+S17</f>
        <v>60605.132143998388</v>
      </c>
      <c r="U9" s="106"/>
      <c r="V9" s="106"/>
      <c r="W9" s="106"/>
      <c r="Y9" s="107">
        <f>Z9+AA9</f>
        <v>35692.979569729723</v>
      </c>
      <c r="Z9" s="107">
        <f>Z10+Z11</f>
        <v>31810.173025784465</v>
      </c>
      <c r="AA9" s="213">
        <f>AA10+AA11</f>
        <v>3882.8065439452548</v>
      </c>
    </row>
    <row r="10" spans="1:27">
      <c r="A10" s="1">
        <v>2</v>
      </c>
      <c r="B10" s="1">
        <v>1726</v>
      </c>
      <c r="C10" s="1" t="s">
        <v>446</v>
      </c>
      <c r="D10" s="2">
        <v>15585</v>
      </c>
      <c r="E10" s="2">
        <v>14506</v>
      </c>
      <c r="F10" s="2">
        <v>7558</v>
      </c>
      <c r="G10" s="2">
        <v>6948</v>
      </c>
      <c r="H10" s="2">
        <v>1079</v>
      </c>
      <c r="I10" s="1">
        <v>563</v>
      </c>
      <c r="J10" s="1">
        <v>516</v>
      </c>
      <c r="L10" s="1" t="s">
        <v>576</v>
      </c>
      <c r="P10" s="4" t="s">
        <v>462</v>
      </c>
      <c r="Q10" s="105">
        <f t="shared" ref="Q10" si="0">Q14+Q18</f>
        <v>61466.342996431813</v>
      </c>
      <c r="R10" s="98">
        <f t="shared" ref="R10:S10" si="1">R14+R18</f>
        <v>31357.739418035755</v>
      </c>
      <c r="S10" s="98">
        <f t="shared" si="1"/>
        <v>30108.603578396054</v>
      </c>
      <c r="U10" s="106"/>
      <c r="V10" s="106"/>
      <c r="W10" s="106"/>
      <c r="Y10" s="213">
        <f t="shared" ref="Y10:Y11" si="2">Z10+AA10</f>
        <v>1380.3857791277085</v>
      </c>
      <c r="Z10" s="107">
        <f>Z14+Z22+Z26</f>
        <v>854.51816855924994</v>
      </c>
      <c r="AA10" s="213">
        <f>AA14+AA22+AA26</f>
        <v>525.86761056845853</v>
      </c>
    </row>
    <row r="11" spans="1:27">
      <c r="A11" s="1">
        <v>3</v>
      </c>
      <c r="B11" s="1">
        <v>1726</v>
      </c>
      <c r="C11" s="1" t="s">
        <v>447</v>
      </c>
      <c r="D11" s="2">
        <v>16857</v>
      </c>
      <c r="E11" s="2">
        <v>15355</v>
      </c>
      <c r="F11" s="2">
        <v>8179</v>
      </c>
      <c r="G11" s="2">
        <v>7176</v>
      </c>
      <c r="H11" s="2">
        <v>1502</v>
      </c>
      <c r="I11" s="1">
        <v>872</v>
      </c>
      <c r="J11" s="1">
        <v>630</v>
      </c>
      <c r="L11" s="1" t="s">
        <v>254</v>
      </c>
      <c r="P11" s="4" t="s">
        <v>386</v>
      </c>
      <c r="Q11" s="105">
        <f t="shared" ref="Q11" si="3">Q15+Q19</f>
        <v>64731.174842419794</v>
      </c>
      <c r="R11" s="98">
        <f t="shared" ref="R11:S11" si="4">R15+R19</f>
        <v>34234.646276817461</v>
      </c>
      <c r="S11" s="98">
        <f t="shared" si="4"/>
        <v>30496.528565602337</v>
      </c>
      <c r="U11" s="106"/>
      <c r="V11" s="106"/>
      <c r="W11" s="106"/>
      <c r="Y11" s="213">
        <f t="shared" si="2"/>
        <v>34312.593790602012</v>
      </c>
      <c r="Z11" s="213">
        <f>Z15+Z23+Z27</f>
        <v>30955.654857225214</v>
      </c>
      <c r="AA11" s="213">
        <f>AA15+AA23+AA27</f>
        <v>3356.9389333767963</v>
      </c>
    </row>
    <row r="12" spans="1:27">
      <c r="A12" s="1">
        <v>4</v>
      </c>
      <c r="B12" s="1">
        <v>1738</v>
      </c>
      <c r="C12" s="1" t="s">
        <v>737</v>
      </c>
      <c r="D12" s="2">
        <v>46676</v>
      </c>
      <c r="E12" s="2">
        <v>42695</v>
      </c>
      <c r="F12" s="2">
        <v>22270</v>
      </c>
      <c r="G12" s="2">
        <v>20425</v>
      </c>
      <c r="H12" s="2">
        <v>3981</v>
      </c>
      <c r="I12" s="2">
        <v>2208</v>
      </c>
      <c r="J12" s="2">
        <v>1773</v>
      </c>
      <c r="P12" s="27"/>
      <c r="Q12" s="98"/>
      <c r="R12" s="98"/>
      <c r="S12" s="98"/>
      <c r="U12" s="106"/>
      <c r="V12" s="106"/>
      <c r="W12" s="106"/>
      <c r="Y12" s="107"/>
      <c r="Z12" s="107"/>
      <c r="AA12" s="107"/>
    </row>
    <row r="13" spans="1:27">
      <c r="A13" s="1">
        <v>5</v>
      </c>
      <c r="B13" s="1">
        <v>1738</v>
      </c>
      <c r="C13" s="1" t="s">
        <v>446</v>
      </c>
      <c r="D13" s="2">
        <v>21963</v>
      </c>
      <c r="E13" s="2">
        <v>20339</v>
      </c>
      <c r="F13" s="2">
        <v>10639</v>
      </c>
      <c r="G13" s="2">
        <v>9700</v>
      </c>
      <c r="H13" s="2">
        <v>1624</v>
      </c>
      <c r="I13" s="1">
        <v>849</v>
      </c>
      <c r="J13" s="1">
        <v>775</v>
      </c>
      <c r="P13" s="4" t="s">
        <v>493</v>
      </c>
      <c r="Q13" s="98">
        <v>117284.15466422423</v>
      </c>
      <c r="R13" s="98">
        <f>Q13*F15/E15</f>
        <v>60584.182504246259</v>
      </c>
      <c r="S13" s="98">
        <f>Q13*G15/E15</f>
        <v>56699.972159977973</v>
      </c>
      <c r="U13" s="106"/>
      <c r="V13" s="106"/>
      <c r="W13" s="106"/>
      <c r="Y13" s="107">
        <f>Y14+Y15</f>
        <v>30852.07379854747</v>
      </c>
      <c r="Z13" s="107">
        <f t="shared" ref="Z13:AA13" si="5">Z14+Z15</f>
        <v>28795.843024966525</v>
      </c>
      <c r="AA13" s="107">
        <f t="shared" si="5"/>
        <v>2056.2307735809427</v>
      </c>
    </row>
    <row r="14" spans="1:27">
      <c r="A14" s="1">
        <v>6</v>
      </c>
      <c r="B14" s="1">
        <v>1738</v>
      </c>
      <c r="C14" s="1" t="s">
        <v>447</v>
      </c>
      <c r="D14" s="2">
        <v>24713</v>
      </c>
      <c r="E14" s="2">
        <v>22356</v>
      </c>
      <c r="F14" s="2">
        <v>11631</v>
      </c>
      <c r="G14" s="2">
        <v>10725</v>
      </c>
      <c r="H14" s="2">
        <v>2357</v>
      </c>
      <c r="I14" s="2">
        <v>1359</v>
      </c>
      <c r="J14" s="1">
        <v>998</v>
      </c>
      <c r="P14" s="4" t="s">
        <v>494</v>
      </c>
      <c r="Q14" s="98">
        <f>R14+S14</f>
        <v>57833.641207826615</v>
      </c>
      <c r="R14" s="98">
        <f>$Q$13*F16/$E15</f>
        <v>29432.030854256176</v>
      </c>
      <c r="S14" s="98">
        <f>$Q$13*G16/$E15</f>
        <v>28401.610353570435</v>
      </c>
      <c r="U14" s="106"/>
      <c r="V14" s="106">
        <v>2.0969135735964737E-2</v>
      </c>
      <c r="W14" s="106">
        <v>1.1221594645511148E-2</v>
      </c>
      <c r="Y14" s="107">
        <f>Z14+AA14</f>
        <v>935.87560863551994</v>
      </c>
      <c r="Z14" s="107">
        <f>R14*V14</f>
        <v>617.16424996799992</v>
      </c>
      <c r="AA14" s="107">
        <f>S14*W14</f>
        <v>318.71135866751996</v>
      </c>
    </row>
    <row r="15" spans="1:27">
      <c r="A15" s="42">
        <v>7</v>
      </c>
      <c r="B15" s="42">
        <v>1745</v>
      </c>
      <c r="C15" s="42" t="s">
        <v>737</v>
      </c>
      <c r="D15" s="46">
        <v>61403</v>
      </c>
      <c r="E15" s="101">
        <v>56797</v>
      </c>
      <c r="F15" s="46">
        <v>29339</v>
      </c>
      <c r="G15" s="46">
        <v>27458</v>
      </c>
      <c r="H15" s="101">
        <v>4606</v>
      </c>
      <c r="I15" s="46">
        <v>2588</v>
      </c>
      <c r="J15" s="46">
        <v>2018</v>
      </c>
      <c r="P15" s="4" t="s">
        <v>487</v>
      </c>
      <c r="Q15" s="98">
        <f>Q13-Q14</f>
        <v>59450.513456397617</v>
      </c>
      <c r="R15" s="98">
        <f t="shared" ref="R15:S15" si="6">R13-R14</f>
        <v>31152.151649990083</v>
      </c>
      <c r="S15" s="98">
        <f t="shared" si="6"/>
        <v>28298.361806407538</v>
      </c>
      <c r="U15" s="106"/>
      <c r="V15" s="106">
        <v>0.90454999999999997</v>
      </c>
      <c r="W15" s="106">
        <v>6.1400000000000003E-2</v>
      </c>
      <c r="Y15" s="107">
        <f t="shared" ref="Y15" si="7">Z15+AA15</f>
        <v>29916.198189911949</v>
      </c>
      <c r="Z15" s="107">
        <f t="shared" ref="Z15" si="8">R15*V15</f>
        <v>28178.678774998527</v>
      </c>
      <c r="AA15" s="107">
        <f t="shared" ref="AA15" si="9">S15*W15</f>
        <v>1737.5194149134229</v>
      </c>
    </row>
    <row r="16" spans="1:27">
      <c r="A16" s="42">
        <v>8</v>
      </c>
      <c r="B16" s="42">
        <v>1745</v>
      </c>
      <c r="C16" s="42" t="s">
        <v>446</v>
      </c>
      <c r="D16" s="94">
        <f>E16+H16</f>
        <v>29884.206629024742</v>
      </c>
      <c r="E16" s="44">
        <v>28007</v>
      </c>
      <c r="F16" s="44">
        <v>14253</v>
      </c>
      <c r="G16" s="44">
        <v>13754</v>
      </c>
      <c r="H16" s="93">
        <f>I16+J16</f>
        <v>1877.2066290247431</v>
      </c>
      <c r="I16" s="93">
        <f>I15*I13/I12</f>
        <v>995.11413043478262</v>
      </c>
      <c r="J16" s="93">
        <f>J15*J13/J12</f>
        <v>882.09249858996054</v>
      </c>
      <c r="P16" s="27"/>
      <c r="Q16" s="98"/>
      <c r="R16" s="98"/>
      <c r="S16" s="98"/>
      <c r="U16" s="106"/>
      <c r="V16" s="106"/>
      <c r="W16" s="106"/>
      <c r="Y16" s="107"/>
      <c r="Z16" s="107"/>
      <c r="AA16" s="107"/>
    </row>
    <row r="17" spans="1:30">
      <c r="A17" s="42">
        <v>9</v>
      </c>
      <c r="B17" s="42">
        <v>1745</v>
      </c>
      <c r="C17" s="42" t="s">
        <v>447</v>
      </c>
      <c r="D17" s="94">
        <f>E17+H17</f>
        <v>31518.793370975258</v>
      </c>
      <c r="E17" s="44">
        <v>28790</v>
      </c>
      <c r="F17" s="44">
        <v>15086</v>
      </c>
      <c r="G17" s="44">
        <v>13704</v>
      </c>
      <c r="H17" s="93">
        <f>I17+J17</f>
        <v>2728.7933709752569</v>
      </c>
      <c r="I17" s="94">
        <f>I15-I16</f>
        <v>1592.8858695652175</v>
      </c>
      <c r="J17" s="94">
        <f>J15-J16</f>
        <v>1135.9075014100395</v>
      </c>
      <c r="P17" s="4" t="s">
        <v>627</v>
      </c>
      <c r="Q17" s="98">
        <v>8913.363174627375</v>
      </c>
      <c r="R17" s="98">
        <f>Q17*I15/H15</f>
        <v>5008.2031906069578</v>
      </c>
      <c r="S17" s="98">
        <f>Q17*J15/H15</f>
        <v>3905.1599840204176</v>
      </c>
      <c r="U17" s="106"/>
      <c r="V17" s="106"/>
      <c r="W17" s="106"/>
      <c r="X17" s="181"/>
      <c r="Y17" s="181"/>
      <c r="Z17" s="181"/>
      <c r="AA17" s="181"/>
    </row>
    <row r="18" spans="1:30">
      <c r="A18" s="1">
        <v>10</v>
      </c>
      <c r="B18" s="1">
        <v>1772</v>
      </c>
      <c r="D18" s="5">
        <v>122003</v>
      </c>
      <c r="E18" s="4" t="s">
        <v>298</v>
      </c>
      <c r="F18" s="4" t="s">
        <v>298</v>
      </c>
      <c r="G18" s="4" t="s">
        <v>298</v>
      </c>
      <c r="H18" s="97">
        <f>8220*(EXP(LN(10460/8220)/10)^2)</f>
        <v>8625.887524216063</v>
      </c>
      <c r="I18" s="4" t="s">
        <v>298</v>
      </c>
      <c r="J18" s="4" t="s">
        <v>298</v>
      </c>
      <c r="P18" s="4" t="s">
        <v>628</v>
      </c>
      <c r="Q18" s="98">
        <f>R18+S18</f>
        <v>3632.7017886051972</v>
      </c>
      <c r="R18" s="98">
        <f>Q17*I16/H15</f>
        <v>1925.7085637795774</v>
      </c>
      <c r="S18" s="98">
        <f>Q17*J16/H15</f>
        <v>1706.9932248256196</v>
      </c>
      <c r="U18" s="106"/>
    </row>
    <row r="19" spans="1:30">
      <c r="A19" s="99" t="s">
        <v>369</v>
      </c>
      <c r="B19" s="100">
        <v>1774</v>
      </c>
      <c r="D19" s="97">
        <f>D18*(EXP(LN(D20/D18)/12)^2)</f>
        <v>126197.51783885161</v>
      </c>
      <c r="E19" s="97">
        <f>D19-H19</f>
        <v>117284.15466422423</v>
      </c>
      <c r="F19" s="4"/>
      <c r="G19" s="4"/>
      <c r="H19" s="97">
        <f>H18*(EXP(LN(H20/H18)/12)^2)</f>
        <v>8913.363174627375</v>
      </c>
      <c r="I19" s="4"/>
      <c r="J19" s="4"/>
      <c r="P19" s="4" t="s">
        <v>385</v>
      </c>
      <c r="Q19" s="98">
        <f>Q17-Q18</f>
        <v>5280.6613860221778</v>
      </c>
      <c r="R19" s="98">
        <f t="shared" ref="R19" si="10">R17-R18</f>
        <v>3082.4946268273807</v>
      </c>
      <c r="S19" s="98">
        <f t="shared" ref="S19" si="11">S17-S18</f>
        <v>2198.166759194798</v>
      </c>
      <c r="U19" s="106"/>
    </row>
    <row r="20" spans="1:30">
      <c r="A20" s="1">
        <v>11</v>
      </c>
      <c r="B20" s="1">
        <v>1784</v>
      </c>
      <c r="D20" s="5">
        <v>149435</v>
      </c>
      <c r="E20" s="5">
        <v>138934</v>
      </c>
      <c r="F20" s="4" t="s">
        <v>298</v>
      </c>
      <c r="G20" s="4" t="s">
        <v>298</v>
      </c>
      <c r="H20" s="5">
        <v>10501</v>
      </c>
      <c r="I20" s="4" t="s">
        <v>298</v>
      </c>
      <c r="J20" s="4" t="s">
        <v>298</v>
      </c>
      <c r="P20" s="4"/>
      <c r="Q20" s="98"/>
      <c r="R20" s="98"/>
      <c r="S20" s="98"/>
      <c r="V20" s="181" t="s">
        <v>518</v>
      </c>
      <c r="W20" s="181"/>
      <c r="Z20" s="213"/>
      <c r="AA20" s="213"/>
      <c r="AB20" s="213"/>
    </row>
    <row r="21" spans="1:30">
      <c r="P21" s="4" t="s">
        <v>194</v>
      </c>
      <c r="Q21" s="214">
        <f>Q17*0.194713</f>
        <v>1735.5476838212201</v>
      </c>
      <c r="R21" s="214">
        <f t="shared" ref="R21:S21" si="12">R17*0.194713</f>
        <v>975.16226785265258</v>
      </c>
      <c r="S21" s="214">
        <f t="shared" si="12"/>
        <v>760.3854159685676</v>
      </c>
      <c r="V21" s="181" t="s">
        <v>517</v>
      </c>
      <c r="W21" s="181"/>
      <c r="Y21" s="213">
        <f>Z21+AA21</f>
        <v>580.78479286230686</v>
      </c>
      <c r="Z21" s="213">
        <f>Z22+Z23</f>
        <v>550.77511417168853</v>
      </c>
      <c r="AA21" s="213">
        <f>AA22+AA23</f>
        <v>30.009678690618323</v>
      </c>
      <c r="AB21" s="213"/>
    </row>
    <row r="22" spans="1:30">
      <c r="D22" s="1" t="s">
        <v>367</v>
      </c>
      <c r="P22" s="4" t="s">
        <v>195</v>
      </c>
      <c r="Q22" s="214">
        <f t="shared" ref="Q22:S22" si="13">Q18*0.194713</f>
        <v>707.33426336468369</v>
      </c>
      <c r="R22" s="214">
        <f t="shared" si="13"/>
        <v>374.96049157921283</v>
      </c>
      <c r="S22" s="214">
        <f t="shared" si="13"/>
        <v>332.37377178547086</v>
      </c>
      <c r="V22" s="181">
        <v>2.0969135735964737E-2</v>
      </c>
      <c r="W22" s="181">
        <v>1.1221594645511148E-2</v>
      </c>
      <c r="Y22" s="213">
        <f t="shared" ref="Y22:Y23" si="14">Z22+AA22</f>
        <v>11.59236118132476</v>
      </c>
      <c r="Z22" s="213">
        <f>V22*R22</f>
        <v>7.8625974435485766</v>
      </c>
      <c r="AA22" s="213">
        <f>W22*S22</f>
        <v>3.7297637377761839</v>
      </c>
      <c r="AB22" s="213"/>
    </row>
    <row r="23" spans="1:30">
      <c r="D23" s="1" t="s">
        <v>370</v>
      </c>
      <c r="P23" s="4" t="s">
        <v>97</v>
      </c>
      <c r="Q23" s="214">
        <f t="shared" ref="Q23:S23" si="15">Q19*0.194713</f>
        <v>1028.2134204565364</v>
      </c>
      <c r="R23" s="214">
        <f t="shared" si="15"/>
        <v>600.2017762734398</v>
      </c>
      <c r="S23" s="214">
        <f t="shared" si="15"/>
        <v>428.01164418309668</v>
      </c>
      <c r="V23" s="181">
        <v>0.90454999999999997</v>
      </c>
      <c r="W23" s="181">
        <v>6.1400000000000003E-2</v>
      </c>
      <c r="Y23" s="213">
        <f t="shared" si="14"/>
        <v>569.19243168098205</v>
      </c>
      <c r="Z23" s="213">
        <f>V23*R23</f>
        <v>542.91251672813996</v>
      </c>
      <c r="AA23" s="213">
        <f>W23*S23</f>
        <v>26.279914952842137</v>
      </c>
      <c r="AB23" s="213"/>
    </row>
    <row r="24" spans="1:30" ht="16" thickBot="1">
      <c r="D24" s="81" t="s">
        <v>162</v>
      </c>
      <c r="V24" s="181"/>
      <c r="W24" s="181"/>
      <c r="Z24" s="213"/>
      <c r="AA24" s="213"/>
      <c r="AB24" s="213"/>
      <c r="AD24" s="108"/>
    </row>
    <row r="25" spans="1:30" ht="16" thickBot="1">
      <c r="D25" s="1" t="s">
        <v>362</v>
      </c>
      <c r="P25" s="4" t="s">
        <v>98</v>
      </c>
      <c r="Q25" s="213">
        <f>Q17-Q21</f>
        <v>7177.8154908061551</v>
      </c>
      <c r="R25" s="213">
        <f t="shared" ref="R25:S25" si="16">R17-R21</f>
        <v>4033.040922754305</v>
      </c>
      <c r="S25" s="213">
        <f t="shared" si="16"/>
        <v>3144.7745680518501</v>
      </c>
      <c r="V25" s="181"/>
      <c r="W25" s="181"/>
      <c r="Y25" s="141">
        <f>Z25+AA25</f>
        <v>4260.120978319942</v>
      </c>
      <c r="Z25" s="213">
        <f>Z26+Z27</f>
        <v>2463.5548866462482</v>
      </c>
      <c r="AA25" s="213">
        <f>AA26+AA27</f>
        <v>1796.5660916736938</v>
      </c>
      <c r="AB25" s="213"/>
    </row>
    <row r="26" spans="1:30">
      <c r="D26" s="1" t="s">
        <v>553</v>
      </c>
      <c r="P26" s="4" t="s">
        <v>99</v>
      </c>
      <c r="Q26" s="213">
        <f t="shared" ref="Q26:S26" si="17">Q18-Q22</f>
        <v>2925.3675252405137</v>
      </c>
      <c r="R26" s="213">
        <f t="shared" si="17"/>
        <v>1550.7480722003645</v>
      </c>
      <c r="S26" s="213">
        <f t="shared" si="17"/>
        <v>1374.6194530401488</v>
      </c>
      <c r="V26" s="181">
        <v>0.14798749407573017</v>
      </c>
      <c r="W26" s="181">
        <v>0.14798749407573017</v>
      </c>
      <c r="Y26" s="213">
        <f t="shared" ref="Y26:Y27" si="18">Z26+AA26</f>
        <v>432.91780931086384</v>
      </c>
      <c r="Z26" s="213">
        <f>V26*R26</f>
        <v>229.49132114770143</v>
      </c>
      <c r="AA26" s="213">
        <f>W26*S26</f>
        <v>203.42648816316245</v>
      </c>
      <c r="AB26" s="213"/>
    </row>
    <row r="27" spans="1:30">
      <c r="D27" s="1" t="s">
        <v>135</v>
      </c>
      <c r="P27" s="4" t="s">
        <v>112</v>
      </c>
      <c r="Q27" s="213">
        <f t="shared" ref="Q27:S27" si="19">Q19-Q23</f>
        <v>4252.4479655656414</v>
      </c>
      <c r="R27" s="213">
        <f t="shared" si="19"/>
        <v>2482.2928505539408</v>
      </c>
      <c r="S27" s="213">
        <f t="shared" si="19"/>
        <v>1770.1551150117014</v>
      </c>
      <c r="V27" s="181">
        <v>0.9</v>
      </c>
      <c r="W27" s="181">
        <v>0.9</v>
      </c>
      <c r="Y27" s="219">
        <f t="shared" si="18"/>
        <v>3827.203169009078</v>
      </c>
      <c r="Z27" s="213">
        <f>V27*R27</f>
        <v>2234.0635654985467</v>
      </c>
      <c r="AA27" s="213">
        <f>W27*S27</f>
        <v>1593.1396035105313</v>
      </c>
    </row>
    <row r="28" spans="1:30">
      <c r="D28" s="1" t="s">
        <v>307</v>
      </c>
      <c r="V28" s="181"/>
      <c r="W28" s="181"/>
      <c r="Y28" s="213"/>
      <c r="Z28" s="213"/>
      <c r="AA28" s="213"/>
    </row>
    <row r="29" spans="1:30">
      <c r="V29" s="181"/>
      <c r="W29" s="181"/>
      <c r="Y29" s="213"/>
      <c r="Z29" s="213"/>
      <c r="AA29" s="213"/>
    </row>
    <row r="30" spans="1:30">
      <c r="E30" s="40" t="s">
        <v>474</v>
      </c>
      <c r="F30" s="40" t="s">
        <v>739</v>
      </c>
      <c r="G30" s="40" t="s">
        <v>740</v>
      </c>
    </row>
    <row r="31" spans="1:30">
      <c r="D31" s="1" t="s">
        <v>535</v>
      </c>
      <c r="E31" s="95">
        <f>E32+E33</f>
        <v>9430.4816693556731</v>
      </c>
      <c r="F31" s="95">
        <f t="shared" ref="F31:G31" si="20">F32+F33</f>
        <v>4851.9499163043474</v>
      </c>
      <c r="G31" s="95">
        <f t="shared" si="20"/>
        <v>4578.5317530513248</v>
      </c>
      <c r="Y31" s="1" t="s">
        <v>109</v>
      </c>
      <c r="Z31" s="1" t="s">
        <v>509</v>
      </c>
    </row>
    <row r="32" spans="1:30">
      <c r="D32" s="1" t="s">
        <v>536</v>
      </c>
      <c r="E32" s="92">
        <f>F32+G32</f>
        <v>8833.15452</v>
      </c>
      <c r="F32" s="92">
        <f>0.3182*F16</f>
        <v>4535.3045999999995</v>
      </c>
      <c r="G32" s="92">
        <f>0.31248*G16</f>
        <v>4297.8499199999997</v>
      </c>
      <c r="Z32" s="1" t="s">
        <v>480</v>
      </c>
    </row>
    <row r="33" spans="1:26">
      <c r="D33" s="1" t="s">
        <v>537</v>
      </c>
      <c r="E33" s="95">
        <f>F33+G33</f>
        <v>597.32714935567333</v>
      </c>
      <c r="F33" s="95">
        <f>0.3182*I16</f>
        <v>316.64531630434783</v>
      </c>
      <c r="G33" s="95">
        <f>0.3182*J16</f>
        <v>280.68183305132544</v>
      </c>
      <c r="Z33" s="1" t="s">
        <v>555</v>
      </c>
    </row>
    <row r="34" spans="1:26">
      <c r="Z34" s="214" t="s">
        <v>554</v>
      </c>
    </row>
    <row r="35" spans="1:26">
      <c r="A35" s="59" t="s">
        <v>18</v>
      </c>
      <c r="Z35" s="75"/>
    </row>
    <row r="36" spans="1:26">
      <c r="A36" s="1" t="s">
        <v>467</v>
      </c>
      <c r="Y36" s="1" t="s">
        <v>337</v>
      </c>
    </row>
    <row r="37" spans="1:26">
      <c r="A37" s="1" t="s">
        <v>312</v>
      </c>
      <c r="Y37" s="67">
        <f>Y9/25037</f>
        <v>1.4256092810532301</v>
      </c>
      <c r="Z37" s="1" t="s">
        <v>309</v>
      </c>
    </row>
    <row r="38" spans="1:26">
      <c r="Y38" s="67">
        <f>Y13/25648</f>
        <v>1.2029036883401227</v>
      </c>
      <c r="Z38" s="1" t="s">
        <v>248</v>
      </c>
    </row>
    <row r="39" spans="1:26">
      <c r="A39" s="1" t="s">
        <v>260</v>
      </c>
    </row>
    <row r="40" spans="1:26">
      <c r="A40" s="75">
        <v>25647.566453436837</v>
      </c>
      <c r="B40" s="1" t="s">
        <v>663</v>
      </c>
      <c r="C40" s="54">
        <f>100*A40/D19</f>
        <v>20.323352545006149</v>
      </c>
      <c r="D40" s="1" t="s">
        <v>665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F74"/>
  <sheetViews>
    <sheetView topLeftCell="A32" workbookViewId="0">
      <pane xSplit="12620" topLeftCell="O1"/>
      <selection activeCell="C40" sqref="C40:H48"/>
      <selection pane="topRight" activeCell="AC67" sqref="AC67"/>
    </sheetView>
  </sheetViews>
  <sheetFormatPr baseColWidth="10" defaultRowHeight="15"/>
  <cols>
    <col min="1" max="1" width="5.42578125" style="1" customWidth="1"/>
    <col min="2" max="2" width="8.85546875" style="1" customWidth="1"/>
    <col min="3" max="3" width="15.28515625" style="1" customWidth="1"/>
    <col min="4" max="4" width="6.85546875" style="1" customWidth="1"/>
    <col min="5" max="5" width="7.7109375" style="1" customWidth="1"/>
    <col min="6" max="6" width="8.28515625" style="1" customWidth="1"/>
    <col min="7" max="7" width="8.140625" style="1" customWidth="1"/>
    <col min="8" max="8" width="9.7109375" style="1" customWidth="1"/>
    <col min="9" max="9" width="14.5703125" style="1" customWidth="1"/>
    <col min="10" max="10" width="10.7109375" style="1"/>
    <col min="11" max="11" width="9.42578125" style="1" customWidth="1"/>
    <col min="12" max="14" width="10.7109375" style="1"/>
    <col min="15" max="15" width="9.42578125" style="1" customWidth="1"/>
    <col min="16" max="16" width="9.140625" style="1" customWidth="1"/>
    <col min="17" max="26" width="10.7109375" style="1"/>
    <col min="27" max="27" width="10.7109375" style="261"/>
    <col min="28" max="28" width="10.7109375" style="259"/>
    <col min="29" max="31" width="10.7109375" style="1"/>
    <col min="32" max="32" width="12.42578125" style="1" customWidth="1"/>
    <col min="33" max="16384" width="10.7109375" style="1"/>
  </cols>
  <sheetData>
    <row r="1" spans="1:17" ht="17">
      <c r="B1" s="3" t="s">
        <v>224</v>
      </c>
    </row>
    <row r="3" spans="1:17" ht="17">
      <c r="A3" s="13" t="s">
        <v>430</v>
      </c>
      <c r="B3" s="3"/>
    </row>
    <row r="4" spans="1:17">
      <c r="B4" s="1" t="s">
        <v>235</v>
      </c>
    </row>
    <row r="5" spans="1:17">
      <c r="E5" s="4" t="s">
        <v>542</v>
      </c>
      <c r="F5" s="4" t="s">
        <v>543</v>
      </c>
      <c r="G5" s="4" t="s">
        <v>544</v>
      </c>
      <c r="H5" s="4" t="s">
        <v>640</v>
      </c>
      <c r="I5" s="4" t="s">
        <v>641</v>
      </c>
      <c r="J5" s="4" t="s">
        <v>225</v>
      </c>
      <c r="K5" s="4" t="s">
        <v>226</v>
      </c>
      <c r="L5" s="4" t="s">
        <v>646</v>
      </c>
      <c r="M5" s="4" t="s">
        <v>227</v>
      </c>
      <c r="N5" s="4" t="s">
        <v>228</v>
      </c>
      <c r="O5" s="4" t="s">
        <v>355</v>
      </c>
      <c r="P5" s="4" t="s">
        <v>334</v>
      </c>
      <c r="Q5" s="4" t="s">
        <v>335</v>
      </c>
    </row>
    <row r="6" spans="1:17">
      <c r="E6" s="4" t="s">
        <v>737</v>
      </c>
      <c r="F6" s="10" t="s">
        <v>738</v>
      </c>
      <c r="G6" s="11"/>
      <c r="H6" s="11"/>
      <c r="I6" s="8"/>
      <c r="J6" s="8" t="s">
        <v>738</v>
      </c>
      <c r="K6" s="9"/>
      <c r="L6" s="7" t="s">
        <v>229</v>
      </c>
      <c r="M6" s="8"/>
      <c r="N6" s="9"/>
      <c r="O6" s="7" t="s">
        <v>117</v>
      </c>
      <c r="P6" s="8"/>
      <c r="Q6" s="9"/>
    </row>
    <row r="7" spans="1:17">
      <c r="E7" s="4"/>
      <c r="F7" s="4" t="s">
        <v>737</v>
      </c>
      <c r="G7" s="4" t="s">
        <v>642</v>
      </c>
      <c r="H7" s="4" t="s">
        <v>643</v>
      </c>
      <c r="I7" s="1" t="s">
        <v>475</v>
      </c>
      <c r="J7" s="4" t="s">
        <v>114</v>
      </c>
      <c r="K7" s="4" t="s">
        <v>115</v>
      </c>
      <c r="L7" s="4" t="s">
        <v>737</v>
      </c>
      <c r="M7" s="4" t="s">
        <v>642</v>
      </c>
      <c r="N7" s="4" t="s">
        <v>116</v>
      </c>
      <c r="O7" s="4" t="s">
        <v>737</v>
      </c>
      <c r="P7" s="4" t="s">
        <v>642</v>
      </c>
      <c r="Q7" s="4" t="s">
        <v>116</v>
      </c>
    </row>
    <row r="8" spans="1:17">
      <c r="A8" s="1" t="s">
        <v>608</v>
      </c>
      <c r="B8" s="1" t="s">
        <v>609</v>
      </c>
      <c r="C8" s="1" t="s">
        <v>644</v>
      </c>
      <c r="D8" s="1" t="s">
        <v>645</v>
      </c>
      <c r="E8" s="4" t="s">
        <v>611</v>
      </c>
      <c r="F8" s="4" t="s">
        <v>611</v>
      </c>
      <c r="G8" s="4" t="s">
        <v>611</v>
      </c>
      <c r="H8" s="4" t="s">
        <v>611</v>
      </c>
      <c r="I8" s="1" t="s">
        <v>476</v>
      </c>
      <c r="J8" s="4" t="s">
        <v>611</v>
      </c>
      <c r="K8" s="4" t="s">
        <v>611</v>
      </c>
      <c r="L8" s="4" t="s">
        <v>611</v>
      </c>
      <c r="M8" s="4" t="s">
        <v>611</v>
      </c>
      <c r="N8" s="4" t="s">
        <v>611</v>
      </c>
      <c r="O8" s="1" t="s">
        <v>611</v>
      </c>
      <c r="P8" s="1" t="s">
        <v>611</v>
      </c>
      <c r="Q8" s="1" t="s">
        <v>611</v>
      </c>
    </row>
    <row r="9" spans="1:17">
      <c r="A9" s="1">
        <v>1</v>
      </c>
      <c r="B9" s="1">
        <v>1704</v>
      </c>
      <c r="E9" s="5">
        <v>34912</v>
      </c>
      <c r="F9" s="5">
        <v>30437</v>
      </c>
      <c r="G9" s="4" t="s">
        <v>298</v>
      </c>
      <c r="H9" s="4" t="s">
        <v>298</v>
      </c>
      <c r="I9" s="5">
        <v>11026</v>
      </c>
      <c r="J9" s="2">
        <v>7163</v>
      </c>
      <c r="K9" s="2">
        <v>12248</v>
      </c>
      <c r="L9" s="1" t="s">
        <v>298</v>
      </c>
      <c r="M9" s="1" t="s">
        <v>298</v>
      </c>
      <c r="N9" s="1" t="s">
        <v>298</v>
      </c>
      <c r="O9" s="1">
        <v>4475</v>
      </c>
      <c r="P9" s="1" t="s">
        <v>298</v>
      </c>
      <c r="Q9" s="1" t="s">
        <v>298</v>
      </c>
    </row>
    <row r="10" spans="1:17">
      <c r="A10" s="1">
        <v>2</v>
      </c>
      <c r="B10" s="1">
        <v>1710</v>
      </c>
      <c r="E10" s="5">
        <v>42741</v>
      </c>
      <c r="F10" s="5">
        <v>34796</v>
      </c>
      <c r="G10" s="4" t="s">
        <v>298</v>
      </c>
      <c r="H10" s="4" t="s">
        <v>298</v>
      </c>
      <c r="I10" s="5">
        <v>11091</v>
      </c>
      <c r="J10" s="2">
        <v>8294</v>
      </c>
      <c r="K10" s="2">
        <v>15411</v>
      </c>
      <c r="L10" s="1" t="s">
        <v>298</v>
      </c>
      <c r="M10" s="1" t="s">
        <v>298</v>
      </c>
      <c r="N10" s="1" t="s">
        <v>298</v>
      </c>
      <c r="O10" s="2">
        <v>7945</v>
      </c>
      <c r="P10" s="1" t="s">
        <v>298</v>
      </c>
      <c r="Q10" s="1" t="s">
        <v>298</v>
      </c>
    </row>
    <row r="11" spans="1:17">
      <c r="A11" s="1">
        <v>3</v>
      </c>
      <c r="B11" s="1">
        <v>1712</v>
      </c>
      <c r="E11" s="5">
        <v>46151</v>
      </c>
      <c r="F11" s="5">
        <v>37743</v>
      </c>
      <c r="G11" s="4" t="s">
        <v>298</v>
      </c>
      <c r="H11" s="4" t="s">
        <v>298</v>
      </c>
      <c r="I11" s="5">
        <v>11029</v>
      </c>
      <c r="J11" s="2">
        <v>9081</v>
      </c>
      <c r="K11" s="2">
        <v>17633</v>
      </c>
      <c r="L11" s="1" t="s">
        <v>298</v>
      </c>
      <c r="M11" s="1" t="s">
        <v>298</v>
      </c>
      <c r="N11" s="1" t="s">
        <v>298</v>
      </c>
      <c r="O11" s="2">
        <v>8408</v>
      </c>
      <c r="P11" s="1" t="s">
        <v>298</v>
      </c>
      <c r="Q11" s="1" t="s">
        <v>298</v>
      </c>
    </row>
    <row r="12" spans="1:17">
      <c r="A12" s="42">
        <v>4</v>
      </c>
      <c r="B12" s="42">
        <v>1755</v>
      </c>
      <c r="C12" s="42" t="s">
        <v>737</v>
      </c>
      <c r="D12" s="42"/>
      <c r="E12" s="43">
        <v>153505</v>
      </c>
      <c r="F12" s="44">
        <v>108193</v>
      </c>
      <c r="G12" s="44">
        <v>99352</v>
      </c>
      <c r="H12" s="44">
        <v>8841</v>
      </c>
      <c r="I12" s="45" t="s">
        <v>298</v>
      </c>
      <c r="J12" s="42" t="s">
        <v>298</v>
      </c>
      <c r="K12" s="42" t="s">
        <v>298</v>
      </c>
      <c r="L12" s="46">
        <v>3608</v>
      </c>
      <c r="M12" s="46">
        <v>1460</v>
      </c>
      <c r="N12" s="46">
        <v>2148</v>
      </c>
      <c r="O12" s="46">
        <v>41704</v>
      </c>
      <c r="P12" s="42">
        <v>357</v>
      </c>
      <c r="Q12" s="46">
        <v>41347</v>
      </c>
    </row>
    <row r="13" spans="1:17">
      <c r="A13" s="42">
        <v>5</v>
      </c>
      <c r="B13" s="42">
        <v>1755</v>
      </c>
      <c r="C13" s="42" t="s">
        <v>647</v>
      </c>
      <c r="D13" s="42"/>
      <c r="E13" s="44">
        <v>77444</v>
      </c>
      <c r="F13" s="44">
        <v>53321</v>
      </c>
      <c r="G13" s="44">
        <v>51773</v>
      </c>
      <c r="H13" s="44">
        <v>1548</v>
      </c>
      <c r="I13" s="45" t="s">
        <v>298</v>
      </c>
      <c r="J13" s="42" t="s">
        <v>298</v>
      </c>
      <c r="K13" s="42" t="s">
        <v>298</v>
      </c>
      <c r="L13" s="46">
        <v>2026</v>
      </c>
      <c r="M13" s="42">
        <v>811</v>
      </c>
      <c r="N13" s="46">
        <v>1215</v>
      </c>
      <c r="O13" s="46">
        <v>22097</v>
      </c>
      <c r="P13" s="42">
        <v>111</v>
      </c>
      <c r="Q13" s="46">
        <v>21986</v>
      </c>
    </row>
    <row r="14" spans="1:17">
      <c r="A14" s="42">
        <v>6</v>
      </c>
      <c r="B14" s="42">
        <v>1755</v>
      </c>
      <c r="C14" s="42"/>
      <c r="D14" s="42" t="s">
        <v>739</v>
      </c>
      <c r="E14" s="44">
        <v>39802</v>
      </c>
      <c r="F14" s="44">
        <v>27752</v>
      </c>
      <c r="G14" s="44">
        <v>26637</v>
      </c>
      <c r="H14" s="44">
        <v>1115</v>
      </c>
      <c r="I14" s="45" t="s">
        <v>298</v>
      </c>
      <c r="J14" s="42" t="s">
        <v>298</v>
      </c>
      <c r="K14" s="42" t="s">
        <v>298</v>
      </c>
      <c r="L14" s="42">
        <v>996</v>
      </c>
      <c r="M14" s="42">
        <v>419</v>
      </c>
      <c r="N14" s="42">
        <v>577</v>
      </c>
      <c r="O14" s="46">
        <v>11054</v>
      </c>
      <c r="P14" s="42">
        <v>71</v>
      </c>
      <c r="Q14" s="46">
        <v>10983</v>
      </c>
    </row>
    <row r="15" spans="1:17">
      <c r="A15" s="42">
        <v>7</v>
      </c>
      <c r="B15" s="42">
        <v>1755</v>
      </c>
      <c r="C15" s="42"/>
      <c r="D15" s="42" t="s">
        <v>740</v>
      </c>
      <c r="E15" s="44">
        <v>37642</v>
      </c>
      <c r="F15" s="44">
        <v>25569</v>
      </c>
      <c r="G15" s="44">
        <v>25136</v>
      </c>
      <c r="H15" s="45">
        <v>433</v>
      </c>
      <c r="I15" s="45" t="s">
        <v>298</v>
      </c>
      <c r="J15" s="42" t="s">
        <v>298</v>
      </c>
      <c r="K15" s="42" t="s">
        <v>298</v>
      </c>
      <c r="L15" s="46">
        <v>1030</v>
      </c>
      <c r="M15" s="42">
        <v>392</v>
      </c>
      <c r="N15" s="42">
        <v>638</v>
      </c>
      <c r="O15" s="46">
        <v>11043</v>
      </c>
      <c r="P15" s="42">
        <v>40</v>
      </c>
      <c r="Q15" s="46">
        <v>11003</v>
      </c>
    </row>
    <row r="16" spans="1:17">
      <c r="A16" s="42">
        <v>8</v>
      </c>
      <c r="B16" s="42">
        <v>1755</v>
      </c>
      <c r="C16" s="42" t="s">
        <v>648</v>
      </c>
      <c r="D16" s="42"/>
      <c r="E16" s="44">
        <v>48811</v>
      </c>
      <c r="F16" s="44">
        <v>28469</v>
      </c>
      <c r="G16" s="44">
        <v>23386</v>
      </c>
      <c r="H16" s="44">
        <v>5083</v>
      </c>
      <c r="I16" s="45" t="s">
        <v>298</v>
      </c>
      <c r="J16" s="42" t="s">
        <v>298</v>
      </c>
      <c r="K16" s="42" t="s">
        <v>298</v>
      </c>
      <c r="L16" s="46">
        <v>1388</v>
      </c>
      <c r="M16" s="42">
        <v>554</v>
      </c>
      <c r="N16" s="42">
        <v>834</v>
      </c>
      <c r="O16" s="46">
        <v>18954</v>
      </c>
      <c r="P16" s="42">
        <v>188</v>
      </c>
      <c r="Q16" s="46">
        <v>18766</v>
      </c>
    </row>
    <row r="17" spans="1:18">
      <c r="A17" s="42">
        <v>9</v>
      </c>
      <c r="B17" s="42">
        <v>1755</v>
      </c>
      <c r="C17" s="42"/>
      <c r="D17" s="42" t="s">
        <v>739</v>
      </c>
      <c r="E17" s="44">
        <v>40165</v>
      </c>
      <c r="F17" s="44">
        <v>28469</v>
      </c>
      <c r="G17" s="44">
        <v>23386</v>
      </c>
      <c r="H17" s="44">
        <v>5083</v>
      </c>
      <c r="I17" s="45" t="s">
        <v>298</v>
      </c>
      <c r="J17" s="42" t="s">
        <v>298</v>
      </c>
      <c r="K17" s="42" t="s">
        <v>298</v>
      </c>
      <c r="L17" s="42">
        <v>749</v>
      </c>
      <c r="M17" s="42">
        <v>307</v>
      </c>
      <c r="N17" s="42">
        <v>442</v>
      </c>
      <c r="O17" s="46">
        <v>10947</v>
      </c>
      <c r="P17" s="42">
        <v>119</v>
      </c>
      <c r="Q17" s="46">
        <v>10828</v>
      </c>
    </row>
    <row r="18" spans="1:18">
      <c r="A18" s="42">
        <v>10</v>
      </c>
      <c r="B18" s="42">
        <v>1755</v>
      </c>
      <c r="C18" s="42"/>
      <c r="D18" s="42" t="s">
        <v>740</v>
      </c>
      <c r="E18" s="44">
        <v>8646</v>
      </c>
      <c r="F18" s="45">
        <v>0</v>
      </c>
      <c r="G18" s="45">
        <v>0</v>
      </c>
      <c r="H18" s="45">
        <v>0</v>
      </c>
      <c r="I18" s="45" t="s">
        <v>298</v>
      </c>
      <c r="J18" s="42" t="s">
        <v>298</v>
      </c>
      <c r="K18" s="42" t="s">
        <v>298</v>
      </c>
      <c r="L18" s="42">
        <v>639</v>
      </c>
      <c r="M18" s="42">
        <v>247</v>
      </c>
      <c r="N18" s="42">
        <v>392</v>
      </c>
      <c r="O18" s="46">
        <v>8007</v>
      </c>
      <c r="P18" s="42">
        <v>69</v>
      </c>
      <c r="Q18" s="46">
        <v>7938</v>
      </c>
    </row>
    <row r="19" spans="1:18">
      <c r="A19" s="42">
        <v>11</v>
      </c>
      <c r="B19" s="42">
        <v>1755</v>
      </c>
      <c r="C19" s="42" t="s">
        <v>547</v>
      </c>
      <c r="D19" s="42"/>
      <c r="E19" s="44">
        <v>27250</v>
      </c>
      <c r="F19" s="44">
        <v>26403</v>
      </c>
      <c r="G19" s="44">
        <v>24193</v>
      </c>
      <c r="H19" s="44">
        <v>2210</v>
      </c>
      <c r="I19" s="45" t="s">
        <v>298</v>
      </c>
      <c r="J19" s="42" t="s">
        <v>298</v>
      </c>
      <c r="K19" s="42" t="s">
        <v>298</v>
      </c>
      <c r="L19" s="42">
        <v>194</v>
      </c>
      <c r="M19" s="42">
        <v>95</v>
      </c>
      <c r="N19" s="42">
        <v>99</v>
      </c>
      <c r="O19" s="42">
        <v>653</v>
      </c>
      <c r="P19" s="42">
        <v>58</v>
      </c>
      <c r="Q19" s="42">
        <v>595</v>
      </c>
    </row>
    <row r="20" spans="1:18">
      <c r="A20" s="42">
        <v>12</v>
      </c>
      <c r="B20" s="42">
        <v>1755</v>
      </c>
      <c r="C20" s="42"/>
      <c r="D20" s="42" t="s">
        <v>739</v>
      </c>
      <c r="E20" s="48">
        <f>F20+L20+O20</f>
        <v>1121.7570000000001</v>
      </c>
      <c r="F20" s="45">
        <v>672</v>
      </c>
      <c r="G20" s="45">
        <v>672</v>
      </c>
      <c r="H20" s="45">
        <v>0</v>
      </c>
      <c r="I20" s="45" t="s">
        <v>298</v>
      </c>
      <c r="J20" s="42" t="s">
        <v>298</v>
      </c>
      <c r="K20" s="42" t="s">
        <v>298</v>
      </c>
      <c r="L20" s="47">
        <f>L19*0.531</f>
        <v>103.01400000000001</v>
      </c>
      <c r="M20" s="47">
        <f t="shared" ref="M20:Q20" si="0">M19*0.531</f>
        <v>50.445</v>
      </c>
      <c r="N20" s="47">
        <f t="shared" si="0"/>
        <v>52.569000000000003</v>
      </c>
      <c r="O20" s="47">
        <f t="shared" si="0"/>
        <v>346.74299999999999</v>
      </c>
      <c r="P20" s="47">
        <f t="shared" si="0"/>
        <v>30.798000000000002</v>
      </c>
      <c r="Q20" s="47">
        <f t="shared" si="0"/>
        <v>315.94499999999999</v>
      </c>
    </row>
    <row r="21" spans="1:18">
      <c r="A21" s="42">
        <v>13</v>
      </c>
      <c r="B21" s="42">
        <v>1755</v>
      </c>
      <c r="C21" s="42"/>
      <c r="D21" s="42" t="s">
        <v>740</v>
      </c>
      <c r="E21" s="48">
        <f>F21+L21+O21</f>
        <v>26128.243000000002</v>
      </c>
      <c r="F21" s="44">
        <v>25731</v>
      </c>
      <c r="G21" s="44">
        <v>23521</v>
      </c>
      <c r="H21" s="44">
        <v>2210</v>
      </c>
      <c r="I21" s="45" t="s">
        <v>298</v>
      </c>
      <c r="J21" s="42" t="s">
        <v>298</v>
      </c>
      <c r="K21" s="42" t="s">
        <v>298</v>
      </c>
      <c r="L21" s="47">
        <f>L19-L20</f>
        <v>90.98599999999999</v>
      </c>
      <c r="M21" s="47">
        <f t="shared" ref="M21:Q21" si="1">M19-M20</f>
        <v>44.555</v>
      </c>
      <c r="N21" s="47">
        <f t="shared" si="1"/>
        <v>46.430999999999997</v>
      </c>
      <c r="O21" s="47">
        <f t="shared" si="1"/>
        <v>306.25700000000001</v>
      </c>
      <c r="P21" s="47">
        <f t="shared" si="1"/>
        <v>27.201999999999998</v>
      </c>
      <c r="Q21" s="47">
        <f t="shared" si="1"/>
        <v>279.05500000000001</v>
      </c>
    </row>
    <row r="22" spans="1:18">
      <c r="A22" s="1">
        <v>14</v>
      </c>
      <c r="B22" s="1">
        <v>1782</v>
      </c>
      <c r="E22" s="12">
        <v>254050</v>
      </c>
      <c r="F22" s="5">
        <v>170688</v>
      </c>
      <c r="G22" s="4" t="s">
        <v>298</v>
      </c>
      <c r="H22" s="4" t="s">
        <v>298</v>
      </c>
      <c r="I22" s="4" t="s">
        <v>298</v>
      </c>
      <c r="J22" s="1" t="s">
        <v>298</v>
      </c>
      <c r="K22" s="1" t="s">
        <v>298</v>
      </c>
      <c r="L22" s="1" t="s">
        <v>298</v>
      </c>
      <c r="M22" s="1" t="s">
        <v>298</v>
      </c>
      <c r="N22" s="1" t="s">
        <v>298</v>
      </c>
      <c r="O22" s="2">
        <v>83362</v>
      </c>
      <c r="P22" s="1" t="s">
        <v>298</v>
      </c>
      <c r="Q22" s="1" t="s">
        <v>298</v>
      </c>
    </row>
    <row r="23" spans="1:18">
      <c r="E23" s="2"/>
      <c r="L23" s="27" t="s">
        <v>418</v>
      </c>
    </row>
    <row r="24" spans="1:18">
      <c r="L24" s="2">
        <f>L13+L16+L19</f>
        <v>3608</v>
      </c>
      <c r="M24" s="2">
        <f t="shared" ref="M24:Q24" si="2">M13+M16+M19</f>
        <v>1460</v>
      </c>
      <c r="N24" s="2">
        <f t="shared" si="2"/>
        <v>2148</v>
      </c>
      <c r="O24" s="2">
        <f t="shared" si="2"/>
        <v>41704</v>
      </c>
      <c r="P24" s="2">
        <f t="shared" si="2"/>
        <v>357</v>
      </c>
      <c r="Q24" s="2">
        <f t="shared" si="2"/>
        <v>41347</v>
      </c>
    </row>
    <row r="25" spans="1:18">
      <c r="A25" s="13" t="s">
        <v>420</v>
      </c>
    </row>
    <row r="26" spans="1:18">
      <c r="A26" s="13"/>
      <c r="E26" s="4" t="s">
        <v>737</v>
      </c>
      <c r="F26" s="10" t="s">
        <v>738</v>
      </c>
      <c r="G26" s="11"/>
      <c r="H26" s="11"/>
      <c r="I26" s="8"/>
      <c r="J26" s="8" t="s">
        <v>738</v>
      </c>
      <c r="K26" s="9"/>
      <c r="L26" s="7" t="s">
        <v>229</v>
      </c>
      <c r="M26" s="8"/>
      <c r="N26" s="9"/>
      <c r="O26" s="7" t="s">
        <v>117</v>
      </c>
      <c r="P26" s="8"/>
      <c r="Q26" s="9"/>
    </row>
    <row r="27" spans="1:18">
      <c r="A27" s="13"/>
      <c r="E27" s="4"/>
      <c r="F27" s="4" t="s">
        <v>737</v>
      </c>
      <c r="G27" s="4" t="s">
        <v>642</v>
      </c>
      <c r="H27" s="4" t="s">
        <v>643</v>
      </c>
      <c r="I27" s="1" t="s">
        <v>475</v>
      </c>
      <c r="J27" s="4" t="s">
        <v>114</v>
      </c>
      <c r="K27" s="4" t="s">
        <v>115</v>
      </c>
      <c r="L27" s="4" t="s">
        <v>737</v>
      </c>
      <c r="M27" s="4" t="s">
        <v>642</v>
      </c>
      <c r="N27" s="4" t="s">
        <v>116</v>
      </c>
      <c r="O27" s="4" t="s">
        <v>737</v>
      </c>
      <c r="P27" s="4" t="s">
        <v>642</v>
      </c>
      <c r="Q27" s="4" t="s">
        <v>116</v>
      </c>
    </row>
    <row r="28" spans="1:18">
      <c r="C28" s="1" t="s">
        <v>737</v>
      </c>
      <c r="E28" s="14">
        <v>1</v>
      </c>
      <c r="F28" s="14">
        <v>0.70481743265691676</v>
      </c>
      <c r="G28" s="14">
        <v>0.64722321748477252</v>
      </c>
      <c r="H28" s="14">
        <v>5.7594215172144227E-2</v>
      </c>
      <c r="I28" s="14"/>
      <c r="J28" s="35"/>
      <c r="K28" s="14"/>
      <c r="L28" s="14">
        <f>L12/153505</f>
        <v>2.350412038695808E-2</v>
      </c>
      <c r="M28" s="35">
        <f t="shared" ref="M28:Q28" si="3">M12/153505</f>
        <v>9.5110908439464507E-3</v>
      </c>
      <c r="N28" s="35">
        <f t="shared" si="3"/>
        <v>1.3993029543011628E-2</v>
      </c>
      <c r="O28" s="35">
        <f t="shared" si="3"/>
        <v>0.2716784469561252</v>
      </c>
      <c r="P28" s="35">
        <f t="shared" si="3"/>
        <v>2.3256571447184131E-3</v>
      </c>
      <c r="Q28" s="35">
        <f t="shared" si="3"/>
        <v>0.26935278981140681</v>
      </c>
      <c r="R28" s="49">
        <f>F28+L28+O28</f>
        <v>1</v>
      </c>
    </row>
    <row r="29" spans="1:18">
      <c r="C29" s="1" t="s">
        <v>647</v>
      </c>
      <c r="D29" s="1" t="s">
        <v>479</v>
      </c>
      <c r="E29" s="14">
        <f>E13/153505</f>
        <v>0.5045047392593075</v>
      </c>
      <c r="F29" s="35">
        <f t="shared" ref="F29:H29" si="4">F13/153505</f>
        <v>0.34735676362333473</v>
      </c>
      <c r="G29" s="35">
        <f t="shared" si="4"/>
        <v>0.33727240155043808</v>
      </c>
      <c r="H29" s="35">
        <f t="shared" si="4"/>
        <v>1.0084362072896648E-2</v>
      </c>
      <c r="I29" s="14"/>
      <c r="J29" s="35"/>
      <c r="K29" s="14"/>
      <c r="L29" s="35">
        <f t="shared" ref="L29:Q29" si="5">L13/153505</f>
        <v>1.3198267157421582E-2</v>
      </c>
      <c r="M29" s="35">
        <f t="shared" si="5"/>
        <v>5.2832155304387476E-3</v>
      </c>
      <c r="N29" s="35">
        <f t="shared" si="5"/>
        <v>7.9150516269828348E-3</v>
      </c>
      <c r="O29" s="35">
        <f t="shared" si="5"/>
        <v>0.14394970847855118</v>
      </c>
      <c r="P29" s="35">
        <f t="shared" si="5"/>
        <v>7.2310348197127128E-4</v>
      </c>
      <c r="Q29" s="35">
        <f t="shared" si="5"/>
        <v>0.14322660499657991</v>
      </c>
      <c r="R29" s="49">
        <f t="shared" ref="R29:R34" si="6">F29+L29+O29</f>
        <v>0.5045047392593075</v>
      </c>
    </row>
    <row r="30" spans="1:18">
      <c r="D30" s="1" t="s">
        <v>739</v>
      </c>
      <c r="E30" s="35">
        <f t="shared" ref="E30:H31" si="7">E14/153505</f>
        <v>0.25928797107586071</v>
      </c>
      <c r="F30" s="35">
        <f t="shared" si="7"/>
        <v>0.18078889938438486</v>
      </c>
      <c r="G30" s="35">
        <f t="shared" si="7"/>
        <v>0.17352529233575453</v>
      </c>
      <c r="H30" s="35">
        <f t="shared" si="7"/>
        <v>7.2636070486303377E-3</v>
      </c>
      <c r="I30" s="14"/>
      <c r="J30" s="35"/>
      <c r="K30" s="14"/>
      <c r="L30" s="35">
        <f t="shared" ref="L30:Q30" si="8">L14/153505</f>
        <v>6.4883880003908665E-3</v>
      </c>
      <c r="M30" s="35">
        <f t="shared" si="8"/>
        <v>2.7295527832969608E-3</v>
      </c>
      <c r="N30" s="35">
        <f t="shared" si="8"/>
        <v>3.7588352170939057E-3</v>
      </c>
      <c r="O30" s="35">
        <f t="shared" si="8"/>
        <v>7.2010683691084987E-2</v>
      </c>
      <c r="P30" s="35">
        <f t="shared" si="8"/>
        <v>4.6252565063027262E-4</v>
      </c>
      <c r="Q30" s="35">
        <f t="shared" si="8"/>
        <v>7.154815804045471E-2</v>
      </c>
      <c r="R30" s="49">
        <f t="shared" si="6"/>
        <v>0.25928797107586071</v>
      </c>
    </row>
    <row r="31" spans="1:18">
      <c r="D31" s="1" t="s">
        <v>740</v>
      </c>
      <c r="E31" s="35">
        <f t="shared" si="7"/>
        <v>0.24521676818344679</v>
      </c>
      <c r="F31" s="35">
        <f t="shared" si="7"/>
        <v>0.16656786423894987</v>
      </c>
      <c r="G31" s="35">
        <f t="shared" si="7"/>
        <v>0.16374710921468355</v>
      </c>
      <c r="H31" s="35">
        <f t="shared" si="7"/>
        <v>2.8207550242663106E-3</v>
      </c>
      <c r="I31" s="14"/>
      <c r="J31" s="35"/>
      <c r="K31" s="14"/>
      <c r="L31" s="35">
        <f t="shared" ref="L31:Q31" si="9">L15/153505</f>
        <v>6.7098791570307159E-3</v>
      </c>
      <c r="M31" s="35">
        <f t="shared" si="9"/>
        <v>2.5536627471417868E-3</v>
      </c>
      <c r="N31" s="35">
        <f t="shared" si="9"/>
        <v>4.1562164098889291E-3</v>
      </c>
      <c r="O31" s="35">
        <f t="shared" si="9"/>
        <v>7.1939024787466208E-2</v>
      </c>
      <c r="P31" s="35">
        <f t="shared" si="9"/>
        <v>2.6057783134099865E-4</v>
      </c>
      <c r="Q31" s="35">
        <f t="shared" si="9"/>
        <v>7.1678446956125214E-2</v>
      </c>
      <c r="R31" s="49">
        <f t="shared" si="6"/>
        <v>0.24521676818344679</v>
      </c>
    </row>
    <row r="32" spans="1:18">
      <c r="C32" s="1" t="s">
        <v>593</v>
      </c>
      <c r="D32" s="1" t="s">
        <v>479</v>
      </c>
      <c r="E32" s="14">
        <f>(E16+E19)/153505</f>
        <v>0.4954952607406925</v>
      </c>
      <c r="F32" s="35">
        <f t="shared" ref="F32:H32" si="10">(F16+F19)/153505</f>
        <v>0.35746066903358198</v>
      </c>
      <c r="G32" s="35">
        <f t="shared" si="10"/>
        <v>0.30995081593433438</v>
      </c>
      <c r="H32" s="35">
        <f t="shared" si="10"/>
        <v>4.750985309924758E-2</v>
      </c>
      <c r="I32" s="14"/>
      <c r="J32" s="35"/>
      <c r="K32" s="14"/>
      <c r="L32" s="35">
        <f>(L16+L19)/153505</f>
        <v>1.0305853229536498E-2</v>
      </c>
      <c r="M32" s="35">
        <f t="shared" ref="M32:Q32" si="11">(M16+M19)/153505</f>
        <v>4.2278753135077032E-3</v>
      </c>
      <c r="N32" s="35">
        <f t="shared" si="11"/>
        <v>6.0779779160287936E-3</v>
      </c>
      <c r="O32" s="35">
        <f t="shared" si="11"/>
        <v>0.12772873847757402</v>
      </c>
      <c r="P32" s="35">
        <f t="shared" si="11"/>
        <v>1.6025536627471417E-3</v>
      </c>
      <c r="Q32" s="35">
        <f t="shared" si="11"/>
        <v>0.12612618481482687</v>
      </c>
      <c r="R32" s="49">
        <f t="shared" si="6"/>
        <v>0.4954952607406925</v>
      </c>
    </row>
    <row r="33" spans="1:18">
      <c r="C33" s="1" t="s">
        <v>694</v>
      </c>
      <c r="D33" s="1" t="s">
        <v>739</v>
      </c>
      <c r="E33" s="14">
        <f>(E17+E20)/153505</f>
        <v>0.26896034005406988</v>
      </c>
      <c r="F33" s="35">
        <f t="shared" ref="F33:H34" si="12">(F17+F20)/153505</f>
        <v>0.18983746457770106</v>
      </c>
      <c r="G33" s="35">
        <f t="shared" si="12"/>
        <v>0.15672453666004366</v>
      </c>
      <c r="H33" s="35">
        <f t="shared" si="12"/>
        <v>3.3112927917657409E-2</v>
      </c>
      <c r="I33" s="14"/>
      <c r="J33" s="35"/>
      <c r="K33" s="14"/>
      <c r="L33" s="35">
        <f t="shared" ref="L33:Q33" si="13">(L17+L20)/153505</f>
        <v>5.5503990098042409E-3</v>
      </c>
      <c r="M33" s="35">
        <f t="shared" si="13"/>
        <v>2.3285560730920817E-3</v>
      </c>
      <c r="N33" s="35">
        <f t="shared" si="13"/>
        <v>3.2218429367121592E-3</v>
      </c>
      <c r="O33" s="35">
        <f t="shared" si="13"/>
        <v>7.3572476466564604E-2</v>
      </c>
      <c r="P33" s="35">
        <f t="shared" si="13"/>
        <v>9.7585094948047298E-4</v>
      </c>
      <c r="Q33" s="35">
        <f t="shared" si="13"/>
        <v>7.2596625517084137E-2</v>
      </c>
      <c r="R33" s="49">
        <f t="shared" si="6"/>
        <v>0.26896034005406994</v>
      </c>
    </row>
    <row r="34" spans="1:18">
      <c r="D34" s="1" t="s">
        <v>740</v>
      </c>
      <c r="E34" s="35">
        <f>(E18+E21)/153505</f>
        <v>0.22653492068662259</v>
      </c>
      <c r="F34" s="35">
        <f t="shared" si="12"/>
        <v>0.16762320445588091</v>
      </c>
      <c r="G34" s="35">
        <f t="shared" si="12"/>
        <v>0.15322627927429075</v>
      </c>
      <c r="H34" s="35">
        <f t="shared" si="12"/>
        <v>1.4396925181590177E-2</v>
      </c>
      <c r="I34" s="14"/>
      <c r="J34" s="35"/>
      <c r="K34" s="14"/>
      <c r="L34" s="35">
        <f t="shared" ref="L34:Q34" si="14">(L18+L21)/153505</f>
        <v>4.7554542197322559E-3</v>
      </c>
      <c r="M34" s="35">
        <f t="shared" si="14"/>
        <v>1.8993192404156217E-3</v>
      </c>
      <c r="N34" s="35">
        <f t="shared" si="14"/>
        <v>2.8561349793166345E-3</v>
      </c>
      <c r="O34" s="35">
        <f t="shared" si="14"/>
        <v>5.4156262011009412E-2</v>
      </c>
      <c r="P34" s="35">
        <f t="shared" si="14"/>
        <v>6.2670271326666885E-4</v>
      </c>
      <c r="Q34" s="35">
        <f t="shared" si="14"/>
        <v>5.3529559297742745E-2</v>
      </c>
      <c r="R34" s="49">
        <f t="shared" si="6"/>
        <v>0.22653492068662257</v>
      </c>
    </row>
    <row r="36" spans="1:18">
      <c r="I36" s="14"/>
      <c r="J36" s="14"/>
      <c r="K36" s="14"/>
    </row>
    <row r="37" spans="1:18">
      <c r="A37" s="13" t="s">
        <v>695</v>
      </c>
      <c r="D37" s="1">
        <v>218821.78445791494</v>
      </c>
      <c r="E37" s="1" t="s">
        <v>657</v>
      </c>
      <c r="I37" s="14"/>
      <c r="J37" s="14"/>
      <c r="K37" s="14"/>
    </row>
    <row r="39" spans="1:18">
      <c r="A39" s="13" t="s">
        <v>589</v>
      </c>
    </row>
    <row r="40" spans="1:18">
      <c r="E40" s="4" t="s">
        <v>737</v>
      </c>
      <c r="F40" s="10" t="s">
        <v>738</v>
      </c>
      <c r="G40" s="11"/>
      <c r="H40" s="29"/>
      <c r="L40" s="7" t="s">
        <v>229</v>
      </c>
      <c r="M40" s="8"/>
      <c r="N40" s="9"/>
      <c r="O40" s="7" t="s">
        <v>117</v>
      </c>
      <c r="P40" s="8"/>
      <c r="Q40" s="9"/>
      <c r="R40" s="4" t="s">
        <v>533</v>
      </c>
    </row>
    <row r="41" spans="1:18">
      <c r="E41" s="4"/>
      <c r="F41" s="4" t="s">
        <v>737</v>
      </c>
      <c r="G41" s="4" t="s">
        <v>642</v>
      </c>
      <c r="H41" s="4" t="s">
        <v>643</v>
      </c>
      <c r="L41" s="4" t="s">
        <v>737</v>
      </c>
      <c r="M41" s="4" t="s">
        <v>642</v>
      </c>
      <c r="N41" s="4" t="s">
        <v>116</v>
      </c>
      <c r="O41" s="4" t="s">
        <v>737</v>
      </c>
      <c r="P41" s="4" t="s">
        <v>642</v>
      </c>
      <c r="Q41" s="4" t="s">
        <v>116</v>
      </c>
      <c r="R41" s="4" t="s">
        <v>534</v>
      </c>
    </row>
    <row r="42" spans="1:18">
      <c r="C42" s="1" t="s">
        <v>737</v>
      </c>
      <c r="E42" s="15">
        <f>E28*218821.784</f>
        <v>218821.78400000001</v>
      </c>
      <c r="F42" s="16">
        <f t="shared" ref="F42:Q42" si="15">F28*218821.784</f>
        <v>154229.40800828641</v>
      </c>
      <c r="G42" s="16">
        <f t="shared" si="15"/>
        <v>141626.53909623792</v>
      </c>
      <c r="H42" s="16">
        <f t="shared" si="15"/>
        <v>12602.868912048467</v>
      </c>
      <c r="L42" s="16">
        <f t="shared" si="15"/>
        <v>5143.2135544249377</v>
      </c>
      <c r="M42" s="16">
        <f t="shared" si="15"/>
        <v>2081.233866258428</v>
      </c>
      <c r="N42" s="16">
        <f t="shared" si="15"/>
        <v>3061.9796881665093</v>
      </c>
      <c r="O42" s="16">
        <f t="shared" si="15"/>
        <v>59449.162437288687</v>
      </c>
      <c r="P42" s="16">
        <f t="shared" si="15"/>
        <v>508.90444537962935</v>
      </c>
      <c r="Q42" s="16">
        <f t="shared" si="15"/>
        <v>58940.257991909064</v>
      </c>
      <c r="R42" s="16">
        <f>E42-F42-L42-O42</f>
        <v>0</v>
      </c>
    </row>
    <row r="43" spans="1:18">
      <c r="C43" s="1" t="s">
        <v>647</v>
      </c>
      <c r="D43" s="1" t="s">
        <v>479</v>
      </c>
      <c r="E43" s="16">
        <f t="shared" ref="E43:Q43" si="16">E29*218821.784</f>
        <v>110396.62708117651</v>
      </c>
      <c r="F43" s="16">
        <f t="shared" si="16"/>
        <v>76009.226700524421</v>
      </c>
      <c r="G43" s="16">
        <f t="shared" si="16"/>
        <v>73802.548601231232</v>
      </c>
      <c r="H43" s="16">
        <f t="shared" si="16"/>
        <v>2206.6780992931826</v>
      </c>
      <c r="L43" s="16">
        <f t="shared" si="16"/>
        <v>2888.0683650955998</v>
      </c>
      <c r="M43" s="16">
        <f t="shared" si="16"/>
        <v>1156.0826476271131</v>
      </c>
      <c r="N43" s="16">
        <f t="shared" si="16"/>
        <v>1731.9857174684867</v>
      </c>
      <c r="O43" s="16">
        <f t="shared" si="16"/>
        <v>31499.332015556498</v>
      </c>
      <c r="P43" s="16">
        <f t="shared" si="16"/>
        <v>158.23079394156542</v>
      </c>
      <c r="Q43" s="16">
        <f t="shared" si="16"/>
        <v>31341.101221614932</v>
      </c>
      <c r="R43" s="16">
        <f t="shared" ref="R43:R48" si="17">E43-F43-L43-O43</f>
        <v>0</v>
      </c>
    </row>
    <row r="44" spans="1:18">
      <c r="D44" s="1" t="s">
        <v>739</v>
      </c>
      <c r="E44" s="16">
        <f t="shared" ref="E44:Q44" si="18">E30*218821.784</f>
        <v>56737.856400560246</v>
      </c>
      <c r="F44" s="16">
        <f t="shared" si="18"/>
        <v>39560.549490687597</v>
      </c>
      <c r="G44" s="16">
        <f t="shared" si="18"/>
        <v>37971.114038031337</v>
      </c>
      <c r="H44" s="16">
        <f t="shared" si="18"/>
        <v>1589.4354526562654</v>
      </c>
      <c r="L44" s="16">
        <f t="shared" si="18"/>
        <v>1419.8006375297223</v>
      </c>
      <c r="M44" s="16">
        <f t="shared" si="18"/>
        <v>597.28560956320644</v>
      </c>
      <c r="N44" s="16">
        <f t="shared" si="18"/>
        <v>822.51502796651573</v>
      </c>
      <c r="O44" s="16">
        <f t="shared" si="18"/>
        <v>15757.506272342922</v>
      </c>
      <c r="P44" s="16">
        <f t="shared" si="18"/>
        <v>101.21068801667698</v>
      </c>
      <c r="Q44" s="16">
        <f t="shared" si="18"/>
        <v>15656.295584326244</v>
      </c>
      <c r="R44" s="16">
        <f t="shared" si="17"/>
        <v>0</v>
      </c>
    </row>
    <row r="45" spans="1:18">
      <c r="D45" s="1" t="s">
        <v>740</v>
      </c>
      <c r="E45" s="16">
        <f t="shared" ref="E45:Q45" si="19">E31*218821.784</f>
        <v>53658.770680616268</v>
      </c>
      <c r="F45" s="16">
        <f t="shared" si="19"/>
        <v>36448.677209836816</v>
      </c>
      <c r="G45" s="16">
        <f t="shared" si="19"/>
        <v>35831.434563199895</v>
      </c>
      <c r="H45" s="16">
        <f t="shared" si="19"/>
        <v>617.24264663691747</v>
      </c>
      <c r="L45" s="16">
        <f t="shared" si="19"/>
        <v>1468.2677275658775</v>
      </c>
      <c r="M45" s="16">
        <f t="shared" si="19"/>
        <v>558.79703806390671</v>
      </c>
      <c r="N45" s="16">
        <f t="shared" si="19"/>
        <v>909.47068950197081</v>
      </c>
      <c r="O45" s="16">
        <f t="shared" si="19"/>
        <v>15741.825743213578</v>
      </c>
      <c r="P45" s="16">
        <f t="shared" si="19"/>
        <v>57.020105924888441</v>
      </c>
      <c r="Q45" s="16">
        <f t="shared" si="19"/>
        <v>15684.805637288689</v>
      </c>
      <c r="R45" s="16">
        <f t="shared" si="17"/>
        <v>0</v>
      </c>
    </row>
    <row r="46" spans="1:18">
      <c r="C46" s="1" t="s">
        <v>593</v>
      </c>
      <c r="D46" s="1" t="s">
        <v>479</v>
      </c>
      <c r="E46" s="16">
        <f t="shared" ref="E46:Q46" si="20">E32*218821.784</f>
        <v>108425.1569188235</v>
      </c>
      <c r="F46" s="16">
        <f t="shared" si="20"/>
        <v>78220.181307761974</v>
      </c>
      <c r="G46" s="16">
        <f t="shared" si="20"/>
        <v>67823.990495006685</v>
      </c>
      <c r="H46" s="16">
        <f t="shared" si="20"/>
        <v>10396.190812755285</v>
      </c>
      <c r="L46" s="16">
        <f t="shared" si="20"/>
        <v>2255.1451893293379</v>
      </c>
      <c r="M46" s="16">
        <f t="shared" si="20"/>
        <v>925.15121863131492</v>
      </c>
      <c r="N46" s="16">
        <f t="shared" si="20"/>
        <v>1329.9939706980228</v>
      </c>
      <c r="O46" s="16">
        <f t="shared" si="20"/>
        <v>27949.830421732193</v>
      </c>
      <c r="P46" s="16">
        <f t="shared" si="20"/>
        <v>350.67365143806393</v>
      </c>
      <c r="Q46" s="16">
        <f t="shared" si="20"/>
        <v>27599.156770294128</v>
      </c>
      <c r="R46" s="16">
        <f t="shared" si="17"/>
        <v>0</v>
      </c>
    </row>
    <row r="47" spans="1:18">
      <c r="C47" s="1" t="s">
        <v>694</v>
      </c>
      <c r="D47" s="1" t="s">
        <v>739</v>
      </c>
      <c r="E47" s="16">
        <f t="shared" ref="E47:Q47" si="21">E33*218821.784</f>
        <v>58854.381435878233</v>
      </c>
      <c r="F47" s="16">
        <f t="shared" si="21"/>
        <v>41540.572668929359</v>
      </c>
      <c r="G47" s="16">
        <f t="shared" si="21"/>
        <v>34294.742708524158</v>
      </c>
      <c r="H47" s="16">
        <f t="shared" si="21"/>
        <v>7245.8299604051999</v>
      </c>
      <c r="L47" s="16">
        <f t="shared" si="21"/>
        <v>1214.5482132371976</v>
      </c>
      <c r="M47" s="16">
        <f t="shared" si="21"/>
        <v>509.53879405804378</v>
      </c>
      <c r="N47" s="16">
        <f t="shared" si="21"/>
        <v>705.00941917915384</v>
      </c>
      <c r="O47" s="16">
        <f t="shared" si="21"/>
        <v>16099.260553711683</v>
      </c>
      <c r="P47" s="16">
        <f t="shared" si="21"/>
        <v>213.53744568341099</v>
      </c>
      <c r="Q47" s="16">
        <f t="shared" si="21"/>
        <v>15885.723108028275</v>
      </c>
      <c r="R47" s="16">
        <f t="shared" si="17"/>
        <v>0</v>
      </c>
    </row>
    <row r="48" spans="1:18">
      <c r="D48" s="1" t="s">
        <v>740</v>
      </c>
      <c r="E48" s="16">
        <f t="shared" ref="E48:Q48" si="22">E34*218821.784</f>
        <v>49570.775482945261</v>
      </c>
      <c r="F48" s="16">
        <f t="shared" si="22"/>
        <v>36679.608638832615</v>
      </c>
      <c r="G48" s="16">
        <f t="shared" si="22"/>
        <v>33529.247786482527</v>
      </c>
      <c r="H48" s="16">
        <f t="shared" si="22"/>
        <v>3150.3608523500866</v>
      </c>
      <c r="L48" s="16">
        <f t="shared" si="22"/>
        <v>1040.5969760921403</v>
      </c>
      <c r="M48" s="16">
        <f t="shared" si="22"/>
        <v>415.61242457327126</v>
      </c>
      <c r="N48" s="16">
        <f t="shared" si="22"/>
        <v>624.98455151886913</v>
      </c>
      <c r="O48" s="16">
        <f t="shared" si="22"/>
        <v>11850.569868020508</v>
      </c>
      <c r="P48" s="16">
        <f t="shared" si="22"/>
        <v>137.13620575465296</v>
      </c>
      <c r="Q48" s="16">
        <f t="shared" si="22"/>
        <v>11713.433662265856</v>
      </c>
      <c r="R48" s="16">
        <f t="shared" si="17"/>
        <v>0</v>
      </c>
    </row>
    <row r="51" spans="1:32">
      <c r="A51" s="33" t="s">
        <v>718</v>
      </c>
    </row>
    <row r="52" spans="1:32">
      <c r="E52" s="7" t="s">
        <v>470</v>
      </c>
      <c r="F52" s="8"/>
      <c r="G52" s="8"/>
      <c r="H52" s="8"/>
      <c r="I52" s="8"/>
      <c r="J52" s="8"/>
      <c r="K52" s="7"/>
      <c r="L52" s="8" t="s">
        <v>478</v>
      </c>
      <c r="M52" s="8"/>
      <c r="N52" s="9"/>
      <c r="O52" s="8" t="s">
        <v>658</v>
      </c>
      <c r="P52" s="8"/>
      <c r="Q52" s="8"/>
      <c r="R52" s="8"/>
      <c r="S52" s="8"/>
      <c r="T52" s="8"/>
      <c r="U52" s="7" t="s">
        <v>356</v>
      </c>
      <c r="V52" s="8"/>
      <c r="W52" s="8"/>
      <c r="X52" s="8"/>
      <c r="Y52" s="8"/>
      <c r="Z52" s="8"/>
      <c r="AA52" s="8"/>
      <c r="AB52" s="9"/>
    </row>
    <row r="53" spans="1:32">
      <c r="E53" s="1" t="s">
        <v>590</v>
      </c>
      <c r="F53" s="4" t="s">
        <v>473</v>
      </c>
      <c r="G53" s="4" t="s">
        <v>471</v>
      </c>
      <c r="H53" s="4" t="s">
        <v>591</v>
      </c>
      <c r="I53" s="4" t="s">
        <v>615</v>
      </c>
      <c r="J53" s="4" t="s">
        <v>472</v>
      </c>
      <c r="K53" s="4" t="s">
        <v>659</v>
      </c>
      <c r="L53" s="4" t="s">
        <v>471</v>
      </c>
      <c r="M53" s="4" t="s">
        <v>222</v>
      </c>
      <c r="N53" s="4" t="s">
        <v>472</v>
      </c>
      <c r="O53" s="1" t="s">
        <v>590</v>
      </c>
      <c r="P53" s="4" t="s">
        <v>471</v>
      </c>
      <c r="Q53" s="4" t="s">
        <v>471</v>
      </c>
      <c r="R53" s="4" t="s">
        <v>591</v>
      </c>
      <c r="S53" s="4" t="s">
        <v>472</v>
      </c>
      <c r="T53" s="4" t="s">
        <v>472</v>
      </c>
      <c r="U53" s="37" t="s">
        <v>616</v>
      </c>
      <c r="W53" s="36"/>
      <c r="X53" s="37" t="s">
        <v>614</v>
      </c>
      <c r="Z53" s="36"/>
      <c r="AA53" s="36"/>
      <c r="AB53" s="36" t="s">
        <v>676</v>
      </c>
      <c r="AC53" s="4" t="s">
        <v>477</v>
      </c>
    </row>
    <row r="54" spans="1:32" s="39" customFormat="1">
      <c r="E54" s="40" t="s">
        <v>529</v>
      </c>
      <c r="F54" s="40" t="s">
        <v>237</v>
      </c>
      <c r="G54" s="40" t="s">
        <v>236</v>
      </c>
      <c r="H54" s="40" t="s">
        <v>530</v>
      </c>
      <c r="I54" s="40" t="s">
        <v>237</v>
      </c>
      <c r="J54" s="40" t="s">
        <v>236</v>
      </c>
      <c r="K54" s="40" t="s">
        <v>660</v>
      </c>
      <c r="L54" s="40" t="s">
        <v>236</v>
      </c>
      <c r="M54" s="40" t="s">
        <v>660</v>
      </c>
      <c r="N54" s="40" t="s">
        <v>236</v>
      </c>
      <c r="O54" s="40" t="s">
        <v>529</v>
      </c>
      <c r="P54" s="40" t="s">
        <v>237</v>
      </c>
      <c r="Q54" s="40" t="s">
        <v>236</v>
      </c>
      <c r="R54" s="40" t="s">
        <v>530</v>
      </c>
      <c r="S54" s="40" t="s">
        <v>237</v>
      </c>
      <c r="T54" s="40" t="s">
        <v>236</v>
      </c>
      <c r="U54" s="40" t="s">
        <v>531</v>
      </c>
      <c r="V54" s="41" t="s">
        <v>468</v>
      </c>
      <c r="W54" s="41" t="s">
        <v>469</v>
      </c>
      <c r="X54" s="40" t="s">
        <v>531</v>
      </c>
      <c r="Y54" s="41" t="s">
        <v>468</v>
      </c>
      <c r="Z54" s="41" t="s">
        <v>469</v>
      </c>
      <c r="AA54" s="41"/>
      <c r="AB54" s="41" t="s">
        <v>677</v>
      </c>
      <c r="AC54" s="41" t="s">
        <v>532</v>
      </c>
    </row>
    <row r="55" spans="1:32" s="38" customFormat="1">
      <c r="A55" s="38" t="s">
        <v>357</v>
      </c>
      <c r="E55" s="38">
        <f>G44-F55</f>
        <v>25311.54461775169</v>
      </c>
      <c r="F55" s="38">
        <f>G44*0.3334</f>
        <v>12659.569420279648</v>
      </c>
      <c r="G55" s="38">
        <f>G47</f>
        <v>34294.742708524158</v>
      </c>
      <c r="H55" s="38">
        <f>G45-I55</f>
        <v>21080.707896567394</v>
      </c>
      <c r="I55" s="38">
        <f>G45*0.41167</f>
        <v>14750.726666632499</v>
      </c>
      <c r="J55" s="38">
        <f>G48</f>
        <v>33529.247786482527</v>
      </c>
      <c r="K55" s="38">
        <f>H44</f>
        <v>1589.4354526562654</v>
      </c>
      <c r="L55" s="38">
        <f>H47</f>
        <v>7245.8299604051999</v>
      </c>
      <c r="M55" s="38">
        <f>H45</f>
        <v>617.24264663691747</v>
      </c>
      <c r="N55" s="38">
        <f>H48</f>
        <v>3150.3608523500866</v>
      </c>
      <c r="O55" s="38">
        <f>M44+P44-P55</f>
        <v>465.89703048578224</v>
      </c>
      <c r="P55" s="38">
        <f>0.333*(M44+P44)</f>
        <v>232.59926709410118</v>
      </c>
      <c r="Q55" s="38">
        <f>M47+P47</f>
        <v>723.07623974145474</v>
      </c>
      <c r="R55" s="38">
        <f>M45+P45-S55</f>
        <v>362.10048066541151</v>
      </c>
      <c r="S55" s="38">
        <f>0.412*(M45+P45)</f>
        <v>253.71666332338359</v>
      </c>
      <c r="T55" s="38">
        <f>M48+P48</f>
        <v>552.74863032792427</v>
      </c>
      <c r="U55" s="38">
        <f>N44+N47+Q44+Q47-V55</f>
        <v>10984.775154154355</v>
      </c>
      <c r="V55" s="38">
        <f>N47+Q47+(0.3334*(N44+Q44))</f>
        <v>22084.767985345832</v>
      </c>
      <c r="W55" s="38">
        <f>U55+V55</f>
        <v>33069.543139500187</v>
      </c>
      <c r="X55" s="38">
        <f>(N45+N48+Q45+Q48)-Y55</f>
        <v>9757.4344801529041</v>
      </c>
      <c r="Y55" s="38">
        <f>N48+Q48+(0.412*(N45+Q45))</f>
        <v>19175.260060422479</v>
      </c>
      <c r="Z55" s="38">
        <f>X55+Y55</f>
        <v>28932.694540575383</v>
      </c>
      <c r="AA55" s="200" t="s">
        <v>673</v>
      </c>
      <c r="AB55" s="242">
        <f>W55+Z55</f>
        <v>62002.237680075574</v>
      </c>
      <c r="AC55" s="51">
        <f>SUM(E55:V55)+X55+Y55</f>
        <v>218821.78400000001</v>
      </c>
      <c r="AD55" s="38" t="s">
        <v>223</v>
      </c>
    </row>
    <row r="56" spans="1:32" ht="16" thickBot="1">
      <c r="A56" s="1" t="s">
        <v>461</v>
      </c>
      <c r="E56" s="1">
        <v>0</v>
      </c>
      <c r="F56" s="34">
        <v>0.18070205005491</v>
      </c>
      <c r="G56" s="34">
        <v>0.90698749999999995</v>
      </c>
      <c r="H56" s="1">
        <v>0</v>
      </c>
      <c r="I56" s="34">
        <v>8.3510064732080003E-2</v>
      </c>
      <c r="J56" s="34">
        <v>6.3983100000000001E-2</v>
      </c>
      <c r="K56" s="35">
        <v>0.5</v>
      </c>
      <c r="L56" s="34">
        <v>1</v>
      </c>
      <c r="M56" s="35">
        <v>0.5</v>
      </c>
      <c r="N56" s="34">
        <v>1</v>
      </c>
      <c r="O56" s="1">
        <v>0</v>
      </c>
      <c r="P56" s="35">
        <v>0.18070205005491</v>
      </c>
      <c r="Q56" s="35">
        <v>0.90698749999999995</v>
      </c>
      <c r="R56" s="1">
        <v>0</v>
      </c>
      <c r="S56" s="35">
        <v>8.3510064732080003E-2</v>
      </c>
      <c r="T56" s="35">
        <v>6.3983100000000001E-2</v>
      </c>
      <c r="U56" s="35">
        <v>0</v>
      </c>
      <c r="V56" s="34">
        <v>0.9</v>
      </c>
      <c r="W56" s="34">
        <v>0.59195722569470599</v>
      </c>
      <c r="X56" s="35">
        <v>0</v>
      </c>
      <c r="Y56" s="34">
        <v>0.9</v>
      </c>
      <c r="Z56" s="34">
        <v>0.58413487669854058</v>
      </c>
      <c r="AA56" s="212" t="s">
        <v>675</v>
      </c>
      <c r="AB56" s="244">
        <f>AB57/AB55</f>
        <v>0.58830700849990691</v>
      </c>
      <c r="AC56" s="35"/>
    </row>
    <row r="57" spans="1:32" s="38" customFormat="1" ht="18" thickBot="1">
      <c r="A57" s="52" t="s">
        <v>661</v>
      </c>
      <c r="E57" s="38">
        <f>E55*E56</f>
        <v>0</v>
      </c>
      <c r="F57" s="38">
        <f t="shared" ref="F57:Z57" si="23">F55*F56</f>
        <v>2287.6101470569806</v>
      </c>
      <c r="G57" s="38">
        <f t="shared" si="23"/>
        <v>31104.902952347555</v>
      </c>
      <c r="H57" s="38">
        <f t="shared" si="23"/>
        <v>0</v>
      </c>
      <c r="I57" s="38">
        <f t="shared" si="23"/>
        <v>1231.8341387756986</v>
      </c>
      <c r="J57" s="38">
        <f t="shared" si="23"/>
        <v>2145.3052140472901</v>
      </c>
      <c r="K57" s="38">
        <f t="shared" si="23"/>
        <v>794.7177263281327</v>
      </c>
      <c r="L57" s="38">
        <f t="shared" si="23"/>
        <v>7245.8299604051999</v>
      </c>
      <c r="M57" s="38">
        <f t="shared" si="23"/>
        <v>308.62132331845874</v>
      </c>
      <c r="N57" s="38">
        <f t="shared" si="23"/>
        <v>3150.3608523500866</v>
      </c>
      <c r="O57" s="38">
        <f t="shared" si="23"/>
        <v>0</v>
      </c>
      <c r="P57" s="38">
        <f t="shared" si="23"/>
        <v>42.031164405173648</v>
      </c>
      <c r="Q57" s="38">
        <f t="shared" si="23"/>
        <v>655.82111099250267</v>
      </c>
      <c r="R57" s="38">
        <f t="shared" si="23"/>
        <v>0</v>
      </c>
      <c r="S57" s="38">
        <f t="shared" si="23"/>
        <v>21.187894977743113</v>
      </c>
      <c r="T57" s="38">
        <f t="shared" si="23"/>
        <v>35.366570889134614</v>
      </c>
      <c r="U57" s="38">
        <f t="shared" si="23"/>
        <v>0</v>
      </c>
      <c r="V57" s="38">
        <f t="shared" si="23"/>
        <v>19876.29118681125</v>
      </c>
      <c r="W57" s="38">
        <f t="shared" si="23"/>
        <v>19575.755011849928</v>
      </c>
      <c r="X57" s="38">
        <f t="shared" si="23"/>
        <v>0</v>
      </c>
      <c r="Y57" s="38">
        <f t="shared" si="23"/>
        <v>17257.734054380231</v>
      </c>
      <c r="Z57" s="38">
        <f t="shared" si="23"/>
        <v>16900.59595801554</v>
      </c>
      <c r="AA57" s="200" t="s">
        <v>674</v>
      </c>
      <c r="AB57" s="242">
        <f>W57+Z57</f>
        <v>36476.350969865467</v>
      </c>
      <c r="AC57" s="50">
        <v>86157.614297085427</v>
      </c>
      <c r="AD57" s="77" t="s">
        <v>661</v>
      </c>
      <c r="AE57" s="78"/>
      <c r="AF57" s="78"/>
    </row>
    <row r="58" spans="1:32">
      <c r="W58" s="38">
        <f>SUM(E57:V57)+Y57</f>
        <v>86157.614297085427</v>
      </c>
      <c r="AA58" s="4" t="s">
        <v>678</v>
      </c>
      <c r="AB58" s="262">
        <f>(V55+Y55)/(W55+Z55)</f>
        <v>0.66546030578227378</v>
      </c>
      <c r="AD58" s="1" t="s">
        <v>154</v>
      </c>
    </row>
    <row r="59" spans="1:32">
      <c r="A59" s="39" t="s">
        <v>717</v>
      </c>
      <c r="J59" s="4"/>
      <c r="K59" s="4"/>
      <c r="Q59" s="209"/>
      <c r="T59" s="38"/>
      <c r="U59" s="16"/>
    </row>
    <row r="60" spans="1:32">
      <c r="A60" s="1" t="s">
        <v>528</v>
      </c>
      <c r="J60" s="4"/>
      <c r="V60" s="209"/>
      <c r="Z60" s="63" t="s">
        <v>153</v>
      </c>
      <c r="AA60" s="200"/>
      <c r="AB60" s="200"/>
      <c r="AC60" s="62">
        <f>AC61+AC62</f>
        <v>27783.013831163807</v>
      </c>
      <c r="AD60" s="1" t="s">
        <v>150</v>
      </c>
    </row>
    <row r="61" spans="1:32">
      <c r="L61" s="209"/>
      <c r="AC61" s="1">
        <v>27524</v>
      </c>
      <c r="AD61" s="1" t="s">
        <v>151</v>
      </c>
    </row>
    <row r="62" spans="1:32">
      <c r="AC62" s="242">
        <f>J72</f>
        <v>259.01383116380578</v>
      </c>
      <c r="AD62" s="1" t="s">
        <v>152</v>
      </c>
    </row>
    <row r="64" spans="1:32">
      <c r="A64" s="59" t="s">
        <v>432</v>
      </c>
      <c r="Z64" s="1" t="s">
        <v>155</v>
      </c>
      <c r="AC64" s="53">
        <f>AC57/AC60</f>
        <v>3.1010895657563138</v>
      </c>
      <c r="AD64" s="257" t="s">
        <v>631</v>
      </c>
    </row>
    <row r="65" spans="1:30">
      <c r="A65" s="1" t="s">
        <v>434</v>
      </c>
      <c r="AC65" s="257"/>
      <c r="AD65" s="257"/>
    </row>
    <row r="66" spans="1:30">
      <c r="A66" s="1" t="s">
        <v>455</v>
      </c>
      <c r="Z66" s="1" t="s">
        <v>261</v>
      </c>
      <c r="AC66" s="257" t="s">
        <v>261</v>
      </c>
      <c r="AD66" s="257" t="s">
        <v>261</v>
      </c>
    </row>
    <row r="67" spans="1:30">
      <c r="AC67" s="257"/>
      <c r="AD67" s="257"/>
    </row>
    <row r="68" spans="1:30">
      <c r="A68" s="1" t="s">
        <v>429</v>
      </c>
      <c r="F68" s="61">
        <v>30114.21193196244</v>
      </c>
      <c r="G68" s="1" t="s">
        <v>246</v>
      </c>
      <c r="AC68" s="257"/>
      <c r="AD68" s="257"/>
    </row>
    <row r="69" spans="1:30">
      <c r="AC69" s="257"/>
      <c r="AD69" s="257"/>
    </row>
    <row r="70" spans="1:30">
      <c r="A70" s="1" t="s">
        <v>552</v>
      </c>
      <c r="F70" s="60">
        <v>27524.073620324383</v>
      </c>
    </row>
    <row r="71" spans="1:30">
      <c r="A71" s="57"/>
    </row>
    <row r="72" spans="1:30">
      <c r="A72" s="257" t="s">
        <v>721</v>
      </c>
      <c r="J72" s="38">
        <f>SUM(O55:T55)/10</f>
        <v>259.01383116380578</v>
      </c>
    </row>
    <row r="73" spans="1:30">
      <c r="A73" s="58"/>
    </row>
    <row r="74" spans="1:30">
      <c r="A74" s="1" t="s">
        <v>311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J38"/>
  <sheetViews>
    <sheetView topLeftCell="T1" workbookViewId="0">
      <selection activeCell="U5" sqref="U5:AC16"/>
    </sheetView>
  </sheetViews>
  <sheetFormatPr baseColWidth="10" defaultRowHeight="15"/>
  <cols>
    <col min="1" max="1" width="13" style="1" customWidth="1"/>
    <col min="2" max="5" width="10.7109375" style="1"/>
    <col min="6" max="6" width="7.7109375" style="1" customWidth="1"/>
    <col min="7" max="7" width="12.5703125" style="1" customWidth="1"/>
    <col min="8" max="8" width="9.140625" style="1" customWidth="1"/>
    <col min="9" max="9" width="11.7109375" style="1" customWidth="1"/>
    <col min="10" max="10" width="10.140625" style="1" customWidth="1"/>
    <col min="11" max="13" width="10.7109375" style="1"/>
    <col min="14" max="14" width="8.5703125" style="1" customWidth="1"/>
    <col min="15" max="15" width="11.42578125" style="1" customWidth="1"/>
    <col min="16" max="16" width="11.85546875" style="1" customWidth="1"/>
    <col min="17" max="17" width="12.7109375" style="1" customWidth="1"/>
    <col min="18" max="18" width="11.28515625" style="1" customWidth="1"/>
    <col min="19" max="28" width="10.7109375" style="1"/>
    <col min="29" max="29" width="10" style="1" customWidth="1"/>
    <col min="30" max="30" width="10.7109375" style="1"/>
    <col min="31" max="33" width="10.7109375" style="223"/>
    <col min="34" max="34" width="12.5703125" style="223" customWidth="1"/>
    <col min="35" max="35" width="12.140625" style="223" customWidth="1"/>
    <col min="36" max="36" width="10.7109375" style="223"/>
    <col min="37" max="37" width="10.42578125" style="1" customWidth="1"/>
    <col min="38" max="38" width="9.5703125" style="1" customWidth="1"/>
    <col min="39" max="44" width="10.7109375" style="1"/>
    <col min="45" max="45" width="7.85546875" style="1" customWidth="1"/>
    <col min="46" max="47" width="9.42578125" style="1" customWidth="1"/>
    <col min="48" max="48" width="9.7109375" style="1" customWidth="1"/>
    <col min="49" max="50" width="10.7109375" style="1"/>
    <col min="51" max="51" width="9.7109375" style="1" customWidth="1"/>
    <col min="52" max="53" width="10.7109375" style="1"/>
    <col min="54" max="54" width="9.5703125" style="1" customWidth="1"/>
    <col min="55" max="57" width="10.7109375" style="223"/>
    <col min="58" max="58" width="11.85546875" style="223" customWidth="1"/>
    <col min="59" max="59" width="13" style="223" customWidth="1"/>
    <col min="60" max="60" width="10.28515625" style="1" customWidth="1"/>
    <col min="61" max="61" width="13.28515625" style="1" customWidth="1"/>
    <col min="62" max="16384" width="10.7109375" style="1"/>
  </cols>
  <sheetData>
    <row r="1" spans="1:62" ht="17">
      <c r="B1" s="166" t="s">
        <v>466</v>
      </c>
      <c r="P1" s="1" t="s">
        <v>38</v>
      </c>
    </row>
    <row r="2" spans="1:62">
      <c r="B2" s="1" t="s">
        <v>459</v>
      </c>
      <c r="P2" s="1" t="s">
        <v>120</v>
      </c>
    </row>
    <row r="3" spans="1:62" ht="16">
      <c r="B3" s="170" t="s">
        <v>460</v>
      </c>
    </row>
    <row r="4" spans="1:62">
      <c r="B4" s="1" t="s">
        <v>574</v>
      </c>
      <c r="O4" s="33" t="s">
        <v>719</v>
      </c>
      <c r="BH4" s="4" t="s">
        <v>10</v>
      </c>
    </row>
    <row r="5" spans="1:62">
      <c r="B5" s="1" t="s">
        <v>457</v>
      </c>
      <c r="O5" s="1" t="s">
        <v>141</v>
      </c>
      <c r="V5" s="33" t="s">
        <v>78</v>
      </c>
      <c r="AU5" s="33" t="s">
        <v>119</v>
      </c>
      <c r="AV5" s="33"/>
      <c r="BH5" s="4" t="s">
        <v>11</v>
      </c>
    </row>
    <row r="6" spans="1:62">
      <c r="N6" s="4"/>
      <c r="O6" s="42">
        <v>1800</v>
      </c>
      <c r="P6" s="42">
        <v>1800</v>
      </c>
      <c r="Q6" s="42">
        <v>1800</v>
      </c>
      <c r="R6" s="42">
        <v>1800</v>
      </c>
      <c r="V6" s="100">
        <v>1774</v>
      </c>
      <c r="W6" s="100">
        <v>1774</v>
      </c>
      <c r="X6" s="100">
        <v>1774</v>
      </c>
      <c r="Y6" s="100">
        <v>1774</v>
      </c>
      <c r="Z6" s="100">
        <v>1774</v>
      </c>
      <c r="AA6" s="100">
        <v>1774</v>
      </c>
      <c r="AB6" s="100">
        <v>1774</v>
      </c>
      <c r="AC6" s="100">
        <v>1774</v>
      </c>
      <c r="AD6" s="100">
        <v>1774</v>
      </c>
      <c r="AE6" s="100">
        <v>1774</v>
      </c>
      <c r="AF6" s="100">
        <v>1774</v>
      </c>
      <c r="AG6" s="100">
        <v>1774</v>
      </c>
      <c r="AH6" s="100">
        <v>1774</v>
      </c>
      <c r="AI6" s="100">
        <v>1774</v>
      </c>
      <c r="AJ6" s="100">
        <v>1774</v>
      </c>
      <c r="AK6" s="100">
        <v>1774</v>
      </c>
      <c r="AN6" s="183" t="s">
        <v>113</v>
      </c>
      <c r="AU6" s="100">
        <v>1774</v>
      </c>
      <c r="AV6" s="100">
        <v>1774</v>
      </c>
      <c r="AW6" s="100">
        <v>1774</v>
      </c>
      <c r="AX6" s="100">
        <v>1774</v>
      </c>
      <c r="AY6" s="100">
        <v>1774</v>
      </c>
      <c r="AZ6" s="100">
        <v>1774</v>
      </c>
      <c r="BA6" s="100">
        <v>1774</v>
      </c>
      <c r="BB6" s="100">
        <v>1774</v>
      </c>
      <c r="BC6" s="100">
        <v>1774</v>
      </c>
      <c r="BD6" s="100">
        <v>1774</v>
      </c>
      <c r="BE6" s="100">
        <v>1774</v>
      </c>
      <c r="BF6" s="100">
        <v>1774</v>
      </c>
      <c r="BG6" s="100"/>
      <c r="BH6" s="100">
        <v>1774</v>
      </c>
    </row>
    <row r="7" spans="1:62">
      <c r="B7" s="176" t="s">
        <v>458</v>
      </c>
      <c r="C7" s="78"/>
      <c r="D7" s="78"/>
      <c r="E7" s="162"/>
      <c r="I7" s="33" t="s">
        <v>308</v>
      </c>
      <c r="N7" s="4"/>
      <c r="O7" s="4" t="s">
        <v>124</v>
      </c>
      <c r="P7" s="4" t="s">
        <v>124</v>
      </c>
      <c r="Q7" s="4" t="s">
        <v>125</v>
      </c>
      <c r="R7" s="4" t="s">
        <v>125</v>
      </c>
      <c r="W7" s="7" t="s">
        <v>167</v>
      </c>
      <c r="X7" s="8"/>
      <c r="Y7" s="8"/>
      <c r="Z7" s="9"/>
      <c r="AA7" s="7" t="s">
        <v>79</v>
      </c>
      <c r="AB7" s="8"/>
      <c r="AC7" s="9"/>
      <c r="AD7" s="6" t="s">
        <v>681</v>
      </c>
      <c r="AE7" s="6"/>
      <c r="AF7" s="182"/>
      <c r="AG7" s="182"/>
      <c r="AH7" s="182"/>
      <c r="AI7" s="182"/>
      <c r="AJ7" s="182"/>
      <c r="AK7" s="215"/>
      <c r="AP7" s="106"/>
      <c r="AQ7" s="106"/>
      <c r="AR7" s="106"/>
      <c r="AS7" s="106"/>
      <c r="AW7" s="7" t="s">
        <v>167</v>
      </c>
      <c r="AX7" s="8"/>
      <c r="AY7" s="8"/>
      <c r="AZ7" s="7" t="s">
        <v>79</v>
      </c>
      <c r="BA7" s="8"/>
      <c r="BB7" s="9"/>
      <c r="BC7" s="6" t="s">
        <v>681</v>
      </c>
      <c r="BD7" s="182"/>
      <c r="BE7" s="182"/>
      <c r="BF7" s="182"/>
      <c r="BG7" s="182"/>
      <c r="BH7" s="265" t="s">
        <v>575</v>
      </c>
    </row>
    <row r="8" spans="1:62">
      <c r="B8" s="167" t="s">
        <v>595</v>
      </c>
      <c r="C8" s="162"/>
      <c r="D8" s="162"/>
      <c r="E8" s="162"/>
      <c r="H8" s="177">
        <v>1790</v>
      </c>
      <c r="I8" s="177">
        <v>1790</v>
      </c>
      <c r="J8" s="177">
        <v>1790</v>
      </c>
      <c r="K8" s="177">
        <v>1790</v>
      </c>
      <c r="L8" s="177">
        <v>1790</v>
      </c>
      <c r="M8" s="177">
        <v>1790</v>
      </c>
      <c r="O8" s="4" t="s">
        <v>121</v>
      </c>
      <c r="P8" s="4" t="s">
        <v>121</v>
      </c>
      <c r="Q8" s="4" t="s">
        <v>126</v>
      </c>
      <c r="R8" s="4" t="s">
        <v>126</v>
      </c>
      <c r="V8" s="1" t="s">
        <v>166</v>
      </c>
      <c r="W8" s="4"/>
      <c r="X8" s="4"/>
      <c r="Y8" s="4"/>
      <c r="Z8" s="4" t="s">
        <v>173</v>
      </c>
      <c r="AD8" s="223"/>
      <c r="AE8" s="223" t="s">
        <v>13</v>
      </c>
      <c r="AF8" s="182"/>
      <c r="AG8" s="182"/>
      <c r="AH8" s="182"/>
      <c r="AI8" s="182"/>
      <c r="AJ8" s="182" t="s">
        <v>683</v>
      </c>
      <c r="AO8" s="132" t="s">
        <v>344</v>
      </c>
      <c r="AP8" s="132"/>
      <c r="AQ8" s="132"/>
      <c r="AR8" s="132"/>
      <c r="AS8" s="132"/>
      <c r="AU8" s="1" t="s">
        <v>36</v>
      </c>
      <c r="AV8" s="4" t="s">
        <v>161</v>
      </c>
      <c r="AW8" s="4"/>
      <c r="AX8" s="4"/>
      <c r="AY8" s="4"/>
      <c r="BC8" s="182"/>
      <c r="BD8" s="182"/>
      <c r="BE8" s="182"/>
      <c r="BF8" s="182"/>
      <c r="BG8" s="182"/>
      <c r="BH8" s="4" t="s">
        <v>752</v>
      </c>
      <c r="BJ8" s="266"/>
    </row>
    <row r="9" spans="1:62">
      <c r="B9" s="167"/>
      <c r="C9" s="162"/>
      <c r="D9" s="162"/>
      <c r="E9" s="162"/>
      <c r="H9" s="4" t="s">
        <v>128</v>
      </c>
      <c r="I9" s="4" t="s">
        <v>559</v>
      </c>
      <c r="J9" s="4" t="s">
        <v>559</v>
      </c>
      <c r="K9" s="4" t="s">
        <v>559</v>
      </c>
      <c r="L9" s="4" t="s">
        <v>451</v>
      </c>
      <c r="M9" s="4"/>
      <c r="O9" s="4" t="s">
        <v>143</v>
      </c>
      <c r="P9" s="4" t="s">
        <v>146</v>
      </c>
      <c r="Q9" s="4" t="s">
        <v>144</v>
      </c>
      <c r="R9" s="4" t="s">
        <v>143</v>
      </c>
      <c r="V9" s="1" t="s">
        <v>241</v>
      </c>
      <c r="W9" s="4"/>
      <c r="X9" s="4"/>
      <c r="Y9" s="4"/>
      <c r="Z9" s="4" t="s">
        <v>172</v>
      </c>
      <c r="AD9" s="6"/>
      <c r="AE9" s="6" t="s">
        <v>697</v>
      </c>
      <c r="AF9" s="182"/>
      <c r="AG9" s="182"/>
      <c r="AH9" s="182"/>
      <c r="AI9" s="182"/>
      <c r="AJ9" s="182" t="s">
        <v>684</v>
      </c>
      <c r="AL9" s="179" t="s">
        <v>86</v>
      </c>
      <c r="AO9" s="169" t="s">
        <v>345</v>
      </c>
      <c r="AP9" s="169" t="s">
        <v>346</v>
      </c>
      <c r="AQ9" s="169" t="s">
        <v>345</v>
      </c>
      <c r="AR9" s="169" t="s">
        <v>346</v>
      </c>
      <c r="AS9" s="169" t="s">
        <v>88</v>
      </c>
      <c r="AU9" s="1" t="s">
        <v>37</v>
      </c>
      <c r="AV9" s="4"/>
      <c r="AW9" s="4"/>
      <c r="AX9" s="4"/>
      <c r="AY9" s="4"/>
      <c r="BC9" s="182"/>
      <c r="BD9" s="182"/>
      <c r="BE9" s="182"/>
      <c r="BF9" s="182"/>
      <c r="BG9" s="182"/>
      <c r="BH9" s="4" t="s">
        <v>753</v>
      </c>
      <c r="BJ9" s="266"/>
    </row>
    <row r="10" spans="1:62">
      <c r="B10" s="63" t="s">
        <v>343</v>
      </c>
      <c r="C10" s="63" t="s">
        <v>596</v>
      </c>
      <c r="D10" s="63" t="s">
        <v>597</v>
      </c>
      <c r="E10" s="63" t="s">
        <v>598</v>
      </c>
      <c r="H10" s="4" t="s">
        <v>129</v>
      </c>
      <c r="I10" s="4" t="s">
        <v>452</v>
      </c>
      <c r="J10" s="4" t="s">
        <v>453</v>
      </c>
      <c r="K10" s="4" t="s">
        <v>454</v>
      </c>
      <c r="L10" s="4" t="s">
        <v>448</v>
      </c>
      <c r="M10" s="4" t="s">
        <v>575</v>
      </c>
      <c r="O10" s="4" t="s">
        <v>142</v>
      </c>
      <c r="P10" s="4" t="s">
        <v>147</v>
      </c>
      <c r="Q10" s="4" t="s">
        <v>145</v>
      </c>
      <c r="R10" s="4" t="s">
        <v>142</v>
      </c>
      <c r="V10" s="1" t="s">
        <v>127</v>
      </c>
      <c r="W10" s="4" t="s">
        <v>168</v>
      </c>
      <c r="X10" s="4" t="s">
        <v>164</v>
      </c>
      <c r="Y10" s="4" t="s">
        <v>171</v>
      </c>
      <c r="Z10" s="4" t="s">
        <v>366</v>
      </c>
      <c r="AA10" s="4" t="s">
        <v>168</v>
      </c>
      <c r="AB10" s="4" t="s">
        <v>164</v>
      </c>
      <c r="AC10" s="4" t="s">
        <v>171</v>
      </c>
      <c r="AD10" s="182" t="s">
        <v>682</v>
      </c>
      <c r="AE10" s="4" t="s">
        <v>654</v>
      </c>
      <c r="AF10" s="4" t="s">
        <v>652</v>
      </c>
      <c r="AG10" s="4" t="s">
        <v>653</v>
      </c>
      <c r="AH10" s="4" t="s">
        <v>687</v>
      </c>
      <c r="AI10" s="4" t="s">
        <v>688</v>
      </c>
      <c r="AJ10" s="4" t="s">
        <v>685</v>
      </c>
      <c r="AK10" s="1" t="s">
        <v>14</v>
      </c>
      <c r="AL10" s="179" t="s">
        <v>87</v>
      </c>
      <c r="AO10" s="169" t="s">
        <v>236</v>
      </c>
      <c r="AP10" s="169" t="s">
        <v>236</v>
      </c>
      <c r="AQ10" s="169" t="s">
        <v>237</v>
      </c>
      <c r="AR10" s="169" t="s">
        <v>237</v>
      </c>
      <c r="AS10" s="169" t="s">
        <v>89</v>
      </c>
      <c r="AU10" s="1" t="s">
        <v>296</v>
      </c>
      <c r="AV10" s="4" t="s">
        <v>165</v>
      </c>
      <c r="AW10" s="4" t="s">
        <v>168</v>
      </c>
      <c r="AX10" s="4" t="s">
        <v>164</v>
      </c>
      <c r="AY10" s="4" t="s">
        <v>171</v>
      </c>
      <c r="AZ10" s="4" t="s">
        <v>168</v>
      </c>
      <c r="BA10" s="4" t="s">
        <v>164</v>
      </c>
      <c r="BB10" s="4" t="s">
        <v>171</v>
      </c>
      <c r="BC10" s="4" t="s">
        <v>654</v>
      </c>
      <c r="BD10" s="4" t="s">
        <v>652</v>
      </c>
      <c r="BE10" s="4" t="s">
        <v>653</v>
      </c>
      <c r="BF10" s="4" t="s">
        <v>687</v>
      </c>
      <c r="BG10" s="4" t="s">
        <v>688</v>
      </c>
      <c r="BH10" s="4" t="s">
        <v>754</v>
      </c>
      <c r="BI10" s="223"/>
      <c r="BJ10" s="266"/>
    </row>
    <row r="11" spans="1:62">
      <c r="A11" s="17" t="s">
        <v>449</v>
      </c>
      <c r="B11" s="168">
        <v>269820.63851020683</v>
      </c>
      <c r="C11" s="24">
        <v>28476</v>
      </c>
      <c r="D11" s="24">
        <v>0</v>
      </c>
      <c r="E11" s="24">
        <f t="shared" ref="E11:E12" si="0">B11-C11-D11</f>
        <v>241344.63851020683</v>
      </c>
      <c r="G11" s="1" t="s">
        <v>463</v>
      </c>
      <c r="H11" s="172">
        <f>SUM(I11:M11)</f>
        <v>434373</v>
      </c>
      <c r="I11" s="1">
        <v>110788</v>
      </c>
      <c r="J11" s="1">
        <v>106948</v>
      </c>
      <c r="K11" s="1">
        <v>206363</v>
      </c>
      <c r="L11" s="1">
        <v>6537</v>
      </c>
      <c r="M11" s="1">
        <v>3737</v>
      </c>
      <c r="N11" s="4" t="s">
        <v>148</v>
      </c>
      <c r="O11" s="174">
        <f>(24438+21623)/(24438+21623+52767+50459)</f>
        <v>0.30853992645039419</v>
      </c>
      <c r="P11" s="174">
        <f>(20824+17671+33864+25469+(0.47*(29393+24869)))/(20824+17671+33864+25469+29393+24869)</f>
        <v>0.8109089354987179</v>
      </c>
      <c r="Q11" s="174">
        <f>(51176+23427+48448+20362)/(51176+23427+48448+20362+29879+24095+22954+19329+14066)</f>
        <v>0.56520556799192867</v>
      </c>
      <c r="R11" s="174">
        <f>(23427)/(51176+23427)</f>
        <v>0.31402222430733351</v>
      </c>
      <c r="U11" s="4" t="s">
        <v>463</v>
      </c>
      <c r="V11" s="168">
        <v>269820.63851020683</v>
      </c>
      <c r="W11" s="178">
        <f t="shared" ref="W11:W16" si="1">($V11/$H11)*J11*(1-O11)</f>
        <v>45935.888267614777</v>
      </c>
      <c r="X11" s="178">
        <f t="shared" ref="X11:X16" si="2">($V11/$H11)*J11*O11</f>
        <v>20497.287015815822</v>
      </c>
      <c r="Y11" s="178">
        <f t="shared" ref="Y11:Y16" si="3">($V11/$H11)*I11</f>
        <v>68818.478356778141</v>
      </c>
      <c r="Z11" s="178">
        <f t="shared" ref="Z11:Z16" si="4">Y11*P11</f>
        <v>55805.519026936519</v>
      </c>
      <c r="AA11" s="178">
        <f t="shared" ref="AA11:AA16" si="5">($V11/$H11)*R23*(1-R11)</f>
        <v>49700.488043000158</v>
      </c>
      <c r="AB11" s="178">
        <f t="shared" ref="AB11:AB16" si="6">($V11/$H11)*R23*R11</f>
        <v>22751.550206803284</v>
      </c>
      <c r="AC11" s="178">
        <f t="shared" ref="AC11:AC16" si="7">($V11/$H11)*S23</f>
        <v>55735.018553639238</v>
      </c>
      <c r="AD11" s="178">
        <f t="shared" ref="AD11:AD16" si="8">($V11/$H11)*L11</f>
        <v>4060.6057787689888</v>
      </c>
      <c r="AE11" s="235">
        <f>$AD11*(W11+AA11)/(SUM($W11:$Y11)+SUM($AA11:$AC11))</f>
        <v>1474.1251263089273</v>
      </c>
      <c r="AF11" s="235">
        <f>$AD11*X11/(SUM($W11:$Y11)+SUM($AA11:$AC11))</f>
        <v>315.94218619328984</v>
      </c>
      <c r="AG11" s="235">
        <f>$AD11*Y11/(SUM($W11:$Y11)+SUM($AA11:$AC11))</f>
        <v>1060.7579669328593</v>
      </c>
      <c r="AH11" s="235">
        <f>$AD11*AB11/(SUM($W11:$Y11)+SUM($AA11:$AC11))</f>
        <v>350.68906953770954</v>
      </c>
      <c r="AI11" s="235">
        <f>$AD11*AC11/(SUM($W11:$Y11)+SUM($AA11:$AC11))</f>
        <v>859.09142979620253</v>
      </c>
      <c r="AJ11" s="235">
        <f>AD11/6</f>
        <v>676.76762979483146</v>
      </c>
      <c r="AK11" s="178">
        <f t="shared" ref="AK11:AK16" si="9">($V11/$H11)*M11</f>
        <v>2321.3222877864023</v>
      </c>
      <c r="AL11" s="180">
        <f>SUM(W11:Y11)+SUM(AA11:AD11)+AK11-V11</f>
        <v>0</v>
      </c>
      <c r="AN11" s="1" t="s">
        <v>90</v>
      </c>
      <c r="AO11" s="106">
        <v>0.90513750000000004</v>
      </c>
      <c r="AP11" s="106">
        <v>4.7899999999999998E-2</v>
      </c>
      <c r="AQ11" s="106">
        <v>0.17299041886960001</v>
      </c>
      <c r="AR11" s="106">
        <v>6.7381947722369995E-2</v>
      </c>
      <c r="AS11" s="106">
        <v>0.9</v>
      </c>
      <c r="AU11" s="184">
        <f t="shared" ref="AU11:AU16" si="10">SUM(AW11:BJ11)</f>
        <v>72511.131625704016</v>
      </c>
      <c r="AV11" s="181">
        <f>AU11/V11</f>
        <v>0.26873827008218665</v>
      </c>
      <c r="AW11" s="184">
        <v>0</v>
      </c>
      <c r="AX11" s="184">
        <f>AQ11*X11</f>
        <v>3545.8342665563928</v>
      </c>
      <c r="AY11" s="184">
        <f>AO11*Y11</f>
        <v>62290.185453658276</v>
      </c>
      <c r="AZ11" s="184">
        <v>0</v>
      </c>
      <c r="BA11" s="184">
        <f>AR11*AB11</f>
        <v>1533.0437666376952</v>
      </c>
      <c r="BB11" s="184">
        <f>AP11*AC11</f>
        <v>2669.7073887193196</v>
      </c>
      <c r="BC11" s="235">
        <v>0</v>
      </c>
      <c r="BD11" s="235">
        <f>AQ11*AF11</f>
        <v>54.654971128154365</v>
      </c>
      <c r="BE11" s="235">
        <f>AO11*AG11</f>
        <v>960.13181429469091</v>
      </c>
      <c r="BF11" s="235">
        <f>AR11*AH11</f>
        <v>23.630112550396522</v>
      </c>
      <c r="BG11" s="235">
        <f>AP11*AI11</f>
        <v>41.150479487238101</v>
      </c>
      <c r="BH11" s="184">
        <f>0.6*AK11</f>
        <v>1392.7933726718413</v>
      </c>
      <c r="BI11" s="261" t="s">
        <v>449</v>
      </c>
      <c r="BJ11" s="266"/>
    </row>
    <row r="12" spans="1:62">
      <c r="A12" s="17" t="s">
        <v>450</v>
      </c>
      <c r="B12" s="168">
        <v>39255.223946836704</v>
      </c>
      <c r="C12" s="24">
        <v>0</v>
      </c>
      <c r="D12" s="24">
        <v>0</v>
      </c>
      <c r="E12" s="24">
        <f t="shared" si="0"/>
        <v>39255.223946836704</v>
      </c>
      <c r="G12" s="1" t="s">
        <v>464</v>
      </c>
      <c r="H12" s="172">
        <f t="shared" ref="H12:H16" si="11">SUM(I12:M12)</f>
        <v>59096</v>
      </c>
      <c r="I12" s="1">
        <v>11783</v>
      </c>
      <c r="J12" s="1">
        <v>12143</v>
      </c>
      <c r="K12" s="1">
        <v>22384</v>
      </c>
      <c r="L12" s="1">
        <v>3899</v>
      </c>
      <c r="M12" s="1">
        <v>8887</v>
      </c>
      <c r="N12" s="4" t="s">
        <v>149</v>
      </c>
      <c r="O12" s="174">
        <f>4437/(4437+8250)</f>
        <v>0.34972806810120594</v>
      </c>
      <c r="P12" s="174">
        <f>(2213+5012+(0.47*5121))/(2213+5012+5121)</f>
        <v>0.78016118580916893</v>
      </c>
      <c r="Q12" s="174">
        <f>(4277+7628)/(4277+7628+5543+4981+2390)</f>
        <v>0.47967283129860189</v>
      </c>
      <c r="R12" s="174">
        <f>4277/(4277+7628)</f>
        <v>0.35926081478370431</v>
      </c>
      <c r="U12" s="4" t="s">
        <v>464</v>
      </c>
      <c r="V12" s="168">
        <v>39255.223946836704</v>
      </c>
      <c r="W12" s="178">
        <f t="shared" si="1"/>
        <v>5245.1797636238471</v>
      </c>
      <c r="X12" s="178">
        <f t="shared" si="2"/>
        <v>2820.9530437816975</v>
      </c>
      <c r="Y12" s="178">
        <f t="shared" si="3"/>
        <v>7826.998506930704</v>
      </c>
      <c r="Z12" s="178">
        <f t="shared" si="4"/>
        <v>6106.3204364936528</v>
      </c>
      <c r="AA12" s="178">
        <f t="shared" si="5"/>
        <v>4569.8661064988773</v>
      </c>
      <c r="AB12" s="178">
        <f t="shared" si="6"/>
        <v>2562.312183730427</v>
      </c>
      <c r="AC12" s="178">
        <f t="shared" si="7"/>
        <v>7736.6611037397079</v>
      </c>
      <c r="AD12" s="178">
        <f t="shared" si="8"/>
        <v>2589.9573265316826</v>
      </c>
      <c r="AE12" s="235">
        <f t="shared" ref="AE12:AE16" si="12">$AD12*(W12+AA12)/(SUM($W12:$Y12)+SUM($AA12:$AC12))</f>
        <v>826.36285570305552</v>
      </c>
      <c r="AF12" s="235">
        <f t="shared" ref="AF12:AF16" si="13">$AD12*X12/(SUM($W12:$Y12)+SUM($AA12:$AC12))</f>
        <v>237.50585009079765</v>
      </c>
      <c r="AG12" s="235">
        <f t="shared" ref="AG12:AG16" si="14">$AD12*Y12/(SUM($W12:$Y12)+SUM($AA12:$AC12))</f>
        <v>658.98223231532745</v>
      </c>
      <c r="AH12" s="235">
        <f t="shared" ref="AH12:AH16" si="15">$AD12*AB12/(SUM($W12:$Y12)+SUM($AA12:$AC12))</f>
        <v>215.72997634128555</v>
      </c>
      <c r="AI12" s="235">
        <f t="shared" ref="AI12:AI16" si="16">$AD12*AC12/(SUM($W12:$Y12)+SUM($AA12:$AC12))</f>
        <v>651.37641208121613</v>
      </c>
      <c r="AJ12" s="242">
        <f>AD12/10</f>
        <v>258.99573265316826</v>
      </c>
      <c r="AK12" s="178">
        <f t="shared" si="9"/>
        <v>5903.2959119997595</v>
      </c>
      <c r="AL12" s="180">
        <f t="shared" ref="AL12:AL16" si="17">SUM(W12:Y12)+SUM(AA12:AD12)+AK12-V12</f>
        <v>0</v>
      </c>
      <c r="AN12" s="1" t="s">
        <v>314</v>
      </c>
      <c r="AO12" s="106">
        <v>0.90715749999999995</v>
      </c>
      <c r="AP12" s="106">
        <v>4.6230800000000002E-2</v>
      </c>
      <c r="AQ12" s="106">
        <v>0.22776392567463999</v>
      </c>
      <c r="AR12" s="106">
        <v>7.8512891232769999E-2</v>
      </c>
      <c r="AS12" s="106">
        <v>0.9</v>
      </c>
      <c r="AU12" s="235">
        <f t="shared" si="10"/>
        <v>12542.603030585527</v>
      </c>
      <c r="AV12" s="181">
        <f t="shared" ref="AV12:AV16" si="18">AU12/V12</f>
        <v>0.31951423962252662</v>
      </c>
      <c r="AW12" s="184">
        <v>0</v>
      </c>
      <c r="AX12" s="184">
        <f t="shared" ref="AX12:AX16" si="19">AQ12*X12</f>
        <v>642.51133939554404</v>
      </c>
      <c r="AY12" s="184">
        <f t="shared" ref="AY12:AY16" si="20">AO12*Y12</f>
        <v>7100.3203980509898</v>
      </c>
      <c r="AZ12" s="184">
        <v>0</v>
      </c>
      <c r="BA12" s="184">
        <f t="shared" ref="BA12:BA16" si="21">AR12*AB12</f>
        <v>201.17453778562839</v>
      </c>
      <c r="BB12" s="184">
        <f t="shared" ref="BB12:BB16" si="22">AP12*AC12</f>
        <v>357.67203215476968</v>
      </c>
      <c r="BC12" s="235">
        <v>0</v>
      </c>
      <c r="BD12" s="235">
        <f t="shared" ref="BD12:BD16" si="23">AQ12*AF12</f>
        <v>54.095264787372621</v>
      </c>
      <c r="BE12" s="235">
        <f t="shared" ref="BE12:BE16" si="24">AO12*AG12</f>
        <v>597.80067441159167</v>
      </c>
      <c r="BF12" s="235">
        <f t="shared" ref="BF12:BF16" si="25">AR12*AH12</f>
        <v>16.937584168131398</v>
      </c>
      <c r="BG12" s="235">
        <f t="shared" ref="BG12:BG16" si="26">AP12*AI12</f>
        <v>30.113652631644289</v>
      </c>
      <c r="BH12" s="242">
        <f t="shared" ref="BH12:BH16" si="27">0.6*AK12</f>
        <v>3541.9775471998555</v>
      </c>
      <c r="BI12" s="261" t="s">
        <v>314</v>
      </c>
      <c r="BJ12" s="266"/>
    </row>
    <row r="13" spans="1:62">
      <c r="A13" s="1" t="s">
        <v>339</v>
      </c>
      <c r="B13" s="63">
        <v>481402.16898928455</v>
      </c>
      <c r="C13" s="162">
        <v>0</v>
      </c>
      <c r="D13" s="162">
        <v>0</v>
      </c>
      <c r="E13" s="162">
        <f t="shared" ref="E13:E16" si="28">B13-C13-D13</f>
        <v>481402.16898928455</v>
      </c>
      <c r="G13" s="1" t="s">
        <v>465</v>
      </c>
      <c r="H13" s="172">
        <f t="shared" si="11"/>
        <v>747610</v>
      </c>
      <c r="I13" s="1">
        <v>110936</v>
      </c>
      <c r="J13" s="1">
        <v>116135</v>
      </c>
      <c r="K13" s="1">
        <v>215046</v>
      </c>
      <c r="L13" s="1">
        <v>12866</v>
      </c>
      <c r="M13" s="1">
        <v>292627</v>
      </c>
      <c r="N13" s="4" t="s">
        <v>57</v>
      </c>
      <c r="O13" s="174">
        <f>(23988+320+14502)/(23988+320+14502+57597+689+34601)</f>
        <v>0.29469160269406286</v>
      </c>
      <c r="P13" s="174">
        <f>(0.47*(32444+483+16264)+34588+19087+557+221+15674+1134)/(32444+483+16264+34588+19087+557+221+15674+1134)</f>
        <v>0.78355502606847549</v>
      </c>
      <c r="Q13" s="174">
        <f>(57597+25998+689+320+32726+13336)/(166335+2124+32726+13336+15923+15169+8632)</f>
        <v>0.51393734390056833</v>
      </c>
      <c r="R13" s="174">
        <f>(25998+320+13336)/(57597+25998+689+320+32726+13336)</f>
        <v>0.30347603814305174</v>
      </c>
      <c r="U13" s="4" t="s">
        <v>465</v>
      </c>
      <c r="V13" s="63">
        <v>481402.16898928455</v>
      </c>
      <c r="W13" s="178">
        <f t="shared" si="1"/>
        <v>52744.249805661697</v>
      </c>
      <c r="X13" s="178">
        <f t="shared" si="2"/>
        <v>22037.57614044732</v>
      </c>
      <c r="Y13" s="178">
        <f t="shared" si="3"/>
        <v>71434.077953739616</v>
      </c>
      <c r="Z13" s="178">
        <f t="shared" si="4"/>
        <v>55972.530813219957</v>
      </c>
      <c r="AA13" s="178">
        <f t="shared" si="5"/>
        <v>49569.044443265011</v>
      </c>
      <c r="AB13" s="178">
        <f t="shared" si="6"/>
        <v>21597.271660366001</v>
      </c>
      <c r="AC13" s="178">
        <f t="shared" si="7"/>
        <v>67306.431495343975</v>
      </c>
      <c r="AD13" s="178">
        <f t="shared" si="8"/>
        <v>8284.6943007933751</v>
      </c>
      <c r="AE13" s="235">
        <f t="shared" si="12"/>
        <v>2977.408341698444</v>
      </c>
      <c r="AF13" s="235">
        <f t="shared" si="13"/>
        <v>641.31316964286646</v>
      </c>
      <c r="AG13" s="235">
        <f t="shared" si="14"/>
        <v>2078.7955381783868</v>
      </c>
      <c r="AH13" s="235">
        <f t="shared" si="15"/>
        <v>628.49991559308717</v>
      </c>
      <c r="AI13" s="235">
        <f t="shared" si="16"/>
        <v>1958.67733568059</v>
      </c>
      <c r="AJ13" s="242">
        <f t="shared" ref="AJ13:AJ16" si="29">AD13/10</f>
        <v>828.46943007933749</v>
      </c>
      <c r="AK13" s="178">
        <f t="shared" si="9"/>
        <v>188428.82318966757</v>
      </c>
      <c r="AL13" s="180">
        <f t="shared" si="17"/>
        <v>0</v>
      </c>
      <c r="AN13" s="1" t="s">
        <v>315</v>
      </c>
      <c r="AO13" s="106">
        <v>0.90288500000000005</v>
      </c>
      <c r="AP13" s="106">
        <v>6.1669599999999998E-2</v>
      </c>
      <c r="AQ13" s="106">
        <v>0.29236934064955999</v>
      </c>
      <c r="AR13" s="106">
        <v>5.0371486260759997E-2</v>
      </c>
      <c r="AS13" s="106">
        <v>0.9</v>
      </c>
      <c r="AU13" s="235">
        <f t="shared" si="10"/>
        <v>191452.67331394533</v>
      </c>
      <c r="AV13" s="181">
        <f t="shared" si="18"/>
        <v>0.39769798652113436</v>
      </c>
      <c r="AW13" s="184">
        <v>0</v>
      </c>
      <c r="AX13" s="184">
        <f t="shared" si="19"/>
        <v>6443.1116056970577</v>
      </c>
      <c r="AY13" s="184">
        <f t="shared" si="20"/>
        <v>64496.757473262194</v>
      </c>
      <c r="AZ13" s="184">
        <v>0</v>
      </c>
      <c r="BA13" s="184">
        <f t="shared" si="21"/>
        <v>1087.8866727100274</v>
      </c>
      <c r="BB13" s="184">
        <f t="shared" si="22"/>
        <v>4150.7607077452649</v>
      </c>
      <c r="BC13" s="235">
        <v>0</v>
      </c>
      <c r="BD13" s="235">
        <f t="shared" si="23"/>
        <v>187.50030855836428</v>
      </c>
      <c r="BE13" s="235">
        <f t="shared" si="24"/>
        <v>1876.9133094881929</v>
      </c>
      <c r="BF13" s="235">
        <f t="shared" si="25"/>
        <v>31.658474863186008</v>
      </c>
      <c r="BG13" s="235">
        <f t="shared" si="26"/>
        <v>120.79084782048771</v>
      </c>
      <c r="BH13" s="242">
        <f t="shared" si="27"/>
        <v>113057.29391380055</v>
      </c>
      <c r="BI13" s="261" t="s">
        <v>465</v>
      </c>
      <c r="BJ13" s="266"/>
    </row>
    <row r="14" spans="1:62">
      <c r="A14" s="1" t="s">
        <v>340</v>
      </c>
      <c r="B14" s="63">
        <v>223653.24463599495</v>
      </c>
      <c r="C14" s="162">
        <v>0</v>
      </c>
      <c r="D14" s="162">
        <v>0</v>
      </c>
      <c r="E14" s="162">
        <f t="shared" si="28"/>
        <v>223653.24463599495</v>
      </c>
      <c r="G14" s="1" t="s">
        <v>699</v>
      </c>
      <c r="H14" s="172">
        <f t="shared" si="11"/>
        <v>393751</v>
      </c>
      <c r="I14" s="1">
        <v>69988</v>
      </c>
      <c r="J14" s="1">
        <v>77506</v>
      </c>
      <c r="K14" s="1">
        <v>140710</v>
      </c>
      <c r="L14" s="1">
        <v>4975</v>
      </c>
      <c r="M14" s="1">
        <v>100572</v>
      </c>
      <c r="N14" s="4" t="s">
        <v>359</v>
      </c>
      <c r="O14" s="174">
        <f>27073/(27073+63118)</f>
        <v>0.30017407501857168</v>
      </c>
      <c r="P14" s="174">
        <f>((0.47*31560)+51209+18688)/(31560+51209+18688)</f>
        <v>0.8351340962181022</v>
      </c>
      <c r="Q14" s="174">
        <f>(59074+25874)/(59074+25874+32989+30665+17514)</f>
        <v>0.5113775915625226</v>
      </c>
      <c r="R14" s="174">
        <f>25874/(59074+25874)</f>
        <v>0.30458633516975092</v>
      </c>
      <c r="U14" s="4" t="s">
        <v>699</v>
      </c>
      <c r="V14" s="63">
        <v>223653.24463599495</v>
      </c>
      <c r="W14" s="178">
        <f t="shared" si="1"/>
        <v>30809.090941293438</v>
      </c>
      <c r="X14" s="178">
        <f t="shared" si="2"/>
        <v>13214.843928097172</v>
      </c>
      <c r="Y14" s="178">
        <f t="shared" si="3"/>
        <v>39753.659763617143</v>
      </c>
      <c r="Z14" s="178">
        <f t="shared" si="4"/>
        <v>33199.636718050337</v>
      </c>
      <c r="AA14" s="178">
        <f t="shared" si="5"/>
        <v>28422.574273363753</v>
      </c>
      <c r="AB14" s="178">
        <f t="shared" si="6"/>
        <v>12448.889304076476</v>
      </c>
      <c r="AC14" s="178">
        <f t="shared" si="7"/>
        <v>39052.77293937077</v>
      </c>
      <c r="AD14" s="178">
        <f t="shared" si="8"/>
        <v>2825.8338189974752</v>
      </c>
      <c r="AE14" s="235">
        <f t="shared" si="12"/>
        <v>1022.4616398208199</v>
      </c>
      <c r="AF14" s="235">
        <f t="shared" si="13"/>
        <v>228.11566995004733</v>
      </c>
      <c r="AG14" s="235">
        <f t="shared" si="14"/>
        <v>686.23078556853943</v>
      </c>
      <c r="AH14" s="235">
        <f t="shared" si="15"/>
        <v>214.89370129415443</v>
      </c>
      <c r="AI14" s="235">
        <f t="shared" si="16"/>
        <v>674.13202236391453</v>
      </c>
      <c r="AJ14" s="242">
        <f t="shared" si="29"/>
        <v>282.58338189974751</v>
      </c>
      <c r="AK14" s="178">
        <f t="shared" si="9"/>
        <v>57125.57966717871</v>
      </c>
      <c r="AL14" s="180">
        <f t="shared" si="17"/>
        <v>0</v>
      </c>
      <c r="AN14" s="1" t="s">
        <v>316</v>
      </c>
      <c r="AO14" s="106">
        <v>0.91212000000000004</v>
      </c>
      <c r="AP14" s="106">
        <v>4.8458399999999999E-2</v>
      </c>
      <c r="AQ14" s="106">
        <v>0.50588095722807003</v>
      </c>
      <c r="AR14" s="106">
        <v>0.16575282779493999</v>
      </c>
      <c r="AS14" s="106">
        <v>0.9</v>
      </c>
      <c r="AU14" s="235">
        <f t="shared" si="10"/>
        <v>81986.078132588271</v>
      </c>
      <c r="AV14" s="181">
        <f t="shared" si="18"/>
        <v>0.36657674368205145</v>
      </c>
      <c r="AW14" s="184">
        <v>0</v>
      </c>
      <c r="AX14" s="184">
        <f t="shared" si="19"/>
        <v>6685.1378959653466</v>
      </c>
      <c r="AY14" s="184">
        <f t="shared" si="20"/>
        <v>36260.108143590471</v>
      </c>
      <c r="AZ14" s="184">
        <v>0</v>
      </c>
      <c r="BA14" s="184">
        <f t="shared" si="21"/>
        <v>2063.4386050568587</v>
      </c>
      <c r="BB14" s="184">
        <f t="shared" si="22"/>
        <v>1892.4348922052045</v>
      </c>
      <c r="BC14" s="235">
        <v>0</v>
      </c>
      <c r="BD14" s="235">
        <f t="shared" si="23"/>
        <v>115.39937347305244</v>
      </c>
      <c r="BE14" s="235">
        <f t="shared" si="24"/>
        <v>625.92482413277617</v>
      </c>
      <c r="BF14" s="235">
        <f t="shared" si="25"/>
        <v>35.61923866482725</v>
      </c>
      <c r="BG14" s="235">
        <f t="shared" si="26"/>
        <v>32.667359192519513</v>
      </c>
      <c r="BH14" s="242">
        <f t="shared" si="27"/>
        <v>34275.347800307223</v>
      </c>
      <c r="BI14" s="261" t="s">
        <v>699</v>
      </c>
      <c r="BJ14" s="266"/>
    </row>
    <row r="15" spans="1:62">
      <c r="A15" s="1" t="s">
        <v>341</v>
      </c>
      <c r="B15" s="63">
        <v>144103.40970485506</v>
      </c>
      <c r="C15" s="162">
        <f>8000*(EXP(LN(12000/8000)/15)^14)</f>
        <v>11679.972729342515</v>
      </c>
      <c r="D15" s="162">
        <v>0</v>
      </c>
      <c r="E15" s="162">
        <f t="shared" si="28"/>
        <v>132423.43697551254</v>
      </c>
      <c r="G15" s="1" t="s">
        <v>742</v>
      </c>
      <c r="H15" s="172">
        <f t="shared" si="11"/>
        <v>249073</v>
      </c>
      <c r="I15" s="1">
        <v>35576</v>
      </c>
      <c r="J15" s="1">
        <v>37722</v>
      </c>
      <c r="K15" s="1">
        <v>66880</v>
      </c>
      <c r="L15" s="1">
        <v>1801</v>
      </c>
      <c r="M15" s="1">
        <v>107094</v>
      </c>
      <c r="N15" s="4" t="s">
        <v>360</v>
      </c>
      <c r="O15" s="174">
        <f>16156/(37411+16156)</f>
        <v>0.30160359923086977</v>
      </c>
      <c r="P15" s="174">
        <f>((0.47*17761)+19344+10244)/(17761+19344+10244)</f>
        <v>0.80119263342414826</v>
      </c>
      <c r="Q15" s="174">
        <f>(34664+15857)/(34664+15857+18145+17236+9437)</f>
        <v>0.52990906134950022</v>
      </c>
      <c r="R15" s="174">
        <f>15857/(34664+15857)</f>
        <v>0.31386948001821025</v>
      </c>
      <c r="U15" s="4" t="s">
        <v>742</v>
      </c>
      <c r="V15" s="63">
        <v>144103.40970485506</v>
      </c>
      <c r="W15" s="178">
        <f t="shared" si="1"/>
        <v>15242.082520226186</v>
      </c>
      <c r="X15" s="178">
        <f t="shared" si="2"/>
        <v>6582.3176391108036</v>
      </c>
      <c r="Y15" s="178">
        <f t="shared" si="3"/>
        <v>20582.812684072233</v>
      </c>
      <c r="Z15" s="178">
        <f t="shared" si="4"/>
        <v>16490.797897627792</v>
      </c>
      <c r="AA15" s="178">
        <f t="shared" si="5"/>
        <v>14068.634709981281</v>
      </c>
      <c r="AB15" s="178">
        <f t="shared" si="6"/>
        <v>6435.6779539629924</v>
      </c>
      <c r="AC15" s="178">
        <f t="shared" si="7"/>
        <v>18189.708932377711</v>
      </c>
      <c r="AD15" s="178">
        <f t="shared" si="8"/>
        <v>1041.9846425684195</v>
      </c>
      <c r="AE15" s="235">
        <f t="shared" si="12"/>
        <v>376.58264300820144</v>
      </c>
      <c r="AF15" s="235">
        <f t="shared" si="13"/>
        <v>84.569290958913385</v>
      </c>
      <c r="AG15" s="235">
        <f t="shared" si="14"/>
        <v>264.44695775381371</v>
      </c>
      <c r="AH15" s="235">
        <f t="shared" si="15"/>
        <v>82.685271548226908</v>
      </c>
      <c r="AI15" s="235">
        <f t="shared" si="16"/>
        <v>233.70047929926423</v>
      </c>
      <c r="AJ15" s="242">
        <f t="shared" si="29"/>
        <v>104.19846425684196</v>
      </c>
      <c r="AK15" s="178">
        <f t="shared" si="9"/>
        <v>61960.190622555427</v>
      </c>
      <c r="AL15" s="180">
        <f t="shared" si="17"/>
        <v>0</v>
      </c>
      <c r="AN15" s="1" t="s">
        <v>317</v>
      </c>
      <c r="AO15" s="106">
        <v>0.91603500000000004</v>
      </c>
      <c r="AP15" s="106">
        <v>0.15179200000000001</v>
      </c>
      <c r="AQ15" s="106">
        <v>0.39461908609615998</v>
      </c>
      <c r="AR15" s="106">
        <v>0.22013290615042</v>
      </c>
      <c r="AS15" s="106">
        <v>0.9</v>
      </c>
      <c r="AU15" s="235">
        <f t="shared" si="10"/>
        <v>63135.247088577002</v>
      </c>
      <c r="AV15" s="181">
        <f t="shared" si="18"/>
        <v>0.4381245885707164</v>
      </c>
      <c r="AW15" s="184">
        <v>0</v>
      </c>
      <c r="AX15" s="184">
        <f t="shared" si="19"/>
        <v>2597.5081711405387</v>
      </c>
      <c r="AY15" s="184">
        <f t="shared" si="20"/>
        <v>18854.576817054109</v>
      </c>
      <c r="AZ15" s="184">
        <v>0</v>
      </c>
      <c r="BA15" s="184">
        <f t="shared" si="21"/>
        <v>1416.7044910540624</v>
      </c>
      <c r="BB15" s="184">
        <f t="shared" si="22"/>
        <v>2761.0522982634775</v>
      </c>
      <c r="BC15" s="235">
        <v>0</v>
      </c>
      <c r="BD15" s="235">
        <f t="shared" si="23"/>
        <v>33.372656310006647</v>
      </c>
      <c r="BE15" s="235">
        <f t="shared" si="24"/>
        <v>242.24266894601476</v>
      </c>
      <c r="BF15" s="235">
        <f t="shared" si="25"/>
        <v>18.201749121747827</v>
      </c>
      <c r="BG15" s="235">
        <f t="shared" si="26"/>
        <v>35.473863153793921</v>
      </c>
      <c r="BH15" s="242">
        <f t="shared" si="27"/>
        <v>37176.114373533252</v>
      </c>
      <c r="BI15" s="261" t="s">
        <v>317</v>
      </c>
      <c r="BJ15" s="266"/>
    </row>
    <row r="16" spans="1:62">
      <c r="A16" s="1" t="s">
        <v>342</v>
      </c>
      <c r="B16" s="63">
        <v>33170.062693887623</v>
      </c>
      <c r="C16" s="162">
        <v>0</v>
      </c>
      <c r="D16" s="162">
        <v>0</v>
      </c>
      <c r="E16" s="162">
        <f t="shared" si="28"/>
        <v>33170.062693887623</v>
      </c>
      <c r="G16" s="1" t="s">
        <v>558</v>
      </c>
      <c r="H16" s="172">
        <f t="shared" si="11"/>
        <v>82548</v>
      </c>
      <c r="I16" s="1">
        <v>13103</v>
      </c>
      <c r="J16" s="1">
        <v>14044</v>
      </c>
      <c r="K16" s="1">
        <v>25739</v>
      </c>
      <c r="L16" s="1">
        <v>398</v>
      </c>
      <c r="M16" s="1">
        <v>29264</v>
      </c>
      <c r="N16" s="4" t="s">
        <v>361</v>
      </c>
      <c r="O16" s="174">
        <f>8469/(19841+8469)</f>
        <v>0.29915224302366655</v>
      </c>
      <c r="P16" s="174">
        <f>((0.47*9787)+10914+4957)/(9787+10914+4957)</f>
        <v>0.79783654220905753</v>
      </c>
      <c r="Q16" s="174">
        <f>(18407+7914)/(18407+7914+9243+8835+3894)</f>
        <v>0.54502722961919947</v>
      </c>
      <c r="R16" s="174">
        <f>7914/(18407+7914)</f>
        <v>0.3006724668515634</v>
      </c>
      <c r="U16" s="4" t="s">
        <v>558</v>
      </c>
      <c r="V16" s="63">
        <v>33170.062693887623</v>
      </c>
      <c r="W16" s="178">
        <f t="shared" si="1"/>
        <v>3955.070646733041</v>
      </c>
      <c r="X16" s="178">
        <f t="shared" si="2"/>
        <v>1688.1958221451603</v>
      </c>
      <c r="Y16" s="178">
        <f t="shared" si="3"/>
        <v>5265.1467204294413</v>
      </c>
      <c r="Z16" s="178">
        <f t="shared" si="4"/>
        <v>4200.7264536507846</v>
      </c>
      <c r="AA16" s="178">
        <f t="shared" si="5"/>
        <v>3942.1235748798476</v>
      </c>
      <c r="AB16" s="178">
        <f t="shared" si="6"/>
        <v>1694.8968311837409</v>
      </c>
      <c r="AC16" s="178">
        <f t="shared" si="7"/>
        <v>4705.6195570848049</v>
      </c>
      <c r="AD16" s="178">
        <f t="shared" si="8"/>
        <v>159.92737500808349</v>
      </c>
      <c r="AE16" s="235">
        <f t="shared" si="12"/>
        <v>59.431291839086519</v>
      </c>
      <c r="AF16" s="235">
        <f t="shared" si="13"/>
        <v>12.704722180043373</v>
      </c>
      <c r="AG16" s="235">
        <f t="shared" si="14"/>
        <v>39.623499503288542</v>
      </c>
      <c r="AH16" s="235">
        <f t="shared" si="15"/>
        <v>12.755151435372859</v>
      </c>
      <c r="AI16" s="235">
        <f t="shared" si="16"/>
        <v>35.412710050292183</v>
      </c>
      <c r="AJ16" s="242">
        <f t="shared" si="29"/>
        <v>15.992737500808349</v>
      </c>
      <c r="AK16" s="178">
        <f t="shared" si="9"/>
        <v>11759.082166423505</v>
      </c>
      <c r="AL16" s="180">
        <f t="shared" si="17"/>
        <v>0</v>
      </c>
      <c r="AN16" s="1" t="s">
        <v>182</v>
      </c>
      <c r="AO16" s="106">
        <v>0.92052500000000004</v>
      </c>
      <c r="AP16" s="106">
        <v>0.1007492</v>
      </c>
      <c r="AQ16" s="106">
        <v>0.44577941899257001</v>
      </c>
      <c r="AR16" s="106">
        <v>0.13668857062501</v>
      </c>
      <c r="AS16" s="106">
        <v>0.9</v>
      </c>
      <c r="AU16" s="235">
        <f t="shared" si="10"/>
        <v>13407.921079688333</v>
      </c>
      <c r="AV16" s="181">
        <f t="shared" si="18"/>
        <v>0.40421753806811656</v>
      </c>
      <c r="AW16" s="184">
        <v>0</v>
      </c>
      <c r="AX16" s="184">
        <f t="shared" si="19"/>
        <v>752.56295274155354</v>
      </c>
      <c r="AY16" s="184">
        <f t="shared" si="20"/>
        <v>4846.699184823312</v>
      </c>
      <c r="AZ16" s="184">
        <v>0</v>
      </c>
      <c r="BA16" s="184">
        <f t="shared" si="21"/>
        <v>231.6730252113644</v>
      </c>
      <c r="BB16" s="184">
        <f t="shared" si="22"/>
        <v>474.08740588064842</v>
      </c>
      <c r="BC16" s="235">
        <v>0</v>
      </c>
      <c r="BD16" s="235">
        <f t="shared" si="23"/>
        <v>5.6635036718817524</v>
      </c>
      <c r="BE16" s="235">
        <f t="shared" si="24"/>
        <v>36.474421880264686</v>
      </c>
      <c r="BF16" s="253">
        <f t="shared" si="25"/>
        <v>1.7434834178066607</v>
      </c>
      <c r="BG16" s="253">
        <f t="shared" si="26"/>
        <v>3.5678022073988971</v>
      </c>
      <c r="BH16" s="242">
        <f t="shared" si="27"/>
        <v>7055.4492998541027</v>
      </c>
      <c r="BI16" s="261" t="s">
        <v>182</v>
      </c>
      <c r="BJ16" s="266"/>
    </row>
    <row r="17" spans="2:62">
      <c r="B17" s="63"/>
      <c r="C17" s="162"/>
      <c r="D17" s="162"/>
      <c r="E17" s="162"/>
      <c r="H17" s="172"/>
      <c r="N17" s="4"/>
      <c r="O17" s="174"/>
      <c r="P17" s="174"/>
      <c r="Q17" s="174"/>
      <c r="R17" s="174"/>
      <c r="BH17" s="4" t="s">
        <v>755</v>
      </c>
      <c r="BI17" s="223"/>
      <c r="BJ17" s="266"/>
    </row>
    <row r="18" spans="2:62">
      <c r="O18" s="33" t="s">
        <v>720</v>
      </c>
      <c r="BH18" s="261" t="s">
        <v>748</v>
      </c>
      <c r="BI18" s="223"/>
      <c r="BJ18" s="266"/>
    </row>
    <row r="19" spans="2:62">
      <c r="H19" s="177"/>
      <c r="I19" s="258" t="s">
        <v>255</v>
      </c>
      <c r="J19" s="177"/>
      <c r="K19" s="177"/>
      <c r="L19" s="177"/>
      <c r="M19" s="177"/>
      <c r="O19" s="4" t="s">
        <v>242</v>
      </c>
      <c r="P19" s="4" t="s">
        <v>244</v>
      </c>
      <c r="Q19" s="4" t="s">
        <v>39</v>
      </c>
      <c r="R19" s="4" t="s">
        <v>242</v>
      </c>
      <c r="S19" s="4" t="s">
        <v>242</v>
      </c>
      <c r="T19" s="4" t="s">
        <v>242</v>
      </c>
      <c r="AD19" s="223"/>
      <c r="AU19" s="255"/>
      <c r="BH19" s="6" t="s">
        <v>749</v>
      </c>
      <c r="BI19" s="223"/>
      <c r="BJ19" s="266"/>
    </row>
    <row r="20" spans="2:62">
      <c r="O20" s="4" t="s">
        <v>41</v>
      </c>
      <c r="P20" s="4" t="s">
        <v>364</v>
      </c>
      <c r="Q20" s="4" t="s">
        <v>122</v>
      </c>
      <c r="R20" s="4" t="s">
        <v>233</v>
      </c>
      <c r="S20" s="4" t="s">
        <v>233</v>
      </c>
      <c r="T20" s="4" t="s">
        <v>233</v>
      </c>
      <c r="AD20" s="223"/>
      <c r="BH20" s="261" t="s">
        <v>750</v>
      </c>
      <c r="BI20" s="223"/>
      <c r="BJ20" s="266"/>
    </row>
    <row r="21" spans="2:62">
      <c r="H21" s="4" t="s">
        <v>128</v>
      </c>
      <c r="I21" s="4" t="s">
        <v>559</v>
      </c>
      <c r="J21" s="4" t="s">
        <v>559</v>
      </c>
      <c r="K21" s="4" t="s">
        <v>559</v>
      </c>
      <c r="L21" s="4" t="s">
        <v>451</v>
      </c>
      <c r="M21" s="4"/>
      <c r="O21" s="4" t="s">
        <v>243</v>
      </c>
      <c r="P21" s="4" t="s">
        <v>365</v>
      </c>
      <c r="Q21" s="4" t="s">
        <v>239</v>
      </c>
      <c r="R21" s="4" t="s">
        <v>243</v>
      </c>
      <c r="S21" s="4" t="s">
        <v>243</v>
      </c>
      <c r="T21" s="4" t="s">
        <v>243</v>
      </c>
      <c r="AD21" s="223"/>
      <c r="BH21" s="261" t="s">
        <v>751</v>
      </c>
      <c r="BJ21" s="266"/>
    </row>
    <row r="22" spans="2:62">
      <c r="H22" s="4" t="s">
        <v>129</v>
      </c>
      <c r="I22" s="4" t="s">
        <v>452</v>
      </c>
      <c r="J22" s="4" t="s">
        <v>453</v>
      </c>
      <c r="K22" s="4" t="s">
        <v>454</v>
      </c>
      <c r="L22" s="4" t="s">
        <v>448</v>
      </c>
      <c r="M22" s="4" t="s">
        <v>575</v>
      </c>
      <c r="O22" s="4" t="s">
        <v>142</v>
      </c>
      <c r="P22" s="4" t="s">
        <v>366</v>
      </c>
      <c r="Q22" s="4" t="s">
        <v>240</v>
      </c>
      <c r="R22" s="4" t="s">
        <v>123</v>
      </c>
      <c r="S22" s="4" t="s">
        <v>85</v>
      </c>
      <c r="T22" s="4" t="s">
        <v>142</v>
      </c>
      <c r="AD22" s="223"/>
      <c r="BJ22" s="266"/>
    </row>
    <row r="23" spans="2:62">
      <c r="G23" s="1" t="s">
        <v>463</v>
      </c>
      <c r="H23" s="173">
        <f>H11/$H11</f>
        <v>1</v>
      </c>
      <c r="I23" s="173">
        <f t="shared" ref="I23:M23" si="30">I11/$H11</f>
        <v>0.25505268513466539</v>
      </c>
      <c r="J23" s="173">
        <f t="shared" si="30"/>
        <v>0.24621235666121052</v>
      </c>
      <c r="K23" s="173">
        <f t="shared" si="30"/>
        <v>0.47508247519988583</v>
      </c>
      <c r="L23" s="173">
        <f t="shared" si="30"/>
        <v>1.5049277924732891E-2</v>
      </c>
      <c r="M23" s="173">
        <f t="shared" si="30"/>
        <v>8.6032050795054014E-3</v>
      </c>
      <c r="N23" s="4" t="s">
        <v>148</v>
      </c>
      <c r="O23" s="175">
        <f t="shared" ref="O23:O28" si="31">O11*J11</f>
        <v>32997.728054016756</v>
      </c>
      <c r="P23" s="175">
        <f t="shared" ref="P23:P28" si="32">(P11*J11)+(L11/6)</f>
        <v>87814.588833716887</v>
      </c>
      <c r="Q23" s="171">
        <f t="shared" ref="Q23:Q28" si="33">100*P23/H11</f>
        <v>20.216401303422838</v>
      </c>
      <c r="R23" s="175">
        <f t="shared" ref="R23:R28" si="34">Q11*K11</f>
        <v>116637.51662751837</v>
      </c>
      <c r="S23" s="175">
        <f>K11-R23</f>
        <v>89725.483372481627</v>
      </c>
      <c r="T23" s="175">
        <f t="shared" ref="T23:T28" si="35">R23*R11</f>
        <v>36626.772409056917</v>
      </c>
      <c r="AD23" s="223"/>
    </row>
    <row r="24" spans="2:62">
      <c r="G24" s="1" t="s">
        <v>464</v>
      </c>
      <c r="H24" s="173">
        <f t="shared" ref="H24:M28" si="36">H12/$H12</f>
        <v>1</v>
      </c>
      <c r="I24" s="173">
        <f t="shared" si="36"/>
        <v>0.19938743739000947</v>
      </c>
      <c r="J24" s="173">
        <f t="shared" si="36"/>
        <v>0.20547922025179369</v>
      </c>
      <c r="K24" s="173">
        <f t="shared" si="36"/>
        <v>0.37877352105049411</v>
      </c>
      <c r="L24" s="173">
        <f t="shared" si="36"/>
        <v>6.597739271693516E-2</v>
      </c>
      <c r="M24" s="173">
        <f t="shared" si="36"/>
        <v>0.15038242859076756</v>
      </c>
      <c r="N24" s="4" t="s">
        <v>149</v>
      </c>
      <c r="O24" s="175">
        <f t="shared" si="31"/>
        <v>4246.7479309529435</v>
      </c>
      <c r="P24" s="175">
        <f t="shared" si="32"/>
        <v>10123.330612614072</v>
      </c>
      <c r="Q24" s="171">
        <f t="shared" si="33"/>
        <v>17.130314425027198</v>
      </c>
      <c r="R24" s="175">
        <f t="shared" si="34"/>
        <v>10736.996655787905</v>
      </c>
      <c r="S24" s="175">
        <f t="shared" ref="S24:S28" si="37">K12-R24</f>
        <v>11647.003344212095</v>
      </c>
      <c r="T24" s="175">
        <f t="shared" si="35"/>
        <v>3857.3821668882711</v>
      </c>
      <c r="AD24" s="223"/>
    </row>
    <row r="25" spans="2:62">
      <c r="G25" s="1" t="s">
        <v>465</v>
      </c>
      <c r="H25" s="173">
        <f t="shared" si="36"/>
        <v>1</v>
      </c>
      <c r="I25" s="173">
        <f t="shared" si="36"/>
        <v>0.14838752825671139</v>
      </c>
      <c r="J25" s="173">
        <f t="shared" si="36"/>
        <v>0.15534168884846378</v>
      </c>
      <c r="K25" s="173">
        <f t="shared" si="36"/>
        <v>0.28764462754644804</v>
      </c>
      <c r="L25" s="173">
        <f t="shared" si="36"/>
        <v>1.7209507630984069E-2</v>
      </c>
      <c r="M25" s="173">
        <f t="shared" si="36"/>
        <v>0.39141664771739276</v>
      </c>
      <c r="N25" s="4" t="s">
        <v>57</v>
      </c>
      <c r="O25" s="175">
        <f t="shared" si="31"/>
        <v>34224.00927887499</v>
      </c>
      <c r="P25" s="175">
        <f t="shared" si="32"/>
        <v>93142.496285795729</v>
      </c>
      <c r="Q25" s="171">
        <f t="shared" si="33"/>
        <v>12.458701232700973</v>
      </c>
      <c r="R25" s="175">
        <f t="shared" si="34"/>
        <v>110520.17005644162</v>
      </c>
      <c r="S25" s="175">
        <f t="shared" si="37"/>
        <v>104525.82994355838</v>
      </c>
      <c r="T25" s="175">
        <f t="shared" si="35"/>
        <v>33540.223343625243</v>
      </c>
      <c r="AD25" s="223"/>
    </row>
    <row r="26" spans="2:62">
      <c r="G26" s="1" t="s">
        <v>699</v>
      </c>
      <c r="H26" s="173">
        <f t="shared" si="36"/>
        <v>1</v>
      </c>
      <c r="I26" s="173">
        <f t="shared" si="36"/>
        <v>0.17774685016672973</v>
      </c>
      <c r="J26" s="173">
        <f t="shared" si="36"/>
        <v>0.19684013500918093</v>
      </c>
      <c r="K26" s="173">
        <f t="shared" si="36"/>
        <v>0.35735782258330773</v>
      </c>
      <c r="L26" s="173">
        <f t="shared" si="36"/>
        <v>1.2634888546314803E-2</v>
      </c>
      <c r="M26" s="173">
        <f t="shared" si="36"/>
        <v>0.25542030369446683</v>
      </c>
      <c r="N26" s="4" t="s">
        <v>359</v>
      </c>
      <c r="O26" s="175">
        <f t="shared" si="31"/>
        <v>23265.291858389417</v>
      </c>
      <c r="P26" s="175">
        <f t="shared" si="32"/>
        <v>65557.069928146899</v>
      </c>
      <c r="Q26" s="171">
        <f t="shared" si="33"/>
        <v>16.649372300806068</v>
      </c>
      <c r="R26" s="175">
        <f t="shared" si="34"/>
        <v>71955.940908762554</v>
      </c>
      <c r="S26" s="175">
        <f t="shared" si="37"/>
        <v>68754.059091237446</v>
      </c>
      <c r="T26" s="175">
        <f t="shared" si="35"/>
        <v>21916.796335091141</v>
      </c>
      <c r="V26" s="223"/>
      <c r="AD26" s="223"/>
    </row>
    <row r="27" spans="2:62">
      <c r="G27" s="1" t="s">
        <v>742</v>
      </c>
      <c r="H27" s="173">
        <f t="shared" si="36"/>
        <v>1</v>
      </c>
      <c r="I27" s="173">
        <f t="shared" si="36"/>
        <v>0.14283362708924693</v>
      </c>
      <c r="J27" s="173">
        <f t="shared" si="36"/>
        <v>0.15144957502418971</v>
      </c>
      <c r="K27" s="173">
        <f t="shared" si="36"/>
        <v>0.26851565605264321</v>
      </c>
      <c r="L27" s="173">
        <f t="shared" si="36"/>
        <v>7.2308118503410642E-3</v>
      </c>
      <c r="M27" s="173">
        <f t="shared" si="36"/>
        <v>0.42997032998357909</v>
      </c>
      <c r="N27" s="4" t="s">
        <v>360</v>
      </c>
      <c r="O27" s="175">
        <f t="shared" si="31"/>
        <v>11377.09097018687</v>
      </c>
      <c r="P27" s="175">
        <f t="shared" si="32"/>
        <v>30522.755184692389</v>
      </c>
      <c r="Q27" s="171">
        <f t="shared" si="33"/>
        <v>12.254541915298883</v>
      </c>
      <c r="R27" s="175">
        <f t="shared" si="34"/>
        <v>35440.318023054577</v>
      </c>
      <c r="S27" s="175">
        <f t="shared" si="37"/>
        <v>31439.681976945423</v>
      </c>
      <c r="T27" s="175">
        <f t="shared" si="35"/>
        <v>11123.634189576145</v>
      </c>
      <c r="V27" s="223"/>
      <c r="AD27" s="223"/>
    </row>
    <row r="28" spans="2:62">
      <c r="G28" s="1" t="s">
        <v>558</v>
      </c>
      <c r="H28" s="173">
        <f t="shared" si="36"/>
        <v>1</v>
      </c>
      <c r="I28" s="173">
        <f t="shared" si="36"/>
        <v>0.15873188932499879</v>
      </c>
      <c r="J28" s="173">
        <f t="shared" si="36"/>
        <v>0.17013131753646363</v>
      </c>
      <c r="K28" s="173">
        <f t="shared" si="36"/>
        <v>0.31180646411784657</v>
      </c>
      <c r="L28" s="173">
        <f t="shared" si="36"/>
        <v>4.821437224402772E-3</v>
      </c>
      <c r="M28" s="173">
        <f t="shared" si="36"/>
        <v>0.35450889179628819</v>
      </c>
      <c r="N28" s="4" t="s">
        <v>361</v>
      </c>
      <c r="O28" s="175">
        <f t="shared" si="31"/>
        <v>4201.294101024373</v>
      </c>
      <c r="P28" s="175">
        <f t="shared" si="32"/>
        <v>11271.149732117337</v>
      </c>
      <c r="Q28" s="171">
        <f t="shared" si="33"/>
        <v>13.654055497549711</v>
      </c>
      <c r="R28" s="175">
        <f t="shared" si="34"/>
        <v>14028.455863168576</v>
      </c>
      <c r="S28" s="175">
        <f t="shared" si="37"/>
        <v>11710.544136831424</v>
      </c>
      <c r="T28" s="175">
        <f t="shared" si="35"/>
        <v>4217.9704304971738</v>
      </c>
      <c r="V28" s="223"/>
      <c r="AD28" s="223"/>
    </row>
    <row r="29" spans="2:62">
      <c r="O29" s="182" t="s">
        <v>6</v>
      </c>
      <c r="V29" s="223"/>
      <c r="AD29" s="223"/>
    </row>
    <row r="30" spans="2:62">
      <c r="O30" s="4" t="s">
        <v>68</v>
      </c>
      <c r="U30" s="223"/>
      <c r="AC30" s="223"/>
      <c r="AD30" s="223"/>
      <c r="AJ30" s="1"/>
      <c r="BB30" s="223"/>
      <c r="BG30" s="1"/>
    </row>
    <row r="31" spans="2:62">
      <c r="O31" s="4" t="s">
        <v>69</v>
      </c>
      <c r="U31" s="223"/>
      <c r="AD31" s="223"/>
      <c r="AJ31" s="1"/>
      <c r="BB31" s="223"/>
      <c r="BG31" s="1"/>
    </row>
    <row r="32" spans="2:62">
      <c r="N32" s="4" t="s">
        <v>148</v>
      </c>
      <c r="O32" s="201">
        <f t="shared" ref="O32:O37" si="38">P11*J11</f>
        <v>86725.088833716887</v>
      </c>
      <c r="AD32" s="223"/>
      <c r="AJ32" s="1"/>
      <c r="BB32" s="223"/>
      <c r="BG32" s="1"/>
    </row>
    <row r="33" spans="14:59">
      <c r="N33" s="4" t="s">
        <v>149</v>
      </c>
      <c r="O33" s="201">
        <f t="shared" si="38"/>
        <v>9473.4972792807384</v>
      </c>
      <c r="AD33" s="223"/>
      <c r="AJ33" s="1"/>
      <c r="BB33" s="223"/>
      <c r="BG33" s="1"/>
    </row>
    <row r="34" spans="14:59">
      <c r="N34" s="4" t="s">
        <v>57</v>
      </c>
      <c r="O34" s="201">
        <f t="shared" si="38"/>
        <v>90998.1629524624</v>
      </c>
      <c r="AD34" s="223"/>
      <c r="AJ34" s="1"/>
      <c r="BB34" s="223"/>
      <c r="BG34" s="1"/>
    </row>
    <row r="35" spans="14:59">
      <c r="N35" s="4" t="s">
        <v>359</v>
      </c>
      <c r="O35" s="201">
        <f t="shared" si="38"/>
        <v>64727.903261480227</v>
      </c>
      <c r="AD35" s="223"/>
      <c r="AJ35" s="1"/>
      <c r="BB35" s="223"/>
      <c r="BG35" s="1"/>
    </row>
    <row r="36" spans="14:59">
      <c r="N36" s="4" t="s">
        <v>360</v>
      </c>
      <c r="O36" s="201">
        <f t="shared" si="38"/>
        <v>30222.588518025721</v>
      </c>
      <c r="AD36" s="223"/>
      <c r="AJ36" s="1"/>
      <c r="BB36" s="223"/>
      <c r="BG36" s="1"/>
    </row>
    <row r="37" spans="14:59">
      <c r="N37" s="4" t="s">
        <v>361</v>
      </c>
      <c r="O37" s="201">
        <f t="shared" si="38"/>
        <v>11204.816398784003</v>
      </c>
      <c r="AD37" s="223"/>
      <c r="AJ37" s="1"/>
      <c r="BB37" s="223"/>
      <c r="BG37" s="1"/>
    </row>
    <row r="38" spans="14:59">
      <c r="AD38" s="223"/>
      <c r="AJ38" s="1"/>
      <c r="BB38" s="223"/>
      <c r="BG38" s="1"/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D38"/>
  <sheetViews>
    <sheetView topLeftCell="A11" workbookViewId="0">
      <selection activeCell="G11" sqref="G10:G11"/>
    </sheetView>
  </sheetViews>
  <sheetFormatPr baseColWidth="10" defaultRowHeight="15"/>
  <cols>
    <col min="1" max="3" width="10.7109375" style="261"/>
    <col min="4" max="4" width="4.7109375" style="261" customWidth="1"/>
    <col min="5" max="16384" width="10.7109375" style="261"/>
  </cols>
  <sheetData>
    <row r="2" spans="1:3" ht="17">
      <c r="B2" s="166" t="s">
        <v>706</v>
      </c>
    </row>
    <row r="3" spans="1:3">
      <c r="B3" s="261" t="s">
        <v>741</v>
      </c>
    </row>
    <row r="4" spans="1:3">
      <c r="B4" s="261" t="s">
        <v>704</v>
      </c>
    </row>
    <row r="5" spans="1:3">
      <c r="B5" s="261" t="s">
        <v>705</v>
      </c>
    </row>
    <row r="7" spans="1:3">
      <c r="A7" s="261" t="s">
        <v>707</v>
      </c>
    </row>
    <row r="9" spans="1:3">
      <c r="A9" s="261" t="s">
        <v>756</v>
      </c>
    </row>
    <row r="11" spans="1:3">
      <c r="A11" s="261" t="s">
        <v>758</v>
      </c>
      <c r="C11" s="272">
        <f>391511+370342</f>
        <v>761853</v>
      </c>
    </row>
    <row r="12" spans="1:3">
      <c r="A12" s="261" t="s">
        <v>759</v>
      </c>
      <c r="C12" s="272">
        <f>C13-C11</f>
        <v>1009709</v>
      </c>
    </row>
    <row r="13" spans="1:3">
      <c r="A13" s="261" t="s">
        <v>757</v>
      </c>
      <c r="C13" s="272">
        <f>900762+870800</f>
        <v>1771562</v>
      </c>
    </row>
    <row r="14" spans="1:3">
      <c r="C14" s="272"/>
    </row>
    <row r="15" spans="1:3">
      <c r="A15" s="261" t="s">
        <v>760</v>
      </c>
      <c r="C15" s="272"/>
    </row>
    <row r="16" spans="1:3">
      <c r="A16" s="261" t="s">
        <v>668</v>
      </c>
      <c r="C16" s="272"/>
    </row>
    <row r="17" spans="1:4">
      <c r="A17" s="261" t="s">
        <v>666</v>
      </c>
      <c r="C17" s="273">
        <f>0.75*C11</f>
        <v>571389.75</v>
      </c>
    </row>
    <row r="18" spans="1:4">
      <c r="A18" s="261" t="s">
        <v>667</v>
      </c>
      <c r="C18" s="272">
        <f>C19-C17</f>
        <v>1200172.25</v>
      </c>
    </row>
    <row r="19" spans="1:4">
      <c r="A19" s="261" t="s">
        <v>757</v>
      </c>
      <c r="C19" s="272">
        <v>1771562</v>
      </c>
    </row>
    <row r="20" spans="1:4">
      <c r="B20" s="4" t="s">
        <v>670</v>
      </c>
      <c r="C20" s="263">
        <f>100*(C19-C17)/C19</f>
        <v>67.746556428733513</v>
      </c>
      <c r="D20" s="261" t="s">
        <v>669</v>
      </c>
    </row>
    <row r="23" spans="1:4">
      <c r="A23" s="261" t="s">
        <v>671</v>
      </c>
    </row>
    <row r="25" spans="1:4">
      <c r="A25" s="261" t="s">
        <v>666</v>
      </c>
      <c r="C25" s="272">
        <f>402173+394994</f>
        <v>797167</v>
      </c>
    </row>
    <row r="26" spans="1:4">
      <c r="A26" s="261" t="s">
        <v>667</v>
      </c>
      <c r="C26" s="272">
        <f>C27-C25</f>
        <v>1531475</v>
      </c>
    </row>
    <row r="27" spans="1:4">
      <c r="A27" s="261" t="s">
        <v>757</v>
      </c>
      <c r="C27" s="272">
        <f>1166276+1162366</f>
        <v>2328642</v>
      </c>
    </row>
    <row r="28" spans="1:4">
      <c r="B28" s="4" t="s">
        <v>672</v>
      </c>
      <c r="C28" s="263">
        <f>100*(C27-C25)/C27</f>
        <v>65.766871850632256</v>
      </c>
      <c r="D28" s="261" t="s">
        <v>669</v>
      </c>
    </row>
    <row r="30" spans="1:4">
      <c r="A30" s="261" t="s">
        <v>680</v>
      </c>
    </row>
    <row r="32" spans="1:4">
      <c r="B32" s="4" t="s">
        <v>679</v>
      </c>
      <c r="C32" s="264">
        <v>66.546030578227402</v>
      </c>
      <c r="D32" s="261" t="s">
        <v>816</v>
      </c>
    </row>
    <row r="34" spans="1:1">
      <c r="A34" s="261" t="s">
        <v>817</v>
      </c>
    </row>
    <row r="35" spans="1:1">
      <c r="A35" s="261" t="s">
        <v>686</v>
      </c>
    </row>
    <row r="36" spans="1:1">
      <c r="A36" s="261" t="s">
        <v>745</v>
      </c>
    </row>
    <row r="37" spans="1:1">
      <c r="A37" s="261" t="s">
        <v>746</v>
      </c>
    </row>
    <row r="38" spans="1:1">
      <c r="A38" s="261" t="s">
        <v>747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N66"/>
  <sheetViews>
    <sheetView topLeftCell="A51" workbookViewId="0">
      <selection activeCell="I72" sqref="I72"/>
    </sheetView>
  </sheetViews>
  <sheetFormatPr baseColWidth="10" defaultRowHeight="15"/>
  <cols>
    <col min="1" max="2" width="10.7109375" style="267"/>
    <col min="3" max="5" width="10.7109375" style="274"/>
    <col min="6" max="6" width="10.7109375" style="267"/>
    <col min="7" max="7" width="3.7109375" style="267" customWidth="1"/>
    <col min="8" max="8" width="10.7109375" style="267"/>
    <col min="9" max="13" width="9.5703125" style="267" customWidth="1"/>
    <col min="14" max="14" width="3.7109375" style="267" customWidth="1"/>
    <col min="15" max="19" width="9.5703125" style="267" customWidth="1"/>
    <col min="20" max="16384" width="10.7109375" style="267"/>
  </cols>
  <sheetData>
    <row r="1" spans="1:5" ht="17">
      <c r="B1" s="166" t="s">
        <v>807</v>
      </c>
    </row>
    <row r="2" spans="1:5">
      <c r="B2" s="267" t="s">
        <v>800</v>
      </c>
    </row>
    <row r="4" spans="1:5">
      <c r="C4" s="275" t="s">
        <v>809</v>
      </c>
      <c r="D4" s="275" t="s">
        <v>810</v>
      </c>
      <c r="E4" s="275" t="s">
        <v>811</v>
      </c>
    </row>
    <row r="5" spans="1:5">
      <c r="A5" s="267" t="s">
        <v>806</v>
      </c>
      <c r="B5" s="267" t="s">
        <v>803</v>
      </c>
      <c r="C5" s="274">
        <v>41207.637727081477</v>
      </c>
      <c r="D5" s="274">
        <v>20881.406312060044</v>
      </c>
      <c r="E5" s="274">
        <v>20326.233687939955</v>
      </c>
    </row>
    <row r="6" spans="1:5">
      <c r="A6" s="267" t="s">
        <v>806</v>
      </c>
      <c r="B6" s="267" t="s">
        <v>804</v>
      </c>
      <c r="C6" s="274">
        <v>20572.123293086566</v>
      </c>
      <c r="D6" s="274">
        <v>10627.041372430189</v>
      </c>
      <c r="E6" s="274">
        <v>9945.0819206563792</v>
      </c>
    </row>
    <row r="7" spans="1:5">
      <c r="A7" s="267" t="s">
        <v>806</v>
      </c>
      <c r="B7" s="267" t="s">
        <v>805</v>
      </c>
      <c r="C7" s="274">
        <v>20635.516706913433</v>
      </c>
      <c r="D7" s="274">
        <v>10254.364939629855</v>
      </c>
      <c r="E7" s="274">
        <v>10381.151767283576</v>
      </c>
    </row>
    <row r="9" spans="1:5">
      <c r="A9" s="267" t="s">
        <v>808</v>
      </c>
      <c r="B9" s="267" t="s">
        <v>803</v>
      </c>
      <c r="C9" s="274">
        <v>76423.035872700057</v>
      </c>
      <c r="D9" s="274">
        <v>38818.640161654301</v>
      </c>
      <c r="E9" s="274">
        <v>37604.328899742381</v>
      </c>
    </row>
    <row r="10" spans="1:5">
      <c r="A10" s="267" t="s">
        <v>808</v>
      </c>
      <c r="B10" s="267" t="s">
        <v>804</v>
      </c>
      <c r="C10" s="274">
        <v>38503.533609217498</v>
      </c>
      <c r="D10" s="274">
        <v>19557.664533374122</v>
      </c>
      <c r="E10" s="274">
        <v>18945.869075843373</v>
      </c>
    </row>
    <row r="11" spans="1:5">
      <c r="A11" s="267" t="s">
        <v>808</v>
      </c>
      <c r="B11" s="267" t="s">
        <v>805</v>
      </c>
      <c r="C11" s="274">
        <v>37919.502263482558</v>
      </c>
      <c r="D11" s="274">
        <v>19260.975628280179</v>
      </c>
      <c r="E11" s="274">
        <v>18658.459823899007</v>
      </c>
    </row>
    <row r="13" spans="1:5">
      <c r="A13" s="267" t="s">
        <v>812</v>
      </c>
      <c r="B13" s="267" t="s">
        <v>803</v>
      </c>
      <c r="C13" s="274">
        <v>7359.7279931462836</v>
      </c>
      <c r="D13" s="274">
        <v>3961.5912186763767</v>
      </c>
      <c r="E13" s="274">
        <v>3398.1367744699078</v>
      </c>
    </row>
    <row r="14" spans="1:5">
      <c r="A14" s="267" t="s">
        <v>812</v>
      </c>
      <c r="B14" s="267" t="s">
        <v>804</v>
      </c>
      <c r="C14" s="274">
        <v>3771.6627543371178</v>
      </c>
      <c r="D14" s="274">
        <v>1976.8387663311205</v>
      </c>
      <c r="E14" s="274">
        <v>1794.8239880059971</v>
      </c>
    </row>
    <row r="15" spans="1:5">
      <c r="A15" s="267" t="s">
        <v>812</v>
      </c>
      <c r="B15" s="267" t="s">
        <v>805</v>
      </c>
      <c r="C15" s="274">
        <v>3588.0652388091667</v>
      </c>
      <c r="D15" s="274">
        <v>1984.7524523452562</v>
      </c>
      <c r="E15" s="274">
        <v>1603.3127864639109</v>
      </c>
    </row>
    <row r="17" spans="1:14">
      <c r="A17" s="267" t="s">
        <v>813</v>
      </c>
      <c r="B17" s="267" t="s">
        <v>803</v>
      </c>
      <c r="C17" s="274">
        <v>272635.61952208146</v>
      </c>
      <c r="D17" s="274">
        <v>134129.93093155805</v>
      </c>
      <c r="E17" s="274">
        <v>138505.68859052341</v>
      </c>
    </row>
    <row r="18" spans="1:14">
      <c r="A18" s="267" t="s">
        <v>813</v>
      </c>
      <c r="B18" s="267" t="s">
        <v>804</v>
      </c>
      <c r="C18" s="274">
        <v>130149.22442409213</v>
      </c>
      <c r="D18" s="274">
        <v>66503.212793344283</v>
      </c>
      <c r="E18" s="274">
        <v>63646.011630747838</v>
      </c>
    </row>
    <row r="19" spans="1:14">
      <c r="A19" s="267" t="s">
        <v>813</v>
      </c>
      <c r="B19" s="267" t="s">
        <v>805</v>
      </c>
      <c r="C19" s="274">
        <v>142486.39509798933</v>
      </c>
      <c r="D19" s="274">
        <v>67626.718138213764</v>
      </c>
      <c r="E19" s="274">
        <v>74859.676959775563</v>
      </c>
    </row>
    <row r="21" spans="1:14">
      <c r="A21" s="267" t="s">
        <v>814</v>
      </c>
      <c r="B21" s="267" t="s">
        <v>803</v>
      </c>
      <c r="C21" s="274">
        <v>54460</v>
      </c>
      <c r="D21" s="274">
        <v>26763</v>
      </c>
      <c r="E21" s="274">
        <v>27697</v>
      </c>
    </row>
    <row r="22" spans="1:14">
      <c r="A22" s="267" t="s">
        <v>814</v>
      </c>
      <c r="B22" s="267" t="s">
        <v>804</v>
      </c>
      <c r="C22" s="274">
        <v>25079</v>
      </c>
      <c r="D22" s="274">
        <v>12731</v>
      </c>
      <c r="E22" s="274">
        <v>12348</v>
      </c>
      <c r="G22" s="284"/>
      <c r="H22" s="284"/>
      <c r="I22" s="284"/>
      <c r="J22" s="284"/>
      <c r="K22" s="284"/>
      <c r="L22" s="284"/>
      <c r="M22" s="284"/>
      <c r="N22" s="284"/>
    </row>
    <row r="23" spans="1:14">
      <c r="A23" s="267" t="s">
        <v>814</v>
      </c>
      <c r="B23" s="267" t="s">
        <v>805</v>
      </c>
      <c r="C23" s="274">
        <v>29381</v>
      </c>
      <c r="D23" s="274">
        <v>14032</v>
      </c>
      <c r="E23" s="274">
        <v>15349</v>
      </c>
      <c r="G23" s="284"/>
      <c r="H23" s="33" t="s">
        <v>768</v>
      </c>
      <c r="K23" s="267" t="s">
        <v>795</v>
      </c>
      <c r="N23" s="284"/>
    </row>
    <row r="24" spans="1:14">
      <c r="G24" s="284"/>
      <c r="H24" s="275" t="s">
        <v>809</v>
      </c>
      <c r="I24" s="275" t="s">
        <v>810</v>
      </c>
      <c r="J24" s="275" t="s">
        <v>811</v>
      </c>
      <c r="K24" s="4" t="s">
        <v>796</v>
      </c>
      <c r="N24" s="284"/>
    </row>
    <row r="25" spans="1:14">
      <c r="A25" s="267" t="s">
        <v>815</v>
      </c>
      <c r="B25" s="267" t="s">
        <v>803</v>
      </c>
      <c r="C25" s="274">
        <v>190478</v>
      </c>
      <c r="D25" s="274">
        <v>96182</v>
      </c>
      <c r="E25" s="274">
        <v>94296</v>
      </c>
      <c r="G25" s="284"/>
      <c r="H25" s="274">
        <f>C5+C9+C13+C17+C21+C25</f>
        <v>642564.02111500921</v>
      </c>
      <c r="I25" s="274">
        <f t="shared" ref="I25:J25" si="0">D5+D9+D13+D17+D21+D25</f>
        <v>320736.56862394878</v>
      </c>
      <c r="J25" s="274">
        <f t="shared" si="0"/>
        <v>321827.38795267564</v>
      </c>
      <c r="K25" s="276">
        <f>100*H27/H25</f>
        <v>53.773605112158904</v>
      </c>
      <c r="L25" s="267" t="s">
        <v>801</v>
      </c>
      <c r="N25" s="284"/>
    </row>
    <row r="26" spans="1:14">
      <c r="A26" s="267" t="s">
        <v>815</v>
      </c>
      <c r="B26" s="267" t="s">
        <v>804</v>
      </c>
      <c r="C26" s="274">
        <v>78958.64</v>
      </c>
      <c r="D26" s="274">
        <v>40336.979999999996</v>
      </c>
      <c r="E26" s="274">
        <v>38621.660000000003</v>
      </c>
      <c r="G26" s="284"/>
      <c r="H26" s="274">
        <f t="shared" ref="H26:H27" si="1">C6+C10+C14+C18+C22+C26</f>
        <v>297034.18408073334</v>
      </c>
      <c r="I26" s="274">
        <f t="shared" ref="I26:I27" si="2">D6+D10+D14+D18+D22+D26</f>
        <v>151732.7374654797</v>
      </c>
      <c r="J26" s="274">
        <f t="shared" ref="J26:J27" si="3">E6+E10+E14+E18+E22+E26</f>
        <v>145301.44661525358</v>
      </c>
      <c r="N26" s="284"/>
    </row>
    <row r="27" spans="1:14">
      <c r="A27" s="267" t="s">
        <v>815</v>
      </c>
      <c r="B27" s="267" t="s">
        <v>805</v>
      </c>
      <c r="C27" s="274">
        <v>111519.36</v>
      </c>
      <c r="D27" s="274">
        <v>55845.020000000004</v>
      </c>
      <c r="E27" s="274">
        <v>55674.34</v>
      </c>
      <c r="G27" s="284"/>
      <c r="H27" s="274">
        <f t="shared" si="1"/>
        <v>345529.83930719446</v>
      </c>
      <c r="I27" s="274">
        <f t="shared" si="2"/>
        <v>169003.83115846905</v>
      </c>
      <c r="J27" s="274">
        <f t="shared" si="3"/>
        <v>176525.94133742206</v>
      </c>
      <c r="N27" s="284"/>
    </row>
    <row r="28" spans="1:14">
      <c r="G28" s="284"/>
      <c r="H28" s="284"/>
      <c r="I28" s="284"/>
      <c r="J28" s="284"/>
      <c r="K28" s="284"/>
      <c r="L28" s="284"/>
      <c r="M28" s="284"/>
      <c r="N28" s="284"/>
    </row>
    <row r="29" spans="1:14">
      <c r="A29" s="267" t="s">
        <v>797</v>
      </c>
      <c r="B29" s="267" t="s">
        <v>803</v>
      </c>
      <c r="C29" s="274">
        <v>156279.32330573897</v>
      </c>
      <c r="D29" s="274">
        <v>80452.936328724929</v>
      </c>
      <c r="E29" s="274">
        <v>75825.37838551274</v>
      </c>
      <c r="F29" s="276">
        <f>100*C31/C29</f>
        <v>53.518082709112775</v>
      </c>
      <c r="G29" s="279"/>
    </row>
    <row r="30" spans="1:14">
      <c r="A30" s="267" t="s">
        <v>797</v>
      </c>
      <c r="B30" s="267" t="s">
        <v>804</v>
      </c>
      <c r="C30" s="274">
        <v>72641.625801731832</v>
      </c>
      <c r="D30" s="274">
        <v>37093.636417131449</v>
      </c>
      <c r="E30" s="274">
        <v>35549.441659896824</v>
      </c>
      <c r="F30" s="4" t="s">
        <v>774</v>
      </c>
      <c r="G30" s="45"/>
      <c r="H30" s="42"/>
      <c r="I30" s="42"/>
      <c r="J30" s="42"/>
      <c r="K30" s="42"/>
      <c r="L30" s="42"/>
      <c r="M30" s="42"/>
      <c r="N30" s="42"/>
    </row>
    <row r="31" spans="1:14">
      <c r="A31" s="267" t="s">
        <v>797</v>
      </c>
      <c r="B31" s="267" t="s">
        <v>805</v>
      </c>
      <c r="C31" s="274">
        <v>83637.697504007141</v>
      </c>
      <c r="D31" s="274">
        <v>43359.299911593451</v>
      </c>
      <c r="E31" s="274">
        <v>40275.936725615924</v>
      </c>
      <c r="F31" s="4" t="s">
        <v>802</v>
      </c>
      <c r="G31" s="42"/>
      <c r="H31" s="33" t="s">
        <v>794</v>
      </c>
      <c r="K31" s="267" t="s">
        <v>795</v>
      </c>
      <c r="N31" s="42"/>
    </row>
    <row r="32" spans="1:14">
      <c r="G32" s="42"/>
      <c r="H32" s="275" t="s">
        <v>809</v>
      </c>
      <c r="I32" s="275" t="s">
        <v>810</v>
      </c>
      <c r="J32" s="275" t="s">
        <v>811</v>
      </c>
      <c r="K32" s="4" t="s">
        <v>796</v>
      </c>
      <c r="N32" s="42"/>
    </row>
    <row r="33" spans="1:14">
      <c r="A33" s="267" t="s">
        <v>798</v>
      </c>
      <c r="B33" s="267" t="s">
        <v>803</v>
      </c>
      <c r="C33" s="274">
        <v>117284.15466422423</v>
      </c>
      <c r="D33" s="274">
        <v>60584.182504246259</v>
      </c>
      <c r="E33" s="274">
        <v>56699.972159977973</v>
      </c>
      <c r="F33" s="276">
        <f>100*C35/C33</f>
        <v>50.68929696991038</v>
      </c>
      <c r="G33" s="42"/>
      <c r="H33" s="274">
        <f>C29+C33+C37+C41</f>
        <v>567764.15912191989</v>
      </c>
      <c r="I33" s="274">
        <f t="shared" ref="I33:J33" si="4">D29+D33+D37+D41</f>
        <v>292181.90378751623</v>
      </c>
      <c r="J33" s="274">
        <f t="shared" si="4"/>
        <v>275581.24674290238</v>
      </c>
      <c r="K33" s="276">
        <f>100*H35/H33</f>
        <v>49.880811060614683</v>
      </c>
      <c r="L33" s="267" t="s">
        <v>761</v>
      </c>
      <c r="N33" s="42"/>
    </row>
    <row r="34" spans="1:14">
      <c r="A34" s="267" t="s">
        <v>798</v>
      </c>
      <c r="B34" s="267" t="s">
        <v>804</v>
      </c>
      <c r="C34" s="274">
        <v>57833.641207826615</v>
      </c>
      <c r="D34" s="274">
        <v>29432.030854256176</v>
      </c>
      <c r="E34" s="274">
        <v>28401.610353570435</v>
      </c>
      <c r="F34" s="4" t="s">
        <v>784</v>
      </c>
      <c r="G34" s="42"/>
      <c r="H34" s="274">
        <f t="shared" ref="H34:H35" si="5">C30+C34+C38+C42</f>
        <v>284558.79164042731</v>
      </c>
      <c r="I34" s="274">
        <f t="shared" ref="I34:I35" si="6">D30+D34+D38+D42</f>
        <v>141024.97536222375</v>
      </c>
      <c r="J34" s="274">
        <f t="shared" ref="J34:J35" si="7">E30+E34+E38+E42</f>
        <v>143535.26855350001</v>
      </c>
      <c r="N34" s="42"/>
    </row>
    <row r="35" spans="1:14">
      <c r="A35" s="267" t="s">
        <v>798</v>
      </c>
      <c r="B35" s="267" t="s">
        <v>805</v>
      </c>
      <c r="C35" s="274">
        <v>59450.513456397617</v>
      </c>
      <c r="D35" s="274">
        <v>31152.151649990083</v>
      </c>
      <c r="E35" s="274">
        <v>28298.361806407538</v>
      </c>
      <c r="F35" s="4" t="s">
        <v>802</v>
      </c>
      <c r="G35" s="42"/>
      <c r="H35" s="274">
        <f t="shared" si="5"/>
        <v>283205.36748149258</v>
      </c>
      <c r="I35" s="274">
        <f t="shared" si="6"/>
        <v>151156.92842529237</v>
      </c>
      <c r="J35" s="274">
        <f t="shared" si="7"/>
        <v>132045.97818940241</v>
      </c>
      <c r="N35" s="42"/>
    </row>
    <row r="36" spans="1:14">
      <c r="G36" s="42"/>
      <c r="H36" s="42"/>
      <c r="I36" s="42"/>
      <c r="J36" s="42"/>
      <c r="K36" s="42"/>
      <c r="L36" s="42"/>
      <c r="M36" s="42"/>
      <c r="N36" s="42"/>
    </row>
    <row r="37" spans="1:14">
      <c r="A37" s="267" t="s">
        <v>766</v>
      </c>
      <c r="B37" s="267" t="s">
        <v>803</v>
      </c>
      <c r="C37" s="274">
        <f>D37+E37</f>
        <v>263438.71044365142</v>
      </c>
      <c r="D37" s="274">
        <v>135251.65364020874</v>
      </c>
      <c r="E37" s="274">
        <v>128187.05680344268</v>
      </c>
      <c r="F37" s="276">
        <f>100*C39/C37</f>
        <v>47.279876484613645</v>
      </c>
    </row>
    <row r="38" spans="1:14">
      <c r="A38" s="267" t="s">
        <v>766</v>
      </c>
      <c r="B38" s="267" t="s">
        <v>804</v>
      </c>
      <c r="C38" s="274">
        <f>C37-C39</f>
        <v>138885.21353323403</v>
      </c>
      <c r="D38" s="274">
        <f t="shared" ref="D38:E38" si="8">D37-D39</f>
        <v>66433.175283430595</v>
      </c>
      <c r="E38" s="274">
        <f t="shared" si="8"/>
        <v>72452.038249803445</v>
      </c>
      <c r="F38" s="4" t="s">
        <v>785</v>
      </c>
    </row>
    <row r="39" spans="1:14">
      <c r="A39" s="267" t="s">
        <v>766</v>
      </c>
      <c r="B39" s="267" t="s">
        <v>805</v>
      </c>
      <c r="C39" s="274">
        <f>D39+E39</f>
        <v>124553.49691041738</v>
      </c>
      <c r="D39" s="277">
        <v>68818.478356778141</v>
      </c>
      <c r="E39" s="278">
        <v>55735.018553639238</v>
      </c>
      <c r="F39" s="4" t="s">
        <v>802</v>
      </c>
    </row>
    <row r="40" spans="1:14">
      <c r="C40" s="280" t="s">
        <v>770</v>
      </c>
      <c r="D40" s="280" t="s">
        <v>771</v>
      </c>
      <c r="E40" s="280" t="s">
        <v>772</v>
      </c>
    </row>
    <row r="41" spans="1:14">
      <c r="A41" s="267" t="s">
        <v>767</v>
      </c>
      <c r="B41" s="267" t="s">
        <v>803</v>
      </c>
      <c r="C41" s="274">
        <f>D41+E41</f>
        <v>30761.970708305264</v>
      </c>
      <c r="D41" s="274">
        <v>15893.131314336249</v>
      </c>
      <c r="E41" s="274">
        <v>14868.839393969012</v>
      </c>
      <c r="F41" s="276">
        <f>100*C43/C41</f>
        <v>50.593831449389107</v>
      </c>
    </row>
    <row r="42" spans="1:14">
      <c r="A42" s="267" t="s">
        <v>767</v>
      </c>
      <c r="B42" s="267" t="s">
        <v>804</v>
      </c>
      <c r="C42" s="274">
        <f>D42+E42</f>
        <v>15198.311097634851</v>
      </c>
      <c r="D42" s="274">
        <f>D41-D43</f>
        <v>8066.1328074055455</v>
      </c>
      <c r="E42" s="274">
        <f>E41-E43</f>
        <v>7132.1782902293044</v>
      </c>
      <c r="F42" s="4" t="s">
        <v>788</v>
      </c>
    </row>
    <row r="43" spans="1:14">
      <c r="A43" s="267" t="s">
        <v>767</v>
      </c>
      <c r="B43" s="267" t="s">
        <v>805</v>
      </c>
      <c r="C43" s="274">
        <f>D43+E43</f>
        <v>15563.659610670413</v>
      </c>
      <c r="D43" s="277">
        <v>7826.998506930704</v>
      </c>
      <c r="E43" s="278">
        <v>7736.6611037397079</v>
      </c>
      <c r="F43" s="4" t="s">
        <v>802</v>
      </c>
    </row>
    <row r="45" spans="1:14">
      <c r="A45" s="267" t="s">
        <v>799</v>
      </c>
      <c r="B45" s="267" t="s">
        <v>803</v>
      </c>
      <c r="C45" s="274">
        <v>141626.53909623792</v>
      </c>
      <c r="D45" s="274">
        <v>72265.856746555495</v>
      </c>
      <c r="E45" s="274">
        <v>69360.682349682422</v>
      </c>
      <c r="F45" s="276">
        <f>100*C47/C45</f>
        <v>47.889322811820598</v>
      </c>
    </row>
    <row r="46" spans="1:14">
      <c r="A46" s="267" t="s">
        <v>799</v>
      </c>
      <c r="B46" s="267" t="s">
        <v>804</v>
      </c>
      <c r="C46" s="274">
        <v>73802.548601231232</v>
      </c>
      <c r="D46" s="274">
        <v>37971.114038031337</v>
      </c>
      <c r="E46" s="274">
        <v>35831.434563199895</v>
      </c>
      <c r="F46" s="4" t="s">
        <v>786</v>
      </c>
      <c r="G46" s="283"/>
      <c r="H46" s="283"/>
      <c r="I46" s="283"/>
      <c r="J46" s="283"/>
      <c r="K46" s="283"/>
      <c r="L46" s="283"/>
      <c r="M46" s="283"/>
      <c r="N46" s="283"/>
    </row>
    <row r="47" spans="1:14">
      <c r="A47" s="267" t="s">
        <v>799</v>
      </c>
      <c r="B47" s="267" t="s">
        <v>805</v>
      </c>
      <c r="C47" s="274">
        <v>67823.990495006685</v>
      </c>
      <c r="D47" s="274">
        <v>34294.742708524158</v>
      </c>
      <c r="E47" s="274">
        <v>33529.247786482527</v>
      </c>
      <c r="F47" s="4" t="s">
        <v>802</v>
      </c>
      <c r="G47" s="283"/>
      <c r="H47" s="33" t="s">
        <v>762</v>
      </c>
      <c r="K47" s="267" t="s">
        <v>795</v>
      </c>
      <c r="N47" s="283"/>
    </row>
    <row r="48" spans="1:14">
      <c r="G48" s="283"/>
      <c r="H48" s="275" t="s">
        <v>809</v>
      </c>
      <c r="I48" s="275" t="s">
        <v>810</v>
      </c>
      <c r="J48" s="275" t="s">
        <v>811</v>
      </c>
      <c r="K48" s="4" t="s">
        <v>796</v>
      </c>
      <c r="N48" s="283"/>
    </row>
    <row r="49" spans="1:14">
      <c r="A49" s="267" t="s">
        <v>769</v>
      </c>
      <c r="B49" s="267" t="s">
        <v>803</v>
      </c>
      <c r="C49" s="274">
        <f>D49+E49</f>
        <v>284688.65149882366</v>
      </c>
      <c r="D49" s="274">
        <v>146215.90389984864</v>
      </c>
      <c r="E49" s="274">
        <v>138472.74759897499</v>
      </c>
      <c r="F49" s="276">
        <f>100*C51/C49</f>
        <v>48.73412014094874</v>
      </c>
      <c r="G49" s="283"/>
      <c r="H49" s="274">
        <f>C45+C49+C53+C57+C61</f>
        <v>692369.30933706765</v>
      </c>
      <c r="I49" s="274">
        <f t="shared" ref="I49:J49" si="9">D45+D49+D53+D57+D61</f>
        <v>355574.98131212877</v>
      </c>
      <c r="J49" s="274">
        <f t="shared" si="9"/>
        <v>336794.32802493882</v>
      </c>
      <c r="K49" s="276">
        <f>100*H51/H49</f>
        <v>48.25664801072007</v>
      </c>
      <c r="L49" s="267" t="s">
        <v>765</v>
      </c>
      <c r="N49" s="283"/>
    </row>
    <row r="50" spans="1:14">
      <c r="A50" s="267" t="s">
        <v>769</v>
      </c>
      <c r="B50" s="267" t="s">
        <v>804</v>
      </c>
      <c r="C50" s="274">
        <f t="shared" ref="C50:C51" si="10">D50+E50</f>
        <v>145948.14204974004</v>
      </c>
      <c r="D50" s="274">
        <f>D49-D51</f>
        <v>74781.82594610902</v>
      </c>
      <c r="E50" s="274">
        <f>E49-E51</f>
        <v>71166.316103631019</v>
      </c>
      <c r="F50" s="4" t="s">
        <v>787</v>
      </c>
      <c r="G50" s="283"/>
      <c r="H50" s="274">
        <f t="shared" ref="H50:H51" si="11">C46+C50+C54+C58+C62</f>
        <v>358255.08879602508</v>
      </c>
      <c r="I50" s="274">
        <f t="shared" ref="I50:I51" si="12">D46+D50+D54+D58+D62</f>
        <v>184244.54148174613</v>
      </c>
      <c r="J50" s="274">
        <f t="shared" ref="J50:J51" si="13">E46+E50+E54+E58+E62</f>
        <v>174010.54731427901</v>
      </c>
      <c r="N50" s="283"/>
    </row>
    <row r="51" spans="1:14">
      <c r="A51" s="267" t="s">
        <v>769</v>
      </c>
      <c r="B51" s="267" t="s">
        <v>805</v>
      </c>
      <c r="C51" s="274">
        <f t="shared" si="10"/>
        <v>138740.50944908359</v>
      </c>
      <c r="D51" s="277">
        <v>71434.077953739616</v>
      </c>
      <c r="E51" s="278">
        <v>67306.431495343975</v>
      </c>
      <c r="F51" s="4" t="s">
        <v>802</v>
      </c>
      <c r="G51" s="283"/>
      <c r="H51" s="274">
        <f t="shared" si="11"/>
        <v>334114.22054104233</v>
      </c>
      <c r="I51" s="274">
        <f t="shared" si="12"/>
        <v>171330.43983038262</v>
      </c>
      <c r="J51" s="274">
        <f t="shared" si="13"/>
        <v>162783.7807106598</v>
      </c>
      <c r="N51" s="283"/>
    </row>
    <row r="52" spans="1:14">
      <c r="G52" s="283"/>
      <c r="H52" s="283"/>
      <c r="I52" s="283"/>
      <c r="J52" s="283"/>
      <c r="K52" s="283"/>
      <c r="L52" s="283"/>
      <c r="M52" s="283"/>
      <c r="N52" s="283"/>
    </row>
    <row r="53" spans="1:14">
      <c r="A53" s="267" t="s">
        <v>773</v>
      </c>
      <c r="B53" s="267" t="s">
        <v>803</v>
      </c>
      <c r="C53" s="274">
        <f>D53+E53</f>
        <v>163701.83114981872</v>
      </c>
      <c r="D53" s="274">
        <v>83777.594633007742</v>
      </c>
      <c r="E53" s="274">
        <v>79924.236516810997</v>
      </c>
      <c r="F53" s="282">
        <f>100*C55/C53</f>
        <v>48.140226746067881</v>
      </c>
    </row>
    <row r="54" spans="1:14">
      <c r="A54" s="267" t="s">
        <v>773</v>
      </c>
      <c r="B54" s="267" t="s">
        <v>804</v>
      </c>
      <c r="C54" s="274">
        <f t="shared" ref="C54:C55" si="14">D54+E54</f>
        <v>84895.398446830834</v>
      </c>
      <c r="D54" s="274">
        <f>D53-D55</f>
        <v>44023.934869390599</v>
      </c>
      <c r="E54" s="274">
        <f>E53-E55</f>
        <v>40871.463577440227</v>
      </c>
      <c r="F54" s="4" t="s">
        <v>789</v>
      </c>
    </row>
    <row r="55" spans="1:14">
      <c r="A55" s="267" t="s">
        <v>773</v>
      </c>
      <c r="B55" s="267" t="s">
        <v>805</v>
      </c>
      <c r="C55" s="274">
        <f t="shared" si="14"/>
        <v>78806.43270298792</v>
      </c>
      <c r="D55" s="274">
        <v>39753.659763617143</v>
      </c>
      <c r="E55" s="274">
        <v>39052.77293937077</v>
      </c>
      <c r="F55" s="4" t="s">
        <v>802</v>
      </c>
    </row>
    <row r="57" spans="1:14">
      <c r="A57" s="267" t="s">
        <v>790</v>
      </c>
      <c r="B57" s="267" t="s">
        <v>803</v>
      </c>
      <c r="C57" s="274">
        <f>D57+E57</f>
        <v>81101.234439731197</v>
      </c>
      <c r="D57" s="274">
        <v>42407.212843409223</v>
      </c>
      <c r="E57" s="274">
        <v>38694.021596321982</v>
      </c>
      <c r="F57" s="282">
        <f>100*C59/C57</f>
        <v>47.807560371060674</v>
      </c>
    </row>
    <row r="58" spans="1:14">
      <c r="A58" s="267" t="s">
        <v>790</v>
      </c>
      <c r="B58" s="267" t="s">
        <v>804</v>
      </c>
      <c r="C58" s="274">
        <f t="shared" ref="C58:C59" si="15">D58+E58</f>
        <v>42328.712823281261</v>
      </c>
      <c r="D58" s="274">
        <f>D57-D59</f>
        <v>21824.40015933699</v>
      </c>
      <c r="E58" s="274">
        <f>E57-E59</f>
        <v>20504.312663944271</v>
      </c>
      <c r="F58" s="4" t="s">
        <v>792</v>
      </c>
      <c r="G58" s="100"/>
      <c r="H58" s="100"/>
      <c r="I58" s="100"/>
      <c r="J58" s="100"/>
      <c r="K58" s="100"/>
      <c r="L58" s="100"/>
      <c r="M58" s="100"/>
      <c r="N58" s="100"/>
    </row>
    <row r="59" spans="1:14">
      <c r="A59" s="267" t="s">
        <v>790</v>
      </c>
      <c r="B59" s="267" t="s">
        <v>805</v>
      </c>
      <c r="C59" s="274">
        <f t="shared" si="15"/>
        <v>38772.521616449943</v>
      </c>
      <c r="D59" s="277">
        <v>20582.812684072233</v>
      </c>
      <c r="E59" s="278">
        <v>18189.708932377711</v>
      </c>
      <c r="F59" s="4" t="s">
        <v>802</v>
      </c>
      <c r="G59" s="100"/>
      <c r="H59" s="33" t="s">
        <v>763</v>
      </c>
      <c r="K59" s="267" t="s">
        <v>795</v>
      </c>
      <c r="N59" s="100"/>
    </row>
    <row r="60" spans="1:14">
      <c r="G60" s="100"/>
      <c r="H60" s="275" t="s">
        <v>809</v>
      </c>
      <c r="I60" s="275" t="s">
        <v>810</v>
      </c>
      <c r="J60" s="275" t="s">
        <v>811</v>
      </c>
      <c r="K60" s="4" t="s">
        <v>796</v>
      </c>
      <c r="N60" s="100"/>
    </row>
    <row r="61" spans="1:14">
      <c r="A61" s="267" t="s">
        <v>791</v>
      </c>
      <c r="B61" s="267" t="s">
        <v>803</v>
      </c>
      <c r="C61" s="274">
        <f>D61+E61</f>
        <v>21251.053152456036</v>
      </c>
      <c r="D61" s="274">
        <v>10908.413189307643</v>
      </c>
      <c r="E61" s="274">
        <v>10342.639963148395</v>
      </c>
      <c r="F61" s="282">
        <f>100*C63/C61</f>
        <v>46.918927763172526</v>
      </c>
      <c r="G61" s="100"/>
      <c r="H61" s="274">
        <f>H25+H33+H49</f>
        <v>1902697.4895739967</v>
      </c>
      <c r="I61" s="274">
        <f t="shared" ref="I61:J61" si="16">I25+I33+I49</f>
        <v>968493.45372359385</v>
      </c>
      <c r="J61" s="274">
        <f t="shared" si="16"/>
        <v>934202.96272051684</v>
      </c>
      <c r="K61" s="276">
        <f>100*H63/H61</f>
        <v>50.604440937445389</v>
      </c>
      <c r="L61" s="267" t="s">
        <v>764</v>
      </c>
      <c r="N61" s="100"/>
    </row>
    <row r="62" spans="1:14">
      <c r="A62" s="267" t="s">
        <v>791</v>
      </c>
      <c r="B62" s="267" t="s">
        <v>804</v>
      </c>
      <c r="C62" s="274">
        <f t="shared" ref="C62:C63" si="17">D62+E62</f>
        <v>11280.28687494179</v>
      </c>
      <c r="D62" s="274">
        <f>D61-D63</f>
        <v>5643.2664688782015</v>
      </c>
      <c r="E62" s="274">
        <f>E61-E63</f>
        <v>5637.0204060635897</v>
      </c>
      <c r="F62" s="4" t="s">
        <v>793</v>
      </c>
      <c r="G62" s="100"/>
      <c r="H62" s="274">
        <f t="shared" ref="H62:J62" si="18">H26+H34+H50</f>
        <v>939848.06451718579</v>
      </c>
      <c r="I62" s="274">
        <f t="shared" si="18"/>
        <v>477002.25430944958</v>
      </c>
      <c r="J62" s="274">
        <f t="shared" si="18"/>
        <v>462847.26248303259</v>
      </c>
      <c r="N62" s="100"/>
    </row>
    <row r="63" spans="1:14">
      <c r="A63" s="267" t="s">
        <v>791</v>
      </c>
      <c r="B63" s="267" t="s">
        <v>805</v>
      </c>
      <c r="C63" s="274">
        <f t="shared" si="17"/>
        <v>9970.7662775142453</v>
      </c>
      <c r="D63" s="277">
        <v>5265.1467204294413</v>
      </c>
      <c r="E63" s="278">
        <v>4705.6195570848049</v>
      </c>
      <c r="F63" s="4" t="s">
        <v>802</v>
      </c>
      <c r="G63" s="100"/>
      <c r="H63" s="274">
        <f t="shared" ref="H63:J63" si="19">H27+H35+H51</f>
        <v>962849.42732972931</v>
      </c>
      <c r="I63" s="274">
        <f t="shared" si="19"/>
        <v>491491.19941414404</v>
      </c>
      <c r="J63" s="274">
        <f t="shared" si="19"/>
        <v>471355.7002374843</v>
      </c>
      <c r="N63" s="100"/>
    </row>
    <row r="64" spans="1:14">
      <c r="G64" s="100"/>
      <c r="H64" s="285"/>
      <c r="I64" s="285"/>
      <c r="J64" s="285"/>
      <c r="K64" s="100"/>
      <c r="L64" s="100"/>
      <c r="M64" s="100"/>
      <c r="N64" s="100"/>
    </row>
    <row r="65" spans="8:10">
      <c r="H65" s="274"/>
      <c r="I65" s="274"/>
      <c r="J65" s="274"/>
    </row>
    <row r="66" spans="8:10">
      <c r="H66" s="274"/>
      <c r="I66" s="274"/>
      <c r="J66" s="274"/>
    </row>
  </sheetData>
  <phoneticPr fontId="1" type="noConversion"/>
  <pageMargins left="0.75" right="0.75" top="1" bottom="1" header="0.5" footer="0.5"/>
  <rowBreaks count="1" manualBreakCount="1">
    <brk id="42" max="16383" man="1" pt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H30"/>
  <sheetViews>
    <sheetView zoomScale="125" workbookViewId="0">
      <selection activeCell="H13" sqref="H13:J15"/>
    </sheetView>
  </sheetViews>
  <sheetFormatPr baseColWidth="10" defaultRowHeight="15"/>
  <cols>
    <col min="1" max="1" width="6.42578125" style="1" customWidth="1"/>
    <col min="2" max="2" width="10.7109375" style="1"/>
    <col min="3" max="3" width="8.140625" style="1" customWidth="1"/>
    <col min="4" max="7" width="10.7109375" style="1"/>
    <col min="8" max="8" width="9" style="1" customWidth="1"/>
    <col min="9" max="9" width="9.28515625" style="1" customWidth="1"/>
    <col min="10" max="10" width="8.7109375" style="1" customWidth="1"/>
    <col min="11" max="16" width="10.7109375" style="1"/>
    <col min="17" max="17" width="4.7109375" style="1" customWidth="1"/>
    <col min="18" max="18" width="10.7109375" style="1"/>
    <col min="19" max="19" width="4.7109375" style="222" customWidth="1"/>
    <col min="20" max="20" width="8.7109375" style="222" customWidth="1"/>
    <col min="21" max="21" width="11.140625" style="222" customWidth="1"/>
    <col min="22" max="22" width="7.85546875" style="222" customWidth="1"/>
    <col min="23" max="23" width="5" style="222" customWidth="1"/>
    <col min="24" max="26" width="8.7109375" style="1" customWidth="1"/>
    <col min="27" max="27" width="4.7109375" style="1" customWidth="1"/>
    <col min="28" max="30" width="9.28515625" style="1" customWidth="1"/>
    <col min="31" max="16384" width="10.7109375" style="1"/>
  </cols>
  <sheetData>
    <row r="1" spans="1:34" ht="17">
      <c r="B1" s="3" t="s">
        <v>422</v>
      </c>
    </row>
    <row r="2" spans="1:34">
      <c r="B2" s="1" t="s">
        <v>421</v>
      </c>
    </row>
    <row r="4" spans="1:34">
      <c r="A4" s="13" t="s">
        <v>327</v>
      </c>
    </row>
    <row r="5" spans="1:34">
      <c r="E5" s="4" t="s">
        <v>540</v>
      </c>
      <c r="F5" s="4" t="s">
        <v>729</v>
      </c>
      <c r="G5" s="4" t="s">
        <v>730</v>
      </c>
      <c r="H5" s="4" t="s">
        <v>731</v>
      </c>
      <c r="I5" s="4" t="s">
        <v>732</v>
      </c>
      <c r="J5" s="4" t="s">
        <v>733</v>
      </c>
      <c r="K5" s="4" t="s">
        <v>300</v>
      </c>
      <c r="L5" s="4" t="s">
        <v>423</v>
      </c>
      <c r="M5" s="4" t="s">
        <v>424</v>
      </c>
      <c r="N5" s="4" t="s">
        <v>425</v>
      </c>
      <c r="O5" s="4" t="s">
        <v>426</v>
      </c>
      <c r="P5" s="4" t="s">
        <v>427</v>
      </c>
    </row>
    <row r="6" spans="1:34">
      <c r="G6" s="1" t="s">
        <v>736</v>
      </c>
    </row>
    <row r="7" spans="1:34">
      <c r="G7" s="1" t="s">
        <v>737</v>
      </c>
      <c r="H7" s="1" t="s">
        <v>738</v>
      </c>
      <c r="K7" s="6" t="s">
        <v>736</v>
      </c>
      <c r="L7" s="6"/>
      <c r="M7" s="6"/>
      <c r="N7" s="6"/>
      <c r="O7" s="4"/>
      <c r="P7" s="4"/>
      <c r="R7" s="81"/>
      <c r="S7" s="81"/>
      <c r="T7" s="81" t="s">
        <v>526</v>
      </c>
      <c r="U7" s="81"/>
      <c r="V7" s="81"/>
      <c r="W7" s="81"/>
      <c r="X7" s="1" t="s">
        <v>107</v>
      </c>
      <c r="AE7" s="81"/>
      <c r="AF7" s="81"/>
    </row>
    <row r="8" spans="1:34">
      <c r="E8" s="4" t="s">
        <v>734</v>
      </c>
      <c r="F8" s="4" t="s">
        <v>735</v>
      </c>
      <c r="G8" s="4"/>
      <c r="H8" s="4" t="s">
        <v>737</v>
      </c>
      <c r="I8" s="4" t="s">
        <v>739</v>
      </c>
      <c r="J8" s="4" t="s">
        <v>740</v>
      </c>
      <c r="K8" s="6" t="s">
        <v>456</v>
      </c>
      <c r="L8" s="6"/>
      <c r="M8" s="6"/>
      <c r="N8" s="6" t="s">
        <v>541</v>
      </c>
      <c r="O8" s="4"/>
      <c r="P8" s="4"/>
      <c r="R8" s="81"/>
      <c r="S8" s="81"/>
      <c r="T8" s="81" t="s">
        <v>527</v>
      </c>
      <c r="U8" s="81"/>
      <c r="V8" s="81"/>
      <c r="W8" s="81"/>
      <c r="X8" s="1" t="s">
        <v>655</v>
      </c>
      <c r="AB8" s="18" t="s">
        <v>439</v>
      </c>
      <c r="AC8" s="19"/>
      <c r="AD8" s="20"/>
      <c r="AE8" s="81"/>
      <c r="AF8" s="81"/>
    </row>
    <row r="9" spans="1:34" ht="16" thickBot="1">
      <c r="A9" s="4" t="s">
        <v>608</v>
      </c>
      <c r="B9" s="4" t="s">
        <v>609</v>
      </c>
      <c r="C9" s="4" t="s">
        <v>610</v>
      </c>
      <c r="D9" s="4"/>
      <c r="E9" s="4" t="s">
        <v>611</v>
      </c>
      <c r="F9" s="4" t="s">
        <v>611</v>
      </c>
      <c r="G9" s="4" t="s">
        <v>611</v>
      </c>
      <c r="H9" s="4" t="s">
        <v>611</v>
      </c>
      <c r="I9" s="4" t="s">
        <v>611</v>
      </c>
      <c r="J9" s="4" t="s">
        <v>611</v>
      </c>
      <c r="K9" s="4" t="s">
        <v>737</v>
      </c>
      <c r="L9" s="4" t="s">
        <v>739</v>
      </c>
      <c r="M9" s="4" t="s">
        <v>740</v>
      </c>
      <c r="N9" s="4" t="s">
        <v>737</v>
      </c>
      <c r="O9" s="4" t="s">
        <v>739</v>
      </c>
      <c r="P9" s="4" t="s">
        <v>740</v>
      </c>
      <c r="R9" s="81"/>
      <c r="S9" s="81"/>
      <c r="T9" s="81" t="s">
        <v>618</v>
      </c>
      <c r="U9" s="81"/>
      <c r="V9" s="81"/>
      <c r="W9" s="81"/>
      <c r="X9" s="71" t="s">
        <v>103</v>
      </c>
      <c r="Y9" s="71" t="s">
        <v>104</v>
      </c>
      <c r="Z9" s="71" t="s">
        <v>105</v>
      </c>
      <c r="AB9" s="71" t="s">
        <v>103</v>
      </c>
      <c r="AC9" s="71" t="s">
        <v>104</v>
      </c>
      <c r="AD9" s="71" t="s">
        <v>105</v>
      </c>
      <c r="AE9" s="81"/>
      <c r="AF9" s="81"/>
    </row>
    <row r="10" spans="1:34" ht="16" thickBot="1">
      <c r="A10" s="42">
        <v>1</v>
      </c>
      <c r="B10" s="42" t="s">
        <v>612</v>
      </c>
      <c r="C10" s="42" t="s">
        <v>737</v>
      </c>
      <c r="D10" s="42"/>
      <c r="E10" s="46">
        <v>2486</v>
      </c>
      <c r="F10" s="46">
        <v>3481</v>
      </c>
      <c r="G10" s="46">
        <v>21857</v>
      </c>
      <c r="H10" s="46">
        <v>21451</v>
      </c>
      <c r="I10" s="46">
        <v>10870</v>
      </c>
      <c r="J10" s="46">
        <v>10581</v>
      </c>
      <c r="K10" s="45">
        <v>344</v>
      </c>
      <c r="L10" s="45">
        <v>192</v>
      </c>
      <c r="M10" s="45">
        <v>152</v>
      </c>
      <c r="N10" s="45">
        <v>62</v>
      </c>
      <c r="O10" s="45">
        <v>27</v>
      </c>
      <c r="P10" s="45">
        <v>35</v>
      </c>
      <c r="R10" s="4" t="s">
        <v>44</v>
      </c>
      <c r="S10" s="4"/>
      <c r="T10" s="81"/>
      <c r="U10" s="81"/>
      <c r="V10" s="81"/>
      <c r="W10" s="4"/>
      <c r="X10" s="106"/>
      <c r="Y10" s="106"/>
      <c r="Z10" s="106"/>
      <c r="AA10" s="81"/>
      <c r="AB10" s="152">
        <f>AC10+AD10</f>
        <v>10161.479340476124</v>
      </c>
      <c r="AC10" s="149">
        <f t="shared" ref="AC10:AD12" si="0">AC14+AC18</f>
        <v>9543.7868021961785</v>
      </c>
      <c r="AD10" s="149">
        <f t="shared" si="0"/>
        <v>617.69253827994589</v>
      </c>
      <c r="AE10" s="6" t="s">
        <v>44</v>
      </c>
      <c r="AF10" s="81"/>
    </row>
    <row r="11" spans="1:34">
      <c r="A11" s="42">
        <v>2</v>
      </c>
      <c r="B11" s="42" t="s">
        <v>612</v>
      </c>
      <c r="C11" s="42" t="s">
        <v>297</v>
      </c>
      <c r="D11" s="42"/>
      <c r="E11" s="45" t="s">
        <v>298</v>
      </c>
      <c r="F11" s="45" t="s">
        <v>298</v>
      </c>
      <c r="G11" s="45" t="s">
        <v>298</v>
      </c>
      <c r="H11" s="44">
        <v>10709</v>
      </c>
      <c r="I11" s="44">
        <v>5532</v>
      </c>
      <c r="J11" s="44">
        <v>5177</v>
      </c>
      <c r="K11" s="45" t="s">
        <v>298</v>
      </c>
      <c r="L11" s="45" t="s">
        <v>298</v>
      </c>
      <c r="M11" s="45" t="s">
        <v>298</v>
      </c>
      <c r="N11" s="45">
        <v>36</v>
      </c>
      <c r="O11" s="45">
        <v>16</v>
      </c>
      <c r="P11" s="45">
        <v>20</v>
      </c>
      <c r="R11" s="4" t="s">
        <v>462</v>
      </c>
      <c r="S11" s="4"/>
      <c r="T11" s="81" t="s">
        <v>186</v>
      </c>
      <c r="U11" s="81"/>
      <c r="V11" s="81"/>
      <c r="W11" s="4"/>
      <c r="X11" s="106"/>
      <c r="Y11" s="106"/>
      <c r="Z11" s="106"/>
      <c r="AA11" s="81"/>
      <c r="AB11" s="149">
        <f t="shared" ref="AB11:AB20" si="1">AC11+AD11</f>
        <v>383.68642189660932</v>
      </c>
      <c r="AC11" s="149">
        <f t="shared" si="0"/>
        <v>287.08747405943745</v>
      </c>
      <c r="AD11" s="149">
        <f t="shared" si="0"/>
        <v>96.598947837171877</v>
      </c>
      <c r="AE11" s="6" t="s">
        <v>462</v>
      </c>
      <c r="AF11" s="81"/>
    </row>
    <row r="12" spans="1:34">
      <c r="A12" s="42">
        <v>3</v>
      </c>
      <c r="B12" s="42" t="s">
        <v>612</v>
      </c>
      <c r="C12" s="42" t="s">
        <v>299</v>
      </c>
      <c r="D12" s="42"/>
      <c r="E12" s="45" t="s">
        <v>298</v>
      </c>
      <c r="F12" s="45" t="s">
        <v>298</v>
      </c>
      <c r="G12" s="45" t="s">
        <v>298</v>
      </c>
      <c r="H12" s="44">
        <v>10742</v>
      </c>
      <c r="I12" s="44">
        <v>5338</v>
      </c>
      <c r="J12" s="44">
        <v>5404</v>
      </c>
      <c r="K12" s="45" t="s">
        <v>298</v>
      </c>
      <c r="L12" s="45" t="s">
        <v>298</v>
      </c>
      <c r="M12" s="45" t="s">
        <v>298</v>
      </c>
      <c r="N12" s="45">
        <v>26</v>
      </c>
      <c r="O12" s="45">
        <v>11</v>
      </c>
      <c r="P12" s="45">
        <v>15</v>
      </c>
      <c r="R12" s="4" t="s">
        <v>384</v>
      </c>
      <c r="S12" s="4"/>
      <c r="T12" s="81" t="s">
        <v>577</v>
      </c>
      <c r="U12" s="81"/>
      <c r="V12" s="81">
        <v>538</v>
      </c>
      <c r="W12" s="4"/>
      <c r="X12" s="106"/>
      <c r="Y12" s="106"/>
      <c r="Z12" s="106"/>
      <c r="AA12" s="81"/>
      <c r="AB12" s="149">
        <f t="shared" si="1"/>
        <v>9777.7929185795128</v>
      </c>
      <c r="AC12" s="149">
        <f t="shared" si="0"/>
        <v>9256.6993281367395</v>
      </c>
      <c r="AD12" s="149">
        <f t="shared" si="0"/>
        <v>521.09359044277403</v>
      </c>
      <c r="AE12" s="6" t="s">
        <v>384</v>
      </c>
      <c r="AF12" s="81"/>
    </row>
    <row r="13" spans="1:34" s="142" customFormat="1">
      <c r="A13" s="113" t="s">
        <v>258</v>
      </c>
      <c r="B13" s="100">
        <v>1774</v>
      </c>
      <c r="C13" s="142" t="s">
        <v>737</v>
      </c>
      <c r="E13" s="113"/>
      <c r="F13" s="113"/>
      <c r="G13" s="143">
        <v>41694.424264445166</v>
      </c>
      <c r="H13" s="144">
        <f>H10*(EXP(LN(H16/H10)/11.5)^9.5)</f>
        <v>41207.637727081477</v>
      </c>
      <c r="I13" s="116">
        <f>41207.64*I10/21451</f>
        <v>20881.406312060044</v>
      </c>
      <c r="J13" s="116">
        <f>41207.64*J10/21451</f>
        <v>20326.233687939955</v>
      </c>
      <c r="K13" s="146">
        <f>K10*(EXP(LN(K16/K10)/11.5)^9.5)</f>
        <v>459.20768478788597</v>
      </c>
      <c r="L13" s="147">
        <f>L10*459.21/344</f>
        <v>256.30325581395346</v>
      </c>
      <c r="M13" s="145">
        <f>K13-L13</f>
        <v>202.90442897393251</v>
      </c>
      <c r="N13" s="113"/>
      <c r="O13" s="113"/>
      <c r="P13" s="113"/>
      <c r="R13" s="27"/>
      <c r="S13" s="27"/>
      <c r="T13" s="81" t="s">
        <v>579</v>
      </c>
      <c r="U13" s="81"/>
      <c r="V13" s="4" t="s">
        <v>187</v>
      </c>
      <c r="W13" s="27"/>
      <c r="X13" s="106"/>
      <c r="Y13" s="106"/>
      <c r="Z13" s="106"/>
      <c r="AA13" s="81"/>
      <c r="AB13" s="149"/>
      <c r="AC13" s="149"/>
      <c r="AD13" s="149"/>
      <c r="AE13" s="122"/>
      <c r="AF13" s="81"/>
      <c r="AG13" s="1"/>
      <c r="AH13" s="1"/>
    </row>
    <row r="14" spans="1:34" s="142" customFormat="1">
      <c r="A14" s="113" t="s">
        <v>258</v>
      </c>
      <c r="B14" s="100">
        <v>1774</v>
      </c>
      <c r="C14" s="142" t="s">
        <v>297</v>
      </c>
      <c r="E14" s="113"/>
      <c r="F14" s="113"/>
      <c r="G14" s="144">
        <f>H14+K14</f>
        <v>20801.837784213265</v>
      </c>
      <c r="H14" s="116">
        <f>I14+J14</f>
        <v>20572.123293086566</v>
      </c>
      <c r="I14" s="116">
        <f>41207.64*I11/21451</f>
        <v>10627.041372430189</v>
      </c>
      <c r="J14" s="116">
        <f>41207.64*J11/21451</f>
        <v>9945.0819206563792</v>
      </c>
      <c r="K14" s="147">
        <f>L14+M14</f>
        <v>229.71449112670038</v>
      </c>
      <c r="L14" s="147">
        <f>L13*I14/I13</f>
        <v>130.4387866755097</v>
      </c>
      <c r="M14" s="147">
        <f>M13*J14/J13</f>
        <v>99.275704451190677</v>
      </c>
      <c r="N14" s="113"/>
      <c r="O14" s="113"/>
      <c r="P14" s="113"/>
      <c r="R14" s="4" t="s">
        <v>493</v>
      </c>
      <c r="S14" s="4"/>
      <c r="T14" s="81" t="s">
        <v>691</v>
      </c>
      <c r="U14" s="228"/>
      <c r="V14" s="232" t="s">
        <v>188</v>
      </c>
      <c r="W14" s="4"/>
      <c r="X14" s="106"/>
      <c r="Y14" s="106"/>
      <c r="Z14" s="106"/>
      <c r="AA14" s="81"/>
      <c r="AB14" s="149">
        <f t="shared" si="1"/>
        <v>10039.651969987635</v>
      </c>
      <c r="AC14" s="149">
        <f>AC15+AC16</f>
        <v>9428.0645370972761</v>
      </c>
      <c r="AD14" s="149">
        <f>AD15+AD16</f>
        <v>611.58743289035863</v>
      </c>
      <c r="AE14" s="6" t="s">
        <v>493</v>
      </c>
      <c r="AF14" s="81"/>
    </row>
    <row r="15" spans="1:34" s="142" customFormat="1">
      <c r="A15" s="113" t="s">
        <v>258</v>
      </c>
      <c r="B15" s="100">
        <v>1774</v>
      </c>
      <c r="C15" s="142" t="s">
        <v>299</v>
      </c>
      <c r="E15" s="113"/>
      <c r="F15" s="113"/>
      <c r="G15" s="144">
        <f>H15+K15</f>
        <v>20865.00990057462</v>
      </c>
      <c r="H15" s="116">
        <f>I15+J15</f>
        <v>20635.516706913433</v>
      </c>
      <c r="I15" s="116">
        <f>I13-I14</f>
        <v>10254.364939629855</v>
      </c>
      <c r="J15" s="116">
        <f>J13-J14</f>
        <v>10381.151767283576</v>
      </c>
      <c r="K15" s="147">
        <f>L15+M15</f>
        <v>229.49319366118559</v>
      </c>
      <c r="L15" s="147">
        <f>L13-L14</f>
        <v>125.86446913844375</v>
      </c>
      <c r="M15" s="147">
        <f>M13-M14</f>
        <v>103.62872452274183</v>
      </c>
      <c r="N15" s="113"/>
      <c r="O15" s="113"/>
      <c r="P15" s="113"/>
      <c r="R15" s="4" t="s">
        <v>494</v>
      </c>
      <c r="S15" s="4"/>
      <c r="T15" s="81" t="s">
        <v>633</v>
      </c>
      <c r="U15" s="81"/>
      <c r="V15" s="81"/>
      <c r="W15" s="4"/>
      <c r="X15" s="106"/>
      <c r="Y15" s="106">
        <f>0.3055*0.08735594694013</f>
        <v>2.6687241790209718E-2</v>
      </c>
      <c r="Z15" s="106">
        <f>0.2974*0.03233771019902</f>
        <v>9.6172350131885475E-3</v>
      </c>
      <c r="AA15" s="112"/>
      <c r="AB15" s="149">
        <f t="shared" si="1"/>
        <v>379.25061267697151</v>
      </c>
      <c r="AC15" s="150">
        <f>Y15*I14</f>
        <v>283.60642262060657</v>
      </c>
      <c r="AD15" s="150">
        <f>Z15*J14</f>
        <v>95.644190056364934</v>
      </c>
      <c r="AE15" s="6" t="s">
        <v>494</v>
      </c>
      <c r="AF15" s="112"/>
    </row>
    <row r="16" spans="1:34">
      <c r="A16" s="1">
        <v>4</v>
      </c>
      <c r="B16" s="1">
        <v>1776</v>
      </c>
      <c r="E16" s="4" t="s">
        <v>298</v>
      </c>
      <c r="F16" s="4" t="s">
        <v>298</v>
      </c>
      <c r="G16" s="5">
        <v>47767</v>
      </c>
      <c r="H16" s="5">
        <v>47279</v>
      </c>
      <c r="I16" s="4" t="s">
        <v>298</v>
      </c>
      <c r="J16" s="4" t="s">
        <v>298</v>
      </c>
      <c r="K16" s="4">
        <v>488</v>
      </c>
      <c r="L16" s="4" t="s">
        <v>298</v>
      </c>
      <c r="M16" s="4" t="s">
        <v>298</v>
      </c>
      <c r="N16" s="4" t="s">
        <v>298</v>
      </c>
      <c r="O16" s="4" t="s">
        <v>298</v>
      </c>
      <c r="P16" s="4" t="s">
        <v>298</v>
      </c>
      <c r="R16" s="4" t="s">
        <v>487</v>
      </c>
      <c r="S16" s="4"/>
      <c r="T16" s="81" t="s">
        <v>634</v>
      </c>
      <c r="U16" s="81"/>
      <c r="V16" s="81"/>
      <c r="W16" s="4"/>
      <c r="X16" s="106"/>
      <c r="Y16" s="106">
        <v>0.89176250000000001</v>
      </c>
      <c r="Z16" s="106">
        <v>4.9700000000000001E-2</v>
      </c>
      <c r="AA16" s="112"/>
      <c r="AB16" s="149">
        <f t="shared" si="1"/>
        <v>9660.4013573106622</v>
      </c>
      <c r="AC16" s="150">
        <f>Y16*I15</f>
        <v>9144.4581144766689</v>
      </c>
      <c r="AD16" s="150">
        <f>Z16*J15</f>
        <v>515.94324283399374</v>
      </c>
      <c r="AE16" s="6" t="s">
        <v>487</v>
      </c>
      <c r="AF16" s="112"/>
      <c r="AG16" s="142"/>
      <c r="AH16" s="142"/>
    </row>
    <row r="17" spans="1:32">
      <c r="A17" s="1">
        <v>5</v>
      </c>
      <c r="B17" s="1">
        <v>1784</v>
      </c>
      <c r="E17" s="4" t="s">
        <v>298</v>
      </c>
      <c r="F17" s="4" t="s">
        <v>298</v>
      </c>
      <c r="G17" s="5">
        <v>50493</v>
      </c>
      <c r="H17" s="4" t="s">
        <v>298</v>
      </c>
      <c r="I17" s="4" t="s">
        <v>298</v>
      </c>
      <c r="J17" s="4" t="s">
        <v>298</v>
      </c>
      <c r="K17" s="4" t="s">
        <v>298</v>
      </c>
      <c r="L17" s="4" t="s">
        <v>298</v>
      </c>
      <c r="M17" s="4" t="s">
        <v>298</v>
      </c>
      <c r="N17" s="4" t="s">
        <v>298</v>
      </c>
      <c r="O17" s="4" t="s">
        <v>298</v>
      </c>
      <c r="P17" s="4" t="s">
        <v>298</v>
      </c>
      <c r="R17" s="27"/>
      <c r="S17" s="27"/>
      <c r="T17" s="81" t="s">
        <v>635</v>
      </c>
      <c r="U17" s="81"/>
      <c r="V17" s="81"/>
      <c r="W17" s="27"/>
      <c r="X17" s="106"/>
      <c r="Y17" s="106"/>
      <c r="Z17" s="106"/>
      <c r="AA17" s="112"/>
      <c r="AB17" s="149"/>
      <c r="AC17" s="150"/>
      <c r="AD17" s="150"/>
      <c r="AE17" s="122"/>
      <c r="AF17" s="112"/>
    </row>
    <row r="18" spans="1:32">
      <c r="E18" s="4"/>
      <c r="F18" s="4"/>
      <c r="G18" s="5"/>
      <c r="H18" s="4"/>
      <c r="I18" s="4"/>
      <c r="J18" s="4"/>
      <c r="K18" s="4"/>
      <c r="L18" s="4"/>
      <c r="M18" s="4"/>
      <c r="N18" s="4"/>
      <c r="O18" s="4"/>
      <c r="P18" s="4"/>
      <c r="R18" s="4" t="s">
        <v>557</v>
      </c>
      <c r="S18" s="4"/>
      <c r="T18" s="4"/>
      <c r="U18" s="4"/>
      <c r="V18" s="4"/>
      <c r="W18" s="4"/>
      <c r="X18" s="106"/>
      <c r="Y18" s="106"/>
      <c r="Z18" s="106"/>
      <c r="AA18" s="81"/>
      <c r="AB18" s="149">
        <f t="shared" si="1"/>
        <v>121.82737048848959</v>
      </c>
      <c r="AC18" s="149">
        <f>AC19+AC20</f>
        <v>115.72226509890237</v>
      </c>
      <c r="AD18" s="149">
        <f>AD19+AD20</f>
        <v>6.1051053895872176</v>
      </c>
      <c r="AE18" s="6" t="s">
        <v>557</v>
      </c>
      <c r="AF18" s="81"/>
    </row>
    <row r="19" spans="1:32">
      <c r="A19" s="1" t="s">
        <v>556</v>
      </c>
      <c r="R19" s="4" t="s">
        <v>328</v>
      </c>
      <c r="S19" s="4"/>
      <c r="T19" s="4"/>
      <c r="U19" s="4"/>
      <c r="V19" s="4"/>
      <c r="W19" s="4"/>
      <c r="X19" s="106"/>
      <c r="Y19" s="106">
        <f>0.3055*0.08735594694013</f>
        <v>2.6687241790209718E-2</v>
      </c>
      <c r="Z19" s="106">
        <f>0.2974*0.03233771019902</f>
        <v>9.6172350131885475E-3</v>
      </c>
      <c r="AB19" s="149">
        <f t="shared" si="1"/>
        <v>4.4358092196378616</v>
      </c>
      <c r="AC19" s="151">
        <f>Y19*L14</f>
        <v>3.4810514388309128</v>
      </c>
      <c r="AD19" s="151">
        <f>Z19*M14</f>
        <v>0.95475778080694906</v>
      </c>
      <c r="AE19" s="6" t="s">
        <v>328</v>
      </c>
      <c r="AF19" s="81"/>
    </row>
    <row r="20" spans="1:32">
      <c r="R20" s="4" t="s">
        <v>329</v>
      </c>
      <c r="S20" s="4"/>
      <c r="T20" s="4"/>
      <c r="U20" s="4"/>
      <c r="V20" s="4"/>
      <c r="W20" s="4"/>
      <c r="X20" s="106"/>
      <c r="Y20" s="106">
        <v>0.89176250000000001</v>
      </c>
      <c r="Z20" s="106">
        <v>4.9700000000000001E-2</v>
      </c>
      <c r="AB20" s="149">
        <f t="shared" si="1"/>
        <v>117.39156126885172</v>
      </c>
      <c r="AC20" s="151">
        <f>Y20*L15</f>
        <v>112.24121366007145</v>
      </c>
      <c r="AD20" s="151">
        <f>Z20*M15</f>
        <v>5.1503476087802689</v>
      </c>
      <c r="AE20" s="6" t="s">
        <v>329</v>
      </c>
      <c r="AF20" s="81"/>
    </row>
    <row r="21" spans="1:32">
      <c r="A21" s="59" t="s">
        <v>259</v>
      </c>
      <c r="F21" s="81"/>
      <c r="G21" s="81" t="s">
        <v>162</v>
      </c>
      <c r="R21" s="4" t="s">
        <v>330</v>
      </c>
      <c r="S21" s="4"/>
      <c r="T21" s="4"/>
      <c r="U21" s="4"/>
      <c r="V21" s="4"/>
      <c r="W21" s="4"/>
      <c r="AB21" s="151"/>
      <c r="AC21" s="151"/>
      <c r="AD21" s="151"/>
      <c r="AE21" s="81"/>
      <c r="AF21" s="81"/>
    </row>
    <row r="22" spans="1:32">
      <c r="A22" s="1" t="s">
        <v>72</v>
      </c>
      <c r="F22" s="81"/>
      <c r="G22" s="1" t="s">
        <v>73</v>
      </c>
      <c r="R22" s="4" t="s">
        <v>331</v>
      </c>
      <c r="S22" s="4"/>
      <c r="T22" s="4"/>
      <c r="U22" s="4"/>
      <c r="V22" s="4"/>
      <c r="W22" s="4"/>
      <c r="AB22" s="1" t="s">
        <v>109</v>
      </c>
      <c r="AC22" s="1" t="s">
        <v>410</v>
      </c>
      <c r="AE22" s="81"/>
      <c r="AF22" s="81"/>
    </row>
    <row r="23" spans="1:32">
      <c r="A23" s="1" t="s">
        <v>160</v>
      </c>
      <c r="F23" s="81"/>
      <c r="G23" s="1" t="s">
        <v>74</v>
      </c>
      <c r="R23" s="81"/>
      <c r="S23" s="81"/>
      <c r="T23" s="81"/>
      <c r="U23" s="81"/>
      <c r="V23" s="81"/>
      <c r="W23" s="81"/>
      <c r="AC23" s="1" t="s">
        <v>302</v>
      </c>
      <c r="AE23" s="81"/>
      <c r="AF23" s="81"/>
    </row>
    <row r="24" spans="1:32">
      <c r="A24" s="1" t="s">
        <v>484</v>
      </c>
      <c r="F24" s="81"/>
      <c r="G24" s="1" t="s">
        <v>135</v>
      </c>
      <c r="R24" s="81"/>
      <c r="S24" s="81"/>
      <c r="T24" s="81"/>
      <c r="U24" s="81"/>
      <c r="V24" s="81"/>
      <c r="W24" s="81"/>
      <c r="AC24" s="1" t="s">
        <v>303</v>
      </c>
      <c r="AE24" s="81"/>
      <c r="AF24" s="81"/>
    </row>
    <row r="25" spans="1:32">
      <c r="A25" s="1" t="s">
        <v>394</v>
      </c>
      <c r="F25" s="81"/>
      <c r="G25" s="1" t="s">
        <v>307</v>
      </c>
      <c r="R25" s="81"/>
      <c r="S25" s="81"/>
      <c r="T25" s="81"/>
      <c r="U25" s="81"/>
      <c r="V25" s="81"/>
      <c r="W25" s="81"/>
      <c r="AC25" s="81"/>
      <c r="AE25" s="81"/>
      <c r="AF25" s="81"/>
    </row>
    <row r="26" spans="1:32">
      <c r="A26" s="120"/>
      <c r="F26" s="81"/>
      <c r="R26" s="81"/>
      <c r="S26" s="81"/>
      <c r="T26" s="81"/>
      <c r="U26" s="81"/>
      <c r="V26" s="81"/>
      <c r="W26" s="81"/>
      <c r="AC26" s="140"/>
      <c r="AE26" s="81"/>
      <c r="AF26" s="81"/>
    </row>
    <row r="27" spans="1:32">
      <c r="A27" s="1" t="s">
        <v>392</v>
      </c>
      <c r="F27" s="81"/>
      <c r="H27" s="4" t="s">
        <v>474</v>
      </c>
      <c r="I27" s="4" t="s">
        <v>739</v>
      </c>
      <c r="J27" s="4" t="s">
        <v>740</v>
      </c>
      <c r="R27" s="81"/>
      <c r="S27" s="81"/>
      <c r="T27" s="81"/>
      <c r="U27" s="81"/>
      <c r="V27" s="81"/>
      <c r="W27" s="81"/>
      <c r="AB27" s="1" t="s">
        <v>337</v>
      </c>
      <c r="AE27" s="81"/>
      <c r="AF27" s="81"/>
    </row>
    <row r="28" spans="1:32">
      <c r="A28" s="1" t="s">
        <v>393</v>
      </c>
      <c r="F28" s="81"/>
      <c r="G28" s="4" t="s">
        <v>535</v>
      </c>
      <c r="H28" s="148">
        <f>I28+J28</f>
        <v>6273.6021463137822</v>
      </c>
      <c r="I28" s="148">
        <f>I29+I30</f>
        <v>3286.4101886067911</v>
      </c>
      <c r="J28" s="148">
        <f>J29+J30</f>
        <v>2987.1919577069912</v>
      </c>
      <c r="R28" s="81"/>
      <c r="S28" s="81"/>
      <c r="T28" s="81"/>
      <c r="U28" s="81"/>
      <c r="V28" s="81"/>
      <c r="W28" s="81"/>
      <c r="AB28" s="153">
        <f>AB10/8414</f>
        <v>1.2076871096358597</v>
      </c>
      <c r="AC28" s="1" t="s">
        <v>338</v>
      </c>
      <c r="AE28" s="81"/>
      <c r="AF28" s="81"/>
    </row>
    <row r="29" spans="1:32">
      <c r="G29" s="4" t="s">
        <v>536</v>
      </c>
      <c r="H29" s="148">
        <f t="shared" ref="H29:H30" si="2">I29+J29</f>
        <v>6204.2285024806297</v>
      </c>
      <c r="I29" s="148">
        <f>0.3055*I14</f>
        <v>3246.5611392774226</v>
      </c>
      <c r="J29" s="148">
        <f>0.2974*J14</f>
        <v>2957.6673632032071</v>
      </c>
      <c r="R29" s="81"/>
      <c r="S29" s="81"/>
      <c r="T29" s="81"/>
      <c r="U29" s="81"/>
      <c r="V29" s="81"/>
      <c r="W29" s="81"/>
      <c r="AB29" s="153">
        <f>AB14/8337</f>
        <v>1.2042283759131145</v>
      </c>
      <c r="AC29" s="1" t="s">
        <v>232</v>
      </c>
      <c r="AE29" s="81"/>
      <c r="AF29" s="81"/>
    </row>
    <row r="30" spans="1:32">
      <c r="G30" s="4" t="s">
        <v>656</v>
      </c>
      <c r="H30" s="148">
        <f t="shared" si="2"/>
        <v>69.373643833152329</v>
      </c>
      <c r="I30" s="148">
        <f>0.3055*L14</f>
        <v>39.849049329368214</v>
      </c>
      <c r="J30" s="148">
        <f>0.2974*M14</f>
        <v>29.524594503784108</v>
      </c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154">
        <f>AB18/77</f>
        <v>1.5821736427076571</v>
      </c>
      <c r="AC30" s="81" t="s">
        <v>440</v>
      </c>
      <c r="AD30" s="81"/>
      <c r="AE30" s="81"/>
      <c r="AF30" s="81"/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J38"/>
  <sheetViews>
    <sheetView topLeftCell="A3" workbookViewId="0">
      <selection activeCell="I17" sqref="I17:I19"/>
    </sheetView>
  </sheetViews>
  <sheetFormatPr baseColWidth="10" defaultRowHeight="15"/>
  <cols>
    <col min="1" max="1" width="6" style="81" customWidth="1"/>
    <col min="2" max="2" width="6.7109375" style="81" customWidth="1"/>
    <col min="3" max="13" width="10.7109375" style="81"/>
    <col min="14" max="14" width="9.42578125" style="81" customWidth="1"/>
    <col min="15" max="15" width="11.140625" style="81" customWidth="1"/>
    <col min="16" max="16" width="8.85546875" style="81" customWidth="1"/>
    <col min="17" max="17" width="6.5703125" style="81" customWidth="1"/>
    <col min="18" max="18" width="9.140625" style="81" customWidth="1"/>
    <col min="19" max="19" width="10.7109375" style="81" customWidth="1"/>
    <col min="20" max="20" width="9.140625" style="81" customWidth="1"/>
    <col min="21" max="21" width="12.85546875" style="81" customWidth="1"/>
    <col min="22" max="24" width="10" style="81" customWidth="1"/>
    <col min="25" max="25" width="8.5703125" style="81" customWidth="1"/>
    <col min="26" max="26" width="10.7109375" style="81"/>
    <col min="27" max="27" width="9.28515625" style="81" customWidth="1"/>
    <col min="28" max="28" width="9.85546875" style="81" customWidth="1"/>
    <col min="29" max="29" width="9.42578125" style="81" customWidth="1"/>
    <col min="30" max="30" width="6.7109375" style="81" customWidth="1"/>
    <col min="31" max="16384" width="10.7109375" style="81"/>
  </cols>
  <sheetData>
    <row r="1" spans="1:34" ht="17">
      <c r="B1" s="82" t="s">
        <v>433</v>
      </c>
    </row>
    <row r="2" spans="1:34">
      <c r="B2" s="81" t="s">
        <v>421</v>
      </c>
    </row>
    <row r="4" spans="1:34">
      <c r="D4" s="4" t="s">
        <v>276</v>
      </c>
      <c r="E4" s="4" t="s">
        <v>277</v>
      </c>
      <c r="F4" s="4" t="s">
        <v>278</v>
      </c>
      <c r="G4" s="4" t="s">
        <v>279</v>
      </c>
      <c r="H4" s="4" t="s">
        <v>280</v>
      </c>
      <c r="I4" s="4" t="s">
        <v>281</v>
      </c>
      <c r="J4" s="4" t="s">
        <v>287</v>
      </c>
      <c r="K4" s="4" t="s">
        <v>288</v>
      </c>
      <c r="L4" s="4" t="s">
        <v>289</v>
      </c>
      <c r="M4" s="4" t="s">
        <v>290</v>
      </c>
      <c r="N4" s="4" t="s">
        <v>291</v>
      </c>
      <c r="O4" s="4" t="s">
        <v>292</v>
      </c>
      <c r="P4" s="4" t="s">
        <v>395</v>
      </c>
      <c r="R4" s="81" t="s">
        <v>564</v>
      </c>
      <c r="AE4" s="161" t="s">
        <v>321</v>
      </c>
    </row>
    <row r="5" spans="1:34">
      <c r="D5" s="81" t="s">
        <v>737</v>
      </c>
      <c r="E5" s="83" t="s">
        <v>282</v>
      </c>
      <c r="F5" s="84"/>
      <c r="G5" s="84"/>
      <c r="H5" s="84"/>
      <c r="I5" s="84"/>
      <c r="J5" s="84" t="s">
        <v>282</v>
      </c>
      <c r="K5" s="84"/>
      <c r="L5" s="85"/>
      <c r="M5" s="83" t="s">
        <v>563</v>
      </c>
      <c r="N5" s="84"/>
      <c r="O5" s="85"/>
      <c r="P5" s="81" t="s">
        <v>548</v>
      </c>
      <c r="R5" s="81" t="s">
        <v>565</v>
      </c>
      <c r="AA5" s="81" t="s">
        <v>107</v>
      </c>
    </row>
    <row r="6" spans="1:34">
      <c r="E6" s="81" t="s">
        <v>737</v>
      </c>
      <c r="F6" s="81" t="s">
        <v>739</v>
      </c>
      <c r="I6" s="81" t="s">
        <v>740</v>
      </c>
      <c r="J6" s="81" t="s">
        <v>740</v>
      </c>
      <c r="M6" s="4" t="s">
        <v>737</v>
      </c>
      <c r="N6" s="4" t="s">
        <v>739</v>
      </c>
      <c r="O6" s="4" t="s">
        <v>740</v>
      </c>
      <c r="R6" s="81" t="s">
        <v>566</v>
      </c>
      <c r="U6" s="17"/>
      <c r="V6" s="18" t="s">
        <v>106</v>
      </c>
      <c r="W6" s="19"/>
      <c r="X6" s="20"/>
      <c r="AA6" s="81" t="s">
        <v>431</v>
      </c>
      <c r="AE6" s="224" t="s">
        <v>175</v>
      </c>
      <c r="AF6" s="225"/>
      <c r="AG6" s="225"/>
      <c r="AH6" s="226"/>
    </row>
    <row r="7" spans="1:34" ht="16" thickBot="1">
      <c r="F7" s="81" t="s">
        <v>737</v>
      </c>
      <c r="G7" s="81" t="s">
        <v>703</v>
      </c>
      <c r="H7" s="81" t="s">
        <v>702</v>
      </c>
      <c r="I7" s="81" t="s">
        <v>737</v>
      </c>
      <c r="J7" s="81" t="s">
        <v>703</v>
      </c>
      <c r="K7" s="81" t="s">
        <v>702</v>
      </c>
      <c r="L7" s="81" t="s">
        <v>293</v>
      </c>
      <c r="U7" s="4"/>
      <c r="V7" s="71" t="s">
        <v>479</v>
      </c>
      <c r="W7" s="71" t="s">
        <v>539</v>
      </c>
      <c r="X7" s="71" t="s">
        <v>378</v>
      </c>
      <c r="AA7" s="71" t="s">
        <v>538</v>
      </c>
      <c r="AB7" s="71" t="s">
        <v>539</v>
      </c>
      <c r="AC7" s="71" t="s">
        <v>325</v>
      </c>
      <c r="AE7" s="71" t="s">
        <v>538</v>
      </c>
      <c r="AF7" s="71" t="s">
        <v>539</v>
      </c>
      <c r="AG7" s="71" t="s">
        <v>325</v>
      </c>
    </row>
    <row r="8" spans="1:34" ht="16" thickBot="1">
      <c r="A8" s="4" t="s">
        <v>608</v>
      </c>
      <c r="B8" s="4" t="s">
        <v>609</v>
      </c>
      <c r="C8" s="81" t="s">
        <v>610</v>
      </c>
      <c r="D8" s="4" t="s">
        <v>611</v>
      </c>
      <c r="E8" s="4" t="s">
        <v>611</v>
      </c>
      <c r="F8" s="4" t="s">
        <v>611</v>
      </c>
      <c r="G8" s="4" t="s">
        <v>611</v>
      </c>
      <c r="H8" s="4" t="s">
        <v>611</v>
      </c>
      <c r="I8" s="4" t="s">
        <v>611</v>
      </c>
      <c r="J8" s="4" t="s">
        <v>611</v>
      </c>
      <c r="K8" s="4" t="s">
        <v>611</v>
      </c>
      <c r="L8" s="4" t="s">
        <v>611</v>
      </c>
      <c r="M8" s="4" t="s">
        <v>611</v>
      </c>
      <c r="N8" s="4" t="s">
        <v>611</v>
      </c>
      <c r="O8" s="4" t="s">
        <v>611</v>
      </c>
      <c r="P8" s="4" t="s">
        <v>611</v>
      </c>
      <c r="R8" s="81" t="s">
        <v>71</v>
      </c>
      <c r="U8" s="4" t="s">
        <v>379</v>
      </c>
      <c r="V8" s="235">
        <f>W8+X8</f>
        <v>76954.88906139668</v>
      </c>
      <c r="W8" s="235">
        <f>W12+W20</f>
        <v>39117.746511802667</v>
      </c>
      <c r="X8" s="235">
        <f>X12+X20</f>
        <v>37837.142549594013</v>
      </c>
      <c r="Z8" s="4" t="s">
        <v>477</v>
      </c>
      <c r="AA8" s="227"/>
      <c r="AB8" s="227"/>
      <c r="AC8" s="227"/>
      <c r="AD8" s="227"/>
      <c r="AE8" s="163">
        <f>AF8+AG8</f>
        <v>20481.03351882823</v>
      </c>
      <c r="AF8" s="161">
        <f>AF12+AF16</f>
        <v>18128.71424415959</v>
      </c>
      <c r="AG8" s="161">
        <f>AG12+AG16</f>
        <v>2352.3192746686409</v>
      </c>
      <c r="AH8" s="6" t="s">
        <v>477</v>
      </c>
    </row>
    <row r="9" spans="1:34">
      <c r="A9" s="81">
        <v>1</v>
      </c>
      <c r="B9" s="81">
        <v>1767</v>
      </c>
      <c r="C9" s="81" t="s">
        <v>737</v>
      </c>
      <c r="D9" s="5">
        <v>52720</v>
      </c>
      <c r="E9" s="5">
        <v>52087</v>
      </c>
      <c r="F9" s="5">
        <v>26264</v>
      </c>
      <c r="G9" s="4" t="s">
        <v>298</v>
      </c>
      <c r="H9" s="4" t="s">
        <v>298</v>
      </c>
      <c r="I9" s="5">
        <v>25823</v>
      </c>
      <c r="J9" s="5">
        <v>15992</v>
      </c>
      <c r="K9" s="5">
        <v>8467</v>
      </c>
      <c r="L9" s="5">
        <v>1364</v>
      </c>
      <c r="M9" s="4">
        <v>633</v>
      </c>
      <c r="N9" s="4">
        <v>384</v>
      </c>
      <c r="O9" s="4">
        <v>249</v>
      </c>
      <c r="P9" s="4" t="s">
        <v>298</v>
      </c>
      <c r="R9" s="81" t="s">
        <v>577</v>
      </c>
      <c r="T9" s="81">
        <v>630</v>
      </c>
      <c r="U9" s="4" t="s">
        <v>462</v>
      </c>
      <c r="V9" s="235">
        <f t="shared" ref="V9:V14" si="0">W9+X9</f>
        <v>38771.566634891627</v>
      </c>
      <c r="W9" s="235">
        <f t="shared" ref="W9:X9" si="1">W13+W21</f>
        <v>19708.359552380207</v>
      </c>
      <c r="X9" s="235">
        <f t="shared" si="1"/>
        <v>19063.207082511424</v>
      </c>
      <c r="Z9" s="4" t="s">
        <v>462</v>
      </c>
      <c r="AA9" s="227"/>
      <c r="AB9" s="227"/>
      <c r="AC9" s="227"/>
      <c r="AD9" s="227"/>
      <c r="AE9" s="161">
        <f t="shared" ref="AE9:AE26" si="2">AF9+AG9</f>
        <v>918.27894400459559</v>
      </c>
      <c r="AF9" s="161">
        <f t="shared" ref="AF9:AG9" si="3">AF13+AF17</f>
        <v>598.87539048338897</v>
      </c>
      <c r="AG9" s="161">
        <f t="shared" si="3"/>
        <v>319.40355352120667</v>
      </c>
      <c r="AH9" s="6" t="s">
        <v>462</v>
      </c>
    </row>
    <row r="10" spans="1:34">
      <c r="A10" s="81">
        <v>2</v>
      </c>
      <c r="B10" s="81">
        <v>1767</v>
      </c>
      <c r="C10" s="81" t="s">
        <v>446</v>
      </c>
      <c r="D10" s="4" t="s">
        <v>298</v>
      </c>
      <c r="E10" s="4" t="s">
        <v>298</v>
      </c>
      <c r="F10" s="5">
        <v>12924</v>
      </c>
      <c r="G10" s="5">
        <v>12924</v>
      </c>
      <c r="H10" s="4">
        <v>0</v>
      </c>
      <c r="I10" s="4" t="s">
        <v>298</v>
      </c>
      <c r="J10" s="4" t="s">
        <v>298</v>
      </c>
      <c r="K10" s="4" t="s">
        <v>298</v>
      </c>
      <c r="L10" s="4" t="s">
        <v>298</v>
      </c>
      <c r="M10" s="4" t="s">
        <v>298</v>
      </c>
      <c r="N10" s="4" t="s">
        <v>298</v>
      </c>
      <c r="O10" s="4" t="s">
        <v>298</v>
      </c>
      <c r="P10" s="4" t="s">
        <v>298</v>
      </c>
      <c r="R10" s="81" t="s">
        <v>579</v>
      </c>
      <c r="T10" s="81">
        <v>158</v>
      </c>
      <c r="U10" s="4" t="s">
        <v>29</v>
      </c>
      <c r="V10" s="235">
        <f t="shared" si="0"/>
        <v>38183.322426505052</v>
      </c>
      <c r="W10" s="235">
        <f t="shared" ref="W10:X10" si="4">W14+W22</f>
        <v>19409.386959422463</v>
      </c>
      <c r="X10" s="235">
        <f t="shared" si="4"/>
        <v>18773.935467082589</v>
      </c>
      <c r="Z10" s="4" t="s">
        <v>384</v>
      </c>
      <c r="AA10" s="227"/>
      <c r="AB10" s="227"/>
      <c r="AC10" s="227"/>
      <c r="AD10" s="227"/>
      <c r="AE10" s="161">
        <f t="shared" si="2"/>
        <v>19562.754574823633</v>
      </c>
      <c r="AF10" s="161">
        <f t="shared" ref="AF10:AG10" si="5">AF14+AF18</f>
        <v>17529.8388536762</v>
      </c>
      <c r="AG10" s="161">
        <f t="shared" si="5"/>
        <v>2032.9157211474342</v>
      </c>
      <c r="AH10" s="6" t="s">
        <v>384</v>
      </c>
    </row>
    <row r="11" spans="1:34">
      <c r="A11" s="81">
        <v>3</v>
      </c>
      <c r="B11" s="81">
        <v>1767</v>
      </c>
      <c r="C11" s="81" t="s">
        <v>205</v>
      </c>
      <c r="D11" s="4" t="s">
        <v>298</v>
      </c>
      <c r="E11" s="4" t="s">
        <v>298</v>
      </c>
      <c r="F11" s="5">
        <v>12180</v>
      </c>
      <c r="G11" s="5">
        <v>4510</v>
      </c>
      <c r="H11" s="5">
        <v>7670</v>
      </c>
      <c r="I11" s="4" t="s">
        <v>298</v>
      </c>
      <c r="J11" s="4" t="s">
        <v>298</v>
      </c>
      <c r="K11" s="4" t="s">
        <v>298</v>
      </c>
      <c r="L11" s="4" t="s">
        <v>298</v>
      </c>
      <c r="M11" s="4" t="s">
        <v>298</v>
      </c>
      <c r="N11" s="4" t="s">
        <v>298</v>
      </c>
      <c r="O11" s="4" t="s">
        <v>298</v>
      </c>
      <c r="P11" s="4" t="s">
        <v>298</v>
      </c>
      <c r="R11" s="81" t="s">
        <v>691</v>
      </c>
      <c r="S11" s="228"/>
      <c r="T11" s="229">
        <f>T9/(T9+T10)</f>
        <v>0.79949238578680204</v>
      </c>
      <c r="U11" s="27"/>
      <c r="V11" s="235"/>
      <c r="W11" s="235"/>
      <c r="X11" s="235"/>
      <c r="Z11" s="230"/>
      <c r="AA11" s="227"/>
      <c r="AB11" s="227"/>
      <c r="AC11" s="227"/>
      <c r="AD11" s="227"/>
      <c r="AE11" s="161"/>
      <c r="AF11" s="161"/>
      <c r="AG11" s="161"/>
      <c r="AH11" s="122"/>
    </row>
    <row r="12" spans="1:34">
      <c r="A12" s="81">
        <v>4</v>
      </c>
      <c r="B12" s="81">
        <v>1767</v>
      </c>
      <c r="C12" s="81" t="s">
        <v>283</v>
      </c>
      <c r="D12" s="4" t="s">
        <v>298</v>
      </c>
      <c r="E12" s="4" t="s">
        <v>298</v>
      </c>
      <c r="F12" s="5">
        <v>1160</v>
      </c>
      <c r="G12" s="4" t="s">
        <v>298</v>
      </c>
      <c r="H12" s="4" t="s">
        <v>298</v>
      </c>
      <c r="I12" s="4" t="s">
        <v>298</v>
      </c>
      <c r="J12" s="4" t="s">
        <v>298</v>
      </c>
      <c r="K12" s="4" t="s">
        <v>298</v>
      </c>
      <c r="L12" s="4" t="s">
        <v>298</v>
      </c>
      <c r="M12" s="4" t="s">
        <v>298</v>
      </c>
      <c r="N12" s="4" t="s">
        <v>298</v>
      </c>
      <c r="O12" s="4" t="s">
        <v>298</v>
      </c>
      <c r="P12" s="4" t="s">
        <v>298</v>
      </c>
      <c r="R12" s="81" t="s">
        <v>633</v>
      </c>
      <c r="U12" s="4" t="s">
        <v>493</v>
      </c>
      <c r="V12" s="235">
        <f t="shared" si="0"/>
        <v>76422.969061396681</v>
      </c>
      <c r="W12" s="235">
        <v>38818.640161654301</v>
      </c>
      <c r="X12" s="235">
        <v>37604.328899742381</v>
      </c>
      <c r="Z12" s="4" t="s">
        <v>493</v>
      </c>
      <c r="AA12" s="227"/>
      <c r="AB12" s="227"/>
      <c r="AC12" s="227"/>
      <c r="AD12" s="227"/>
      <c r="AE12" s="161">
        <f t="shared" si="2"/>
        <v>20249.547954735477</v>
      </c>
      <c r="AF12" s="161">
        <f>AF13+AF14</f>
        <v>17945.972477540414</v>
      </c>
      <c r="AG12" s="161">
        <f>AG13+AG14</f>
        <v>2303.5754771950647</v>
      </c>
      <c r="AH12" s="6" t="s">
        <v>493</v>
      </c>
    </row>
    <row r="13" spans="1:34">
      <c r="A13" s="87">
        <v>5</v>
      </c>
      <c r="B13" s="87">
        <v>1773</v>
      </c>
      <c r="C13" s="87" t="s">
        <v>737</v>
      </c>
      <c r="D13" s="44">
        <v>73097</v>
      </c>
      <c r="E13" s="44">
        <v>72423</v>
      </c>
      <c r="F13" s="44">
        <v>36739</v>
      </c>
      <c r="G13" s="45" t="s">
        <v>298</v>
      </c>
      <c r="H13" s="45" t="s">
        <v>298</v>
      </c>
      <c r="I13" s="44">
        <v>35684</v>
      </c>
      <c r="J13" s="44">
        <v>22228</v>
      </c>
      <c r="K13" s="44">
        <v>11887</v>
      </c>
      <c r="L13" s="44">
        <v>1569</v>
      </c>
      <c r="M13" s="45">
        <v>674</v>
      </c>
      <c r="N13" s="45">
        <v>379</v>
      </c>
      <c r="O13" s="45">
        <v>295</v>
      </c>
      <c r="P13" s="45" t="s">
        <v>298</v>
      </c>
      <c r="R13" s="81" t="s">
        <v>634</v>
      </c>
      <c r="U13" s="4" t="s">
        <v>494</v>
      </c>
      <c r="V13" s="235">
        <f t="shared" si="0"/>
        <v>38503.533609217498</v>
      </c>
      <c r="W13" s="235">
        <v>19557.664533374122</v>
      </c>
      <c r="X13" s="235">
        <v>18945.869075843373</v>
      </c>
      <c r="Z13" s="4" t="s">
        <v>494</v>
      </c>
      <c r="AA13" s="227"/>
      <c r="AB13" s="227">
        <f>0.3265*0.09134811338074</f>
        <v>2.9825159018811612E-2</v>
      </c>
      <c r="AC13" s="227">
        <f>0.3221*0.05063300664814</f>
        <v>1.6308891441365894E-2</v>
      </c>
      <c r="AD13" s="227"/>
      <c r="AE13" s="161">
        <f t="shared" si="2"/>
        <v>892.29657676471606</v>
      </c>
      <c r="AF13" s="161">
        <f>AB13*F18</f>
        <v>583.31045474445523</v>
      </c>
      <c r="AG13" s="161">
        <f>AC13*I18</f>
        <v>308.98612202026078</v>
      </c>
      <c r="AH13" s="6" t="s">
        <v>494</v>
      </c>
    </row>
    <row r="14" spans="1:34">
      <c r="A14" s="87">
        <v>6</v>
      </c>
      <c r="B14" s="87">
        <v>1773</v>
      </c>
      <c r="C14" s="87" t="s">
        <v>446</v>
      </c>
      <c r="D14" s="45" t="s">
        <v>298</v>
      </c>
      <c r="E14" s="45" t="s">
        <v>298</v>
      </c>
      <c r="F14" s="44">
        <v>18334</v>
      </c>
      <c r="G14" s="44">
        <v>18334</v>
      </c>
      <c r="H14" s="45">
        <v>0</v>
      </c>
      <c r="I14" s="45" t="s">
        <v>298</v>
      </c>
      <c r="J14" s="45" t="s">
        <v>298</v>
      </c>
      <c r="K14" s="45" t="s">
        <v>298</v>
      </c>
      <c r="L14" s="45" t="s">
        <v>298</v>
      </c>
      <c r="M14" s="45" t="s">
        <v>298</v>
      </c>
      <c r="N14" s="45" t="s">
        <v>298</v>
      </c>
      <c r="O14" s="45" t="s">
        <v>298</v>
      </c>
      <c r="P14" s="45" t="s">
        <v>298</v>
      </c>
      <c r="R14" s="81" t="s">
        <v>635</v>
      </c>
      <c r="U14" s="4" t="s">
        <v>31</v>
      </c>
      <c r="V14" s="235">
        <f t="shared" si="0"/>
        <v>37919.435452179183</v>
      </c>
      <c r="W14" s="235">
        <v>19260.975628280179</v>
      </c>
      <c r="X14" s="235">
        <v>18658.459823899007</v>
      </c>
      <c r="Z14" s="4" t="s">
        <v>487</v>
      </c>
      <c r="AA14" s="227"/>
      <c r="AB14" s="227">
        <v>0.90144250000000004</v>
      </c>
      <c r="AC14" s="227">
        <v>0.1069</v>
      </c>
      <c r="AD14" s="227"/>
      <c r="AE14" s="161">
        <f t="shared" si="2"/>
        <v>19357.251377970762</v>
      </c>
      <c r="AF14" s="161">
        <f>AB14*F19</f>
        <v>17362.662022795957</v>
      </c>
      <c r="AG14" s="161">
        <f>AC14*I19</f>
        <v>1994.5893551748038</v>
      </c>
      <c r="AH14" s="6" t="s">
        <v>487</v>
      </c>
    </row>
    <row r="15" spans="1:34">
      <c r="A15" s="87">
        <v>7</v>
      </c>
      <c r="B15" s="87">
        <v>1773</v>
      </c>
      <c r="C15" s="87" t="s">
        <v>205</v>
      </c>
      <c r="D15" s="45" t="s">
        <v>298</v>
      </c>
      <c r="E15" s="45" t="s">
        <v>298</v>
      </c>
      <c r="F15" s="44">
        <v>16867</v>
      </c>
      <c r="G15" s="44">
        <v>6236</v>
      </c>
      <c r="H15" s="44">
        <v>10604</v>
      </c>
      <c r="I15" s="45" t="s">
        <v>298</v>
      </c>
      <c r="J15" s="45" t="s">
        <v>298</v>
      </c>
      <c r="K15" s="45" t="s">
        <v>298</v>
      </c>
      <c r="L15" s="45" t="s">
        <v>298</v>
      </c>
      <c r="M15" s="45" t="s">
        <v>298</v>
      </c>
      <c r="N15" s="45" t="s">
        <v>298</v>
      </c>
      <c r="O15" s="45" t="s">
        <v>298</v>
      </c>
      <c r="P15" s="45" t="s">
        <v>298</v>
      </c>
      <c r="U15" s="27"/>
      <c r="V15" s="235"/>
      <c r="W15" s="235"/>
      <c r="X15" s="235"/>
      <c r="Z15" s="230"/>
      <c r="AA15" s="227"/>
      <c r="AB15" s="227"/>
      <c r="AC15" s="227"/>
      <c r="AD15" s="227"/>
      <c r="AE15" s="161"/>
      <c r="AF15" s="161"/>
      <c r="AG15" s="161"/>
      <c r="AH15" s="122"/>
    </row>
    <row r="16" spans="1:34">
      <c r="A16" s="87">
        <v>8</v>
      </c>
      <c r="B16" s="87">
        <v>1773</v>
      </c>
      <c r="C16" s="87" t="s">
        <v>283</v>
      </c>
      <c r="D16" s="45" t="s">
        <v>298</v>
      </c>
      <c r="E16" s="45" t="s">
        <v>298</v>
      </c>
      <c r="F16" s="44">
        <v>1538</v>
      </c>
      <c r="G16" s="45" t="s">
        <v>298</v>
      </c>
      <c r="H16" s="45" t="s">
        <v>298</v>
      </c>
      <c r="I16" s="45" t="s">
        <v>298</v>
      </c>
      <c r="J16" s="45" t="s">
        <v>298</v>
      </c>
      <c r="K16" s="45" t="s">
        <v>298</v>
      </c>
      <c r="L16" s="45" t="s">
        <v>298</v>
      </c>
      <c r="M16" s="45" t="s">
        <v>298</v>
      </c>
      <c r="N16" s="45" t="s">
        <v>298</v>
      </c>
      <c r="O16" s="45" t="s">
        <v>298</v>
      </c>
      <c r="P16" s="45" t="s">
        <v>298</v>
      </c>
      <c r="U16" s="4" t="s">
        <v>627</v>
      </c>
      <c r="V16" s="235">
        <v>664.93909495532</v>
      </c>
      <c r="W16" s="235">
        <v>373.88293768545992</v>
      </c>
      <c r="X16" s="235">
        <v>291.01706231454006</v>
      </c>
      <c r="Z16" s="4" t="s">
        <v>177</v>
      </c>
      <c r="AA16" s="227"/>
      <c r="AB16" s="227"/>
      <c r="AC16" s="227"/>
      <c r="AD16" s="227"/>
      <c r="AE16" s="161">
        <f t="shared" si="2"/>
        <v>231.4855640927521</v>
      </c>
      <c r="AF16" s="161">
        <f>AF17+AF18</f>
        <v>182.74176661917591</v>
      </c>
      <c r="AG16" s="161">
        <f>AG17+AG18</f>
        <v>48.743797473576208</v>
      </c>
      <c r="AH16" s="6" t="s">
        <v>177</v>
      </c>
    </row>
    <row r="17" spans="1:36" s="112" customFormat="1">
      <c r="A17" s="113" t="s">
        <v>76</v>
      </c>
      <c r="B17" s="137">
        <v>1774</v>
      </c>
      <c r="C17" s="81" t="s">
        <v>737</v>
      </c>
      <c r="D17" s="147">
        <f>D13*EXP(LN(D20/D13)/2)</f>
        <v>77089.468152270972</v>
      </c>
      <c r="E17" s="147">
        <f t="shared" ref="E17:M18" si="6">E13*EXP(LN(E20/E13)/2)</f>
        <v>76423.035872700057</v>
      </c>
      <c r="F17" s="147">
        <f t="shared" si="6"/>
        <v>38818.640161654301</v>
      </c>
      <c r="G17" s="147"/>
      <c r="H17" s="147"/>
      <c r="I17" s="147">
        <f t="shared" si="6"/>
        <v>37604.328899742381</v>
      </c>
      <c r="J17" s="147"/>
      <c r="K17" s="147"/>
      <c r="L17" s="147"/>
      <c r="M17" s="147">
        <f t="shared" si="6"/>
        <v>664.93909495532</v>
      </c>
      <c r="N17" s="147">
        <f>N13*664.9/674</f>
        <v>373.88293768545992</v>
      </c>
      <c r="O17" s="147">
        <f>O13*664.9/674</f>
        <v>291.01706231454006</v>
      </c>
      <c r="P17" s="147"/>
      <c r="Q17" s="247">
        <v>1774</v>
      </c>
      <c r="R17" s="81"/>
      <c r="S17" s="81"/>
      <c r="T17" s="81"/>
      <c r="U17" s="4" t="s">
        <v>628</v>
      </c>
      <c r="V17" s="235">
        <v>335.04128209266969</v>
      </c>
      <c r="W17" s="235">
        <v>188.36877375760503</v>
      </c>
      <c r="X17" s="235">
        <v>146.67250833506466</v>
      </c>
      <c r="Y17" s="81"/>
      <c r="Z17" s="4" t="s">
        <v>178</v>
      </c>
      <c r="AA17" s="227"/>
      <c r="AD17" s="227"/>
      <c r="AE17" s="161">
        <f t="shared" si="2"/>
        <v>25.98236723987964</v>
      </c>
      <c r="AF17" s="161">
        <f>AF21+AF25</f>
        <v>15.564935738933737</v>
      </c>
      <c r="AG17" s="237">
        <f>AG21+AG25</f>
        <v>10.417431500945902</v>
      </c>
      <c r="AH17" s="6" t="s">
        <v>178</v>
      </c>
      <c r="AI17" s="81"/>
      <c r="AJ17" s="81"/>
    </row>
    <row r="18" spans="1:36" s="112" customFormat="1">
      <c r="A18" s="113" t="s">
        <v>76</v>
      </c>
      <c r="B18" s="137">
        <v>1774</v>
      </c>
      <c r="C18" s="81" t="s">
        <v>446</v>
      </c>
      <c r="D18" s="147">
        <f>E18+M18</f>
        <v>38838.574891310171</v>
      </c>
      <c r="E18" s="147">
        <f>F18+I18</f>
        <v>38503.533609217498</v>
      </c>
      <c r="F18" s="147">
        <f t="shared" si="6"/>
        <v>19557.664533374122</v>
      </c>
      <c r="G18" s="113"/>
      <c r="H18" s="113"/>
      <c r="I18" s="147">
        <f>37604.33*F18/38818.64</f>
        <v>18945.869075843373</v>
      </c>
      <c r="J18" s="113"/>
      <c r="K18" s="113"/>
      <c r="L18" s="113"/>
      <c r="M18" s="147">
        <f>665*$F18/38818.64</f>
        <v>335.04128209266969</v>
      </c>
      <c r="N18" s="147">
        <f>373.88*$F18/38818.64</f>
        <v>188.36877375760503</v>
      </c>
      <c r="O18" s="147">
        <f>M18-N18</f>
        <v>146.67250833506466</v>
      </c>
      <c r="P18" s="113"/>
      <c r="Q18" s="247">
        <v>1774</v>
      </c>
      <c r="R18" s="81"/>
      <c r="S18" s="81"/>
      <c r="T18" s="81"/>
      <c r="U18" s="4" t="s">
        <v>30</v>
      </c>
      <c r="V18" s="235">
        <v>329.89781286265031</v>
      </c>
      <c r="W18" s="235">
        <v>185.5141639278549</v>
      </c>
      <c r="X18" s="235">
        <v>144.34455397947539</v>
      </c>
      <c r="Y18" s="81"/>
      <c r="Z18" s="4" t="s">
        <v>179</v>
      </c>
      <c r="AA18" s="227"/>
      <c r="AD18" s="227"/>
      <c r="AE18" s="161">
        <f t="shared" si="2"/>
        <v>205.50319685287246</v>
      </c>
      <c r="AF18" s="237">
        <f>AF22+AF26</f>
        <v>167.17683088024216</v>
      </c>
      <c r="AG18" s="237">
        <f>AG22+AG26</f>
        <v>38.326365972630306</v>
      </c>
      <c r="AH18" s="6" t="s">
        <v>179</v>
      </c>
      <c r="AI18" s="81"/>
      <c r="AJ18" s="81"/>
    </row>
    <row r="19" spans="1:36" s="112" customFormat="1">
      <c r="A19" s="113" t="s">
        <v>76</v>
      </c>
      <c r="B19" s="137">
        <v>1774</v>
      </c>
      <c r="C19" s="81" t="s">
        <v>170</v>
      </c>
      <c r="D19" s="138">
        <f>D17-D18</f>
        <v>38250.893260960802</v>
      </c>
      <c r="E19" s="147">
        <f>E17-E18</f>
        <v>37919.502263482558</v>
      </c>
      <c r="F19" s="147">
        <f>F17-F18</f>
        <v>19260.975628280179</v>
      </c>
      <c r="G19" s="113"/>
      <c r="H19" s="113"/>
      <c r="I19" s="147">
        <f>I17-I18</f>
        <v>18658.459823899007</v>
      </c>
      <c r="J19" s="113"/>
      <c r="K19" s="113"/>
      <c r="L19" s="113"/>
      <c r="M19" s="147">
        <f>M17-M18</f>
        <v>329.89781286265031</v>
      </c>
      <c r="N19" s="147">
        <f>N17-N18</f>
        <v>185.5141639278549</v>
      </c>
      <c r="O19" s="147">
        <f>O17-O18</f>
        <v>144.34455397947539</v>
      </c>
      <c r="P19" s="113"/>
      <c r="Q19" s="247">
        <v>1774</v>
      </c>
      <c r="U19" s="223"/>
      <c r="V19" s="235"/>
      <c r="W19" s="235"/>
      <c r="X19" s="235"/>
      <c r="Z19" s="81"/>
      <c r="AA19" s="227"/>
      <c r="AB19" s="181" t="s">
        <v>518</v>
      </c>
      <c r="AC19" s="223"/>
      <c r="AD19" s="227"/>
      <c r="AE19" s="227"/>
      <c r="AF19" s="227"/>
      <c r="AG19" s="227"/>
      <c r="AH19" s="81"/>
      <c r="AI19" s="81"/>
    </row>
    <row r="20" spans="1:36">
      <c r="A20" s="91">
        <v>9</v>
      </c>
      <c r="B20" s="91">
        <v>1775</v>
      </c>
      <c r="C20" s="91" t="s">
        <v>737</v>
      </c>
      <c r="D20" s="79">
        <v>81300</v>
      </c>
      <c r="E20" s="79">
        <v>80644</v>
      </c>
      <c r="F20" s="79">
        <v>41016</v>
      </c>
      <c r="G20" s="80" t="s">
        <v>298</v>
      </c>
      <c r="H20" s="80" t="s">
        <v>298</v>
      </c>
      <c r="I20" s="79">
        <v>39628</v>
      </c>
      <c r="J20" s="80" t="s">
        <v>298</v>
      </c>
      <c r="K20" s="80" t="s">
        <v>298</v>
      </c>
      <c r="L20" s="80" t="s">
        <v>298</v>
      </c>
      <c r="M20" s="80">
        <v>656</v>
      </c>
      <c r="N20" s="80" t="s">
        <v>298</v>
      </c>
      <c r="O20" s="80" t="s">
        <v>298</v>
      </c>
      <c r="P20" s="80" t="s">
        <v>298</v>
      </c>
      <c r="Q20" s="112"/>
      <c r="R20" s="112"/>
      <c r="S20" s="112"/>
      <c r="T20" s="112"/>
      <c r="U20" s="4" t="s">
        <v>194</v>
      </c>
      <c r="V20" s="235">
        <f>V16*0.8</f>
        <v>531.95127596425607</v>
      </c>
      <c r="W20" s="235">
        <f t="shared" ref="W20:X20" si="7">W16*0.8</f>
        <v>299.10635014836794</v>
      </c>
      <c r="X20" s="235">
        <f t="shared" si="7"/>
        <v>232.81364985163205</v>
      </c>
      <c r="Y20" s="112"/>
      <c r="Z20" s="4" t="s">
        <v>194</v>
      </c>
      <c r="AB20" s="181" t="s">
        <v>517</v>
      </c>
      <c r="AC20" s="223"/>
      <c r="AD20" s="227"/>
      <c r="AE20" s="237">
        <f t="shared" si="2"/>
        <v>152.53678334744782</v>
      </c>
      <c r="AF20" s="237">
        <f>AF21+AF22</f>
        <v>138.27878427842757</v>
      </c>
      <c r="AG20" s="237">
        <f>AG21+AG22</f>
        <v>14.257999069020258</v>
      </c>
      <c r="AH20" s="6" t="s">
        <v>194</v>
      </c>
      <c r="AJ20" s="112"/>
    </row>
    <row r="21" spans="1:36">
      <c r="A21" s="91">
        <v>10</v>
      </c>
      <c r="B21" s="91">
        <v>1775</v>
      </c>
      <c r="C21" s="91" t="s">
        <v>446</v>
      </c>
      <c r="D21" s="80" t="s">
        <v>298</v>
      </c>
      <c r="E21" s="80" t="s">
        <v>298</v>
      </c>
      <c r="F21" s="79">
        <v>20863</v>
      </c>
      <c r="G21" s="80" t="s">
        <v>298</v>
      </c>
      <c r="H21" s="80" t="s">
        <v>298</v>
      </c>
      <c r="I21" s="80" t="s">
        <v>298</v>
      </c>
      <c r="J21" s="80" t="s">
        <v>298</v>
      </c>
      <c r="K21" s="80" t="s">
        <v>298</v>
      </c>
      <c r="L21" s="80" t="s">
        <v>298</v>
      </c>
      <c r="M21" s="80" t="s">
        <v>298</v>
      </c>
      <c r="N21" s="80" t="s">
        <v>298</v>
      </c>
      <c r="O21" s="80" t="s">
        <v>298</v>
      </c>
      <c r="P21" s="80" t="s">
        <v>298</v>
      </c>
      <c r="Q21" s="112"/>
      <c r="R21" s="112"/>
      <c r="S21" s="112"/>
      <c r="T21" s="112"/>
      <c r="U21" s="4" t="s">
        <v>195</v>
      </c>
      <c r="V21" s="235">
        <f t="shared" ref="V21:X21" si="8">V17*0.8</f>
        <v>268.03302567413579</v>
      </c>
      <c r="W21" s="235">
        <f t="shared" si="8"/>
        <v>150.69501900608404</v>
      </c>
      <c r="X21" s="235">
        <f t="shared" si="8"/>
        <v>117.33800666805173</v>
      </c>
      <c r="Y21" s="112"/>
      <c r="Z21" s="4" t="s">
        <v>195</v>
      </c>
      <c r="AB21" s="227">
        <f>0.3265*0.09134811338074</f>
        <v>2.9825159018811612E-2</v>
      </c>
      <c r="AC21" s="227">
        <f>0.3221*0.05063300664814</f>
        <v>1.6308891441365894E-2</v>
      </c>
      <c r="AD21" s="227"/>
      <c r="AE21" s="237">
        <f t="shared" si="2"/>
        <v>6.4081557178948181</v>
      </c>
      <c r="AF21" s="249">
        <f>AB21*W21</f>
        <v>4.4945029051992949</v>
      </c>
      <c r="AG21" s="249">
        <f>AC21*X21</f>
        <v>1.9136528126955232</v>
      </c>
      <c r="AH21" s="6" t="s">
        <v>195</v>
      </c>
      <c r="AJ21" s="112"/>
    </row>
    <row r="22" spans="1:36">
      <c r="A22" s="91">
        <v>11</v>
      </c>
      <c r="B22" s="91">
        <v>1775</v>
      </c>
      <c r="C22" s="91" t="s">
        <v>284</v>
      </c>
      <c r="D22" s="80" t="s">
        <v>298</v>
      </c>
      <c r="E22" s="80" t="s">
        <v>298</v>
      </c>
      <c r="F22" s="79">
        <v>14231</v>
      </c>
      <c r="G22" s="80" t="s">
        <v>298</v>
      </c>
      <c r="H22" s="80" t="s">
        <v>298</v>
      </c>
      <c r="I22" s="80" t="s">
        <v>298</v>
      </c>
      <c r="J22" s="80" t="s">
        <v>298</v>
      </c>
      <c r="K22" s="80" t="s">
        <v>298</v>
      </c>
      <c r="L22" s="80" t="s">
        <v>298</v>
      </c>
      <c r="M22" s="80" t="s">
        <v>298</v>
      </c>
      <c r="N22" s="80" t="s">
        <v>298</v>
      </c>
      <c r="O22" s="80" t="s">
        <v>298</v>
      </c>
      <c r="P22" s="80" t="s">
        <v>298</v>
      </c>
      <c r="U22" s="4" t="s">
        <v>97</v>
      </c>
      <c r="V22" s="235">
        <f t="shared" ref="V22:X22" si="9">V18*0.8</f>
        <v>263.91825029012028</v>
      </c>
      <c r="W22" s="235">
        <f t="shared" si="9"/>
        <v>148.41133114228393</v>
      </c>
      <c r="X22" s="235">
        <f t="shared" si="9"/>
        <v>115.47564318358032</v>
      </c>
      <c r="Z22" s="4" t="s">
        <v>97</v>
      </c>
      <c r="AB22" s="227">
        <v>0.90144250000000004</v>
      </c>
      <c r="AC22" s="227">
        <v>0.1069</v>
      </c>
      <c r="AD22" s="227"/>
      <c r="AE22" s="237">
        <f t="shared" si="2"/>
        <v>146.12862762955302</v>
      </c>
      <c r="AF22" s="249">
        <f>AB22*W22</f>
        <v>133.78428137322828</v>
      </c>
      <c r="AG22" s="249">
        <f>AC22*X22</f>
        <v>12.344346256324735</v>
      </c>
      <c r="AH22" s="6" t="s">
        <v>97</v>
      </c>
      <c r="AJ22" s="112"/>
    </row>
    <row r="23" spans="1:36">
      <c r="A23" s="91">
        <v>12</v>
      </c>
      <c r="B23" s="91">
        <v>1775</v>
      </c>
      <c r="C23" s="91" t="s">
        <v>285</v>
      </c>
      <c r="D23" s="80" t="s">
        <v>298</v>
      </c>
      <c r="E23" s="80" t="s">
        <v>298</v>
      </c>
      <c r="F23" s="79">
        <v>3436</v>
      </c>
      <c r="G23" s="80" t="s">
        <v>298</v>
      </c>
      <c r="H23" s="80" t="s">
        <v>298</v>
      </c>
      <c r="I23" s="80" t="s">
        <v>298</v>
      </c>
      <c r="J23" s="80" t="s">
        <v>298</v>
      </c>
      <c r="K23" s="80" t="s">
        <v>298</v>
      </c>
      <c r="L23" s="80" t="s">
        <v>298</v>
      </c>
      <c r="M23" s="80" t="s">
        <v>298</v>
      </c>
      <c r="N23" s="80" t="s">
        <v>298</v>
      </c>
      <c r="O23" s="80" t="s">
        <v>298</v>
      </c>
      <c r="P23" s="80" t="s">
        <v>298</v>
      </c>
      <c r="U23" s="4"/>
      <c r="V23" s="235"/>
      <c r="W23" s="235"/>
      <c r="X23" s="235"/>
      <c r="Z23" s="4"/>
      <c r="AD23" s="227"/>
      <c r="AE23" s="227"/>
      <c r="AF23" s="227"/>
      <c r="AG23" s="227"/>
      <c r="AH23" s="6"/>
      <c r="AJ23" s="112"/>
    </row>
    <row r="24" spans="1:36">
      <c r="A24" s="91">
        <v>13</v>
      </c>
      <c r="B24" s="91">
        <v>1775</v>
      </c>
      <c r="C24" s="91" t="s">
        <v>286</v>
      </c>
      <c r="D24" s="80" t="s">
        <v>298</v>
      </c>
      <c r="E24" s="80" t="s">
        <v>298</v>
      </c>
      <c r="F24" s="79">
        <v>2486</v>
      </c>
      <c r="G24" s="80" t="s">
        <v>298</v>
      </c>
      <c r="H24" s="80" t="s">
        <v>298</v>
      </c>
      <c r="I24" s="80" t="s">
        <v>298</v>
      </c>
      <c r="J24" s="80" t="s">
        <v>298</v>
      </c>
      <c r="K24" s="80" t="s">
        <v>298</v>
      </c>
      <c r="L24" s="80" t="s">
        <v>298</v>
      </c>
      <c r="M24" s="80" t="s">
        <v>298</v>
      </c>
      <c r="N24" s="80" t="s">
        <v>298</v>
      </c>
      <c r="O24" s="80" t="s">
        <v>298</v>
      </c>
      <c r="P24" s="80" t="s">
        <v>298</v>
      </c>
      <c r="U24" s="4" t="s">
        <v>88</v>
      </c>
      <c r="V24" s="235">
        <f>V16-V20</f>
        <v>132.98781899106393</v>
      </c>
      <c r="W24" s="235">
        <f t="shared" ref="W24:X24" si="10">W16-W20</f>
        <v>74.776587537091984</v>
      </c>
      <c r="X24" s="235">
        <f t="shared" si="10"/>
        <v>58.203412462908005</v>
      </c>
      <c r="Z24" s="4" t="s">
        <v>88</v>
      </c>
      <c r="AD24" s="227"/>
      <c r="AE24" s="237">
        <f t="shared" si="2"/>
        <v>78.948780745304276</v>
      </c>
      <c r="AF24" s="250">
        <f>AF25+AF26</f>
        <v>44.462982340748319</v>
      </c>
      <c r="AG24" s="250">
        <f>AG25+AG26</f>
        <v>34.48579840455595</v>
      </c>
      <c r="AH24" s="6" t="s">
        <v>88</v>
      </c>
      <c r="AJ24" s="112"/>
    </row>
    <row r="25" spans="1:36">
      <c r="A25" s="81">
        <v>14</v>
      </c>
      <c r="B25" s="81">
        <v>1786</v>
      </c>
      <c r="C25" s="81" t="s">
        <v>737</v>
      </c>
      <c r="D25" s="5">
        <v>95849</v>
      </c>
      <c r="E25" s="5">
        <v>95452</v>
      </c>
      <c r="F25" s="4" t="s">
        <v>298</v>
      </c>
      <c r="G25" s="4" t="s">
        <v>298</v>
      </c>
      <c r="H25" s="4" t="s">
        <v>298</v>
      </c>
      <c r="I25" s="4" t="s">
        <v>298</v>
      </c>
      <c r="J25" s="4" t="s">
        <v>298</v>
      </c>
      <c r="K25" s="4" t="s">
        <v>298</v>
      </c>
      <c r="L25" s="4" t="s">
        <v>298</v>
      </c>
      <c r="M25" s="4">
        <v>46</v>
      </c>
      <c r="N25" s="4" t="s">
        <v>298</v>
      </c>
      <c r="O25" s="4" t="s">
        <v>298</v>
      </c>
      <c r="P25" s="81">
        <v>351</v>
      </c>
      <c r="U25" s="4" t="s">
        <v>99</v>
      </c>
      <c r="V25" s="235">
        <f t="shared" ref="V25:X25" si="11">V17-V21</f>
        <v>67.008256418533904</v>
      </c>
      <c r="W25" s="235">
        <f t="shared" si="11"/>
        <v>37.673754751520988</v>
      </c>
      <c r="X25" s="235">
        <f t="shared" si="11"/>
        <v>29.33450166701293</v>
      </c>
      <c r="Z25" s="4" t="s">
        <v>99</v>
      </c>
      <c r="AB25" s="227">
        <f>0.3265*0.9</f>
        <v>0.29385</v>
      </c>
      <c r="AC25" s="227">
        <f>0.3221*0.9</f>
        <v>0.28988999999999998</v>
      </c>
      <c r="AD25" s="227"/>
      <c r="AE25" s="237">
        <f t="shared" si="2"/>
        <v>19.574211521984822</v>
      </c>
      <c r="AF25" s="249">
        <f>AB25*W25</f>
        <v>11.070432833734442</v>
      </c>
      <c r="AG25" s="249">
        <f>AC25*X25</f>
        <v>8.5037786882503781</v>
      </c>
      <c r="AH25" s="6" t="s">
        <v>99</v>
      </c>
      <c r="AJ25" s="112"/>
    </row>
    <row r="26" spans="1:36">
      <c r="U26" s="4" t="s">
        <v>112</v>
      </c>
      <c r="V26" s="235">
        <f t="shared" ref="V26:X26" si="12">V18-V22</f>
        <v>65.979562572530028</v>
      </c>
      <c r="W26" s="235">
        <f t="shared" si="12"/>
        <v>37.102832785570968</v>
      </c>
      <c r="X26" s="235">
        <f t="shared" si="12"/>
        <v>28.868910795895076</v>
      </c>
      <c r="Z26" s="4" t="s">
        <v>112</v>
      </c>
      <c r="AB26" s="227">
        <v>0.9</v>
      </c>
      <c r="AC26" s="227">
        <v>0.9</v>
      </c>
      <c r="AD26" s="227"/>
      <c r="AE26" s="237">
        <f t="shared" si="2"/>
        <v>59.37456922331944</v>
      </c>
      <c r="AF26" s="249">
        <f>AB26*W26</f>
        <v>33.392549507013875</v>
      </c>
      <c r="AG26" s="249">
        <f>AC26*X26</f>
        <v>25.982019716305569</v>
      </c>
      <c r="AH26" s="6" t="s">
        <v>112</v>
      </c>
      <c r="AJ26" s="112"/>
    </row>
    <row r="27" spans="1:36">
      <c r="V27" s="235"/>
      <c r="W27" s="235"/>
      <c r="X27" s="235"/>
      <c r="AD27" s="227"/>
      <c r="AE27" s="227"/>
      <c r="AF27" s="227"/>
      <c r="AG27" s="227"/>
      <c r="AJ27" s="112"/>
    </row>
    <row r="28" spans="1:36">
      <c r="AE28" s="81" t="s">
        <v>109</v>
      </c>
      <c r="AF28" s="81" t="s">
        <v>568</v>
      </c>
      <c r="AJ28" s="112"/>
    </row>
    <row r="29" spans="1:36">
      <c r="A29" s="231" t="s">
        <v>9</v>
      </c>
      <c r="G29" s="81" t="s">
        <v>162</v>
      </c>
      <c r="AF29" s="81" t="s">
        <v>70</v>
      </c>
      <c r="AJ29" s="112"/>
    </row>
    <row r="30" spans="1:36">
      <c r="A30" s="81" t="s">
        <v>190</v>
      </c>
      <c r="G30" s="81" t="s">
        <v>294</v>
      </c>
      <c r="AF30" s="81" t="s">
        <v>567</v>
      </c>
    </row>
    <row r="31" spans="1:36">
      <c r="A31" s="81" t="s">
        <v>75</v>
      </c>
      <c r="G31" s="81" t="s">
        <v>295</v>
      </c>
      <c r="AF31" s="161"/>
    </row>
    <row r="32" spans="1:36">
      <c r="A32" s="81" t="s">
        <v>484</v>
      </c>
      <c r="G32" s="81" t="s">
        <v>135</v>
      </c>
      <c r="AE32" s="81" t="s">
        <v>337</v>
      </c>
    </row>
    <row r="33" spans="1:32">
      <c r="A33" s="81" t="s">
        <v>191</v>
      </c>
      <c r="G33" s="81" t="s">
        <v>307</v>
      </c>
      <c r="AE33" s="165">
        <f>AE8/15712</f>
        <v>1.3035281007400858</v>
      </c>
      <c r="AF33" s="81" t="s">
        <v>569</v>
      </c>
    </row>
    <row r="34" spans="1:32">
      <c r="A34" s="161"/>
      <c r="AE34" s="165">
        <f>AE12/15601</f>
        <v>1.297964742948239</v>
      </c>
      <c r="AF34" s="81" t="s">
        <v>570</v>
      </c>
    </row>
    <row r="35" spans="1:32">
      <c r="A35" s="81" t="s">
        <v>192</v>
      </c>
      <c r="H35" s="40" t="s">
        <v>474</v>
      </c>
      <c r="I35" s="40" t="s">
        <v>739</v>
      </c>
      <c r="J35" s="40" t="s">
        <v>740</v>
      </c>
      <c r="AE35" s="248">
        <f>AE20/111</f>
        <v>1.3742052553824129</v>
      </c>
      <c r="AF35" s="81" t="s">
        <v>571</v>
      </c>
    </row>
    <row r="36" spans="1:32">
      <c r="A36" s="81" t="s">
        <v>189</v>
      </c>
      <c r="G36" s="81" t="s">
        <v>535</v>
      </c>
      <c r="H36" s="161">
        <f>I36+J36</f>
        <v>12596.787519042384</v>
      </c>
      <c r="I36" s="161">
        <f>I37+I38</f>
        <v>6447.0798747785084</v>
      </c>
      <c r="J36" s="161">
        <f>J37+J38</f>
        <v>6149.7076442638745</v>
      </c>
    </row>
    <row r="37" spans="1:32">
      <c r="G37" s="81" t="s">
        <v>536</v>
      </c>
      <c r="H37" s="161">
        <f t="shared" ref="H37:H38" si="13">I37+J37</f>
        <v>12488.0418994758</v>
      </c>
      <c r="I37" s="161">
        <f>0.3265*F18</f>
        <v>6385.5774701466507</v>
      </c>
      <c r="J37" s="161">
        <f>0.3221*I18</f>
        <v>6102.4644293291503</v>
      </c>
    </row>
    <row r="38" spans="1:32">
      <c r="G38" s="81" t="s">
        <v>537</v>
      </c>
      <c r="H38" s="161">
        <f t="shared" si="13"/>
        <v>108.74561956658238</v>
      </c>
      <c r="I38" s="161">
        <f>0.3265*N18</f>
        <v>61.502404631858042</v>
      </c>
      <c r="J38" s="161">
        <f>0.3221*O18</f>
        <v>47.243214934724328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Z38"/>
  <sheetViews>
    <sheetView workbookViewId="0">
      <selection activeCell="E14" sqref="E14:G16"/>
    </sheetView>
  </sheetViews>
  <sheetFormatPr baseColWidth="10" defaultRowHeight="15"/>
  <cols>
    <col min="1" max="1" width="7.42578125" style="1" customWidth="1"/>
    <col min="2" max="10" width="10.7109375" style="1"/>
    <col min="11" max="11" width="6.7109375" style="1" customWidth="1"/>
    <col min="12" max="13" width="10.7109375" style="1"/>
    <col min="14" max="14" width="9.28515625" style="1" customWidth="1"/>
    <col min="15" max="15" width="6.5703125" style="1" customWidth="1"/>
    <col min="16" max="16" width="10.7109375" style="1"/>
    <col min="17" max="19" width="8.42578125" style="1" customWidth="1"/>
    <col min="20" max="20" width="3.7109375" style="1" customWidth="1"/>
    <col min="21" max="22" width="10.7109375" style="1"/>
    <col min="23" max="23" width="10.7109375" style="1" customWidth="1"/>
    <col min="24" max="16384" width="10.7109375" style="1"/>
  </cols>
  <sheetData>
    <row r="1" spans="1:24" ht="17">
      <c r="B1" s="3" t="s">
        <v>207</v>
      </c>
    </row>
    <row r="2" spans="1:24">
      <c r="B2" s="222" t="s">
        <v>26</v>
      </c>
    </row>
    <row r="3" spans="1:24">
      <c r="B3" s="222" t="s">
        <v>27</v>
      </c>
      <c r="P3" s="81"/>
      <c r="Q3" s="81"/>
      <c r="R3" s="81"/>
      <c r="S3" s="81"/>
      <c r="T3" s="81"/>
      <c r="V3" s="81"/>
      <c r="W3" s="81"/>
      <c r="X3" s="81"/>
    </row>
    <row r="4" spans="1:24" s="222" customFormat="1">
      <c r="L4" s="286" t="s">
        <v>526</v>
      </c>
      <c r="M4" s="286"/>
      <c r="N4" s="286"/>
      <c r="P4" s="81"/>
      <c r="Q4" s="81"/>
      <c r="R4" s="81"/>
      <c r="S4" s="81"/>
      <c r="T4" s="81"/>
      <c r="U4" s="220"/>
      <c r="V4" s="81"/>
      <c r="W4" s="81"/>
      <c r="X4" s="81"/>
    </row>
    <row r="5" spans="1:24">
      <c r="D5" s="4" t="s">
        <v>199</v>
      </c>
      <c r="E5" s="4" t="s">
        <v>200</v>
      </c>
      <c r="F5" s="4" t="s">
        <v>201</v>
      </c>
      <c r="G5" s="4" t="s">
        <v>202</v>
      </c>
      <c r="H5" s="4" t="s">
        <v>203</v>
      </c>
      <c r="I5" s="4" t="s">
        <v>204</v>
      </c>
      <c r="J5" s="4" t="s">
        <v>209</v>
      </c>
      <c r="L5" s="286" t="s">
        <v>527</v>
      </c>
      <c r="M5" s="286"/>
      <c r="P5" s="81"/>
      <c r="Q5" s="81"/>
      <c r="R5" s="81"/>
      <c r="S5" s="81"/>
      <c r="T5" s="81"/>
      <c r="U5" s="120" t="s">
        <v>321</v>
      </c>
      <c r="V5" s="81"/>
      <c r="W5" s="81"/>
      <c r="X5" s="81"/>
    </row>
    <row r="6" spans="1:24">
      <c r="D6" s="4" t="s">
        <v>737</v>
      </c>
      <c r="E6" s="10" t="s">
        <v>738</v>
      </c>
      <c r="F6" s="8"/>
      <c r="G6" s="29"/>
      <c r="H6" s="10" t="s">
        <v>715</v>
      </c>
      <c r="I6" s="11"/>
      <c r="J6" s="29"/>
      <c r="L6" s="286" t="s">
        <v>618</v>
      </c>
      <c r="M6" s="286"/>
      <c r="P6" s="81"/>
      <c r="Q6" s="1" t="s">
        <v>107</v>
      </c>
      <c r="X6" s="81"/>
    </row>
    <row r="7" spans="1:24">
      <c r="D7" s="4"/>
      <c r="E7" s="4" t="s">
        <v>737</v>
      </c>
      <c r="F7" s="4" t="s">
        <v>739</v>
      </c>
      <c r="G7" s="4" t="s">
        <v>740</v>
      </c>
      <c r="H7" s="4" t="s">
        <v>737</v>
      </c>
      <c r="I7" s="4" t="s">
        <v>739</v>
      </c>
      <c r="J7" s="4" t="s">
        <v>210</v>
      </c>
      <c r="P7" s="81"/>
      <c r="Q7" s="1" t="s">
        <v>180</v>
      </c>
      <c r="U7" s="18" t="s">
        <v>320</v>
      </c>
      <c r="V7" s="19"/>
      <c r="W7" s="20"/>
      <c r="X7" s="81"/>
    </row>
    <row r="8" spans="1:24" ht="16" thickBot="1">
      <c r="A8" s="1" t="s">
        <v>608</v>
      </c>
      <c r="B8" s="4" t="s">
        <v>609</v>
      </c>
      <c r="C8" s="1" t="s">
        <v>610</v>
      </c>
      <c r="D8" s="4" t="s">
        <v>611</v>
      </c>
      <c r="E8" s="4" t="s">
        <v>611</v>
      </c>
      <c r="F8" s="4" t="s">
        <v>611</v>
      </c>
      <c r="G8" s="4" t="s">
        <v>611</v>
      </c>
      <c r="H8" s="4" t="s">
        <v>611</v>
      </c>
      <c r="I8" s="4" t="s">
        <v>611</v>
      </c>
      <c r="J8" s="4" t="s">
        <v>611</v>
      </c>
      <c r="L8" s="286" t="s">
        <v>637</v>
      </c>
      <c r="M8" s="286"/>
      <c r="N8" s="286"/>
      <c r="P8" s="81"/>
      <c r="Q8" s="71" t="s">
        <v>538</v>
      </c>
      <c r="R8" s="71" t="s">
        <v>539</v>
      </c>
      <c r="S8" s="71" t="s">
        <v>325</v>
      </c>
      <c r="U8" s="71" t="s">
        <v>538</v>
      </c>
      <c r="V8" s="71" t="s">
        <v>539</v>
      </c>
      <c r="W8" s="71" t="s">
        <v>325</v>
      </c>
      <c r="X8" s="81"/>
    </row>
    <row r="9" spans="1:24" ht="16" thickBot="1">
      <c r="A9" s="1">
        <v>1</v>
      </c>
      <c r="B9" s="1">
        <v>1771</v>
      </c>
      <c r="C9" s="1" t="s">
        <v>737</v>
      </c>
      <c r="D9" s="12">
        <v>4669</v>
      </c>
      <c r="E9" s="124">
        <v>4650</v>
      </c>
      <c r="F9" s="5">
        <v>2503</v>
      </c>
      <c r="G9" s="5">
        <v>2147</v>
      </c>
      <c r="H9" s="4">
        <v>19</v>
      </c>
      <c r="I9" s="4">
        <v>13</v>
      </c>
      <c r="J9" s="4">
        <v>6</v>
      </c>
      <c r="L9" s="286" t="s">
        <v>577</v>
      </c>
      <c r="M9" s="286"/>
      <c r="N9" s="1">
        <v>255</v>
      </c>
      <c r="P9" s="4" t="s">
        <v>477</v>
      </c>
      <c r="Q9" s="106"/>
      <c r="R9" s="106"/>
      <c r="S9" s="106"/>
      <c r="T9" s="81"/>
      <c r="U9" s="246">
        <f>V9+W9</f>
        <v>1930.5794843620097</v>
      </c>
      <c r="V9" s="133">
        <f t="shared" ref="V9:W11" si="0">V13+V21</f>
        <v>1833.6642928267161</v>
      </c>
      <c r="W9" s="133">
        <f t="shared" si="0"/>
        <v>96.915191535293658</v>
      </c>
      <c r="X9" s="6" t="s">
        <v>477</v>
      </c>
    </row>
    <row r="10" spans="1:24">
      <c r="A10" s="1">
        <v>2</v>
      </c>
      <c r="B10" s="1">
        <v>1771</v>
      </c>
      <c r="C10" s="1" t="s">
        <v>446</v>
      </c>
      <c r="D10" s="5">
        <v>2389</v>
      </c>
      <c r="E10" s="5">
        <v>2383</v>
      </c>
      <c r="F10" s="5">
        <v>1249</v>
      </c>
      <c r="G10" s="5">
        <v>1134</v>
      </c>
      <c r="H10" s="4">
        <v>6</v>
      </c>
      <c r="I10" s="4">
        <v>2</v>
      </c>
      <c r="J10" s="4">
        <v>4</v>
      </c>
      <c r="L10" s="1" t="s">
        <v>579</v>
      </c>
      <c r="N10" s="4">
        <v>16</v>
      </c>
      <c r="P10" s="4" t="s">
        <v>462</v>
      </c>
      <c r="Q10" s="106"/>
      <c r="R10" s="106"/>
      <c r="S10" s="106"/>
      <c r="T10" s="81"/>
      <c r="U10" s="133">
        <f t="shared" ref="U10:U23" si="1">V10+W10</f>
        <v>85.499717776200839</v>
      </c>
      <c r="V10" s="133">
        <f t="shared" si="0"/>
        <v>62.795187593149464</v>
      </c>
      <c r="W10" s="133">
        <f t="shared" si="0"/>
        <v>22.704530183051375</v>
      </c>
      <c r="X10" s="6" t="s">
        <v>462</v>
      </c>
    </row>
    <row r="11" spans="1:24">
      <c r="A11" s="1">
        <v>3</v>
      </c>
      <c r="B11" s="1">
        <v>1771</v>
      </c>
      <c r="C11" s="1" t="s">
        <v>205</v>
      </c>
      <c r="D11" s="4" t="s">
        <v>298</v>
      </c>
      <c r="E11" s="4" t="s">
        <v>298</v>
      </c>
      <c r="F11" s="5">
        <v>1187</v>
      </c>
      <c r="G11" s="4" t="s">
        <v>298</v>
      </c>
      <c r="H11" s="4" t="s">
        <v>298</v>
      </c>
      <c r="I11" s="4">
        <v>10</v>
      </c>
      <c r="J11" s="4" t="s">
        <v>208</v>
      </c>
      <c r="L11" s="286" t="s">
        <v>691</v>
      </c>
      <c r="M11" s="287"/>
      <c r="N11" s="233">
        <f>N9/(N9+N10)</f>
        <v>0.94095940959409596</v>
      </c>
      <c r="P11" s="4" t="s">
        <v>384</v>
      </c>
      <c r="Q11" s="106"/>
      <c r="R11" s="106"/>
      <c r="S11" s="106"/>
      <c r="T11" s="81"/>
      <c r="U11" s="133">
        <f t="shared" si="1"/>
        <v>1845.0797665858088</v>
      </c>
      <c r="V11" s="133">
        <f t="shared" si="0"/>
        <v>1770.8691052335664</v>
      </c>
      <c r="W11" s="133">
        <f t="shared" si="0"/>
        <v>74.210661352242283</v>
      </c>
      <c r="X11" s="6" t="s">
        <v>384</v>
      </c>
    </row>
    <row r="12" spans="1:24">
      <c r="A12" s="1">
        <v>4</v>
      </c>
      <c r="B12" s="1">
        <v>1771</v>
      </c>
      <c r="C12" s="1" t="s">
        <v>447</v>
      </c>
      <c r="D12" s="5">
        <v>2280</v>
      </c>
      <c r="E12" s="5">
        <v>2267</v>
      </c>
      <c r="F12" s="126">
        <v>1254</v>
      </c>
      <c r="G12" s="5">
        <v>1013</v>
      </c>
      <c r="H12" s="4">
        <v>13</v>
      </c>
      <c r="I12" s="125">
        <v>11</v>
      </c>
      <c r="J12" s="4">
        <v>2</v>
      </c>
      <c r="L12" s="286" t="s">
        <v>633</v>
      </c>
      <c r="M12" s="286"/>
      <c r="N12" s="240"/>
      <c r="P12" s="27"/>
      <c r="Q12" s="106"/>
      <c r="R12" s="106"/>
      <c r="S12" s="106"/>
      <c r="T12" s="81"/>
      <c r="U12" s="133"/>
      <c r="V12" s="133"/>
      <c r="W12" s="133"/>
      <c r="X12" s="122"/>
    </row>
    <row r="13" spans="1:24">
      <c r="A13" s="1">
        <v>5</v>
      </c>
      <c r="B13" s="1">
        <v>1771</v>
      </c>
      <c r="C13" s="1" t="s">
        <v>206</v>
      </c>
      <c r="D13" s="4" t="s">
        <v>298</v>
      </c>
      <c r="E13" s="4" t="s">
        <v>298</v>
      </c>
      <c r="F13" s="4">
        <v>67</v>
      </c>
      <c r="G13" s="4" t="s">
        <v>298</v>
      </c>
      <c r="H13" s="4" t="s">
        <v>298</v>
      </c>
      <c r="I13" s="4">
        <v>1</v>
      </c>
      <c r="J13" s="4" t="s">
        <v>208</v>
      </c>
      <c r="L13" s="286" t="s">
        <v>634</v>
      </c>
      <c r="M13" s="286"/>
      <c r="P13" s="4" t="s">
        <v>493</v>
      </c>
      <c r="Q13" s="106"/>
      <c r="R13" s="106"/>
      <c r="S13" s="106"/>
      <c r="T13" s="81"/>
      <c r="U13" s="133">
        <f t="shared" si="1"/>
        <v>1915.7751353599801</v>
      </c>
      <c r="V13" s="133">
        <f>V14+V15</f>
        <v>1819.0726633672591</v>
      </c>
      <c r="W13" s="133">
        <f>W14+W15</f>
        <v>96.702471992721058</v>
      </c>
      <c r="X13" s="6" t="s">
        <v>493</v>
      </c>
    </row>
    <row r="14" spans="1:24">
      <c r="A14" s="4" t="s">
        <v>45</v>
      </c>
      <c r="B14" s="100">
        <v>1774</v>
      </c>
      <c r="C14" s="1" t="s">
        <v>44</v>
      </c>
      <c r="D14" s="127">
        <v>7389.8478953183685</v>
      </c>
      <c r="E14" s="130">
        <v>7359.7279931462836</v>
      </c>
      <c r="F14" s="130">
        <v>3961.5912186763767</v>
      </c>
      <c r="G14" s="130">
        <v>3398.1367744699078</v>
      </c>
      <c r="H14" s="130">
        <v>30.072006853716001</v>
      </c>
      <c r="I14" s="130">
        <v>20.575583636753056</v>
      </c>
      <c r="J14" s="130">
        <v>9.4964232169629472</v>
      </c>
      <c r="K14" s="128"/>
      <c r="L14" s="286" t="s">
        <v>635</v>
      </c>
      <c r="M14" s="286"/>
      <c r="O14" s="128"/>
      <c r="P14" s="4" t="s">
        <v>494</v>
      </c>
      <c r="Q14" s="106"/>
      <c r="R14" s="106">
        <f>0.2905*0.10918301915761</f>
        <v>3.1717667065285705E-2</v>
      </c>
      <c r="S14" s="106">
        <f>0.2867*0.04397682677594</f>
        <v>1.2608156236662E-2</v>
      </c>
      <c r="T14" s="112"/>
      <c r="U14" s="133">
        <f t="shared" si="1"/>
        <v>85.33013509032898</v>
      </c>
      <c r="V14" s="134">
        <f>R14*F15</f>
        <v>62.700713832240602</v>
      </c>
      <c r="W14" s="134">
        <f>S14*G15</f>
        <v>22.629421258088374</v>
      </c>
      <c r="X14" s="6" t="s">
        <v>494</v>
      </c>
    </row>
    <row r="15" spans="1:24">
      <c r="A15" s="4" t="s">
        <v>46</v>
      </c>
      <c r="B15" s="100">
        <v>1774</v>
      </c>
      <c r="C15" s="1" t="s">
        <v>446</v>
      </c>
      <c r="D15" s="130">
        <v>3781.1591775540801</v>
      </c>
      <c r="E15" s="130">
        <v>3771.6627543371178</v>
      </c>
      <c r="F15" s="130">
        <v>1976.8387663311205</v>
      </c>
      <c r="G15" s="130">
        <v>1794.8239880059971</v>
      </c>
      <c r="H15" s="130">
        <v>9.4964232169629472</v>
      </c>
      <c r="I15" s="130">
        <v>3.1654744056543156</v>
      </c>
      <c r="J15" s="130">
        <v>6.3309488113086312</v>
      </c>
      <c r="K15" s="128"/>
      <c r="L15" s="128"/>
      <c r="M15" s="128"/>
      <c r="N15" s="128"/>
      <c r="O15" s="128"/>
      <c r="P15" s="4" t="s">
        <v>487</v>
      </c>
      <c r="Q15" s="106"/>
      <c r="R15" s="106">
        <v>0.88493250000000001</v>
      </c>
      <c r="S15" s="106">
        <v>4.6199999999999998E-2</v>
      </c>
      <c r="T15" s="112"/>
      <c r="U15" s="133">
        <f t="shared" si="1"/>
        <v>1830.4450002696512</v>
      </c>
      <c r="V15" s="134">
        <f>R15*F16</f>
        <v>1756.3719495350185</v>
      </c>
      <c r="W15" s="134">
        <f>S15*G16</f>
        <v>74.073050734632687</v>
      </c>
      <c r="X15" s="6" t="s">
        <v>487</v>
      </c>
    </row>
    <row r="16" spans="1:24">
      <c r="A16" s="4" t="s">
        <v>136</v>
      </c>
      <c r="B16" s="100">
        <v>1774</v>
      </c>
      <c r="C16" s="1" t="s">
        <v>447</v>
      </c>
      <c r="D16" s="130">
        <v>3608.6408224459201</v>
      </c>
      <c r="E16" s="130">
        <v>3588.0652388091667</v>
      </c>
      <c r="F16" s="130">
        <v>1984.7524523452562</v>
      </c>
      <c r="G16" s="130">
        <v>1603.3127864639109</v>
      </c>
      <c r="H16" s="130">
        <v>20.575583636753056</v>
      </c>
      <c r="I16" s="130">
        <v>17.410109231098737</v>
      </c>
      <c r="J16" s="130">
        <v>3.1654744056543156</v>
      </c>
      <c r="K16" s="128"/>
      <c r="L16" s="128"/>
      <c r="M16" s="128"/>
      <c r="N16" s="128"/>
      <c r="O16" s="128"/>
      <c r="P16" s="27"/>
      <c r="Q16" s="106"/>
      <c r="R16" s="106"/>
      <c r="S16" s="106"/>
      <c r="T16" s="112"/>
      <c r="U16" s="133"/>
      <c r="V16" s="134"/>
      <c r="W16" s="134"/>
      <c r="X16" s="122"/>
    </row>
    <row r="17" spans="1:26">
      <c r="A17" s="128"/>
      <c r="B17" s="128"/>
      <c r="C17" s="128"/>
      <c r="D17" s="129"/>
      <c r="E17" s="128"/>
      <c r="F17" s="128"/>
      <c r="G17" s="130" t="s">
        <v>512</v>
      </c>
      <c r="I17" s="130"/>
      <c r="J17" s="130"/>
      <c r="K17" s="128"/>
      <c r="L17" s="128"/>
      <c r="M17" s="128"/>
      <c r="N17" s="128"/>
      <c r="O17" s="128"/>
      <c r="P17" s="4" t="s">
        <v>714</v>
      </c>
      <c r="Q17" s="181"/>
      <c r="R17" s="181"/>
      <c r="S17" s="181"/>
      <c r="T17" s="112"/>
      <c r="U17" s="237">
        <f>U21+U25</f>
        <v>16.042961753975444</v>
      </c>
      <c r="V17" s="237">
        <f t="shared" ref="V17:W17" si="2">V21+V25</f>
        <v>15.565595311809991</v>
      </c>
      <c r="W17" s="237">
        <f t="shared" si="2"/>
        <v>0.47736644216545143</v>
      </c>
      <c r="X17" s="6" t="s">
        <v>177</v>
      </c>
      <c r="Y17" s="223"/>
      <c r="Z17" s="223"/>
    </row>
    <row r="18" spans="1:26">
      <c r="A18" s="128"/>
      <c r="B18" s="100">
        <v>1774</v>
      </c>
      <c r="C18" s="128"/>
      <c r="D18" s="129"/>
      <c r="E18" s="128"/>
      <c r="F18" s="128"/>
      <c r="G18" s="4" t="s">
        <v>88</v>
      </c>
      <c r="H18" s="243">
        <f>0.05904*H14</f>
        <v>1.7754512846433927</v>
      </c>
      <c r="I18" s="243">
        <f t="shared" ref="I18:J18" si="3">0.05904*I14</f>
        <v>1.2147824579139004</v>
      </c>
      <c r="J18" s="243">
        <f t="shared" si="3"/>
        <v>0.56066882672949248</v>
      </c>
      <c r="K18" s="128"/>
      <c r="L18" s="128"/>
      <c r="M18" s="128"/>
      <c r="N18" s="128"/>
      <c r="O18" s="128"/>
      <c r="P18" s="4" t="s">
        <v>178</v>
      </c>
      <c r="Q18" s="181"/>
      <c r="R18" s="181"/>
      <c r="S18" s="181"/>
      <c r="T18" s="112"/>
      <c r="U18" s="245">
        <f t="shared" ref="U18:W18" si="4">U22+U26</f>
        <v>0.314891225695347</v>
      </c>
      <c r="V18" s="245">
        <f t="shared" si="4"/>
        <v>0.14333604915833853</v>
      </c>
      <c r="W18" s="245">
        <f t="shared" si="4"/>
        <v>0.17155517653700847</v>
      </c>
      <c r="X18" s="6" t="s">
        <v>178</v>
      </c>
      <c r="Y18" s="223"/>
      <c r="Z18" s="223"/>
    </row>
    <row r="19" spans="1:26">
      <c r="A19" s="128"/>
      <c r="B19" s="100">
        <v>1774</v>
      </c>
      <c r="C19" s="128"/>
      <c r="D19" s="129"/>
      <c r="E19" s="128"/>
      <c r="F19" s="128"/>
      <c r="G19" s="4" t="s">
        <v>99</v>
      </c>
      <c r="H19" s="243">
        <f t="shared" ref="H19:J19" si="5">0.05904*H15</f>
        <v>0.56066882672949248</v>
      </c>
      <c r="I19" s="243">
        <f t="shared" si="5"/>
        <v>0.18688960890983081</v>
      </c>
      <c r="J19" s="243">
        <f t="shared" si="5"/>
        <v>0.37377921781966161</v>
      </c>
      <c r="K19" s="128"/>
      <c r="L19" s="128"/>
      <c r="M19" s="128"/>
      <c r="N19" s="128"/>
      <c r="O19" s="128"/>
      <c r="P19" s="4" t="s">
        <v>179</v>
      </c>
      <c r="Q19" s="181"/>
      <c r="R19" s="181"/>
      <c r="S19" s="181"/>
      <c r="T19" s="112"/>
      <c r="U19" s="237">
        <f t="shared" ref="U19:W19" si="6">U23+U27</f>
        <v>15.728070528280096</v>
      </c>
      <c r="V19" s="237">
        <f t="shared" si="6"/>
        <v>15.422259262651654</v>
      </c>
      <c r="W19" s="237">
        <f t="shared" si="6"/>
        <v>0.30581126562844296</v>
      </c>
      <c r="X19" s="6" t="s">
        <v>179</v>
      </c>
      <c r="Y19" s="223"/>
      <c r="Z19" s="223"/>
    </row>
    <row r="20" spans="1:26">
      <c r="A20" s="128"/>
      <c r="B20" s="100">
        <v>1774</v>
      </c>
      <c r="C20" s="128"/>
      <c r="D20" s="128"/>
      <c r="E20" s="128"/>
      <c r="F20" s="128"/>
      <c r="G20" s="4" t="s">
        <v>112</v>
      </c>
      <c r="H20" s="243">
        <f t="shared" ref="H20:J20" si="7">0.05904*H16</f>
        <v>1.2147824579139004</v>
      </c>
      <c r="I20" s="243">
        <f t="shared" si="7"/>
        <v>1.0278928490040695</v>
      </c>
      <c r="J20" s="243">
        <f t="shared" si="7"/>
        <v>0.18688960890983081</v>
      </c>
      <c r="K20" s="128"/>
      <c r="L20" s="128"/>
      <c r="M20" s="128"/>
      <c r="N20" s="128"/>
      <c r="O20" s="128"/>
      <c r="P20" s="27"/>
      <c r="Q20" s="181"/>
      <c r="R20" s="181" t="s">
        <v>518</v>
      </c>
      <c r="S20" s="223"/>
      <c r="T20" s="112"/>
      <c r="U20" s="237"/>
      <c r="V20" s="150"/>
      <c r="W20" s="150"/>
      <c r="X20" s="122"/>
      <c r="Y20" s="223"/>
      <c r="Z20" s="223"/>
    </row>
    <row r="21" spans="1:26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P21" s="4" t="s">
        <v>194</v>
      </c>
      <c r="Q21" s="106"/>
      <c r="R21" s="181" t="s">
        <v>517</v>
      </c>
      <c r="S21" s="223"/>
      <c r="T21" s="81"/>
      <c r="U21" s="133">
        <f t="shared" si="1"/>
        <v>14.804349002029451</v>
      </c>
      <c r="V21" s="133">
        <f>V22+V23</f>
        <v>14.591629459456854</v>
      </c>
      <c r="W21" s="136">
        <f>W22+W23</f>
        <v>0.21271954257259637</v>
      </c>
      <c r="X21" s="6" t="s">
        <v>194</v>
      </c>
    </row>
    <row r="22" spans="1:26">
      <c r="A22" s="59" t="s">
        <v>62</v>
      </c>
      <c r="G22" s="81" t="s">
        <v>162</v>
      </c>
      <c r="P22" s="4" t="s">
        <v>195</v>
      </c>
      <c r="Q22" s="106"/>
      <c r="R22" s="106">
        <f>0.2905*0.10918301915761</f>
        <v>3.1717667065285705E-2</v>
      </c>
      <c r="S22" s="106">
        <f>0.2867*0.04397682677594</f>
        <v>1.2608156236662E-2</v>
      </c>
      <c r="U22" s="136">
        <f t="shared" si="1"/>
        <v>0.16958268587186442</v>
      </c>
      <c r="V22" s="135">
        <f>R22*(I15-I19)</f>
        <v>9.4473760908863266E-2</v>
      </c>
      <c r="W22" s="204">
        <f>S22*(J15-J19)</f>
        <v>7.5108924963001172E-2</v>
      </c>
      <c r="X22" s="6" t="s">
        <v>195</v>
      </c>
    </row>
    <row r="23" spans="1:26">
      <c r="A23" s="1" t="s">
        <v>110</v>
      </c>
      <c r="G23" s="1" t="s">
        <v>80</v>
      </c>
      <c r="P23" s="4" t="s">
        <v>97</v>
      </c>
      <c r="Q23" s="106"/>
      <c r="R23" s="132">
        <v>0.88493250000000001</v>
      </c>
      <c r="S23" s="132">
        <v>4.6199999999999998E-2</v>
      </c>
      <c r="U23" s="133">
        <f t="shared" si="1"/>
        <v>14.634766316157586</v>
      </c>
      <c r="V23" s="204">
        <f>R23*(I16-I20)</f>
        <v>14.49715569854799</v>
      </c>
      <c r="W23" s="204">
        <f>S23*(J16-J20)</f>
        <v>0.1376106176095952</v>
      </c>
      <c r="X23" s="6" t="s">
        <v>97</v>
      </c>
    </row>
    <row r="24" spans="1:26">
      <c r="A24" s="1" t="s">
        <v>111</v>
      </c>
      <c r="G24" s="1" t="s">
        <v>176</v>
      </c>
      <c r="P24" s="4"/>
      <c r="Q24" s="106"/>
      <c r="S24" s="106"/>
      <c r="T24" s="223"/>
      <c r="U24" s="237"/>
      <c r="V24" s="235"/>
      <c r="W24" s="204"/>
      <c r="X24" s="6"/>
    </row>
    <row r="25" spans="1:26">
      <c r="A25" s="1" t="s">
        <v>484</v>
      </c>
      <c r="G25" s="1" t="s">
        <v>135</v>
      </c>
      <c r="P25" s="4" t="s">
        <v>88</v>
      </c>
      <c r="T25" s="223"/>
      <c r="U25" s="245">
        <f>V25+W25</f>
        <v>1.2386127519459929</v>
      </c>
      <c r="V25" s="244">
        <f>V26+V27</f>
        <v>0.97396585235313782</v>
      </c>
      <c r="W25" s="244">
        <f>W26+W27</f>
        <v>0.26464689959285503</v>
      </c>
      <c r="X25" s="6" t="s">
        <v>88</v>
      </c>
    </row>
    <row r="26" spans="1:26">
      <c r="A26" s="1" t="s">
        <v>358</v>
      </c>
      <c r="G26" s="1" t="s">
        <v>307</v>
      </c>
      <c r="P26" s="4" t="s">
        <v>99</v>
      </c>
      <c r="R26" s="241">
        <f>0.9*0.2905</f>
        <v>0.26145000000000002</v>
      </c>
      <c r="S26" s="241">
        <f>0.9*0.2867</f>
        <v>0.25803000000000004</v>
      </c>
      <c r="T26" s="223"/>
      <c r="U26" s="245">
        <f t="shared" ref="U26:U27" si="8">V26+W26</f>
        <v>0.14530853982348257</v>
      </c>
      <c r="V26" s="244">
        <f>R26*I19</f>
        <v>4.8862288249475271E-2</v>
      </c>
      <c r="W26" s="244">
        <f>S26*J19</f>
        <v>9.6446251574007297E-2</v>
      </c>
      <c r="X26" s="6" t="s">
        <v>99</v>
      </c>
    </row>
    <row r="27" spans="1:26">
      <c r="A27" s="120"/>
      <c r="P27" s="4" t="s">
        <v>112</v>
      </c>
      <c r="R27" s="241">
        <v>0.9</v>
      </c>
      <c r="S27" s="241">
        <v>0.9</v>
      </c>
      <c r="T27" s="223"/>
      <c r="U27" s="245">
        <f t="shared" si="8"/>
        <v>1.0933042121225103</v>
      </c>
      <c r="V27" s="244">
        <f>R27*I20</f>
        <v>0.92510356410366257</v>
      </c>
      <c r="W27" s="244">
        <f>S27*J20</f>
        <v>0.16820064801884774</v>
      </c>
      <c r="X27" s="6" t="s">
        <v>112</v>
      </c>
    </row>
    <row r="28" spans="1:26">
      <c r="A28" s="1" t="s">
        <v>238</v>
      </c>
      <c r="H28" s="4" t="s">
        <v>474</v>
      </c>
      <c r="I28" s="4" t="s">
        <v>739</v>
      </c>
      <c r="J28" s="4" t="s">
        <v>740</v>
      </c>
      <c r="P28" s="81"/>
      <c r="X28" s="81"/>
    </row>
    <row r="29" spans="1:26">
      <c r="A29" s="1" t="s">
        <v>118</v>
      </c>
      <c r="G29" s="4" t="s">
        <v>535</v>
      </c>
      <c r="H29" s="131">
        <f>I29+J29</f>
        <v>1091.5823523195545</v>
      </c>
      <c r="I29" s="131">
        <f>I30+I31</f>
        <v>575.191231934033</v>
      </c>
      <c r="J29" s="131">
        <f>J30+J31</f>
        <v>516.39112038552162</v>
      </c>
      <c r="P29" s="81"/>
      <c r="U29" s="1" t="s">
        <v>109</v>
      </c>
      <c r="V29" s="1" t="s">
        <v>319</v>
      </c>
      <c r="X29" s="81"/>
    </row>
    <row r="30" spans="1:26">
      <c r="B30" s="1" t="s">
        <v>305</v>
      </c>
      <c r="G30" s="4" t="s">
        <v>536</v>
      </c>
      <c r="H30" s="131">
        <f t="shared" ref="H30:H31" si="9">I30+J30</f>
        <v>1088.8476989805099</v>
      </c>
      <c r="I30" s="131">
        <f>0.2905*F15</f>
        <v>574.27166161919047</v>
      </c>
      <c r="J30" s="131">
        <f>0.2867*G15</f>
        <v>514.57603736131944</v>
      </c>
      <c r="P30" s="81"/>
      <c r="V30" s="1" t="s">
        <v>438</v>
      </c>
      <c r="X30" s="81"/>
    </row>
    <row r="31" spans="1:26">
      <c r="B31" s="1" t="s">
        <v>169</v>
      </c>
      <c r="G31" s="4" t="s">
        <v>537</v>
      </c>
      <c r="H31" s="131">
        <f t="shared" si="9"/>
        <v>2.7346533390447636</v>
      </c>
      <c r="I31" s="131">
        <f>0.2905*I15</f>
        <v>0.91957031484257867</v>
      </c>
      <c r="J31" s="131">
        <f>0.2867*J15</f>
        <v>1.8150830242021847</v>
      </c>
      <c r="P31" s="81"/>
      <c r="V31" s="1" t="s">
        <v>181</v>
      </c>
      <c r="X31" s="81"/>
    </row>
    <row r="32" spans="1:26">
      <c r="P32" s="81"/>
      <c r="V32" s="81"/>
      <c r="W32" s="223" t="s">
        <v>561</v>
      </c>
      <c r="X32" s="81"/>
    </row>
    <row r="33" spans="1:24">
      <c r="A33" s="1" t="s">
        <v>306</v>
      </c>
      <c r="P33" s="81"/>
      <c r="Q33" s="81"/>
      <c r="R33" s="81"/>
      <c r="S33" s="81"/>
      <c r="V33" s="120"/>
      <c r="W33" s="223" t="s">
        <v>560</v>
      </c>
      <c r="X33" s="81"/>
    </row>
    <row r="34" spans="1:24">
      <c r="A34" s="1" t="s">
        <v>174</v>
      </c>
      <c r="U34" s="1" t="s">
        <v>337</v>
      </c>
    </row>
    <row r="35" spans="1:24">
      <c r="A35" s="1" t="s">
        <v>47</v>
      </c>
      <c r="U35" s="67">
        <f>U9/1626</f>
        <v>1.1873182560651967</v>
      </c>
      <c r="V35" s="1" t="s">
        <v>231</v>
      </c>
    </row>
    <row r="36" spans="1:24">
      <c r="A36" s="1" t="s">
        <v>48</v>
      </c>
      <c r="U36" s="67">
        <f>U13/1617</f>
        <v>1.1847712649103155</v>
      </c>
      <c r="V36" s="1" t="s">
        <v>232</v>
      </c>
    </row>
    <row r="37" spans="1:24">
      <c r="A37" s="1" t="s">
        <v>49</v>
      </c>
      <c r="T37" s="81"/>
      <c r="U37" s="123">
        <f>U21/9</f>
        <v>1.6449276668921611</v>
      </c>
      <c r="V37" s="81" t="s">
        <v>562</v>
      </c>
      <c r="W37" s="81"/>
    </row>
    <row r="38" spans="1:24">
      <c r="A38" s="1" t="s">
        <v>43</v>
      </c>
    </row>
  </sheetData>
  <mergeCells count="9">
    <mergeCell ref="L12:M12"/>
    <mergeCell ref="L13:M13"/>
    <mergeCell ref="L14:M14"/>
    <mergeCell ref="L4:N4"/>
    <mergeCell ref="L5:M5"/>
    <mergeCell ref="L6:M6"/>
    <mergeCell ref="L8:N8"/>
    <mergeCell ref="L9:M9"/>
    <mergeCell ref="L11:M11"/>
  </mergeCells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H34"/>
  <sheetViews>
    <sheetView topLeftCell="A4" workbookViewId="0">
      <selection activeCell="G12" sqref="G12:I14"/>
    </sheetView>
  </sheetViews>
  <sheetFormatPr baseColWidth="10" defaultRowHeight="15"/>
  <cols>
    <col min="1" max="1" width="5.85546875" style="81" customWidth="1"/>
    <col min="2" max="2" width="10.7109375" style="81"/>
    <col min="3" max="3" width="13.42578125" style="81" customWidth="1"/>
    <col min="4" max="6" width="10.7109375" style="81"/>
    <col min="7" max="9" width="9.28515625" style="81" customWidth="1"/>
    <col min="10" max="10" width="8.140625" style="81" customWidth="1"/>
    <col min="11" max="11" width="7.7109375" style="81" customWidth="1"/>
    <col min="12" max="12" width="8.140625" style="81" customWidth="1"/>
    <col min="13" max="15" width="9.28515625" style="81" customWidth="1"/>
    <col min="16" max="18" width="10.7109375" style="81"/>
    <col min="19" max="19" width="5.7109375" style="81" customWidth="1"/>
    <col min="20" max="20" width="8.42578125" style="81" customWidth="1"/>
    <col min="21" max="21" width="11.5703125" style="81" customWidth="1"/>
    <col min="22" max="22" width="9.140625" style="81" customWidth="1"/>
    <col min="23" max="23" width="5.85546875" style="81" customWidth="1"/>
    <col min="24" max="25" width="10.7109375" style="81"/>
    <col min="26" max="26" width="8.85546875" style="81" customWidth="1"/>
    <col min="27" max="27" width="9.140625" style="81" customWidth="1"/>
    <col min="28" max="28" width="7" style="81" customWidth="1"/>
    <col min="29" max="30" width="11.7109375" style="81" customWidth="1"/>
    <col min="31" max="31" width="12.5703125" style="81" customWidth="1"/>
    <col min="32" max="16384" width="10.7109375" style="81"/>
  </cols>
  <sheetData>
    <row r="1" spans="1:34" ht="17">
      <c r="B1" s="82" t="s">
        <v>602</v>
      </c>
    </row>
    <row r="2" spans="1:34">
      <c r="B2" s="1" t="s">
        <v>421</v>
      </c>
      <c r="AC2" s="140" t="s">
        <v>650</v>
      </c>
    </row>
    <row r="3" spans="1:34">
      <c r="AC3" s="111" t="s">
        <v>230</v>
      </c>
    </row>
    <row r="4" spans="1:34">
      <c r="D4" s="4" t="s">
        <v>211</v>
      </c>
      <c r="E4" s="4" t="s">
        <v>212</v>
      </c>
      <c r="F4" s="4" t="s">
        <v>213</v>
      </c>
      <c r="G4" s="4" t="s">
        <v>214</v>
      </c>
      <c r="H4" s="4" t="s">
        <v>215</v>
      </c>
      <c r="I4" s="4" t="s">
        <v>216</v>
      </c>
      <c r="J4" s="4" t="s">
        <v>217</v>
      </c>
      <c r="K4" s="4" t="s">
        <v>220</v>
      </c>
      <c r="L4" s="4" t="s">
        <v>221</v>
      </c>
      <c r="M4" s="4" t="s">
        <v>613</v>
      </c>
      <c r="N4" s="4" t="s">
        <v>489</v>
      </c>
      <c r="O4" s="4" t="s">
        <v>490</v>
      </c>
      <c r="P4" s="4" t="s">
        <v>219</v>
      </c>
      <c r="Q4" s="4" t="s">
        <v>491</v>
      </c>
      <c r="R4" s="4" t="s">
        <v>382</v>
      </c>
      <c r="T4" s="286" t="s">
        <v>526</v>
      </c>
      <c r="U4" s="286"/>
      <c r="V4" s="286"/>
      <c r="Y4" s="1" t="s">
        <v>107</v>
      </c>
      <c r="Z4" s="1"/>
      <c r="AA4" s="1"/>
      <c r="AB4" s="1"/>
      <c r="AC4" s="1"/>
      <c r="AD4" s="1"/>
      <c r="AE4" s="1"/>
    </row>
    <row r="5" spans="1:34">
      <c r="D5" s="4" t="s">
        <v>734</v>
      </c>
      <c r="E5" s="4" t="s">
        <v>735</v>
      </c>
      <c r="F5" s="4" t="s">
        <v>736</v>
      </c>
      <c r="G5" s="4"/>
      <c r="H5" s="4"/>
      <c r="I5" s="4"/>
      <c r="J5" s="4"/>
      <c r="K5" s="4"/>
      <c r="L5" s="4"/>
      <c r="M5" s="4"/>
      <c r="N5" s="4"/>
      <c r="O5" s="4"/>
      <c r="T5" s="286" t="s">
        <v>527</v>
      </c>
      <c r="U5" s="286"/>
      <c r="V5" s="1"/>
      <c r="Y5" s="1" t="s">
        <v>588</v>
      </c>
      <c r="Z5" s="1"/>
      <c r="AA5" s="1"/>
      <c r="AB5" s="1"/>
      <c r="AC5" s="18" t="s">
        <v>587</v>
      </c>
      <c r="AD5" s="19"/>
      <c r="AE5" s="20"/>
      <c r="AF5" s="81" t="s">
        <v>664</v>
      </c>
    </row>
    <row r="6" spans="1:34" ht="16" thickBot="1">
      <c r="D6" s="4"/>
      <c r="E6" s="4"/>
      <c r="F6" s="4" t="s">
        <v>737</v>
      </c>
      <c r="G6" s="10" t="s">
        <v>738</v>
      </c>
      <c r="H6" s="11"/>
      <c r="I6" s="29"/>
      <c r="J6" s="83" t="s">
        <v>456</v>
      </c>
      <c r="K6" s="84"/>
      <c r="L6" s="85"/>
      <c r="M6" s="83" t="s">
        <v>218</v>
      </c>
      <c r="N6" s="84"/>
      <c r="O6" s="85"/>
      <c r="P6" s="83" t="s">
        <v>541</v>
      </c>
      <c r="Q6" s="84"/>
      <c r="R6" s="85"/>
      <c r="T6" s="286" t="s">
        <v>618</v>
      </c>
      <c r="U6" s="286"/>
      <c r="V6" s="1"/>
      <c r="Y6" s="71" t="s">
        <v>479</v>
      </c>
      <c r="Z6" s="71" t="s">
        <v>539</v>
      </c>
      <c r="AA6" s="71" t="s">
        <v>378</v>
      </c>
      <c r="AB6" s="1"/>
      <c r="AC6" s="71" t="s">
        <v>479</v>
      </c>
      <c r="AD6" s="71" t="s">
        <v>539</v>
      </c>
      <c r="AE6" s="71" t="s">
        <v>378</v>
      </c>
    </row>
    <row r="7" spans="1:34" ht="16" thickBot="1">
      <c r="D7" s="4"/>
      <c r="E7" s="4"/>
      <c r="F7" s="4"/>
      <c r="G7" s="4" t="s">
        <v>737</v>
      </c>
      <c r="H7" s="4" t="s">
        <v>739</v>
      </c>
      <c r="I7" s="4" t="s">
        <v>740</v>
      </c>
      <c r="J7" s="4" t="s">
        <v>737</v>
      </c>
      <c r="K7" s="4" t="s">
        <v>739</v>
      </c>
      <c r="L7" s="4" t="s">
        <v>740</v>
      </c>
      <c r="M7" s="4" t="s">
        <v>737</v>
      </c>
      <c r="N7" s="4" t="s">
        <v>739</v>
      </c>
      <c r="O7" s="4" t="s">
        <v>740</v>
      </c>
      <c r="P7" s="4" t="s">
        <v>737</v>
      </c>
      <c r="Q7" s="4" t="s">
        <v>739</v>
      </c>
      <c r="R7" s="4" t="s">
        <v>740</v>
      </c>
      <c r="T7" s="1"/>
      <c r="U7" s="1"/>
      <c r="V7" s="1"/>
      <c r="X7" s="4" t="s">
        <v>379</v>
      </c>
      <c r="Y7" s="106"/>
      <c r="Z7" s="106"/>
      <c r="AA7" s="106"/>
      <c r="AC7" s="121">
        <f>AD7+AE7</f>
        <v>76718.802876380098</v>
      </c>
      <c r="AD7" s="235">
        <f t="shared" ref="AD7:AE9" si="0">AD11+AD16</f>
        <v>65272.467060042967</v>
      </c>
      <c r="AE7" s="235">
        <f t="shared" si="0"/>
        <v>11446.335816337132</v>
      </c>
      <c r="AF7" s="6" t="s">
        <v>379</v>
      </c>
    </row>
    <row r="8" spans="1:34">
      <c r="A8" s="4" t="s">
        <v>608</v>
      </c>
      <c r="B8" s="4" t="s">
        <v>609</v>
      </c>
      <c r="C8" s="4" t="s">
        <v>610</v>
      </c>
      <c r="D8" s="4" t="s">
        <v>611</v>
      </c>
      <c r="E8" s="4" t="s">
        <v>611</v>
      </c>
      <c r="F8" s="4" t="s">
        <v>611</v>
      </c>
      <c r="G8" s="4" t="s">
        <v>611</v>
      </c>
      <c r="H8" s="4" t="s">
        <v>611</v>
      </c>
      <c r="I8" s="4" t="s">
        <v>611</v>
      </c>
      <c r="J8" s="4" t="s">
        <v>611</v>
      </c>
      <c r="K8" s="4" t="s">
        <v>611</v>
      </c>
      <c r="L8" s="4" t="s">
        <v>611</v>
      </c>
      <c r="M8" s="4" t="s">
        <v>611</v>
      </c>
      <c r="N8" s="4" t="s">
        <v>611</v>
      </c>
      <c r="O8" s="4" t="s">
        <v>611</v>
      </c>
      <c r="P8" s="4" t="s">
        <v>611</v>
      </c>
      <c r="Q8" s="4" t="s">
        <v>611</v>
      </c>
      <c r="R8" s="4" t="s">
        <v>611</v>
      </c>
      <c r="T8" s="286" t="s">
        <v>636</v>
      </c>
      <c r="U8" s="286"/>
      <c r="V8" s="286"/>
      <c r="X8" s="4" t="s">
        <v>462</v>
      </c>
      <c r="Y8" s="106"/>
      <c r="Z8" s="106"/>
      <c r="AA8" s="106"/>
      <c r="AC8" s="120">
        <f>AD8+AE8</f>
        <v>4026.3956258938433</v>
      </c>
      <c r="AD8" s="120">
        <f t="shared" si="0"/>
        <v>2567.0950490287528</v>
      </c>
      <c r="AE8" s="235">
        <f t="shared" si="0"/>
        <v>1459.3005768650908</v>
      </c>
      <c r="AF8" s="6" t="s">
        <v>462</v>
      </c>
    </row>
    <row r="9" spans="1:34">
      <c r="A9" s="87">
        <v>1</v>
      </c>
      <c r="B9" s="45" t="s">
        <v>612</v>
      </c>
      <c r="C9" s="87" t="s">
        <v>737</v>
      </c>
      <c r="D9" s="44">
        <v>31707</v>
      </c>
      <c r="E9" s="44">
        <v>43483</v>
      </c>
      <c r="F9" s="44">
        <v>223841</v>
      </c>
      <c r="G9" s="44">
        <v>216700</v>
      </c>
      <c r="H9" s="44">
        <v>106611</v>
      </c>
      <c r="I9" s="44">
        <v>110089</v>
      </c>
      <c r="J9" s="44">
        <v>4891</v>
      </c>
      <c r="K9" s="44">
        <v>2824</v>
      </c>
      <c r="L9" s="44">
        <v>2067</v>
      </c>
      <c r="M9" s="44">
        <v>1681</v>
      </c>
      <c r="N9" s="45">
        <v>728</v>
      </c>
      <c r="O9" s="45">
        <v>953</v>
      </c>
      <c r="P9" s="45">
        <v>569</v>
      </c>
      <c r="Q9" s="45">
        <v>274</v>
      </c>
      <c r="R9" s="45">
        <v>295</v>
      </c>
      <c r="T9" s="286" t="s">
        <v>577</v>
      </c>
      <c r="U9" s="286"/>
      <c r="V9" s="1">
        <v>5463</v>
      </c>
      <c r="X9" s="4" t="s">
        <v>386</v>
      </c>
      <c r="Y9" s="106"/>
      <c r="Z9" s="106"/>
      <c r="AA9" s="106"/>
      <c r="AC9" s="235">
        <f t="shared" ref="AC9:AC18" si="1">AD9+AE9</f>
        <v>72692.407250486256</v>
      </c>
      <c r="AD9" s="235">
        <f t="shared" si="0"/>
        <v>62705.372011014217</v>
      </c>
      <c r="AE9" s="235">
        <f t="shared" si="0"/>
        <v>9987.0352394720412</v>
      </c>
      <c r="AF9" s="6" t="s">
        <v>386</v>
      </c>
    </row>
    <row r="10" spans="1:34">
      <c r="A10" s="87">
        <v>2</v>
      </c>
      <c r="B10" s="45" t="s">
        <v>612</v>
      </c>
      <c r="C10" s="87" t="s">
        <v>647</v>
      </c>
      <c r="D10" s="45" t="s">
        <v>298</v>
      </c>
      <c r="E10" s="45" t="s">
        <v>298</v>
      </c>
      <c r="F10" s="45" t="s">
        <v>298</v>
      </c>
      <c r="G10" s="44">
        <v>103477</v>
      </c>
      <c r="H10" s="44">
        <v>52859</v>
      </c>
      <c r="I10" s="44">
        <v>50588</v>
      </c>
      <c r="J10" s="45" t="s">
        <v>298</v>
      </c>
      <c r="K10" s="45" t="s">
        <v>298</v>
      </c>
      <c r="L10" s="45" t="s">
        <v>298</v>
      </c>
      <c r="M10" s="45" t="s">
        <v>298</v>
      </c>
      <c r="N10" s="45" t="s">
        <v>298</v>
      </c>
      <c r="O10" s="45" t="s">
        <v>298</v>
      </c>
      <c r="P10" s="45">
        <v>261</v>
      </c>
      <c r="Q10" s="45">
        <v>133</v>
      </c>
      <c r="R10" s="45">
        <v>128</v>
      </c>
      <c r="T10" s="1" t="s">
        <v>579</v>
      </c>
      <c r="U10" s="1"/>
      <c r="V10" s="4" t="s">
        <v>187</v>
      </c>
      <c r="X10" s="27"/>
      <c r="Y10" s="106"/>
      <c r="Z10" s="106"/>
      <c r="AA10" s="106"/>
      <c r="AC10" s="235"/>
      <c r="AD10" s="120"/>
      <c r="AE10" s="120"/>
      <c r="AF10" s="122"/>
    </row>
    <row r="11" spans="1:34">
      <c r="A11" s="87">
        <v>3</v>
      </c>
      <c r="B11" s="45" t="s">
        <v>612</v>
      </c>
      <c r="C11" s="87" t="s">
        <v>592</v>
      </c>
      <c r="D11" s="45" t="s">
        <v>298</v>
      </c>
      <c r="E11" s="45" t="s">
        <v>298</v>
      </c>
      <c r="F11" s="45" t="s">
        <v>298</v>
      </c>
      <c r="G11" s="44">
        <v>113253</v>
      </c>
      <c r="H11" s="44">
        <v>53752</v>
      </c>
      <c r="I11" s="44">
        <v>59501</v>
      </c>
      <c r="J11" s="45" t="s">
        <v>298</v>
      </c>
      <c r="K11" s="45" t="s">
        <v>298</v>
      </c>
      <c r="L11" s="45" t="s">
        <v>298</v>
      </c>
      <c r="M11" s="45" t="s">
        <v>298</v>
      </c>
      <c r="N11" s="45" t="s">
        <v>298</v>
      </c>
      <c r="O11" s="45" t="s">
        <v>298</v>
      </c>
      <c r="P11" s="45">
        <v>308</v>
      </c>
      <c r="Q11" s="45">
        <v>141</v>
      </c>
      <c r="R11" s="45">
        <v>167</v>
      </c>
      <c r="T11" s="286" t="s">
        <v>691</v>
      </c>
      <c r="U11" s="287"/>
      <c r="V11" s="232" t="s">
        <v>28</v>
      </c>
      <c r="X11" s="4" t="s">
        <v>493</v>
      </c>
      <c r="Y11" s="106"/>
      <c r="Z11" s="106"/>
      <c r="AA11" s="106"/>
      <c r="AC11" s="235">
        <f t="shared" si="1"/>
        <v>75348.91912013285</v>
      </c>
      <c r="AD11" s="120">
        <f>AD12+AD13</f>
        <v>64048.061344543559</v>
      </c>
      <c r="AE11" s="120">
        <f>AE12+AE13</f>
        <v>11300.857775589295</v>
      </c>
      <c r="AF11" s="6" t="s">
        <v>493</v>
      </c>
    </row>
    <row r="12" spans="1:34" s="112" customFormat="1">
      <c r="A12" s="99" t="s">
        <v>301</v>
      </c>
      <c r="B12" s="99">
        <v>1774</v>
      </c>
      <c r="C12" s="112" t="s">
        <v>737</v>
      </c>
      <c r="D12" s="113"/>
      <c r="E12" s="113"/>
      <c r="F12" s="115">
        <f>F9*(EXP(LN(F15/F9)/11.5)^9.5)</f>
        <v>277940.41821196565</v>
      </c>
      <c r="G12" s="115">
        <f>G9*(EXP(LN(G15/G9)/11.5)^9.5)</f>
        <v>272635.61952208146</v>
      </c>
      <c r="H12" s="116">
        <f>$G12*H9/$G9</f>
        <v>134129.93093155805</v>
      </c>
      <c r="I12" s="116">
        <f>$G12*I9/$G9</f>
        <v>138505.68859052341</v>
      </c>
      <c r="J12" s="115">
        <f>J9*(EXP(LN(J15/J9)/11.5)^9.5)</f>
        <v>4783.3578675083072</v>
      </c>
      <c r="K12" s="117">
        <f>J12*K9/J9</f>
        <v>2761.8488280195174</v>
      </c>
      <c r="L12" s="114">
        <f>J12-K12</f>
        <v>2021.5090394887898</v>
      </c>
      <c r="M12" s="118" t="s">
        <v>163</v>
      </c>
      <c r="N12" s="113"/>
      <c r="O12" s="113"/>
      <c r="P12" s="118" t="s">
        <v>163</v>
      </c>
      <c r="Q12" s="113"/>
      <c r="R12" s="113"/>
      <c r="T12" s="286" t="s">
        <v>633</v>
      </c>
      <c r="U12" s="286"/>
      <c r="V12" s="1"/>
      <c r="W12" s="81"/>
      <c r="X12" s="4" t="s">
        <v>494</v>
      </c>
      <c r="Y12" s="106"/>
      <c r="Z12" s="106">
        <f>0.3381*0.11168902379194</f>
        <v>3.7762058944054912E-2</v>
      </c>
      <c r="AA12" s="106">
        <f>0.3349*0.06729294089027</f>
        <v>2.2536405904151423E-2</v>
      </c>
      <c r="AC12" s="235">
        <f t="shared" si="1"/>
        <v>3945.6505937621687</v>
      </c>
      <c r="AD12" s="120">
        <f>Z12*H13</f>
        <v>2511.2982414712933</v>
      </c>
      <c r="AE12" s="120">
        <f>AA12*I13</f>
        <v>1434.3523522908756</v>
      </c>
      <c r="AF12" s="6" t="s">
        <v>494</v>
      </c>
    </row>
    <row r="13" spans="1:34" s="112" customFormat="1">
      <c r="A13" s="99"/>
      <c r="B13" s="99"/>
      <c r="C13" s="112" t="s">
        <v>647</v>
      </c>
      <c r="D13" s="113"/>
      <c r="E13" s="113"/>
      <c r="F13" s="115"/>
      <c r="G13" s="115">
        <f>H13+I13</f>
        <v>130149.22442409213</v>
      </c>
      <c r="H13" s="116">
        <f>H12*H10/H9</f>
        <v>66503.212793344283</v>
      </c>
      <c r="I13" s="116">
        <f>I12*I10/I9</f>
        <v>63646.011630747838</v>
      </c>
      <c r="J13" s="115">
        <f>K13+L13</f>
        <v>2584.6079031952931</v>
      </c>
      <c r="K13" s="117">
        <f>K12*0.535</f>
        <v>1477.5891229904419</v>
      </c>
      <c r="L13" s="147">
        <f>L12*0.54762</f>
        <v>1107.0187802048511</v>
      </c>
      <c r="M13" s="118"/>
      <c r="N13" s="113"/>
      <c r="O13" s="113"/>
      <c r="P13" s="118"/>
      <c r="Q13" s="113"/>
      <c r="R13" s="113"/>
      <c r="T13" s="286" t="s">
        <v>634</v>
      </c>
      <c r="U13" s="286"/>
      <c r="V13" s="1"/>
      <c r="X13" s="4" t="s">
        <v>487</v>
      </c>
      <c r="Y13" s="106"/>
      <c r="Z13" s="106">
        <v>0.90994750000000002</v>
      </c>
      <c r="AA13" s="106">
        <v>0.1318</v>
      </c>
      <c r="AC13" s="235">
        <f t="shared" si="1"/>
        <v>71403.268526370695</v>
      </c>
      <c r="AD13" s="120">
        <f>Z13*H14</f>
        <v>61536.76310307227</v>
      </c>
      <c r="AE13" s="120">
        <f>AA13*I14</f>
        <v>9866.5054232984185</v>
      </c>
      <c r="AF13" s="6" t="s">
        <v>487</v>
      </c>
    </row>
    <row r="14" spans="1:34" s="112" customFormat="1">
      <c r="A14" s="99"/>
      <c r="B14" s="99"/>
      <c r="C14" s="112" t="s">
        <v>592</v>
      </c>
      <c r="D14" s="113"/>
      <c r="E14" s="113"/>
      <c r="F14" s="115"/>
      <c r="G14" s="115">
        <f>H14+I14</f>
        <v>142486.39509798933</v>
      </c>
      <c r="H14" s="116">
        <f>H12-H13</f>
        <v>67626.718138213764</v>
      </c>
      <c r="I14" s="116">
        <f>I12-I13</f>
        <v>74859.676959775563</v>
      </c>
      <c r="J14" s="147">
        <f>K14+L14</f>
        <v>2198.7499643130141</v>
      </c>
      <c r="K14" s="117">
        <f>K12-K13</f>
        <v>1284.2597050290756</v>
      </c>
      <c r="L14" s="147">
        <f>L12-L13</f>
        <v>914.49025928393871</v>
      </c>
      <c r="M14" s="118"/>
      <c r="N14" s="113"/>
      <c r="O14" s="113"/>
      <c r="P14" s="118"/>
      <c r="Q14" s="113"/>
      <c r="R14" s="113"/>
      <c r="T14" s="286" t="s">
        <v>635</v>
      </c>
      <c r="U14" s="286"/>
      <c r="V14" s="1"/>
      <c r="X14" s="4"/>
      <c r="Y14" s="181"/>
      <c r="Z14" s="181"/>
      <c r="AA14" s="181"/>
      <c r="AC14" s="235"/>
      <c r="AD14" s="235"/>
      <c r="AE14" s="235"/>
      <c r="AF14" s="6"/>
    </row>
    <row r="15" spans="1:34">
      <c r="A15" s="81">
        <v>4</v>
      </c>
      <c r="B15" s="81">
        <v>1776</v>
      </c>
      <c r="D15" s="4" t="s">
        <v>298</v>
      </c>
      <c r="E15" s="4" t="s">
        <v>298</v>
      </c>
      <c r="F15" s="5">
        <v>290900</v>
      </c>
      <c r="G15" s="5">
        <v>286139</v>
      </c>
      <c r="H15" s="4" t="s">
        <v>298</v>
      </c>
      <c r="I15" s="4" t="s">
        <v>298</v>
      </c>
      <c r="J15" s="5">
        <v>4761</v>
      </c>
      <c r="K15" s="4" t="s">
        <v>298</v>
      </c>
      <c r="L15" s="4" t="s">
        <v>298</v>
      </c>
      <c r="M15" s="4" t="s">
        <v>298</v>
      </c>
      <c r="N15" s="4" t="s">
        <v>298</v>
      </c>
      <c r="O15" s="4" t="s">
        <v>298</v>
      </c>
      <c r="P15" s="4" t="s">
        <v>298</v>
      </c>
      <c r="Q15" s="4" t="s">
        <v>298</v>
      </c>
      <c r="R15" s="4" t="s">
        <v>298</v>
      </c>
      <c r="X15" s="27"/>
      <c r="Y15" s="106"/>
      <c r="Z15" s="181" t="s">
        <v>518</v>
      </c>
      <c r="AA15" s="223"/>
      <c r="AB15" s="112"/>
      <c r="AC15" s="235"/>
      <c r="AD15" s="120"/>
      <c r="AE15" s="120"/>
      <c r="AF15" s="122"/>
      <c r="AG15" s="112"/>
      <c r="AH15" s="112"/>
    </row>
    <row r="16" spans="1:34">
      <c r="A16" s="81">
        <v>5</v>
      </c>
      <c r="B16" s="81">
        <v>1784</v>
      </c>
      <c r="D16" s="4" t="s">
        <v>298</v>
      </c>
      <c r="E16" s="4" t="s">
        <v>298</v>
      </c>
      <c r="F16" s="5">
        <v>307018</v>
      </c>
      <c r="G16" s="4" t="s">
        <v>298</v>
      </c>
      <c r="H16" s="4" t="s">
        <v>298</v>
      </c>
      <c r="I16" s="4" t="s">
        <v>298</v>
      </c>
      <c r="J16" s="4" t="s">
        <v>298</v>
      </c>
      <c r="K16" s="4" t="s">
        <v>298</v>
      </c>
      <c r="L16" s="4" t="s">
        <v>298</v>
      </c>
      <c r="M16" s="4" t="s">
        <v>298</v>
      </c>
      <c r="N16" s="4" t="s">
        <v>298</v>
      </c>
      <c r="O16" s="4" t="s">
        <v>298</v>
      </c>
      <c r="P16" s="4" t="s">
        <v>298</v>
      </c>
      <c r="Q16" s="4" t="s">
        <v>298</v>
      </c>
      <c r="R16" s="4" t="s">
        <v>298</v>
      </c>
      <c r="X16" s="4" t="s">
        <v>713</v>
      </c>
      <c r="Y16" s="106"/>
      <c r="Z16" s="181" t="s">
        <v>517</v>
      </c>
      <c r="AA16" s="223"/>
      <c r="AC16" s="235">
        <f t="shared" si="1"/>
        <v>1369.8837562472427</v>
      </c>
      <c r="AD16" s="120">
        <f>AD17+AD18</f>
        <v>1224.4057154994043</v>
      </c>
      <c r="AE16" s="235">
        <f>AE17+AE18</f>
        <v>145.47804074783824</v>
      </c>
      <c r="AF16" s="6" t="s">
        <v>713</v>
      </c>
    </row>
    <row r="17" spans="1:32">
      <c r="X17" s="4" t="s">
        <v>628</v>
      </c>
      <c r="Y17" s="106"/>
      <c r="Z17" s="181">
        <f>0.3381*0.11168902379194</f>
        <v>3.7762058944054912E-2</v>
      </c>
      <c r="AA17" s="181">
        <f>0.3349*0.06729294089027</f>
        <v>2.2536405904151423E-2</v>
      </c>
      <c r="AB17" s="1"/>
      <c r="AC17" s="235">
        <f t="shared" si="1"/>
        <v>80.745032131674577</v>
      </c>
      <c r="AD17" s="242">
        <f>Z17*K13</f>
        <v>55.796807557459466</v>
      </c>
      <c r="AE17" s="242">
        <f>AA17*L13</f>
        <v>24.948224574215111</v>
      </c>
      <c r="AF17" s="6" t="s">
        <v>628</v>
      </c>
    </row>
    <row r="18" spans="1:32">
      <c r="D18" s="81" t="s">
        <v>351</v>
      </c>
      <c r="J18" s="81" t="s">
        <v>708</v>
      </c>
      <c r="X18" s="4" t="s">
        <v>30</v>
      </c>
      <c r="Y18" s="106"/>
      <c r="Z18" s="181">
        <v>0.90994750000000002</v>
      </c>
      <c r="AA18" s="181">
        <v>0.1318</v>
      </c>
      <c r="AB18" s="1"/>
      <c r="AC18" s="235">
        <f t="shared" si="1"/>
        <v>1289.138724115568</v>
      </c>
      <c r="AD18" s="242">
        <f>Z18*K14</f>
        <v>1168.6089079419448</v>
      </c>
      <c r="AE18" s="242">
        <f>AA18*L14</f>
        <v>120.52981617362312</v>
      </c>
      <c r="AF18" s="6" t="s">
        <v>30</v>
      </c>
    </row>
    <row r="19" spans="1:32">
      <c r="D19" s="81" t="s">
        <v>352</v>
      </c>
      <c r="J19" s="81" t="s">
        <v>709</v>
      </c>
      <c r="X19" s="223"/>
      <c r="Y19" s="1"/>
      <c r="Z19" s="1"/>
      <c r="AA19" s="1"/>
      <c r="AB19" s="1"/>
      <c r="AC19" s="223"/>
      <c r="AD19" s="223"/>
      <c r="AE19" s="223"/>
      <c r="AF19" s="6"/>
    </row>
    <row r="20" spans="1:32">
      <c r="J20" s="81" t="s">
        <v>600</v>
      </c>
      <c r="X20" s="4" t="s">
        <v>88</v>
      </c>
      <c r="Y20" s="1"/>
      <c r="Z20" s="1"/>
      <c r="AA20" s="1"/>
      <c r="AB20" s="1"/>
      <c r="AC20" s="223" t="s">
        <v>710</v>
      </c>
      <c r="AD20" s="223"/>
      <c r="AE20" s="223"/>
      <c r="AF20" s="6" t="s">
        <v>88</v>
      </c>
    </row>
    <row r="21" spans="1:32">
      <c r="X21" s="4" t="s">
        <v>99</v>
      </c>
      <c r="Y21" s="1"/>
      <c r="Z21" s="239">
        <f>0.9*0.3381</f>
        <v>0.30429</v>
      </c>
      <c r="AA21" s="239">
        <f>0.9*0.3349</f>
        <v>0.30141000000000001</v>
      </c>
      <c r="AB21" s="1"/>
      <c r="AC21" s="223" t="s">
        <v>711</v>
      </c>
      <c r="AD21" s="223"/>
      <c r="AE21" s="223"/>
      <c r="AF21" s="6" t="s">
        <v>99</v>
      </c>
    </row>
    <row r="22" spans="1:32">
      <c r="A22" s="59" t="s">
        <v>20</v>
      </c>
      <c r="B22" s="1"/>
      <c r="H22" s="81" t="s">
        <v>162</v>
      </c>
      <c r="X22" s="4" t="s">
        <v>112</v>
      </c>
      <c r="Y22" s="1"/>
      <c r="Z22" s="239">
        <v>0.9</v>
      </c>
      <c r="AA22" s="239">
        <v>0.9</v>
      </c>
      <c r="AB22" s="1"/>
      <c r="AC22" s="223" t="s">
        <v>712</v>
      </c>
      <c r="AD22" s="223"/>
      <c r="AE22" s="223"/>
      <c r="AF22" s="6" t="s">
        <v>112</v>
      </c>
    </row>
    <row r="23" spans="1:32">
      <c r="A23" s="1" t="s">
        <v>550</v>
      </c>
      <c r="B23" s="1"/>
      <c r="H23" s="81" t="s">
        <v>304</v>
      </c>
      <c r="Y23" s="1"/>
      <c r="Z23" s="1"/>
      <c r="AA23" s="1"/>
      <c r="AB23" s="1"/>
      <c r="AC23" s="1"/>
      <c r="AD23" s="1"/>
      <c r="AE23" s="1"/>
    </row>
    <row r="24" spans="1:32">
      <c r="A24" s="1" t="s">
        <v>698</v>
      </c>
      <c r="B24" s="1"/>
      <c r="H24" s="81" t="s">
        <v>350</v>
      </c>
      <c r="AC24" s="1"/>
      <c r="AD24" s="1"/>
      <c r="AE24" s="1"/>
    </row>
    <row r="25" spans="1:32">
      <c r="A25" s="1" t="s">
        <v>484</v>
      </c>
      <c r="B25" s="1"/>
      <c r="H25" s="1" t="s">
        <v>135</v>
      </c>
      <c r="AC25" s="1" t="s">
        <v>109</v>
      </c>
      <c r="AD25" s="1" t="s">
        <v>332</v>
      </c>
      <c r="AE25" s="1"/>
    </row>
    <row r="26" spans="1:32">
      <c r="A26" s="1" t="s">
        <v>599</v>
      </c>
      <c r="B26" s="1"/>
      <c r="H26" s="1" t="s">
        <v>307</v>
      </c>
      <c r="AC26" s="1"/>
      <c r="AD26" s="1" t="s">
        <v>333</v>
      </c>
      <c r="AE26" s="1"/>
    </row>
    <row r="27" spans="1:32">
      <c r="A27" s="111">
        <f>43843+797</f>
        <v>44640</v>
      </c>
      <c r="B27" s="1" t="s">
        <v>663</v>
      </c>
      <c r="AC27" s="1"/>
      <c r="AD27" s="1" t="s">
        <v>347</v>
      </c>
      <c r="AE27" s="1"/>
    </row>
    <row r="28" spans="1:32">
      <c r="A28" s="1"/>
      <c r="B28" s="1"/>
      <c r="I28" s="4" t="s">
        <v>474</v>
      </c>
      <c r="J28" s="4" t="s">
        <v>739</v>
      </c>
      <c r="K28" s="4" t="s">
        <v>740</v>
      </c>
      <c r="AC28" s="1"/>
      <c r="AE28" s="1"/>
    </row>
    <row r="29" spans="1:32">
      <c r="A29" s="1" t="s">
        <v>551</v>
      </c>
      <c r="B29" s="1"/>
      <c r="H29" s="4" t="s">
        <v>535</v>
      </c>
      <c r="I29" s="119">
        <f>I30+I31</f>
        <v>44667.866475317474</v>
      </c>
      <c r="J29" s="237">
        <f t="shared" ref="J29:K29" si="2">J30+J31</f>
        <v>22982.713050805731</v>
      </c>
      <c r="K29" s="237">
        <f t="shared" si="2"/>
        <v>21685.153424511747</v>
      </c>
      <c r="AC29" s="1"/>
      <c r="AD29" s="111"/>
      <c r="AE29" s="1"/>
    </row>
    <row r="30" spans="1:32">
      <c r="A30" s="111"/>
      <c r="B30" s="1"/>
      <c r="H30" s="4" t="s">
        <v>536</v>
      </c>
      <c r="I30" s="119">
        <f>J30+K30</f>
        <v>43797.553003343804</v>
      </c>
      <c r="J30" s="119">
        <f>0.338076*H13</f>
        <v>22483.140168322661</v>
      </c>
      <c r="K30" s="119">
        <f>0.33489*I13</f>
        <v>21314.412835021143</v>
      </c>
      <c r="AC30" s="1" t="s">
        <v>337</v>
      </c>
      <c r="AD30" s="1"/>
      <c r="AE30" s="1"/>
    </row>
    <row r="31" spans="1:32">
      <c r="A31" s="259" t="s">
        <v>21</v>
      </c>
      <c r="B31" s="1"/>
      <c r="H31" s="4" t="s">
        <v>537</v>
      </c>
      <c r="I31" s="237">
        <f>J31+K31</f>
        <v>870.3134719736729</v>
      </c>
      <c r="J31" s="119">
        <f>0.3381*K13</f>
        <v>499.57288248306838</v>
      </c>
      <c r="K31" s="237">
        <f>0.3349*L13</f>
        <v>370.74058949060458</v>
      </c>
      <c r="AC31" s="67">
        <f>76739/44640</f>
        <v>1.7190636200716847</v>
      </c>
      <c r="AD31" s="1" t="s">
        <v>231</v>
      </c>
      <c r="AE31" s="1"/>
    </row>
    <row r="32" spans="1:32">
      <c r="J32" s="119"/>
      <c r="K32" s="119"/>
      <c r="AC32" s="67">
        <f>AC11/43843</f>
        <v>1.7186077394369192</v>
      </c>
      <c r="AD32" s="1" t="s">
        <v>232</v>
      </c>
      <c r="AE32" s="1"/>
    </row>
    <row r="33" spans="1:30">
      <c r="AC33" s="123">
        <f>AC16/797</f>
        <v>1.7188001960442192</v>
      </c>
      <c r="AD33" s="81" t="s">
        <v>354</v>
      </c>
    </row>
    <row r="34" spans="1:30">
      <c r="A34" s="111"/>
      <c r="B34" s="1"/>
    </row>
  </sheetData>
  <mergeCells count="9">
    <mergeCell ref="T12:U12"/>
    <mergeCell ref="T13:U13"/>
    <mergeCell ref="T14:U14"/>
    <mergeCell ref="T4:V4"/>
    <mergeCell ref="T5:U5"/>
    <mergeCell ref="T6:U6"/>
    <mergeCell ref="T8:V8"/>
    <mergeCell ref="T9:U9"/>
    <mergeCell ref="T11:U11"/>
  </mergeCells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E42"/>
  <sheetViews>
    <sheetView topLeftCell="K4" workbookViewId="0">
      <selection activeCell="S12" sqref="S12:U14"/>
    </sheetView>
  </sheetViews>
  <sheetFormatPr baseColWidth="10" defaultRowHeight="15"/>
  <cols>
    <col min="1" max="1" width="7.140625" style="81" customWidth="1"/>
    <col min="2" max="3" width="10.7109375" style="81"/>
    <col min="4" max="4" width="9.5703125" style="81" customWidth="1"/>
    <col min="5" max="5" width="10.7109375" style="81"/>
    <col min="6" max="6" width="8.28515625" style="81" customWidth="1"/>
    <col min="7" max="8" width="8.7109375" style="81" customWidth="1"/>
    <col min="9" max="12" width="10.7109375" style="81"/>
    <col min="13" max="13" width="5.140625" style="81" customWidth="1"/>
    <col min="14" max="14" width="8.28515625" style="81" customWidth="1"/>
    <col min="15" max="15" width="11.85546875" style="81" customWidth="1"/>
    <col min="16" max="16" width="8.28515625" style="81" customWidth="1"/>
    <col min="17" max="17" width="4.42578125" style="81" customWidth="1"/>
    <col min="18" max="21" width="10" style="81" customWidth="1"/>
    <col min="22" max="22" width="4.140625" style="81" customWidth="1"/>
    <col min="23" max="23" width="10.7109375" style="81"/>
    <col min="24" max="26" width="9.28515625" style="81" customWidth="1"/>
    <col min="27" max="27" width="5.5703125" style="81" customWidth="1"/>
    <col min="28" max="30" width="11.85546875" style="81" customWidth="1"/>
    <col min="31" max="16384" width="10.7109375" style="81"/>
  </cols>
  <sheetData>
    <row r="1" spans="1:31" ht="17">
      <c r="B1" s="82" t="s">
        <v>272</v>
      </c>
    </row>
    <row r="2" spans="1:31">
      <c r="B2" s="1" t="s">
        <v>421</v>
      </c>
    </row>
    <row r="5" spans="1:31">
      <c r="D5" s="4" t="s">
        <v>506</v>
      </c>
      <c r="E5" s="4" t="s">
        <v>266</v>
      </c>
      <c r="F5" s="4" t="s">
        <v>267</v>
      </c>
      <c r="G5" s="4" t="s">
        <v>268</v>
      </c>
      <c r="H5" s="4" t="s">
        <v>269</v>
      </c>
      <c r="I5" s="4" t="s">
        <v>270</v>
      </c>
      <c r="J5" s="4" t="s">
        <v>273</v>
      </c>
      <c r="K5" s="4" t="s">
        <v>274</v>
      </c>
      <c r="L5" s="4" t="s">
        <v>275</v>
      </c>
      <c r="N5" s="1" t="s">
        <v>549</v>
      </c>
      <c r="O5" s="1"/>
      <c r="P5" s="1"/>
      <c r="X5" s="1" t="s">
        <v>107</v>
      </c>
      <c r="Y5" s="1"/>
      <c r="Z5" s="1"/>
      <c r="AA5" s="1"/>
      <c r="AB5" s="1"/>
      <c r="AC5" s="1"/>
      <c r="AD5" s="1"/>
    </row>
    <row r="6" spans="1:31">
      <c r="D6" s="81" t="s">
        <v>735</v>
      </c>
      <c r="E6" s="81" t="s">
        <v>736</v>
      </c>
      <c r="N6" s="1" t="s">
        <v>743</v>
      </c>
      <c r="O6" s="1"/>
      <c r="P6" s="1"/>
      <c r="R6" s="17"/>
      <c r="S6" s="18" t="s">
        <v>83</v>
      </c>
      <c r="T6" s="19"/>
      <c r="U6" s="20"/>
      <c r="X6" s="1" t="s">
        <v>101</v>
      </c>
      <c r="Y6" s="1"/>
      <c r="Z6" s="1"/>
      <c r="AA6" s="1"/>
      <c r="AB6" s="18" t="s">
        <v>353</v>
      </c>
      <c r="AC6" s="19"/>
      <c r="AD6" s="20"/>
    </row>
    <row r="7" spans="1:31" ht="16" thickBot="1">
      <c r="E7" s="81" t="s">
        <v>737</v>
      </c>
      <c r="F7" s="83" t="s">
        <v>738</v>
      </c>
      <c r="G7" s="84"/>
      <c r="H7" s="85"/>
      <c r="I7" s="83" t="s">
        <v>117</v>
      </c>
      <c r="J7" s="84"/>
      <c r="K7" s="85"/>
      <c r="L7" s="86" t="s">
        <v>218</v>
      </c>
      <c r="N7" s="1" t="s">
        <v>619</v>
      </c>
      <c r="O7" s="1"/>
      <c r="P7" s="1"/>
      <c r="R7" s="4"/>
      <c r="S7" s="71" t="s">
        <v>538</v>
      </c>
      <c r="T7" s="71" t="s">
        <v>539</v>
      </c>
      <c r="U7" s="71" t="s">
        <v>378</v>
      </c>
      <c r="X7" s="71" t="s">
        <v>538</v>
      </c>
      <c r="Y7" s="71" t="s">
        <v>539</v>
      </c>
      <c r="Z7" s="71" t="s">
        <v>378</v>
      </c>
      <c r="AA7" s="1"/>
      <c r="AB7" s="71" t="s">
        <v>538</v>
      </c>
      <c r="AC7" s="71" t="s">
        <v>539</v>
      </c>
      <c r="AD7" s="71" t="s">
        <v>378</v>
      </c>
    </row>
    <row r="8" spans="1:31" ht="16" thickBot="1">
      <c r="F8" s="4" t="s">
        <v>737</v>
      </c>
      <c r="G8" s="4" t="s">
        <v>739</v>
      </c>
      <c r="H8" s="4" t="s">
        <v>740</v>
      </c>
      <c r="I8" s="4" t="s">
        <v>737</v>
      </c>
      <c r="J8" s="4" t="s">
        <v>739</v>
      </c>
      <c r="K8" s="4" t="s">
        <v>740</v>
      </c>
      <c r="L8" s="4"/>
      <c r="N8" s="1"/>
      <c r="O8" s="1"/>
      <c r="P8" s="1"/>
      <c r="R8" s="4" t="s">
        <v>379</v>
      </c>
      <c r="S8" s="220">
        <f>S12+S16</f>
        <v>58128</v>
      </c>
      <c r="T8" s="220">
        <f t="shared" ref="T8:U8" si="0">T12+T16</f>
        <v>28627.065573770491</v>
      </c>
      <c r="U8" s="220">
        <f t="shared" si="0"/>
        <v>29500.934426229509</v>
      </c>
      <c r="W8" s="4" t="s">
        <v>379</v>
      </c>
      <c r="X8" s="106"/>
      <c r="Y8" s="106"/>
      <c r="Z8" s="106"/>
      <c r="AA8" s="17"/>
      <c r="AB8" s="141">
        <f>AC8+AD8</f>
        <v>18126.996862463413</v>
      </c>
      <c r="AC8" s="111">
        <f>AC12+AC16</f>
        <v>14783.101716734311</v>
      </c>
      <c r="AD8" s="220">
        <f>AD12+AD16</f>
        <v>3343.8951457291041</v>
      </c>
      <c r="AE8" s="6" t="s">
        <v>379</v>
      </c>
    </row>
    <row r="9" spans="1:31">
      <c r="A9" s="81" t="s">
        <v>608</v>
      </c>
      <c r="B9" s="81" t="s">
        <v>609</v>
      </c>
      <c r="C9" s="81" t="s">
        <v>610</v>
      </c>
      <c r="D9" s="4" t="s">
        <v>611</v>
      </c>
      <c r="E9" s="4" t="s">
        <v>611</v>
      </c>
      <c r="F9" s="4" t="s">
        <v>611</v>
      </c>
      <c r="G9" s="4" t="s">
        <v>611</v>
      </c>
      <c r="H9" s="4" t="s">
        <v>611</v>
      </c>
      <c r="I9" s="4" t="s">
        <v>611</v>
      </c>
      <c r="J9" s="4" t="s">
        <v>611</v>
      </c>
      <c r="K9" s="4" t="s">
        <v>611</v>
      </c>
      <c r="L9" s="4" t="s">
        <v>611</v>
      </c>
      <c r="N9" s="1" t="s">
        <v>622</v>
      </c>
      <c r="O9" s="1"/>
      <c r="P9" s="1"/>
      <c r="R9" s="4" t="s">
        <v>462</v>
      </c>
      <c r="S9" s="220">
        <f t="shared" ref="S9:U9" si="1">S13+S17</f>
        <v>27064.108792846499</v>
      </c>
      <c r="T9" s="220">
        <f t="shared" si="1"/>
        <v>13728.239940387481</v>
      </c>
      <c r="U9" s="220">
        <f t="shared" si="1"/>
        <v>13335.868852459016</v>
      </c>
      <c r="W9" s="4" t="s">
        <v>462</v>
      </c>
      <c r="X9" s="106"/>
      <c r="Y9" s="106"/>
      <c r="Z9" s="106"/>
      <c r="AA9" s="1"/>
      <c r="AB9" s="219">
        <f t="shared" ref="AB9:AB26" si="2">AC9+AD9</f>
        <v>1778.4513759919496</v>
      </c>
      <c r="AC9" s="220">
        <f t="shared" ref="AC9:AD9" si="3">AC13+AC17</f>
        <v>1062.8922078072392</v>
      </c>
      <c r="AD9" s="220">
        <f t="shared" si="3"/>
        <v>715.55916818471053</v>
      </c>
      <c r="AE9" s="6" t="s">
        <v>462</v>
      </c>
    </row>
    <row r="10" spans="1:31">
      <c r="A10" s="81">
        <v>1</v>
      </c>
      <c r="B10" s="81">
        <v>1708</v>
      </c>
      <c r="D10" s="4" t="s">
        <v>298</v>
      </c>
      <c r="E10" s="5">
        <v>7181</v>
      </c>
      <c r="F10" s="4" t="s">
        <v>298</v>
      </c>
      <c r="G10" s="5">
        <v>2432</v>
      </c>
      <c r="H10" s="4" t="s">
        <v>298</v>
      </c>
      <c r="I10" s="4">
        <v>426</v>
      </c>
      <c r="J10" s="4" t="s">
        <v>298</v>
      </c>
      <c r="K10" s="4" t="s">
        <v>298</v>
      </c>
      <c r="L10" s="4" t="s">
        <v>298</v>
      </c>
      <c r="N10" s="1" t="s">
        <v>578</v>
      </c>
      <c r="O10" s="1"/>
      <c r="P10" s="1">
        <v>3407</v>
      </c>
      <c r="R10" s="4" t="s">
        <v>29</v>
      </c>
      <c r="S10" s="220">
        <f t="shared" ref="S10:U10" si="4">S14+S18</f>
        <v>31063.891207153501</v>
      </c>
      <c r="T10" s="220">
        <f t="shared" si="4"/>
        <v>14898.82563338301</v>
      </c>
      <c r="U10" s="220">
        <f t="shared" si="4"/>
        <v>16165.065573770491</v>
      </c>
      <c r="V10" s="220"/>
      <c r="W10" s="4" t="s">
        <v>386</v>
      </c>
      <c r="X10" s="106"/>
      <c r="Y10" s="106"/>
      <c r="Z10" s="106"/>
      <c r="AA10" s="1"/>
      <c r="AB10" s="219">
        <f t="shared" si="2"/>
        <v>16348.545486471465</v>
      </c>
      <c r="AC10" s="220">
        <f t="shared" ref="AC10:AD10" si="5">AC14+AC18</f>
        <v>13720.209508927072</v>
      </c>
      <c r="AD10" s="220">
        <f t="shared" si="5"/>
        <v>2628.3359775443932</v>
      </c>
      <c r="AE10" s="6" t="s">
        <v>29</v>
      </c>
    </row>
    <row r="11" spans="1:31">
      <c r="A11" s="81">
        <v>2</v>
      </c>
      <c r="B11" s="81">
        <v>1730</v>
      </c>
      <c r="D11" s="4" t="s">
        <v>298</v>
      </c>
      <c r="E11" s="5">
        <v>17935</v>
      </c>
      <c r="F11" s="5">
        <v>15302</v>
      </c>
      <c r="G11" s="4" t="s">
        <v>298</v>
      </c>
      <c r="H11" s="4" t="s">
        <v>298</v>
      </c>
      <c r="I11" s="5">
        <v>1648</v>
      </c>
      <c r="J11" s="4" t="s">
        <v>298</v>
      </c>
      <c r="K11" s="4" t="s">
        <v>298</v>
      </c>
      <c r="L11" s="4">
        <v>985</v>
      </c>
      <c r="N11" s="1" t="s">
        <v>580</v>
      </c>
      <c r="O11" s="1"/>
      <c r="P11" s="1">
        <v>948</v>
      </c>
      <c r="R11" s="27"/>
      <c r="S11" s="220"/>
      <c r="T11" s="220"/>
      <c r="U11" s="220"/>
      <c r="V11" s="220"/>
      <c r="W11" s="27"/>
      <c r="X11" s="106"/>
      <c r="Y11" s="106"/>
      <c r="Z11" s="106"/>
      <c r="AA11" s="1"/>
      <c r="AB11" s="219"/>
      <c r="AC11" s="222"/>
      <c r="AD11" s="222"/>
      <c r="AE11" s="122"/>
    </row>
    <row r="12" spans="1:31">
      <c r="A12" s="81">
        <v>3</v>
      </c>
      <c r="B12" s="81">
        <v>1748</v>
      </c>
      <c r="D12" s="4" t="s">
        <v>298</v>
      </c>
      <c r="E12" s="5">
        <v>34128</v>
      </c>
      <c r="F12" s="5">
        <v>29755</v>
      </c>
      <c r="G12" s="4" t="s">
        <v>298</v>
      </c>
      <c r="H12" s="4" t="s">
        <v>298</v>
      </c>
      <c r="I12" s="5">
        <v>3101</v>
      </c>
      <c r="J12" s="4" t="s">
        <v>298</v>
      </c>
      <c r="K12" s="4" t="s">
        <v>298</v>
      </c>
      <c r="L12" s="5">
        <v>1272</v>
      </c>
      <c r="N12" s="1" t="s">
        <v>692</v>
      </c>
      <c r="O12" s="1"/>
      <c r="P12" s="221">
        <f>P10/(P10+P11)</f>
        <v>0.78231917336394952</v>
      </c>
      <c r="R12" s="4" t="s">
        <v>493</v>
      </c>
      <c r="S12" s="220">
        <f>T12+U12</f>
        <v>54460</v>
      </c>
      <c r="T12" s="220">
        <f>G16</f>
        <v>26763</v>
      </c>
      <c r="U12" s="220">
        <f>H16</f>
        <v>27697</v>
      </c>
      <c r="V12" s="220"/>
      <c r="W12" s="4" t="s">
        <v>493</v>
      </c>
      <c r="X12" s="106"/>
      <c r="Y12" s="106"/>
      <c r="Z12" s="106"/>
      <c r="AA12" s="1"/>
      <c r="AB12" s="219">
        <f t="shared" si="2"/>
        <v>16843.210132190237</v>
      </c>
      <c r="AC12" s="220">
        <f>AC13+AC14</f>
        <v>13862.822489151127</v>
      </c>
      <c r="AD12" s="220">
        <f>AD13+AD14</f>
        <v>2980.3876430391106</v>
      </c>
      <c r="AE12" s="6" t="s">
        <v>493</v>
      </c>
    </row>
    <row r="13" spans="1:31">
      <c r="A13" s="81">
        <v>4</v>
      </c>
      <c r="B13" s="81">
        <v>1755</v>
      </c>
      <c r="C13" s="81" t="s">
        <v>737</v>
      </c>
      <c r="D13" s="4" t="s">
        <v>298</v>
      </c>
      <c r="E13" s="5">
        <v>40636</v>
      </c>
      <c r="F13" s="5">
        <v>35939</v>
      </c>
      <c r="G13" s="5">
        <v>17960</v>
      </c>
      <c r="H13" s="5">
        <v>17979</v>
      </c>
      <c r="I13" s="5">
        <v>4697</v>
      </c>
      <c r="J13" s="5">
        <v>2387</v>
      </c>
      <c r="K13" s="5">
        <v>2310</v>
      </c>
      <c r="L13" s="4" t="s">
        <v>298</v>
      </c>
      <c r="N13" s="222"/>
      <c r="O13" s="222"/>
      <c r="P13" s="1"/>
      <c r="R13" s="4" t="s">
        <v>494</v>
      </c>
      <c r="S13" s="220">
        <f t="shared" ref="S13:S26" si="6">T13+U13</f>
        <v>25079</v>
      </c>
      <c r="T13" s="220">
        <f t="shared" ref="T13:T14" si="7">G17</f>
        <v>12731</v>
      </c>
      <c r="U13" s="220">
        <f t="shared" ref="U13:U14" si="8">H17</f>
        <v>12348</v>
      </c>
      <c r="V13" s="220"/>
      <c r="W13" s="4" t="s">
        <v>494</v>
      </c>
      <c r="X13" s="106"/>
      <c r="Y13" s="106">
        <v>7.3608150903395439E-2</v>
      </c>
      <c r="Z13" s="106">
        <v>4.9441370508512356E-2</v>
      </c>
      <c r="AA13" s="1"/>
      <c r="AB13" s="219">
        <f t="shared" si="2"/>
        <v>1547.6074121902379</v>
      </c>
      <c r="AC13" s="235">
        <f>Y13*T13</f>
        <v>937.10536915112732</v>
      </c>
      <c r="AD13" s="235">
        <f>Z13*U13</f>
        <v>610.50204303911062</v>
      </c>
      <c r="AE13" s="6" t="s">
        <v>494</v>
      </c>
    </row>
    <row r="14" spans="1:31">
      <c r="A14" s="81">
        <v>5</v>
      </c>
      <c r="B14" s="81">
        <v>1755</v>
      </c>
      <c r="C14" s="81" t="s">
        <v>271</v>
      </c>
      <c r="D14" s="4" t="s">
        <v>298</v>
      </c>
      <c r="E14" s="5">
        <v>20663</v>
      </c>
      <c r="F14" s="5">
        <v>18121</v>
      </c>
      <c r="G14" s="5">
        <v>9177</v>
      </c>
      <c r="H14" s="5">
        <v>8944</v>
      </c>
      <c r="I14" s="5">
        <v>2542</v>
      </c>
      <c r="J14" s="5">
        <v>1277</v>
      </c>
      <c r="K14" s="5">
        <v>1265</v>
      </c>
      <c r="L14" s="4" t="s">
        <v>298</v>
      </c>
      <c r="N14" s="1" t="s">
        <v>137</v>
      </c>
      <c r="O14" s="1"/>
      <c r="P14" s="1"/>
      <c r="R14" s="4" t="s">
        <v>31</v>
      </c>
      <c r="S14" s="220">
        <f t="shared" si="6"/>
        <v>29381</v>
      </c>
      <c r="T14" s="220">
        <f t="shared" si="7"/>
        <v>14032</v>
      </c>
      <c r="U14" s="220">
        <f t="shared" si="8"/>
        <v>15349</v>
      </c>
      <c r="V14" s="220"/>
      <c r="W14" s="4" t="s">
        <v>487</v>
      </c>
      <c r="X14" s="106"/>
      <c r="Y14" s="106">
        <v>0.92115999999999998</v>
      </c>
      <c r="Z14" s="106">
        <v>0.15440000000000001</v>
      </c>
      <c r="AA14" s="1"/>
      <c r="AB14" s="219">
        <f t="shared" si="2"/>
        <v>15295.602719999999</v>
      </c>
      <c r="AC14" s="235">
        <f>Y14*T14</f>
        <v>12925.717119999999</v>
      </c>
      <c r="AD14" s="235">
        <f>Z14*U14</f>
        <v>2369.8856000000001</v>
      </c>
      <c r="AE14" s="6" t="s">
        <v>31</v>
      </c>
    </row>
    <row r="15" spans="1:31" ht="16" thickBot="1">
      <c r="A15" s="81">
        <v>6</v>
      </c>
      <c r="B15" s="81">
        <v>1755</v>
      </c>
      <c r="C15" s="81" t="s">
        <v>115</v>
      </c>
      <c r="D15" s="4" t="s">
        <v>298</v>
      </c>
      <c r="E15" s="5">
        <v>19973</v>
      </c>
      <c r="F15" s="5">
        <v>17818</v>
      </c>
      <c r="G15" s="5">
        <v>8783</v>
      </c>
      <c r="H15" s="5">
        <v>9035</v>
      </c>
      <c r="I15" s="5">
        <v>2155</v>
      </c>
      <c r="J15" s="5">
        <v>1110</v>
      </c>
      <c r="K15" s="5">
        <v>1045</v>
      </c>
      <c r="L15" s="4" t="s">
        <v>298</v>
      </c>
      <c r="N15" s="1" t="s">
        <v>576</v>
      </c>
      <c r="O15" s="1"/>
      <c r="P15" s="1"/>
      <c r="R15" s="27"/>
      <c r="S15" s="220"/>
      <c r="T15" s="220"/>
      <c r="U15" s="220"/>
      <c r="V15" s="220"/>
      <c r="W15" s="27"/>
      <c r="X15" s="106"/>
      <c r="Y15" s="106"/>
      <c r="Z15" s="106"/>
      <c r="AA15" s="1"/>
      <c r="AB15" s="219"/>
      <c r="AC15" s="222"/>
      <c r="AD15" s="222"/>
      <c r="AE15" s="122"/>
    </row>
    <row r="16" spans="1:31">
      <c r="A16" s="81">
        <v>7</v>
      </c>
      <c r="B16" s="88">
        <v>1774</v>
      </c>
      <c r="C16" s="87" t="s">
        <v>737</v>
      </c>
      <c r="D16" s="44">
        <v>9450</v>
      </c>
      <c r="E16" s="44">
        <v>59607</v>
      </c>
      <c r="F16" s="44">
        <v>54460</v>
      </c>
      <c r="G16" s="44">
        <v>26763</v>
      </c>
      <c r="H16" s="44">
        <v>27697</v>
      </c>
      <c r="I16" s="44">
        <v>3668</v>
      </c>
      <c r="J16" s="109">
        <f>3668*J13/4697</f>
        <v>1864.0655737704917</v>
      </c>
      <c r="K16" s="109">
        <f>3668*K13/4697</f>
        <v>1803.9344262295083</v>
      </c>
      <c r="L16" s="44">
        <v>1479</v>
      </c>
      <c r="N16" s="1" t="s">
        <v>254</v>
      </c>
      <c r="O16" s="1"/>
      <c r="R16" s="4" t="s">
        <v>627</v>
      </c>
      <c r="S16" s="220">
        <f t="shared" si="6"/>
        <v>3668</v>
      </c>
      <c r="T16" s="220">
        <f>J16</f>
        <v>1864.0655737704917</v>
      </c>
      <c r="U16" s="220">
        <f>K16</f>
        <v>1803.9344262295083</v>
      </c>
      <c r="V16" s="220"/>
      <c r="W16" s="4" t="s">
        <v>627</v>
      </c>
      <c r="X16" s="106"/>
      <c r="Y16" s="106"/>
      <c r="Z16" s="106"/>
      <c r="AA16" s="1"/>
      <c r="AB16" s="219">
        <f t="shared" si="2"/>
        <v>1283.7867302731775</v>
      </c>
      <c r="AC16" s="220">
        <f>AC20+AC24</f>
        <v>920.27922758318425</v>
      </c>
      <c r="AD16" s="220">
        <f>AD20+AD24</f>
        <v>363.50750268999332</v>
      </c>
      <c r="AE16" s="6" t="s">
        <v>627</v>
      </c>
    </row>
    <row r="17" spans="1:31">
      <c r="A17" s="81">
        <v>8</v>
      </c>
      <c r="B17" s="89">
        <v>1774</v>
      </c>
      <c r="C17" s="87" t="s">
        <v>446</v>
      </c>
      <c r="D17" s="45" t="s">
        <v>298</v>
      </c>
      <c r="E17" s="94">
        <f>F17+I17</f>
        <v>27064.108792846499</v>
      </c>
      <c r="F17" s="44">
        <v>25079</v>
      </c>
      <c r="G17" s="44">
        <v>12731</v>
      </c>
      <c r="H17" s="44">
        <v>12348</v>
      </c>
      <c r="I17" s="109">
        <f t="shared" ref="I17" si="9">3668*I14/4697</f>
        <v>1985.1087928464979</v>
      </c>
      <c r="J17" s="109">
        <f t="shared" ref="J17:K17" si="10">3668*J14/4697</f>
        <v>997.2399403874814</v>
      </c>
      <c r="K17" s="109">
        <f t="shared" si="10"/>
        <v>987.86885245901635</v>
      </c>
      <c r="L17" s="45" t="s">
        <v>298</v>
      </c>
      <c r="R17" s="4" t="s">
        <v>628</v>
      </c>
      <c r="S17" s="220">
        <f t="shared" si="6"/>
        <v>1985.1087928464976</v>
      </c>
      <c r="T17" s="220">
        <f t="shared" ref="T17:T18" si="11">J17</f>
        <v>997.2399403874814</v>
      </c>
      <c r="U17" s="220">
        <f t="shared" ref="U17:U18" si="12">K17</f>
        <v>987.86885245901635</v>
      </c>
      <c r="V17" s="220"/>
      <c r="W17" s="4" t="s">
        <v>628</v>
      </c>
      <c r="X17" s="106"/>
      <c r="Y17" s="181"/>
      <c r="Z17" s="181"/>
      <c r="AA17" s="1"/>
      <c r="AB17" s="219">
        <f t="shared" si="2"/>
        <v>230.84396380171177</v>
      </c>
      <c r="AC17" s="220">
        <f t="shared" ref="AC17:AD17" si="13">AC21+AC25</f>
        <v>125.78683865611188</v>
      </c>
      <c r="AD17" s="220">
        <f t="shared" si="13"/>
        <v>105.05712514559988</v>
      </c>
      <c r="AE17" s="6" t="s">
        <v>628</v>
      </c>
    </row>
    <row r="18" spans="1:31" ht="16" thickBot="1">
      <c r="A18" s="81">
        <v>9</v>
      </c>
      <c r="B18" s="90">
        <v>1774</v>
      </c>
      <c r="C18" s="87" t="s">
        <v>447</v>
      </c>
      <c r="D18" s="45" t="s">
        <v>298</v>
      </c>
      <c r="E18" s="94">
        <f>F18+I18</f>
        <v>31063.891207153501</v>
      </c>
      <c r="F18" s="44">
        <v>29381</v>
      </c>
      <c r="G18" s="44">
        <v>14032</v>
      </c>
      <c r="H18" s="44">
        <v>15349</v>
      </c>
      <c r="I18" s="109">
        <f t="shared" ref="I18" si="14">3668*I15/4697</f>
        <v>1682.8912071535021</v>
      </c>
      <c r="J18" s="109">
        <f t="shared" ref="J18:K18" si="15">3668*J15/4697</f>
        <v>866.82563338301043</v>
      </c>
      <c r="K18" s="109">
        <f t="shared" si="15"/>
        <v>816.06557377049182</v>
      </c>
      <c r="L18" s="45" t="s">
        <v>298</v>
      </c>
      <c r="R18" s="4" t="s">
        <v>30</v>
      </c>
      <c r="S18" s="220">
        <f t="shared" si="6"/>
        <v>1682.8912071535024</v>
      </c>
      <c r="T18" s="220">
        <f t="shared" si="11"/>
        <v>866.82563338301043</v>
      </c>
      <c r="U18" s="220">
        <f t="shared" si="12"/>
        <v>816.06557377049182</v>
      </c>
      <c r="V18" s="220"/>
      <c r="W18" s="4" t="s">
        <v>385</v>
      </c>
      <c r="X18" s="106"/>
      <c r="Y18" s="181"/>
      <c r="Z18" s="181"/>
      <c r="AA18" s="1"/>
      <c r="AB18" s="219">
        <f t="shared" si="2"/>
        <v>1052.9427664714658</v>
      </c>
      <c r="AC18" s="220">
        <f t="shared" ref="AC18:AD18" si="16">AC22+AC26</f>
        <v>794.4923889270724</v>
      </c>
      <c r="AD18" s="220">
        <f t="shared" si="16"/>
        <v>258.4503775443934</v>
      </c>
      <c r="AE18" s="6" t="s">
        <v>30</v>
      </c>
    </row>
    <row r="19" spans="1:31">
      <c r="A19" s="81">
        <v>10</v>
      </c>
      <c r="B19" s="81">
        <v>1783</v>
      </c>
      <c r="D19" s="4" t="s">
        <v>298</v>
      </c>
      <c r="E19" s="5">
        <v>51887</v>
      </c>
      <c r="F19" s="5">
        <v>48556</v>
      </c>
      <c r="G19" s="4" t="s">
        <v>298</v>
      </c>
      <c r="H19" s="4" t="s">
        <v>298</v>
      </c>
      <c r="I19" s="5">
        <v>2806</v>
      </c>
      <c r="J19" s="4" t="s">
        <v>298</v>
      </c>
      <c r="K19" s="4" t="s">
        <v>298</v>
      </c>
      <c r="L19" s="4">
        <v>525</v>
      </c>
      <c r="R19" s="222"/>
      <c r="S19" s="220"/>
      <c r="T19" s="220"/>
      <c r="U19" s="220"/>
      <c r="V19" s="220"/>
      <c r="X19" s="1"/>
      <c r="Y19" s="181" t="s">
        <v>518</v>
      </c>
      <c r="Z19" s="222"/>
      <c r="AA19" s="1"/>
      <c r="AB19" s="219"/>
      <c r="AC19" s="220"/>
      <c r="AD19" s="220"/>
      <c r="AE19" s="6"/>
    </row>
    <row r="20" spans="1:31">
      <c r="I20" s="81" t="s">
        <v>387</v>
      </c>
      <c r="R20" s="4" t="s">
        <v>194</v>
      </c>
      <c r="S20" s="220">
        <f t="shared" si="6"/>
        <v>2869.5460919999996</v>
      </c>
      <c r="T20" s="220">
        <f>T16*0.782319</f>
        <v>1458.2939156065572</v>
      </c>
      <c r="U20" s="220">
        <f>U16*0.782319</f>
        <v>1411.2521763934426</v>
      </c>
      <c r="V20" s="220"/>
      <c r="W20" s="4" t="s">
        <v>194</v>
      </c>
      <c r="X20" s="1"/>
      <c r="Y20" s="181" t="s">
        <v>517</v>
      </c>
      <c r="Z20" s="222"/>
      <c r="AA20" s="1"/>
      <c r="AB20" s="219">
        <f t="shared" si="2"/>
        <v>818.8784903222288</v>
      </c>
      <c r="AC20" s="220">
        <f>AC21+AC22</f>
        <v>682.09618211865507</v>
      </c>
      <c r="AD20" s="220">
        <f>AD21+AD22</f>
        <v>136.78230820357368</v>
      </c>
      <c r="AE20" s="6" t="s">
        <v>194</v>
      </c>
    </row>
    <row r="21" spans="1:31">
      <c r="C21" s="81" t="s">
        <v>323</v>
      </c>
      <c r="I21" s="81" t="s">
        <v>374</v>
      </c>
      <c r="R21" s="4" t="s">
        <v>195</v>
      </c>
      <c r="S21" s="220">
        <f t="shared" si="6"/>
        <v>1552.9883257108791</v>
      </c>
      <c r="T21" s="220">
        <f t="shared" ref="T21:U21" si="17">T17*0.782319</f>
        <v>780.15975292399401</v>
      </c>
      <c r="U21" s="220">
        <f t="shared" si="17"/>
        <v>772.82857278688516</v>
      </c>
      <c r="V21" s="220"/>
      <c r="W21" s="4" t="s">
        <v>195</v>
      </c>
      <c r="X21" s="1"/>
      <c r="Y21" s="181">
        <v>7.3608150903395439E-2</v>
      </c>
      <c r="Z21" s="181">
        <v>4.9441370508512356E-2</v>
      </c>
      <c r="AA21" s="1"/>
      <c r="AB21" s="219">
        <f t="shared" si="2"/>
        <v>95.635820628706256</v>
      </c>
      <c r="AC21" s="235">
        <f>Y21*T21</f>
        <v>57.426116821985055</v>
      </c>
      <c r="AD21" s="235">
        <f>Z21*U21</f>
        <v>38.209703806721201</v>
      </c>
      <c r="AE21" s="6" t="s">
        <v>195</v>
      </c>
    </row>
    <row r="22" spans="1:31">
      <c r="C22" s="81" t="s">
        <v>322</v>
      </c>
      <c r="I22" s="81" t="s">
        <v>376</v>
      </c>
      <c r="R22" s="4" t="s">
        <v>97</v>
      </c>
      <c r="S22" s="220">
        <f t="shared" si="6"/>
        <v>1316.5577662891208</v>
      </c>
      <c r="T22" s="220">
        <f t="shared" ref="T22:U22" si="18">T18*0.782319</f>
        <v>678.13416268256333</v>
      </c>
      <c r="U22" s="220">
        <f t="shared" si="18"/>
        <v>638.42360360655744</v>
      </c>
      <c r="V22" s="220"/>
      <c r="W22" s="4" t="s">
        <v>97</v>
      </c>
      <c r="X22" s="1"/>
      <c r="Y22" s="181">
        <v>0.92115999999999998</v>
      </c>
      <c r="Z22" s="181">
        <v>0.15440000000000001</v>
      </c>
      <c r="AA22" s="1"/>
      <c r="AB22" s="219">
        <f t="shared" si="2"/>
        <v>723.24266969352254</v>
      </c>
      <c r="AC22" s="235">
        <f>Y22*T22</f>
        <v>624.67006529667003</v>
      </c>
      <c r="AD22" s="235">
        <f>Z22*U22</f>
        <v>98.572604396852469</v>
      </c>
      <c r="AE22" s="6" t="s">
        <v>97</v>
      </c>
    </row>
    <row r="23" spans="1:31">
      <c r="I23" s="81" t="s">
        <v>443</v>
      </c>
      <c r="R23" s="4"/>
      <c r="S23" s="220"/>
      <c r="T23" s="220"/>
      <c r="U23" s="220"/>
      <c r="V23" s="220"/>
      <c r="W23" s="4"/>
      <c r="X23" s="1"/>
      <c r="Y23" s="1"/>
      <c r="Z23" s="1"/>
      <c r="AA23" s="1"/>
      <c r="AB23" s="219"/>
      <c r="AC23" s="220"/>
      <c r="AD23" s="220"/>
      <c r="AE23" s="6"/>
    </row>
    <row r="24" spans="1:31">
      <c r="I24" s="81" t="s">
        <v>437</v>
      </c>
      <c r="R24" s="4" t="s">
        <v>88</v>
      </c>
      <c r="S24" s="220">
        <f t="shared" si="6"/>
        <v>798.45390800000018</v>
      </c>
      <c r="T24" s="220">
        <f>T16-T20</f>
        <v>405.77165816393449</v>
      </c>
      <c r="U24" s="220">
        <f>U16-U20</f>
        <v>392.68224983606569</v>
      </c>
      <c r="V24" s="220"/>
      <c r="W24" s="4" t="s">
        <v>88</v>
      </c>
      <c r="X24" s="1"/>
      <c r="Y24" s="1"/>
      <c r="Z24" s="1"/>
      <c r="AA24" s="1"/>
      <c r="AB24" s="219">
        <f t="shared" si="2"/>
        <v>464.90823995094888</v>
      </c>
      <c r="AC24" s="220">
        <f>AC25+AC26</f>
        <v>238.18304546452921</v>
      </c>
      <c r="AD24" s="220">
        <f>AD25+AD26</f>
        <v>226.72519448641964</v>
      </c>
      <c r="AE24" s="6" t="s">
        <v>88</v>
      </c>
    </row>
    <row r="25" spans="1:31">
      <c r="J25" s="81">
        <f>J17/J16</f>
        <v>0.53498114788437379</v>
      </c>
      <c r="K25" s="81">
        <f>K17/K16</f>
        <v>0.54761904761904756</v>
      </c>
      <c r="R25" s="4" t="s">
        <v>99</v>
      </c>
      <c r="S25" s="220">
        <f t="shared" si="6"/>
        <v>432.12046713561858</v>
      </c>
      <c r="T25" s="220">
        <f t="shared" ref="T25:U25" si="19">T17-T21</f>
        <v>217.08018746348739</v>
      </c>
      <c r="U25" s="220">
        <f t="shared" si="19"/>
        <v>215.04027967213119</v>
      </c>
      <c r="V25" s="220"/>
      <c r="W25" s="4" t="s">
        <v>99</v>
      </c>
      <c r="X25" s="1"/>
      <c r="Y25" s="181">
        <v>0.31491000000000002</v>
      </c>
      <c r="Z25" s="181">
        <v>0.31085999999999997</v>
      </c>
      <c r="AA25" s="1"/>
      <c r="AB25" s="219">
        <f t="shared" si="2"/>
        <v>135.20814317300551</v>
      </c>
      <c r="AC25" s="235">
        <f>Y25*T25</f>
        <v>68.360721834126821</v>
      </c>
      <c r="AD25" s="235">
        <f>Z25*U25</f>
        <v>66.847421338878689</v>
      </c>
      <c r="AE25" s="6" t="s">
        <v>99</v>
      </c>
    </row>
    <row r="26" spans="1:31">
      <c r="F26" s="81" t="s">
        <v>162</v>
      </c>
      <c r="R26" s="4" t="s">
        <v>112</v>
      </c>
      <c r="S26" s="220">
        <f t="shared" si="6"/>
        <v>366.33344086438149</v>
      </c>
      <c r="T26" s="220">
        <f t="shared" ref="T26:U26" si="20">T18-T22</f>
        <v>188.6914707004471</v>
      </c>
      <c r="U26" s="220">
        <f t="shared" si="20"/>
        <v>177.64197016393439</v>
      </c>
      <c r="V26" s="220"/>
      <c r="W26" s="4" t="s">
        <v>112</v>
      </c>
      <c r="X26" s="1"/>
      <c r="Y26" s="181">
        <v>0.9</v>
      </c>
      <c r="Z26" s="181">
        <v>0.9</v>
      </c>
      <c r="AA26" s="1"/>
      <c r="AB26" s="219">
        <f t="shared" si="2"/>
        <v>329.70009677794337</v>
      </c>
      <c r="AC26" s="235">
        <f>Y26*T26</f>
        <v>169.82232363040239</v>
      </c>
      <c r="AD26" s="235">
        <f>Z26*U26</f>
        <v>159.87777314754095</v>
      </c>
      <c r="AE26" s="6" t="s">
        <v>112</v>
      </c>
    </row>
    <row r="27" spans="1:31">
      <c r="F27" s="81" t="s">
        <v>318</v>
      </c>
      <c r="X27" s="1"/>
      <c r="Y27" s="1"/>
      <c r="Z27" s="1"/>
      <c r="AA27" s="1"/>
      <c r="AB27" s="1"/>
      <c r="AC27" s="1"/>
      <c r="AD27" s="1"/>
    </row>
    <row r="28" spans="1:31">
      <c r="F28" s="81" t="s">
        <v>313</v>
      </c>
      <c r="AB28" s="1" t="s">
        <v>109</v>
      </c>
      <c r="AC28" s="222" t="s">
        <v>183</v>
      </c>
      <c r="AD28" s="1"/>
    </row>
    <row r="29" spans="1:31">
      <c r="F29" s="1" t="s">
        <v>135</v>
      </c>
      <c r="AB29" s="1"/>
      <c r="AC29" s="1" t="s">
        <v>436</v>
      </c>
      <c r="AD29" s="1"/>
    </row>
    <row r="30" spans="1:31">
      <c r="F30" s="1" t="s">
        <v>307</v>
      </c>
      <c r="AB30" s="1"/>
      <c r="AC30" s="222" t="s">
        <v>184</v>
      </c>
      <c r="AD30" s="1"/>
    </row>
    <row r="31" spans="1:31">
      <c r="AB31" s="1"/>
      <c r="AC31" s="75"/>
      <c r="AD31" s="1"/>
    </row>
    <row r="32" spans="1:31">
      <c r="H32" s="4" t="s">
        <v>474</v>
      </c>
      <c r="I32" s="4" t="s">
        <v>739</v>
      </c>
      <c r="J32" s="4" t="s">
        <v>740</v>
      </c>
      <c r="AB32" s="1" t="s">
        <v>337</v>
      </c>
      <c r="AC32" s="1"/>
      <c r="AD32" s="1"/>
    </row>
    <row r="33" spans="1:30">
      <c r="G33" s="4" t="s">
        <v>535</v>
      </c>
      <c r="H33" s="110">
        <f>I33+J33</f>
        <v>9409.7202567809236</v>
      </c>
      <c r="I33" s="110">
        <f>I34+I35</f>
        <v>4803.5111551415794</v>
      </c>
      <c r="J33" s="110">
        <f>J34+J35</f>
        <v>4606.2091016393442</v>
      </c>
      <c r="AB33" s="67">
        <f>AB8/11865</f>
        <v>1.5277704898831364</v>
      </c>
      <c r="AC33" s="1" t="s">
        <v>247</v>
      </c>
      <c r="AD33" s="1"/>
    </row>
    <row r="34" spans="1:30">
      <c r="G34" s="4" t="s">
        <v>536</v>
      </c>
      <c r="H34" s="110">
        <f t="shared" ref="H34:H35" si="21">I34+J34</f>
        <v>8719.5761000000002</v>
      </c>
      <c r="I34" s="110">
        <f>0.3499*G17</f>
        <v>4454.5769</v>
      </c>
      <c r="J34" s="110">
        <f>0.3454*H17</f>
        <v>4264.9992000000002</v>
      </c>
      <c r="AB34" s="67">
        <f>AB12/11387</f>
        <v>1.4791613359260769</v>
      </c>
      <c r="AC34" s="1" t="s">
        <v>248</v>
      </c>
      <c r="AD34" s="1"/>
    </row>
    <row r="35" spans="1:30">
      <c r="G35" s="4" t="s">
        <v>537</v>
      </c>
      <c r="H35" s="110">
        <f t="shared" si="21"/>
        <v>690.14415678092405</v>
      </c>
      <c r="I35" s="110">
        <f>0.3499*J17</f>
        <v>348.93425514157974</v>
      </c>
      <c r="J35" s="110">
        <f>0.3454*K17</f>
        <v>341.20990163934425</v>
      </c>
      <c r="AB35" s="236">
        <f>AB20/478</f>
        <v>1.7131349169921104</v>
      </c>
      <c r="AC35" s="81" t="s">
        <v>91</v>
      </c>
    </row>
    <row r="37" spans="1:30">
      <c r="A37" s="59" t="s">
        <v>310</v>
      </c>
      <c r="B37" s="1"/>
      <c r="C37" s="1"/>
      <c r="D37" s="1"/>
    </row>
    <row r="38" spans="1:30">
      <c r="A38" s="1" t="s">
        <v>435</v>
      </c>
      <c r="B38" s="1"/>
      <c r="C38" s="1"/>
      <c r="D38" s="1"/>
    </row>
    <row r="39" spans="1:30">
      <c r="A39" s="1" t="s">
        <v>312</v>
      </c>
      <c r="B39" s="1"/>
      <c r="C39" s="1"/>
      <c r="D39" s="1"/>
    </row>
    <row r="40" spans="1:30">
      <c r="A40" s="1"/>
      <c r="B40" s="1"/>
      <c r="C40" s="1"/>
      <c r="D40" s="1"/>
    </row>
    <row r="41" spans="1:30">
      <c r="A41" s="222" t="s">
        <v>84</v>
      </c>
      <c r="B41" s="1"/>
      <c r="C41" s="1"/>
      <c r="D41" s="1"/>
      <c r="E41" s="237">
        <v>11386.968000000001</v>
      </c>
    </row>
    <row r="42" spans="1:30">
      <c r="B42" s="75"/>
      <c r="C42" s="1"/>
      <c r="D42" s="54"/>
      <c r="E42" s="1"/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N40"/>
  <sheetViews>
    <sheetView topLeftCell="V4" workbookViewId="0">
      <selection activeCell="X11" sqref="X11:Z13"/>
    </sheetView>
  </sheetViews>
  <sheetFormatPr baseColWidth="10" defaultRowHeight="15"/>
  <cols>
    <col min="1" max="1" width="7.140625" style="1" customWidth="1"/>
    <col min="2" max="2" width="8.28515625" style="1" customWidth="1"/>
    <col min="3" max="3" width="14.28515625" style="1" customWidth="1"/>
    <col min="4" max="17" width="10.7109375" style="1"/>
    <col min="18" max="18" width="6" style="1" customWidth="1"/>
    <col min="19" max="21" width="10.7109375" style="1"/>
    <col min="22" max="22" width="3.7109375" style="222" customWidth="1"/>
    <col min="23" max="27" width="10.7109375" style="222"/>
    <col min="28" max="28" width="10.7109375" style="1"/>
    <col min="29" max="29" width="6" style="1" customWidth="1"/>
    <col min="30" max="30" width="10.42578125" style="1" customWidth="1"/>
    <col min="31" max="31" width="10.85546875" style="1" customWidth="1"/>
    <col min="32" max="32" width="4.7109375" style="222" customWidth="1"/>
    <col min="33" max="33" width="8.5703125" style="1" customWidth="1"/>
    <col min="34" max="34" width="9.42578125" style="1" customWidth="1"/>
    <col min="35" max="16384" width="10.7109375" style="1"/>
  </cols>
  <sheetData>
    <row r="1" spans="1:36" ht="17">
      <c r="B1" s="3" t="s">
        <v>498</v>
      </c>
    </row>
    <row r="2" spans="1:36">
      <c r="B2" s="1" t="s">
        <v>421</v>
      </c>
    </row>
    <row r="4" spans="1:36">
      <c r="D4" s="4" t="s">
        <v>603</v>
      </c>
      <c r="E4" s="4" t="s">
        <v>604</v>
      </c>
      <c r="F4" s="4" t="s">
        <v>605</v>
      </c>
      <c r="G4" s="4" t="s">
        <v>606</v>
      </c>
      <c r="H4" s="4" t="s">
        <v>700</v>
      </c>
      <c r="I4" s="4" t="s">
        <v>701</v>
      </c>
      <c r="J4" s="4" t="s">
        <v>499</v>
      </c>
      <c r="K4" s="4" t="s">
        <v>500</v>
      </c>
      <c r="L4" s="4" t="s">
        <v>607</v>
      </c>
      <c r="M4" s="4" t="s">
        <v>501</v>
      </c>
      <c r="N4" s="4" t="s">
        <v>502</v>
      </c>
      <c r="O4" s="4" t="s">
        <v>503</v>
      </c>
      <c r="P4" s="4" t="s">
        <v>504</v>
      </c>
      <c r="Q4" s="4" t="s">
        <v>505</v>
      </c>
      <c r="S4" s="1" t="s">
        <v>549</v>
      </c>
      <c r="AB4" s="81"/>
      <c r="AC4" s="1" t="s">
        <v>107</v>
      </c>
      <c r="AJ4" s="81"/>
    </row>
    <row r="5" spans="1:36">
      <c r="D5" s="6" t="s">
        <v>737</v>
      </c>
      <c r="E5" s="30" t="s">
        <v>738</v>
      </c>
      <c r="F5" s="31"/>
      <c r="G5" s="31"/>
      <c r="H5" s="31"/>
      <c r="I5" s="31"/>
      <c r="J5" s="31" t="s">
        <v>738</v>
      </c>
      <c r="K5" s="32"/>
      <c r="L5" s="30" t="s">
        <v>117</v>
      </c>
      <c r="M5" s="158"/>
      <c r="N5" s="32"/>
      <c r="O5" s="30" t="s">
        <v>218</v>
      </c>
      <c r="P5" s="11" t="s">
        <v>218</v>
      </c>
      <c r="Q5" s="29"/>
      <c r="S5" s="1" t="s">
        <v>743</v>
      </c>
      <c r="W5" s="17"/>
      <c r="X5" s="18" t="s">
        <v>106</v>
      </c>
      <c r="Y5" s="19"/>
      <c r="Z5" s="20"/>
      <c r="AB5" s="81"/>
      <c r="AC5" s="1" t="s">
        <v>390</v>
      </c>
      <c r="AG5" s="18" t="s">
        <v>391</v>
      </c>
      <c r="AH5" s="19"/>
      <c r="AI5" s="20"/>
      <c r="AJ5" s="156"/>
    </row>
    <row r="6" spans="1:36" ht="16" thickBot="1">
      <c r="D6" s="6"/>
      <c r="E6" s="6" t="s">
        <v>737</v>
      </c>
      <c r="F6" s="6" t="s">
        <v>739</v>
      </c>
      <c r="G6" s="6"/>
      <c r="H6" s="6"/>
      <c r="I6" s="6" t="s">
        <v>740</v>
      </c>
      <c r="J6" s="4" t="s">
        <v>740</v>
      </c>
      <c r="K6" s="4"/>
      <c r="L6" s="4" t="s">
        <v>737</v>
      </c>
      <c r="M6" s="4" t="s">
        <v>739</v>
      </c>
      <c r="N6" s="4" t="s">
        <v>740</v>
      </c>
      <c r="O6" s="4" t="s">
        <v>737</v>
      </c>
      <c r="P6" s="4" t="s">
        <v>739</v>
      </c>
      <c r="Q6" s="4" t="s">
        <v>740</v>
      </c>
      <c r="S6" s="1" t="s">
        <v>619</v>
      </c>
      <c r="W6" s="4"/>
      <c r="X6" s="71" t="s">
        <v>538</v>
      </c>
      <c r="Y6" s="71" t="s">
        <v>539</v>
      </c>
      <c r="Z6" s="71" t="s">
        <v>378</v>
      </c>
      <c r="AB6" s="81"/>
      <c r="AC6" s="71" t="s">
        <v>103</v>
      </c>
      <c r="AD6" s="71" t="s">
        <v>104</v>
      </c>
      <c r="AE6" s="71" t="s">
        <v>105</v>
      </c>
      <c r="AF6" s="71"/>
      <c r="AG6" s="71" t="s">
        <v>103</v>
      </c>
      <c r="AH6" s="71" t="s">
        <v>104</v>
      </c>
      <c r="AI6" s="71" t="s">
        <v>105</v>
      </c>
      <c r="AJ6" s="81"/>
    </row>
    <row r="7" spans="1:36" ht="16" thickBot="1">
      <c r="D7" s="4"/>
      <c r="E7" s="4"/>
      <c r="F7" s="6" t="s">
        <v>651</v>
      </c>
      <c r="G7" s="4" t="s">
        <v>702</v>
      </c>
      <c r="H7" s="4" t="s">
        <v>703</v>
      </c>
      <c r="I7" s="6" t="s">
        <v>744</v>
      </c>
      <c r="J7" s="4" t="s">
        <v>702</v>
      </c>
      <c r="K7" s="4" t="s">
        <v>703</v>
      </c>
      <c r="L7" s="4"/>
      <c r="M7" s="4"/>
      <c r="N7" s="4"/>
      <c r="O7" s="4"/>
      <c r="P7" s="4" t="s">
        <v>611</v>
      </c>
      <c r="Q7" s="4" t="s">
        <v>611</v>
      </c>
      <c r="W7" s="4" t="s">
        <v>379</v>
      </c>
      <c r="X7" s="220">
        <f>X11+X15</f>
        <v>195579</v>
      </c>
      <c r="Y7" s="220">
        <f t="shared" ref="Y7:Z7" si="0">Y11+Y15</f>
        <v>99065</v>
      </c>
      <c r="Z7" s="220">
        <f t="shared" si="0"/>
        <v>96514</v>
      </c>
      <c r="AB7" s="4" t="s">
        <v>44</v>
      </c>
      <c r="AC7" s="106"/>
      <c r="AD7" s="106"/>
      <c r="AE7" s="106"/>
      <c r="AF7" s="181"/>
      <c r="AG7" s="163">
        <f>AH7+AI7</f>
        <v>60804.826012525795</v>
      </c>
      <c r="AH7" s="220">
        <f>AH8+AH9</f>
        <v>53866.11367116194</v>
      </c>
      <c r="AI7" s="220">
        <f>AI8+AI9</f>
        <v>6938.7123413638565</v>
      </c>
      <c r="AJ7" s="6" t="s">
        <v>44</v>
      </c>
    </row>
    <row r="8" spans="1:36">
      <c r="A8" s="4" t="s">
        <v>608</v>
      </c>
      <c r="B8" s="4" t="s">
        <v>609</v>
      </c>
      <c r="C8" s="1" t="s">
        <v>610</v>
      </c>
      <c r="D8" s="4" t="s">
        <v>611</v>
      </c>
      <c r="E8" s="4" t="s">
        <v>611</v>
      </c>
      <c r="F8" s="4" t="s">
        <v>611</v>
      </c>
      <c r="G8" s="4" t="s">
        <v>611</v>
      </c>
      <c r="H8" s="4" t="s">
        <v>611</v>
      </c>
      <c r="I8" s="4" t="s">
        <v>611</v>
      </c>
      <c r="J8" s="4" t="s">
        <v>611</v>
      </c>
      <c r="K8" s="4" t="s">
        <v>611</v>
      </c>
      <c r="L8" s="4" t="s">
        <v>611</v>
      </c>
      <c r="M8" s="4" t="s">
        <v>611</v>
      </c>
      <c r="N8" s="4" t="s">
        <v>611</v>
      </c>
      <c r="O8" s="4" t="s">
        <v>611</v>
      </c>
      <c r="P8" s="4" t="s">
        <v>611</v>
      </c>
      <c r="Q8" s="4" t="s">
        <v>611</v>
      </c>
      <c r="S8" s="1" t="s">
        <v>693</v>
      </c>
      <c r="W8" s="4" t="s">
        <v>462</v>
      </c>
      <c r="X8" s="220">
        <f t="shared" ref="X8:Z8" si="1">X12+X16</f>
        <v>80960.149999999994</v>
      </c>
      <c r="Y8" s="220">
        <f t="shared" si="1"/>
        <v>41394.839999999997</v>
      </c>
      <c r="Z8" s="220">
        <f t="shared" si="1"/>
        <v>39565.310000000005</v>
      </c>
      <c r="AB8" s="4" t="s">
        <v>462</v>
      </c>
      <c r="AC8" s="106"/>
      <c r="AD8" s="106"/>
      <c r="AE8" s="106"/>
      <c r="AF8" s="181"/>
      <c r="AG8" s="161">
        <f>AH8+AI8</f>
        <v>3047.5162366257928</v>
      </c>
      <c r="AH8" s="161">
        <f>AH12+AH16</f>
        <v>1876.6891152619369</v>
      </c>
      <c r="AI8" s="161">
        <f>AI12+AI16</f>
        <v>1170.8271213638559</v>
      </c>
      <c r="AJ8" s="6" t="s">
        <v>462</v>
      </c>
    </row>
    <row r="9" spans="1:36">
      <c r="A9" s="1">
        <v>1</v>
      </c>
      <c r="B9" s="1">
        <v>1756</v>
      </c>
      <c r="D9" s="2">
        <v>130612</v>
      </c>
      <c r="E9" s="2">
        <v>126976</v>
      </c>
      <c r="F9" s="1" t="s">
        <v>298</v>
      </c>
      <c r="G9" s="1" t="s">
        <v>298</v>
      </c>
      <c r="H9" s="1" t="s">
        <v>298</v>
      </c>
      <c r="I9" s="1" t="s">
        <v>298</v>
      </c>
      <c r="J9" s="4" t="s">
        <v>298</v>
      </c>
      <c r="K9" s="4" t="s">
        <v>298</v>
      </c>
      <c r="L9" s="5">
        <v>3019</v>
      </c>
      <c r="M9" s="4" t="s">
        <v>298</v>
      </c>
      <c r="N9" s="4" t="s">
        <v>298</v>
      </c>
      <c r="O9" s="4">
        <v>617</v>
      </c>
      <c r="P9" s="4" t="s">
        <v>298</v>
      </c>
      <c r="Q9" s="4" t="s">
        <v>298</v>
      </c>
      <c r="S9" s="1" t="s">
        <v>578</v>
      </c>
      <c r="U9" s="1">
        <v>2808</v>
      </c>
      <c r="W9" s="4" t="s">
        <v>29</v>
      </c>
      <c r="X9" s="220">
        <f t="shared" ref="X9:Z9" si="2">X13+X17</f>
        <v>114618.85</v>
      </c>
      <c r="Y9" s="220">
        <f t="shared" si="2"/>
        <v>57670.16</v>
      </c>
      <c r="Z9" s="220">
        <f t="shared" si="2"/>
        <v>56948.689999999995</v>
      </c>
      <c r="AB9" s="4" t="s">
        <v>384</v>
      </c>
      <c r="AC9" s="106"/>
      <c r="AD9" s="106"/>
      <c r="AE9" s="106"/>
      <c r="AF9" s="181"/>
      <c r="AG9" s="161">
        <f t="shared" ref="AG9:AG25" si="3">AH9+AI9</f>
        <v>57757.309775900008</v>
      </c>
      <c r="AH9" s="161">
        <f>AH13+AH17</f>
        <v>51989.424555900005</v>
      </c>
      <c r="AI9" s="161">
        <f>AI13+AI17</f>
        <v>5767.8852200000001</v>
      </c>
      <c r="AJ9" s="6" t="s">
        <v>384</v>
      </c>
    </row>
    <row r="10" spans="1:36">
      <c r="A10" s="42">
        <v>2</v>
      </c>
      <c r="B10" s="42">
        <v>1774</v>
      </c>
      <c r="C10" s="42"/>
      <c r="D10" s="46">
        <v>197842</v>
      </c>
      <c r="E10" s="46">
        <v>191378</v>
      </c>
      <c r="F10" s="46">
        <v>96182</v>
      </c>
      <c r="G10" s="46">
        <v>30524</v>
      </c>
      <c r="H10" s="46">
        <v>65658</v>
      </c>
      <c r="I10" s="46">
        <v>94296</v>
      </c>
      <c r="J10" s="44">
        <v>30636</v>
      </c>
      <c r="K10" s="44">
        <v>63660</v>
      </c>
      <c r="L10" s="44">
        <v>5101</v>
      </c>
      <c r="M10" s="44">
        <v>2883</v>
      </c>
      <c r="N10" s="44">
        <v>2218</v>
      </c>
      <c r="O10" s="44">
        <v>1363</v>
      </c>
      <c r="P10" s="45">
        <v>635</v>
      </c>
      <c r="Q10" s="45">
        <v>728</v>
      </c>
      <c r="S10" s="1" t="s">
        <v>580</v>
      </c>
      <c r="U10" s="1">
        <v>2764</v>
      </c>
      <c r="W10" s="27"/>
      <c r="X10" s="220"/>
      <c r="Y10" s="220"/>
      <c r="Z10" s="220"/>
      <c r="AB10" s="27"/>
      <c r="AC10" s="106"/>
      <c r="AD10" s="106"/>
      <c r="AE10" s="106"/>
      <c r="AF10" s="181"/>
      <c r="AG10" s="161"/>
      <c r="AH10" s="161"/>
      <c r="AI10" s="161"/>
      <c r="AJ10" s="122"/>
    </row>
    <row r="11" spans="1:36">
      <c r="A11" s="42">
        <v>3</v>
      </c>
      <c r="B11" s="42">
        <v>1774</v>
      </c>
      <c r="C11" s="42" t="s">
        <v>380</v>
      </c>
      <c r="D11" s="42" t="s">
        <v>298</v>
      </c>
      <c r="E11" s="42" t="s">
        <v>298</v>
      </c>
      <c r="F11" s="42" t="s">
        <v>298</v>
      </c>
      <c r="G11" s="42" t="s">
        <v>298</v>
      </c>
      <c r="H11" s="42" t="s">
        <v>298</v>
      </c>
      <c r="I11" s="42" t="s">
        <v>298</v>
      </c>
      <c r="J11" s="45" t="s">
        <v>298</v>
      </c>
      <c r="K11" s="45" t="s">
        <v>298</v>
      </c>
      <c r="L11" s="44">
        <v>2471</v>
      </c>
      <c r="M11" s="44">
        <v>1306</v>
      </c>
      <c r="N11" s="44">
        <v>1165</v>
      </c>
      <c r="O11" s="45">
        <v>746</v>
      </c>
      <c r="P11" s="45">
        <v>391</v>
      </c>
      <c r="Q11" s="45">
        <v>355</v>
      </c>
      <c r="S11" s="1" t="s">
        <v>692</v>
      </c>
      <c r="U11" s="221">
        <f>U9/(U9+U10)</f>
        <v>0.50394831299353915</v>
      </c>
      <c r="W11" s="4" t="s">
        <v>493</v>
      </c>
      <c r="X11" s="220">
        <f>Y11+Z11</f>
        <v>190478</v>
      </c>
      <c r="Y11" s="220">
        <v>96182</v>
      </c>
      <c r="Z11" s="220">
        <v>94296</v>
      </c>
      <c r="AA11" s="234"/>
      <c r="AB11" s="4" t="s">
        <v>493</v>
      </c>
      <c r="AC11" s="106"/>
      <c r="AD11" s="106"/>
      <c r="AE11" s="106"/>
      <c r="AF11" s="181"/>
      <c r="AG11" s="161">
        <f t="shared" si="3"/>
        <v>57678.291224079119</v>
      </c>
      <c r="AH11" s="220">
        <f>AH12+AH13</f>
        <v>52041.273994817551</v>
      </c>
      <c r="AI11" s="220">
        <f>AI12+AI13</f>
        <v>5637.0172292615644</v>
      </c>
      <c r="AJ11" s="6" t="s">
        <v>493</v>
      </c>
    </row>
    <row r="12" spans="1:36">
      <c r="A12" s="42">
        <v>4</v>
      </c>
      <c r="B12" s="42">
        <v>1774</v>
      </c>
      <c r="C12" s="42" t="s">
        <v>381</v>
      </c>
      <c r="D12" s="42" t="s">
        <v>298</v>
      </c>
      <c r="E12" s="42" t="s">
        <v>298</v>
      </c>
      <c r="F12" s="42" t="s">
        <v>298</v>
      </c>
      <c r="G12" s="42" t="s">
        <v>298</v>
      </c>
      <c r="H12" s="42" t="s">
        <v>298</v>
      </c>
      <c r="I12" s="42" t="s">
        <v>298</v>
      </c>
      <c r="J12" s="45" t="s">
        <v>298</v>
      </c>
      <c r="K12" s="45" t="s">
        <v>298</v>
      </c>
      <c r="L12" s="44">
        <v>2630</v>
      </c>
      <c r="M12" s="44">
        <v>1577</v>
      </c>
      <c r="N12" s="44">
        <v>1053</v>
      </c>
      <c r="O12" s="45">
        <v>617</v>
      </c>
      <c r="P12" s="45">
        <v>244</v>
      </c>
      <c r="Q12" s="45">
        <v>373</v>
      </c>
      <c r="S12" s="1" t="s">
        <v>137</v>
      </c>
      <c r="V12" s="234"/>
      <c r="W12" s="4" t="s">
        <v>494</v>
      </c>
      <c r="X12" s="220">
        <f t="shared" ref="X12:X13" si="4">Y12+Z12</f>
        <v>78958.64</v>
      </c>
      <c r="Y12" s="220">
        <v>40336.979999999996</v>
      </c>
      <c r="Z12" s="220">
        <v>38621.660000000003</v>
      </c>
      <c r="AB12" s="4" t="s">
        <v>494</v>
      </c>
      <c r="AC12" s="157"/>
      <c r="AD12" s="160">
        <f>0.3384*0.12413708529555</f>
        <v>4.2007989664014117E-2</v>
      </c>
      <c r="AE12" s="160">
        <f>0.3377*0.07790257352768</f>
        <v>2.6307699080297536E-2</v>
      </c>
      <c r="AF12" s="160"/>
      <c r="AG12" s="161">
        <f t="shared" si="3"/>
        <v>2710.5224481791083</v>
      </c>
      <c r="AH12" s="161">
        <f>AD12*Y12</f>
        <v>1694.4754389175439</v>
      </c>
      <c r="AI12" s="161">
        <f>AE12*Z12</f>
        <v>1016.0470092615642</v>
      </c>
      <c r="AJ12" s="6" t="s">
        <v>494</v>
      </c>
    </row>
    <row r="13" spans="1:36">
      <c r="A13" s="42">
        <v>5</v>
      </c>
      <c r="B13" s="42">
        <v>1774</v>
      </c>
      <c r="C13" s="42" t="s">
        <v>388</v>
      </c>
      <c r="D13" s="42" t="s">
        <v>298</v>
      </c>
      <c r="E13" s="46">
        <v>61164</v>
      </c>
      <c r="F13" s="46">
        <v>31114</v>
      </c>
      <c r="G13" s="42">
        <v>0</v>
      </c>
      <c r="H13" s="46">
        <v>31114</v>
      </c>
      <c r="I13" s="46">
        <v>30050</v>
      </c>
      <c r="J13" s="45">
        <v>0</v>
      </c>
      <c r="K13" s="44">
        <v>30050</v>
      </c>
      <c r="L13" s="45" t="s">
        <v>298</v>
      </c>
      <c r="M13" s="45" t="s">
        <v>298</v>
      </c>
      <c r="N13" s="45" t="s">
        <v>298</v>
      </c>
      <c r="O13" s="45" t="s">
        <v>298</v>
      </c>
      <c r="P13" s="45" t="s">
        <v>298</v>
      </c>
      <c r="Q13" s="45" t="s">
        <v>298</v>
      </c>
      <c r="S13" s="1" t="s">
        <v>576</v>
      </c>
      <c r="W13" s="4" t="s">
        <v>31</v>
      </c>
      <c r="X13" s="220">
        <f t="shared" si="4"/>
        <v>111519.36</v>
      </c>
      <c r="Y13" s="220">
        <v>55845.020000000004</v>
      </c>
      <c r="Z13" s="220">
        <v>55674.34</v>
      </c>
      <c r="AB13" s="4" t="s">
        <v>487</v>
      </c>
      <c r="AC13" s="106"/>
      <c r="AD13" s="106">
        <v>0.90154500000000004</v>
      </c>
      <c r="AE13" s="106">
        <v>8.3000000000000004E-2</v>
      </c>
      <c r="AF13" s="181"/>
      <c r="AG13" s="161">
        <f t="shared" si="3"/>
        <v>54967.768775900011</v>
      </c>
      <c r="AH13" s="161">
        <f>AD13*Y13</f>
        <v>50346.798555900008</v>
      </c>
      <c r="AI13" s="161">
        <f>AE13*Z13</f>
        <v>4620.9702200000002</v>
      </c>
      <c r="AJ13" s="6" t="s">
        <v>487</v>
      </c>
    </row>
    <row r="14" spans="1:36">
      <c r="A14" s="42">
        <v>6</v>
      </c>
      <c r="B14" s="42">
        <v>1774</v>
      </c>
      <c r="C14" s="42" t="s">
        <v>389</v>
      </c>
      <c r="D14" s="42" t="s">
        <v>298</v>
      </c>
      <c r="E14" s="46">
        <v>46828</v>
      </c>
      <c r="F14" s="46">
        <v>24271</v>
      </c>
      <c r="G14" s="42">
        <v>222</v>
      </c>
      <c r="H14" s="46">
        <v>24049</v>
      </c>
      <c r="I14" s="46">
        <v>22557</v>
      </c>
      <c r="J14" s="45">
        <v>697</v>
      </c>
      <c r="K14" s="44">
        <v>21860</v>
      </c>
      <c r="L14" s="45" t="s">
        <v>298</v>
      </c>
      <c r="M14" s="45" t="s">
        <v>298</v>
      </c>
      <c r="N14" s="45" t="s">
        <v>298</v>
      </c>
      <c r="O14" s="45" t="s">
        <v>298</v>
      </c>
      <c r="P14" s="45" t="s">
        <v>298</v>
      </c>
      <c r="Q14" s="45" t="s">
        <v>298</v>
      </c>
      <c r="S14" s="1" t="s">
        <v>254</v>
      </c>
      <c r="W14" s="27"/>
      <c r="X14" s="220"/>
      <c r="Y14" s="220"/>
      <c r="Z14" s="220"/>
      <c r="AB14" s="27"/>
      <c r="AC14" s="106"/>
      <c r="AD14" s="106"/>
      <c r="AE14" s="106"/>
      <c r="AF14" s="181"/>
      <c r="AG14" s="161"/>
      <c r="AH14" s="161"/>
      <c r="AI14" s="161"/>
      <c r="AJ14" s="122"/>
    </row>
    <row r="15" spans="1:36">
      <c r="A15" s="42">
        <v>7</v>
      </c>
      <c r="B15" s="42">
        <v>1774</v>
      </c>
      <c r="C15" s="42" t="s">
        <v>383</v>
      </c>
      <c r="D15" s="42" t="s">
        <v>298</v>
      </c>
      <c r="E15" s="46">
        <v>78310</v>
      </c>
      <c r="F15" s="46">
        <v>38807</v>
      </c>
      <c r="G15" s="46">
        <v>28866</v>
      </c>
      <c r="H15" s="46">
        <v>9941</v>
      </c>
      <c r="I15" s="46">
        <v>39503</v>
      </c>
      <c r="J15" s="44">
        <v>29017</v>
      </c>
      <c r="K15" s="44">
        <v>10486</v>
      </c>
      <c r="L15" s="45" t="s">
        <v>298</v>
      </c>
      <c r="M15" s="45" t="s">
        <v>298</v>
      </c>
      <c r="N15" s="45" t="s">
        <v>298</v>
      </c>
      <c r="O15" s="45" t="s">
        <v>298</v>
      </c>
      <c r="P15" s="45" t="s">
        <v>298</v>
      </c>
      <c r="Q15" s="45" t="s">
        <v>298</v>
      </c>
      <c r="W15" s="4" t="s">
        <v>627</v>
      </c>
      <c r="X15" s="220">
        <v>5101</v>
      </c>
      <c r="Y15" s="220">
        <v>2883</v>
      </c>
      <c r="Z15" s="220">
        <v>2218</v>
      </c>
      <c r="AB15" s="4" t="s">
        <v>627</v>
      </c>
      <c r="AC15" s="106"/>
      <c r="AD15" s="106"/>
      <c r="AE15" s="106"/>
      <c r="AF15" s="181"/>
      <c r="AG15" s="161">
        <f t="shared" si="3"/>
        <v>3126.5347884466846</v>
      </c>
      <c r="AH15" s="220">
        <f>AH16+AH17</f>
        <v>1824.8396763443927</v>
      </c>
      <c r="AI15" s="220">
        <f>AI16+AI17</f>
        <v>1301.6951121022917</v>
      </c>
      <c r="AJ15" s="6" t="s">
        <v>627</v>
      </c>
    </row>
    <row r="16" spans="1:36">
      <c r="A16" s="42">
        <v>8</v>
      </c>
      <c r="B16" s="42">
        <v>1774</v>
      </c>
      <c r="C16" s="42" t="s">
        <v>497</v>
      </c>
      <c r="D16" s="42" t="s">
        <v>298</v>
      </c>
      <c r="E16" s="46">
        <v>4176</v>
      </c>
      <c r="F16" s="46">
        <v>1990</v>
      </c>
      <c r="G16" s="46">
        <v>1436</v>
      </c>
      <c r="H16" s="42">
        <v>554</v>
      </c>
      <c r="I16" s="46">
        <v>2186</v>
      </c>
      <c r="J16" s="45">
        <v>922</v>
      </c>
      <c r="K16" s="44">
        <v>1264</v>
      </c>
      <c r="L16" s="45" t="s">
        <v>298</v>
      </c>
      <c r="M16" s="45" t="s">
        <v>298</v>
      </c>
      <c r="N16" s="45" t="s">
        <v>298</v>
      </c>
      <c r="O16" s="45" t="s">
        <v>298</v>
      </c>
      <c r="P16" s="45" t="s">
        <v>298</v>
      </c>
      <c r="Q16" s="45" t="s">
        <v>298</v>
      </c>
      <c r="W16" s="4" t="s">
        <v>628</v>
      </c>
      <c r="X16" s="220">
        <v>2001.5100000000002</v>
      </c>
      <c r="Y16" s="220">
        <v>1057.8600000000001</v>
      </c>
      <c r="Z16" s="220">
        <v>943.65000000000009</v>
      </c>
      <c r="AB16" s="4" t="s">
        <v>628</v>
      </c>
      <c r="AC16" s="106"/>
      <c r="AG16" s="161">
        <f t="shared" si="3"/>
        <v>336.9937884466845</v>
      </c>
      <c r="AH16" s="161">
        <f>AH20+AH24</f>
        <v>182.21367634439292</v>
      </c>
      <c r="AI16" s="161">
        <f>AI20+AI24</f>
        <v>154.78011210229158</v>
      </c>
      <c r="AJ16" s="6" t="s">
        <v>628</v>
      </c>
    </row>
    <row r="17" spans="1:40">
      <c r="A17" s="1">
        <v>9</v>
      </c>
      <c r="B17" s="1">
        <v>1782</v>
      </c>
      <c r="D17" s="2">
        <v>209177</v>
      </c>
      <c r="E17" s="2">
        <v>202904</v>
      </c>
      <c r="F17" s="1" t="s">
        <v>298</v>
      </c>
      <c r="G17" s="1" t="s">
        <v>298</v>
      </c>
      <c r="H17" s="1" t="s">
        <v>298</v>
      </c>
      <c r="I17" s="1" t="s">
        <v>298</v>
      </c>
      <c r="J17" s="4" t="s">
        <v>298</v>
      </c>
      <c r="K17" s="4" t="s">
        <v>298</v>
      </c>
      <c r="L17" s="5">
        <v>6273</v>
      </c>
      <c r="M17" s="4" t="s">
        <v>298</v>
      </c>
      <c r="N17" s="4" t="s">
        <v>298</v>
      </c>
      <c r="O17" s="4" t="s">
        <v>298</v>
      </c>
      <c r="P17" s="4" t="s">
        <v>298</v>
      </c>
      <c r="Q17" s="4" t="s">
        <v>298</v>
      </c>
      <c r="W17" s="4" t="s">
        <v>30</v>
      </c>
      <c r="X17" s="220">
        <v>3099.49</v>
      </c>
      <c r="Y17" s="220">
        <v>1825.1399999999999</v>
      </c>
      <c r="Z17" s="220">
        <v>1274.3499999999999</v>
      </c>
      <c r="AB17" s="4" t="s">
        <v>179</v>
      </c>
      <c r="AC17" s="106"/>
      <c r="AG17" s="161">
        <f t="shared" si="3"/>
        <v>2789.5409999999997</v>
      </c>
      <c r="AH17" s="161">
        <f>AH21+AH25</f>
        <v>1642.6259999999997</v>
      </c>
      <c r="AI17" s="161">
        <f>AI21+AI25</f>
        <v>1146.915</v>
      </c>
      <c r="AJ17" s="6" t="s">
        <v>179</v>
      </c>
    </row>
    <row r="18" spans="1:40">
      <c r="X18" s="220"/>
      <c r="Y18" s="220"/>
      <c r="Z18" s="220"/>
      <c r="AB18" s="81"/>
      <c r="AD18" s="181" t="s">
        <v>518</v>
      </c>
      <c r="AG18" s="161"/>
      <c r="AJ18" s="81"/>
    </row>
    <row r="19" spans="1:40">
      <c r="A19" s="1" t="s">
        <v>507</v>
      </c>
      <c r="W19" s="4" t="s">
        <v>194</v>
      </c>
      <c r="X19" s="220">
        <f>X15*0.503948</f>
        <v>2570.6387479999999</v>
      </c>
      <c r="Y19" s="220">
        <f t="shared" ref="Y19:Z19" si="5">Y15*0.503948</f>
        <v>1452.8820839999998</v>
      </c>
      <c r="Z19" s="220">
        <f t="shared" si="5"/>
        <v>1117.756664</v>
      </c>
      <c r="AA19" s="220"/>
      <c r="AB19" s="4" t="s">
        <v>194</v>
      </c>
      <c r="AD19" s="181" t="s">
        <v>517</v>
      </c>
      <c r="AG19" s="161">
        <f t="shared" si="3"/>
        <v>1440.688977569007</v>
      </c>
      <c r="AH19" s="220">
        <f>AH20+AH21</f>
        <v>850.19281690302955</v>
      </c>
      <c r="AI19" s="220">
        <f>AI20+AI21</f>
        <v>590.49616066597753</v>
      </c>
      <c r="AJ19" s="6" t="s">
        <v>194</v>
      </c>
      <c r="AK19" s="222"/>
      <c r="AL19" s="222"/>
      <c r="AM19" s="222"/>
      <c r="AN19" s="222"/>
    </row>
    <row r="20" spans="1:40">
      <c r="B20" s="100">
        <v>1774</v>
      </c>
      <c r="D20" s="4" t="s">
        <v>416</v>
      </c>
      <c r="E20" s="155">
        <v>191378</v>
      </c>
      <c r="F20" s="155">
        <v>96182</v>
      </c>
      <c r="G20" s="155">
        <v>30524</v>
      </c>
      <c r="H20" s="155">
        <v>65658</v>
      </c>
      <c r="I20" s="155">
        <v>94296</v>
      </c>
      <c r="J20" s="155">
        <v>30636</v>
      </c>
      <c r="K20" s="155">
        <v>63660</v>
      </c>
      <c r="L20" s="155">
        <v>5101</v>
      </c>
      <c r="M20" s="155">
        <v>2883</v>
      </c>
      <c r="N20" s="155">
        <v>2218</v>
      </c>
      <c r="O20" s="155">
        <v>1363</v>
      </c>
      <c r="P20" s="155">
        <v>635</v>
      </c>
      <c r="Q20" s="155">
        <v>728</v>
      </c>
      <c r="R20" s="155"/>
      <c r="S20" s="220"/>
      <c r="T20" s="220"/>
      <c r="U20" s="220"/>
      <c r="W20" s="4" t="s">
        <v>195</v>
      </c>
      <c r="X20" s="220">
        <f t="shared" ref="X20:Z20" si="6">X16*0.503948</f>
        <v>1008.6569614800001</v>
      </c>
      <c r="Y20" s="220">
        <f t="shared" si="6"/>
        <v>533.10643128000004</v>
      </c>
      <c r="Z20" s="220">
        <f t="shared" si="6"/>
        <v>475.55053020000003</v>
      </c>
      <c r="AA20" s="220"/>
      <c r="AB20" s="4" t="s">
        <v>195</v>
      </c>
      <c r="AD20" s="160">
        <f>0.3384*0.12413708529555</f>
        <v>4.2007989664014117E-2</v>
      </c>
      <c r="AE20" s="160">
        <f>0.3377*0.07790257352768</f>
        <v>2.6307699080297536E-2</v>
      </c>
      <c r="AF20" s="160"/>
      <c r="AG20" s="161">
        <f t="shared" si="3"/>
        <v>34.905369701007238</v>
      </c>
      <c r="AH20" s="161">
        <f>AD20*Y20</f>
        <v>22.394729455029694</v>
      </c>
      <c r="AI20" s="161">
        <f>AE20*Z20</f>
        <v>12.510640245977546</v>
      </c>
      <c r="AJ20" s="6" t="s">
        <v>195</v>
      </c>
      <c r="AK20" s="222"/>
      <c r="AL20" s="222"/>
      <c r="AM20" s="222"/>
      <c r="AN20" s="222"/>
    </row>
    <row r="21" spans="1:40">
      <c r="B21" s="100">
        <v>1774</v>
      </c>
      <c r="D21" s="4" t="s">
        <v>417</v>
      </c>
      <c r="E21" s="155"/>
      <c r="F21" s="155">
        <f>F13+(0.38*F14)</f>
        <v>40336.979999999996</v>
      </c>
      <c r="G21" s="155"/>
      <c r="H21" s="155"/>
      <c r="I21" s="155">
        <f>I13+(0.38*I14)</f>
        <v>38621.660000000003</v>
      </c>
      <c r="J21" s="155"/>
      <c r="K21" s="155"/>
      <c r="L21" s="155">
        <f>M21+N21</f>
        <v>2001.5100000000002</v>
      </c>
      <c r="M21" s="155">
        <f>0.81*M11</f>
        <v>1057.8600000000001</v>
      </c>
      <c r="N21" s="155">
        <f>0.81*N11</f>
        <v>943.65000000000009</v>
      </c>
      <c r="O21" s="155">
        <v>604.26</v>
      </c>
      <c r="P21" s="155">
        <v>316.71000000000004</v>
      </c>
      <c r="Q21" s="155">
        <v>287.55</v>
      </c>
      <c r="R21" s="155"/>
      <c r="S21" s="220"/>
      <c r="T21" s="220"/>
      <c r="U21" s="220"/>
      <c r="V21" s="220"/>
      <c r="W21" s="4" t="s">
        <v>97</v>
      </c>
      <c r="X21" s="220">
        <f t="shared" ref="X21:Z21" si="7">X17*0.503948</f>
        <v>1561.9817865199998</v>
      </c>
      <c r="Y21" s="220">
        <f t="shared" si="7"/>
        <v>919.77565271999981</v>
      </c>
      <c r="Z21" s="220">
        <f t="shared" si="7"/>
        <v>642.20613379999986</v>
      </c>
      <c r="AA21" s="220"/>
      <c r="AB21" s="4" t="s">
        <v>97</v>
      </c>
      <c r="AD21" s="181">
        <v>0.9</v>
      </c>
      <c r="AE21" s="181">
        <v>0.9</v>
      </c>
      <c r="AF21" s="181"/>
      <c r="AG21" s="161">
        <f t="shared" si="3"/>
        <v>1405.7836078679998</v>
      </c>
      <c r="AH21" s="161">
        <f>AD21*Y21</f>
        <v>827.79808744799982</v>
      </c>
      <c r="AI21" s="161">
        <f>AE21*Z21</f>
        <v>577.98552041999994</v>
      </c>
      <c r="AJ21" s="6" t="s">
        <v>97</v>
      </c>
      <c r="AK21" s="222"/>
      <c r="AL21" s="222"/>
      <c r="AM21" s="222"/>
      <c r="AN21" s="222"/>
    </row>
    <row r="22" spans="1:40">
      <c r="B22" s="100">
        <v>1774</v>
      </c>
      <c r="D22" s="4" t="s">
        <v>521</v>
      </c>
      <c r="E22" s="155"/>
      <c r="F22" s="155">
        <f>F20-F21</f>
        <v>55845.020000000004</v>
      </c>
      <c r="G22" s="155"/>
      <c r="H22" s="155"/>
      <c r="I22" s="155">
        <f>I20-I21</f>
        <v>55674.34</v>
      </c>
      <c r="J22" s="155"/>
      <c r="K22" s="155"/>
      <c r="L22" s="155">
        <f>M22+N22</f>
        <v>3099.49</v>
      </c>
      <c r="M22" s="155">
        <f>M20-M21</f>
        <v>1825.1399999999999</v>
      </c>
      <c r="N22" s="155">
        <f>N20-N21</f>
        <v>1274.3499999999999</v>
      </c>
      <c r="O22" s="155">
        <v>758.74</v>
      </c>
      <c r="P22" s="155">
        <v>318.28999999999996</v>
      </c>
      <c r="Q22" s="155">
        <v>440.45</v>
      </c>
      <c r="R22" s="155"/>
      <c r="S22" s="220"/>
      <c r="T22" s="220"/>
      <c r="U22" s="220"/>
      <c r="V22" s="220"/>
      <c r="W22" s="4"/>
      <c r="X22" s="220"/>
      <c r="Y22" s="220"/>
      <c r="Z22" s="220"/>
      <c r="AB22" s="4"/>
      <c r="AG22" s="161"/>
      <c r="AH22" s="222"/>
      <c r="AI22" s="222"/>
      <c r="AJ22" s="6"/>
      <c r="AK22" s="222"/>
      <c r="AL22" s="222"/>
      <c r="AM22" s="222"/>
      <c r="AN22" s="222"/>
    </row>
    <row r="23" spans="1:40">
      <c r="V23" s="220"/>
      <c r="W23" s="4" t="s">
        <v>88</v>
      </c>
      <c r="X23" s="220">
        <f>X15-X19</f>
        <v>2530.3612520000001</v>
      </c>
      <c r="Y23" s="220">
        <f t="shared" ref="Y23:Z23" si="8">Y15-Y19</f>
        <v>1430.1179160000002</v>
      </c>
      <c r="Z23" s="220">
        <f t="shared" si="8"/>
        <v>1100.243336</v>
      </c>
      <c r="AB23" s="4" t="s">
        <v>575</v>
      </c>
      <c r="AG23" s="161">
        <f t="shared" si="3"/>
        <v>1685.8458108776772</v>
      </c>
      <c r="AH23" s="220">
        <f>AH24+AH25</f>
        <v>974.64685944136329</v>
      </c>
      <c r="AI23" s="220">
        <f>AI24+AI25</f>
        <v>711.19895143631402</v>
      </c>
      <c r="AJ23" s="6" t="s">
        <v>575</v>
      </c>
      <c r="AK23" s="222"/>
      <c r="AL23" s="222"/>
      <c r="AM23" s="222"/>
      <c r="AN23" s="222"/>
    </row>
    <row r="24" spans="1:40">
      <c r="A24" s="1" t="s">
        <v>419</v>
      </c>
      <c r="W24" s="4" t="s">
        <v>99</v>
      </c>
      <c r="X24" s="220">
        <f t="shared" ref="X24:Z24" si="9">X16-X20</f>
        <v>992.85303852000015</v>
      </c>
      <c r="Y24" s="220">
        <f t="shared" si="9"/>
        <v>524.75356872000009</v>
      </c>
      <c r="Z24" s="220">
        <f t="shared" si="9"/>
        <v>468.09946980000007</v>
      </c>
      <c r="AB24" s="4" t="s">
        <v>99</v>
      </c>
      <c r="AD24" s="160">
        <f>0.3384*0.9</f>
        <v>0.30456</v>
      </c>
      <c r="AE24" s="160">
        <f>0.3377*0.9</f>
        <v>0.30393000000000003</v>
      </c>
      <c r="AF24" s="160"/>
      <c r="AG24" s="161">
        <f t="shared" si="3"/>
        <v>302.08841874567725</v>
      </c>
      <c r="AH24" s="161">
        <f>AD24*Y24</f>
        <v>159.81894688936322</v>
      </c>
      <c r="AI24" s="161">
        <f>AE24*Z24</f>
        <v>142.26947185631403</v>
      </c>
      <c r="AJ24" s="6" t="s">
        <v>99</v>
      </c>
      <c r="AK24" s="222"/>
      <c r="AL24" s="222"/>
      <c r="AM24" s="222"/>
      <c r="AN24" s="222"/>
    </row>
    <row r="25" spans="1:40">
      <c r="C25" s="1" t="s">
        <v>522</v>
      </c>
      <c r="W25" s="4" t="s">
        <v>112</v>
      </c>
      <c r="X25" s="220">
        <f t="shared" ref="X25:Z25" si="10">X17-X21</f>
        <v>1537.50821348</v>
      </c>
      <c r="Y25" s="220">
        <f t="shared" si="10"/>
        <v>905.36434728000006</v>
      </c>
      <c r="Z25" s="220">
        <f t="shared" si="10"/>
        <v>632.14386620000005</v>
      </c>
      <c r="AB25" s="4" t="s">
        <v>112</v>
      </c>
      <c r="AD25" s="181">
        <v>0.9</v>
      </c>
      <c r="AE25" s="181">
        <v>0.9</v>
      </c>
      <c r="AF25" s="181"/>
      <c r="AG25" s="161">
        <f t="shared" si="3"/>
        <v>1383.7573921319999</v>
      </c>
      <c r="AH25" s="161">
        <f>AD25*Y25</f>
        <v>814.82791255200004</v>
      </c>
      <c r="AI25" s="161">
        <f>AE25*Z25</f>
        <v>568.92947958000002</v>
      </c>
      <c r="AJ25" s="6" t="s">
        <v>112</v>
      </c>
      <c r="AK25" s="222"/>
      <c r="AL25" s="222"/>
      <c r="AM25" s="222"/>
      <c r="AN25" s="222"/>
    </row>
    <row r="26" spans="1:40">
      <c r="X26" s="220"/>
      <c r="Y26" s="220"/>
      <c r="Z26" s="220"/>
      <c r="AB26" s="81"/>
      <c r="AG26" s="222"/>
      <c r="AH26" s="222"/>
      <c r="AI26" s="222"/>
      <c r="AJ26" s="81"/>
      <c r="AK26" s="222"/>
      <c r="AL26" s="222"/>
      <c r="AM26" s="222"/>
    </row>
    <row r="27" spans="1:40">
      <c r="A27" s="59" t="s">
        <v>649</v>
      </c>
      <c r="C27" s="81"/>
      <c r="D27" s="81"/>
      <c r="E27" s="81"/>
      <c r="F27" s="81"/>
      <c r="G27" s="81" t="s">
        <v>162</v>
      </c>
      <c r="H27" s="81"/>
      <c r="I27" s="81"/>
      <c r="J27" s="81"/>
      <c r="K27" s="81"/>
      <c r="X27" s="220"/>
      <c r="Y27" s="220"/>
      <c r="Z27" s="220"/>
      <c r="AB27" s="81"/>
      <c r="AC27" s="81"/>
      <c r="AD27" s="81"/>
      <c r="AE27" s="81"/>
      <c r="AF27" s="81"/>
      <c r="AG27" s="1" t="s">
        <v>109</v>
      </c>
      <c r="AH27" s="1" t="s">
        <v>131</v>
      </c>
      <c r="AJ27" s="81"/>
    </row>
    <row r="28" spans="1:40">
      <c r="A28" s="1" t="s">
        <v>245</v>
      </c>
      <c r="C28" s="81"/>
      <c r="D28" s="81"/>
      <c r="E28" s="81"/>
      <c r="F28" s="81"/>
      <c r="G28" s="81" t="s">
        <v>132</v>
      </c>
      <c r="H28" s="81"/>
      <c r="I28" s="81"/>
      <c r="J28" s="81"/>
      <c r="K28" s="81"/>
      <c r="AH28" s="1" t="s">
        <v>130</v>
      </c>
      <c r="AJ28" s="81"/>
    </row>
    <row r="29" spans="1:40">
      <c r="A29" s="1" t="s">
        <v>639</v>
      </c>
      <c r="C29" s="81"/>
      <c r="D29" s="81"/>
      <c r="E29" s="81"/>
      <c r="F29" s="81"/>
      <c r="G29" s="81" t="s">
        <v>133</v>
      </c>
      <c r="H29" s="81"/>
      <c r="I29" s="81"/>
      <c r="J29" s="81"/>
      <c r="K29" s="81"/>
      <c r="AH29" s="155" t="s">
        <v>42</v>
      </c>
      <c r="AJ29" s="81"/>
    </row>
    <row r="30" spans="1:40">
      <c r="A30" s="1" t="s">
        <v>484</v>
      </c>
      <c r="C30" s="81"/>
      <c r="D30" s="81"/>
      <c r="E30" s="81"/>
      <c r="F30" s="81"/>
      <c r="G30" s="1" t="s">
        <v>135</v>
      </c>
      <c r="H30" s="81"/>
      <c r="I30" s="81"/>
      <c r="J30" s="81"/>
      <c r="K30" s="81"/>
      <c r="AH30" s="140"/>
      <c r="AJ30" s="81"/>
    </row>
    <row r="31" spans="1:40">
      <c r="A31" s="222" t="s">
        <v>34</v>
      </c>
      <c r="C31" s="81"/>
      <c r="D31" s="81"/>
      <c r="E31" s="81"/>
      <c r="F31" s="81"/>
      <c r="G31" s="1" t="s">
        <v>307</v>
      </c>
      <c r="H31" s="81"/>
      <c r="I31" s="81"/>
      <c r="J31" s="81"/>
      <c r="K31" s="81"/>
      <c r="AG31" s="1" t="s">
        <v>134</v>
      </c>
      <c r="AJ31" s="81"/>
    </row>
    <row r="32" spans="1:40">
      <c r="C32" s="81"/>
      <c r="D32" s="81"/>
      <c r="E32" s="81"/>
      <c r="F32" s="81"/>
      <c r="G32" s="81"/>
      <c r="H32" s="81"/>
      <c r="I32" s="81"/>
      <c r="J32" s="81"/>
      <c r="K32" s="81"/>
      <c r="AG32" s="164">
        <f>AG7/46221</f>
        <v>1.3155238097948074</v>
      </c>
      <c r="AH32" s="1" t="s">
        <v>338</v>
      </c>
      <c r="AJ32" s="81"/>
      <c r="AK32" s="222"/>
      <c r="AL32" s="222"/>
      <c r="AM32" s="222"/>
    </row>
    <row r="33" spans="1:39">
      <c r="A33" s="1" t="s">
        <v>130</v>
      </c>
      <c r="C33" s="81"/>
      <c r="D33" s="81"/>
      <c r="E33" s="81"/>
      <c r="F33" s="81"/>
      <c r="G33" s="81"/>
      <c r="H33" s="81"/>
      <c r="I33" s="4" t="s">
        <v>474</v>
      </c>
      <c r="J33" s="4" t="s">
        <v>739</v>
      </c>
      <c r="K33" s="4" t="s">
        <v>740</v>
      </c>
      <c r="AG33" s="164">
        <f>AG11/45793</f>
        <v>1.2595438434712536</v>
      </c>
      <c r="AH33" s="1" t="s">
        <v>232</v>
      </c>
      <c r="AJ33" s="81"/>
      <c r="AK33" s="222"/>
      <c r="AL33" s="222"/>
      <c r="AM33" s="222"/>
    </row>
    <row r="34" spans="1:39">
      <c r="A34" s="220" t="s">
        <v>33</v>
      </c>
      <c r="C34" s="81"/>
      <c r="D34" s="81"/>
      <c r="E34" s="81"/>
      <c r="F34" s="81"/>
      <c r="G34" s="81"/>
      <c r="H34" s="4" t="s">
        <v>535</v>
      </c>
      <c r="I34" s="159">
        <f>J34+K34</f>
        <v>27369.219042999997</v>
      </c>
      <c r="J34" s="159">
        <f>J35+J36</f>
        <v>14008.013855999998</v>
      </c>
      <c r="K34" s="159">
        <f>K35+K36</f>
        <v>13361.205187000001</v>
      </c>
      <c r="L34" s="139"/>
      <c r="AG34" s="165">
        <f>AG19/428</f>
        <v>3.3660957419836612</v>
      </c>
      <c r="AH34" s="81" t="s">
        <v>35</v>
      </c>
      <c r="AI34" s="81"/>
      <c r="AJ34" s="81"/>
      <c r="AK34" s="222"/>
      <c r="AL34" s="222"/>
      <c r="AM34" s="222"/>
    </row>
    <row r="35" spans="1:39">
      <c r="A35" s="140"/>
      <c r="C35" s="81"/>
      <c r="D35" s="81"/>
      <c r="E35" s="81"/>
      <c r="F35" s="81"/>
      <c r="G35" s="81"/>
      <c r="H35" s="4" t="s">
        <v>536</v>
      </c>
      <c r="I35" s="159">
        <f t="shared" ref="I35:I36" si="11">J35+K35</f>
        <v>26692.568614</v>
      </c>
      <c r="J35" s="159">
        <f>0.3384*F21</f>
        <v>13650.034031999998</v>
      </c>
      <c r="K35" s="159">
        <f>0.3377*I21</f>
        <v>13042.534582000002</v>
      </c>
      <c r="L35" s="139"/>
      <c r="AK35" s="222"/>
      <c r="AL35" s="222"/>
      <c r="AM35" s="222"/>
    </row>
    <row r="36" spans="1:39">
      <c r="A36" s="220" t="s">
        <v>32</v>
      </c>
      <c r="G36" s="81"/>
      <c r="H36" s="4" t="s">
        <v>537</v>
      </c>
      <c r="I36" s="159">
        <f t="shared" si="11"/>
        <v>676.65042900000003</v>
      </c>
      <c r="J36" s="159">
        <f>0.3384*M21</f>
        <v>357.97982400000001</v>
      </c>
      <c r="K36" s="159">
        <f>0.3377*N21</f>
        <v>318.67060500000002</v>
      </c>
      <c r="L36" s="139"/>
      <c r="AK36" s="222"/>
      <c r="AL36" s="222"/>
      <c r="AM36" s="222"/>
    </row>
    <row r="37" spans="1:39">
      <c r="A37" s="1" t="s">
        <v>511</v>
      </c>
      <c r="I37" s="139"/>
      <c r="J37" s="139"/>
      <c r="K37" s="139"/>
      <c r="L37" s="139"/>
      <c r="AK37" s="222"/>
      <c r="AL37" s="222"/>
      <c r="AM37" s="222"/>
    </row>
    <row r="38" spans="1:39">
      <c r="I38" s="139"/>
      <c r="J38" s="139"/>
      <c r="K38" s="139"/>
      <c r="L38" s="139"/>
      <c r="AK38" s="222"/>
      <c r="AL38" s="222"/>
      <c r="AM38" s="222"/>
    </row>
    <row r="39" spans="1:39">
      <c r="AK39" s="222"/>
      <c r="AL39" s="222"/>
      <c r="AM39" s="222"/>
    </row>
    <row r="40" spans="1:39">
      <c r="AK40" s="222"/>
      <c r="AL40" s="222"/>
      <c r="AM40" s="222"/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C45"/>
  <sheetViews>
    <sheetView topLeftCell="F1" workbookViewId="0">
      <selection activeCell="Q13" sqref="Q13:S16"/>
    </sheetView>
  </sheetViews>
  <sheetFormatPr baseColWidth="10" defaultRowHeight="15"/>
  <cols>
    <col min="1" max="7" width="10.7109375" style="1"/>
    <col min="8" max="8" width="5.7109375" style="1" customWidth="1"/>
    <col min="9" max="15" width="10.7109375" style="1"/>
    <col min="16" max="16" width="14.28515625" style="1" customWidth="1"/>
    <col min="17" max="17" width="8.85546875" style="1" customWidth="1"/>
    <col min="18" max="18" width="8.5703125" style="1" customWidth="1"/>
    <col min="19" max="19" width="9.140625" style="1" customWidth="1"/>
    <col min="20" max="20" width="5.7109375" style="1" customWidth="1"/>
    <col min="21" max="23" width="8.85546875" style="1" customWidth="1"/>
    <col min="24" max="24" width="3.5703125" style="1" customWidth="1"/>
    <col min="25" max="25" width="11.42578125" style="1" customWidth="1"/>
    <col min="26" max="28" width="8.7109375" style="1" customWidth="1"/>
    <col min="29" max="16384" width="10.7109375" style="1"/>
  </cols>
  <sheetData>
    <row r="1" spans="1:29" ht="17">
      <c r="B1" s="3" t="s">
        <v>545</v>
      </c>
      <c r="Q1" s="16"/>
      <c r="R1" s="16"/>
      <c r="S1" s="16"/>
    </row>
    <row r="2" spans="1:29">
      <c r="B2" s="1" t="s">
        <v>428</v>
      </c>
      <c r="E2" s="1" t="s">
        <v>421</v>
      </c>
      <c r="I2" s="17"/>
      <c r="J2" s="17"/>
      <c r="K2" s="17"/>
      <c r="L2" s="17"/>
      <c r="M2" s="17"/>
      <c r="N2" s="17"/>
      <c r="O2" s="17"/>
      <c r="P2" s="17"/>
      <c r="Q2" s="214" t="s">
        <v>520</v>
      </c>
      <c r="R2" s="16"/>
      <c r="S2" s="16"/>
    </row>
    <row r="3" spans="1:29">
      <c r="B3" s="1" t="s">
        <v>196</v>
      </c>
      <c r="I3" s="17"/>
      <c r="J3" s="17"/>
      <c r="K3" s="17"/>
      <c r="L3" s="17"/>
      <c r="M3" s="17"/>
      <c r="N3" s="17"/>
      <c r="O3" s="17"/>
      <c r="P3" s="17"/>
      <c r="Q3" s="16"/>
      <c r="R3" s="16"/>
      <c r="S3" s="16"/>
    </row>
    <row r="4" spans="1:29">
      <c r="I4" s="17"/>
      <c r="J4" s="17"/>
      <c r="K4" s="17"/>
      <c r="L4" s="17"/>
      <c r="M4" s="17"/>
      <c r="N4" s="17"/>
      <c r="O4" s="17"/>
      <c r="P4" s="17"/>
      <c r="Q4" s="16"/>
      <c r="R4" s="16"/>
      <c r="S4" s="16"/>
    </row>
    <row r="5" spans="1:29">
      <c r="I5" s="17" t="s">
        <v>249</v>
      </c>
      <c r="J5" s="17"/>
      <c r="K5" s="17"/>
      <c r="L5" s="17"/>
      <c r="M5" s="1" t="s">
        <v>549</v>
      </c>
      <c r="P5" s="17"/>
      <c r="Q5" s="16"/>
      <c r="R5" s="16"/>
      <c r="S5" s="16"/>
      <c r="U5" s="1" t="s">
        <v>107</v>
      </c>
    </row>
    <row r="6" spans="1:29">
      <c r="B6" s="7" t="s">
        <v>638</v>
      </c>
      <c r="C6" s="8"/>
      <c r="D6" s="9"/>
      <c r="E6" s="7">
        <v>1786</v>
      </c>
      <c r="F6" s="8"/>
      <c r="G6" s="9"/>
      <c r="H6" s="17"/>
      <c r="I6" s="17" t="s">
        <v>363</v>
      </c>
      <c r="J6" s="17"/>
      <c r="K6" s="17"/>
      <c r="L6" s="17"/>
      <c r="M6" s="1" t="s">
        <v>743</v>
      </c>
      <c r="P6" s="17"/>
      <c r="Q6" s="18" t="s">
        <v>106</v>
      </c>
      <c r="R6" s="19"/>
      <c r="S6" s="20"/>
      <c r="U6" s="1" t="s">
        <v>256</v>
      </c>
      <c r="Z6" s="18" t="s">
        <v>108</v>
      </c>
      <c r="AA6" s="19"/>
      <c r="AB6" s="20"/>
    </row>
    <row r="7" spans="1:29" ht="16" thickBot="1">
      <c r="B7" s="4" t="s">
        <v>538</v>
      </c>
      <c r="C7" s="4" t="s">
        <v>539</v>
      </c>
      <c r="D7" s="4" t="s">
        <v>378</v>
      </c>
      <c r="E7" s="4" t="s">
        <v>538</v>
      </c>
      <c r="F7" s="4" t="s">
        <v>539</v>
      </c>
      <c r="G7" s="4" t="s">
        <v>378</v>
      </c>
      <c r="H7" s="4"/>
      <c r="I7" s="4" t="s">
        <v>538</v>
      </c>
      <c r="J7" s="4" t="s">
        <v>539</v>
      </c>
      <c r="K7" s="4" t="s">
        <v>378</v>
      </c>
      <c r="L7" s="4"/>
      <c r="M7" s="1" t="s">
        <v>619</v>
      </c>
      <c r="P7" s="4"/>
      <c r="Q7" s="71" t="s">
        <v>538</v>
      </c>
      <c r="R7" s="71" t="s">
        <v>539</v>
      </c>
      <c r="S7" s="71" t="s">
        <v>378</v>
      </c>
      <c r="U7" s="71" t="s">
        <v>538</v>
      </c>
      <c r="V7" s="71" t="s">
        <v>539</v>
      </c>
      <c r="W7" s="71" t="s">
        <v>378</v>
      </c>
      <c r="X7" s="71"/>
      <c r="Z7" s="71" t="s">
        <v>538</v>
      </c>
      <c r="AA7" s="71" t="s">
        <v>539</v>
      </c>
      <c r="AB7" s="71" t="s">
        <v>378</v>
      </c>
    </row>
    <row r="8" spans="1:29" ht="16" thickBot="1">
      <c r="A8" s="1" t="s">
        <v>379</v>
      </c>
      <c r="B8" s="1">
        <v>163348</v>
      </c>
      <c r="C8" s="1">
        <v>84613</v>
      </c>
      <c r="D8" s="1">
        <v>78735</v>
      </c>
      <c r="E8" s="1">
        <v>238897</v>
      </c>
      <c r="F8" s="1">
        <v>121986</v>
      </c>
      <c r="G8" s="1">
        <v>116899</v>
      </c>
      <c r="I8" s="66">
        <v>1.0789948577127479</v>
      </c>
      <c r="J8" s="66">
        <v>1.0759066193556497</v>
      </c>
      <c r="K8" s="66">
        <v>1.0822524878898445</v>
      </c>
      <c r="L8" s="66"/>
      <c r="P8" s="4" t="s">
        <v>379</v>
      </c>
      <c r="Q8" s="16">
        <v>176251.65201766195</v>
      </c>
      <c r="R8" s="16">
        <v>91035.686783539582</v>
      </c>
      <c r="S8" s="16">
        <v>85211.149634006913</v>
      </c>
      <c r="Y8" s="4" t="s">
        <v>379</v>
      </c>
      <c r="Z8" s="76">
        <f>AA8+AB8</f>
        <v>54908.433866190375</v>
      </c>
      <c r="AA8" s="75">
        <f>AA13+AA18</f>
        <v>46434.283424578367</v>
      </c>
      <c r="AB8" s="214">
        <f>AB13+AB18</f>
        <v>8474.1504416120042</v>
      </c>
    </row>
    <row r="9" spans="1:29">
      <c r="A9" s="1" t="s">
        <v>462</v>
      </c>
      <c r="B9" s="1">
        <v>74456</v>
      </c>
      <c r="C9" s="1">
        <v>38042</v>
      </c>
      <c r="D9" s="1">
        <v>36414</v>
      </c>
      <c r="E9" s="22">
        <v>114623.20780919795</v>
      </c>
      <c r="F9" s="22">
        <v>58763.104113715526</v>
      </c>
      <c r="G9" s="22">
        <v>55873.297373256944</v>
      </c>
      <c r="H9" s="22"/>
      <c r="I9" s="23">
        <v>1</v>
      </c>
      <c r="J9" s="23">
        <v>1</v>
      </c>
      <c r="K9" s="23">
        <v>1</v>
      </c>
      <c r="L9" s="66"/>
      <c r="M9" s="1" t="s">
        <v>620</v>
      </c>
      <c r="P9" s="4" t="s">
        <v>462</v>
      </c>
      <c r="Q9" s="24">
        <v>81183.284464948141</v>
      </c>
      <c r="R9" s="24">
        <v>41514.455121256302</v>
      </c>
      <c r="S9" s="24">
        <v>39672.854531884295</v>
      </c>
      <c r="Y9" s="4" t="s">
        <v>462</v>
      </c>
      <c r="Z9" s="75">
        <f>AA9+AB9</f>
        <v>3934.6705401751337</v>
      </c>
      <c r="AA9" s="214">
        <f t="shared" ref="AA9:AB9" si="0">AA14+AA19</f>
        <v>2341.0361474928795</v>
      </c>
      <c r="AB9" s="214">
        <f t="shared" si="0"/>
        <v>1593.6343926822542</v>
      </c>
    </row>
    <row r="10" spans="1:29">
      <c r="A10" s="1" t="s">
        <v>262</v>
      </c>
      <c r="B10" s="25">
        <v>88892</v>
      </c>
      <c r="C10" s="1">
        <v>41477</v>
      </c>
      <c r="D10" s="25">
        <v>42321</v>
      </c>
      <c r="E10" s="22">
        <v>124261.79219080205</v>
      </c>
      <c r="F10" s="22">
        <v>57732.761272710159</v>
      </c>
      <c r="G10" s="22">
        <v>61025.702626743056</v>
      </c>
      <c r="H10" s="22"/>
      <c r="I10" s="23">
        <v>1.171926916081337</v>
      </c>
      <c r="J10" s="23">
        <v>1.0687291818229014</v>
      </c>
      <c r="K10" s="23">
        <v>1.1482174385306505</v>
      </c>
      <c r="L10" s="66"/>
      <c r="M10" s="1" t="s">
        <v>578</v>
      </c>
      <c r="O10" s="1">
        <v>4654</v>
      </c>
      <c r="P10" s="4" t="s">
        <v>262</v>
      </c>
      <c r="Q10" s="24">
        <v>95066.596898562289</v>
      </c>
      <c r="R10" s="24">
        <v>44317.261702901342</v>
      </c>
      <c r="S10" s="24">
        <v>45538.295102122618</v>
      </c>
      <c r="X10" s="17"/>
      <c r="Y10" s="102" t="s">
        <v>384</v>
      </c>
      <c r="Z10" s="214">
        <f>AA10+AB10</f>
        <v>50973.763326015236</v>
      </c>
      <c r="AA10" s="214">
        <f t="shared" ref="AA10:AB10" si="1">AA15+AA20</f>
        <v>44093.247277085487</v>
      </c>
      <c r="AB10" s="214">
        <f t="shared" si="1"/>
        <v>6880.5160489297505</v>
      </c>
      <c r="AC10" s="17"/>
    </row>
    <row r="11" spans="1:29">
      <c r="A11" s="1" t="s">
        <v>492</v>
      </c>
      <c r="B11" s="26"/>
      <c r="C11" s="1">
        <v>5094</v>
      </c>
      <c r="D11" s="26"/>
      <c r="E11" s="22"/>
      <c r="F11" s="22">
        <v>5490.1346135743197</v>
      </c>
      <c r="G11" s="22"/>
      <c r="H11" s="22"/>
      <c r="I11" s="23"/>
      <c r="J11" s="23">
        <v>0.12580935752812561</v>
      </c>
      <c r="K11" s="23"/>
      <c r="L11" s="66"/>
      <c r="M11" s="1" t="s">
        <v>580</v>
      </c>
      <c r="O11" s="1">
        <v>21324</v>
      </c>
      <c r="P11" s="4" t="s">
        <v>492</v>
      </c>
      <c r="Q11" s="24"/>
      <c r="R11" s="24">
        <v>5203.9699593819369</v>
      </c>
      <c r="S11" s="24"/>
      <c r="X11" s="17"/>
      <c r="Y11" s="103"/>
      <c r="Z11" s="17"/>
      <c r="AA11" s="17"/>
      <c r="AB11" s="17"/>
      <c r="AC11" s="17"/>
    </row>
    <row r="12" spans="1:29">
      <c r="B12" s="17"/>
      <c r="D12" s="17"/>
      <c r="E12" s="22"/>
      <c r="F12" s="22"/>
      <c r="G12" s="22"/>
      <c r="H12" s="22"/>
      <c r="I12" s="23"/>
      <c r="J12" s="23"/>
      <c r="K12" s="23"/>
      <c r="L12" s="66"/>
      <c r="M12" s="1" t="s">
        <v>692</v>
      </c>
      <c r="O12" s="217">
        <f>O10/(O10+O11)</f>
        <v>0.17915158980675958</v>
      </c>
      <c r="P12" s="27"/>
      <c r="Q12" s="27"/>
      <c r="R12" s="27"/>
      <c r="S12" s="27"/>
      <c r="X12" s="17"/>
      <c r="Y12" s="103"/>
      <c r="Z12" s="17"/>
      <c r="AA12" s="17"/>
      <c r="AB12" s="17"/>
      <c r="AC12" s="17"/>
    </row>
    <row r="13" spans="1:29">
      <c r="I13" s="27"/>
      <c r="J13" s="27"/>
      <c r="K13" s="27"/>
      <c r="L13" s="27"/>
      <c r="M13" s="1" t="s">
        <v>137</v>
      </c>
      <c r="P13" s="4" t="s">
        <v>493</v>
      </c>
      <c r="Q13" s="16">
        <v>156279.32330573897</v>
      </c>
      <c r="R13" s="16">
        <v>80452.936328724929</v>
      </c>
      <c r="S13" s="16">
        <v>75825.37838551274</v>
      </c>
      <c r="X13" s="104"/>
      <c r="Y13" s="102" t="s">
        <v>493</v>
      </c>
      <c r="Z13" s="214">
        <f>AA13+AB13</f>
        <v>44359.703214923582</v>
      </c>
      <c r="AA13" s="24">
        <v>40696.543036795672</v>
      </c>
      <c r="AB13" s="24">
        <v>3663.1601781279087</v>
      </c>
      <c r="AC13" s="17"/>
    </row>
    <row r="14" spans="1:29">
      <c r="A14" s="1" t="s">
        <v>493</v>
      </c>
      <c r="B14" s="1">
        <v>143474</v>
      </c>
      <c r="C14" s="1">
        <v>73990</v>
      </c>
      <c r="D14" s="1">
        <v>69484</v>
      </c>
      <c r="E14" s="1">
        <v>219996</v>
      </c>
      <c r="F14" s="1">
        <v>112465</v>
      </c>
      <c r="G14" s="1">
        <v>107531</v>
      </c>
      <c r="I14" s="64">
        <v>1.089251873550183</v>
      </c>
      <c r="J14" s="64">
        <v>1.0873487813045672</v>
      </c>
      <c r="K14" s="64">
        <v>1.0912638648539625</v>
      </c>
      <c r="L14" s="66"/>
      <c r="M14" s="1" t="s">
        <v>576</v>
      </c>
      <c r="P14" s="4" t="s">
        <v>494</v>
      </c>
      <c r="Q14" s="24">
        <v>72641.625801731832</v>
      </c>
      <c r="R14" s="24">
        <v>37093.636417131449</v>
      </c>
      <c r="S14" s="24">
        <v>35549.441659896824</v>
      </c>
      <c r="X14" s="104"/>
      <c r="Y14" s="102" t="s">
        <v>494</v>
      </c>
      <c r="Z14" s="214">
        <f>AA14+AB14</f>
        <v>2030.7866611798729</v>
      </c>
      <c r="AA14" s="24">
        <v>1331.9354260572961</v>
      </c>
      <c r="AB14" s="24">
        <v>698.85123512257678</v>
      </c>
      <c r="AC14" s="17"/>
    </row>
    <row r="15" spans="1:29">
      <c r="A15" s="1" t="s">
        <v>494</v>
      </c>
      <c r="B15" s="1">
        <v>65986</v>
      </c>
      <c r="C15" s="1">
        <v>33628</v>
      </c>
      <c r="D15" s="1">
        <v>32358</v>
      </c>
      <c r="E15" s="1">
        <v>106573</v>
      </c>
      <c r="F15" s="1">
        <v>54807</v>
      </c>
      <c r="G15" s="1">
        <v>51766</v>
      </c>
      <c r="I15" s="64">
        <v>1</v>
      </c>
      <c r="J15" s="64">
        <v>1</v>
      </c>
      <c r="K15" s="64">
        <v>1</v>
      </c>
      <c r="L15" s="66"/>
      <c r="M15" s="1" t="s">
        <v>254</v>
      </c>
      <c r="P15" s="4" t="s">
        <v>495</v>
      </c>
      <c r="Q15" s="24">
        <v>83637.697504007141</v>
      </c>
      <c r="R15" s="24">
        <v>38988.050279578129</v>
      </c>
      <c r="S15" s="24">
        <v>40275.936725615924</v>
      </c>
      <c r="V15" s="74">
        <v>3.5907383441170268E-2</v>
      </c>
      <c r="W15" s="74">
        <v>1.9658571344341194E-2</v>
      </c>
      <c r="X15" s="17"/>
      <c r="Y15" s="102" t="s">
        <v>487</v>
      </c>
      <c r="Z15" s="214">
        <f t="shared" ref="Z15:Z29" si="2">AA15+AB15</f>
        <v>42328.916553743707</v>
      </c>
      <c r="AA15" s="24">
        <v>39364.607610738378</v>
      </c>
      <c r="AB15" s="24">
        <v>2964.3089430053319</v>
      </c>
      <c r="AC15" s="17"/>
    </row>
    <row r="16" spans="1:29">
      <c r="A16" s="1" t="s">
        <v>495</v>
      </c>
      <c r="B16" s="25">
        <v>77488</v>
      </c>
      <c r="C16" s="17">
        <v>36115</v>
      </c>
      <c r="D16" s="25">
        <v>37126</v>
      </c>
      <c r="E16" s="25">
        <v>113423</v>
      </c>
      <c r="F16" s="1">
        <v>52927</v>
      </c>
      <c r="G16" s="25">
        <v>55765</v>
      </c>
      <c r="H16" s="17"/>
      <c r="I16" s="64">
        <v>1.152302799976944</v>
      </c>
      <c r="J16" s="64">
        <v>1.052304544027632</v>
      </c>
      <c r="K16" s="64">
        <v>1.1333314995907082</v>
      </c>
      <c r="L16" s="66"/>
      <c r="M16" s="66"/>
      <c r="N16" s="66"/>
      <c r="O16" s="66"/>
      <c r="P16" s="4" t="s">
        <v>496</v>
      </c>
      <c r="Q16" s="24"/>
      <c r="R16" s="24">
        <v>4371.2496320153532</v>
      </c>
      <c r="S16" s="24"/>
      <c r="V16" s="68">
        <v>0.90786999999999995</v>
      </c>
      <c r="W16" s="68">
        <v>7.3599999999999999E-2</v>
      </c>
      <c r="X16" s="17"/>
      <c r="Y16" s="103"/>
      <c r="Z16" s="214"/>
      <c r="AA16" s="17"/>
      <c r="AB16" s="17"/>
      <c r="AC16" s="17"/>
    </row>
    <row r="17" spans="1:29">
      <c r="A17" s="1" t="s">
        <v>496</v>
      </c>
      <c r="B17" s="26"/>
      <c r="C17" s="28">
        <v>4247</v>
      </c>
      <c r="D17" s="26"/>
      <c r="E17" s="26"/>
      <c r="F17" s="1">
        <v>4731</v>
      </c>
      <c r="G17" s="26"/>
      <c r="H17" s="17"/>
      <c r="I17" s="64"/>
      <c r="J17" s="64">
        <v>0.11829906998345693</v>
      </c>
      <c r="K17" s="64"/>
      <c r="L17" s="66"/>
      <c r="M17" s="66"/>
      <c r="N17" s="66"/>
      <c r="O17" s="66"/>
      <c r="P17" s="27"/>
      <c r="X17" s="104"/>
      <c r="Y17" s="103"/>
      <c r="Z17" s="214"/>
      <c r="AA17" s="219"/>
      <c r="AB17" s="219"/>
      <c r="AC17" s="17"/>
    </row>
    <row r="18" spans="1:29">
      <c r="B18" s="17"/>
      <c r="C18" s="28"/>
      <c r="D18" s="17"/>
      <c r="E18" s="17"/>
      <c r="G18" s="17"/>
      <c r="H18" s="17"/>
      <c r="I18" s="64"/>
      <c r="J18" s="64"/>
      <c r="K18" s="64"/>
      <c r="L18" s="66"/>
      <c r="M18" s="66"/>
      <c r="N18" s="66"/>
      <c r="O18" s="66"/>
      <c r="P18" s="4" t="s">
        <v>627</v>
      </c>
      <c r="Q18" s="16">
        <v>19672.974168642919</v>
      </c>
      <c r="R18" s="16">
        <v>10392.840405202498</v>
      </c>
      <c r="S18" s="16">
        <v>9274.2825118693963</v>
      </c>
      <c r="X18" s="104"/>
      <c r="Y18" s="102" t="s">
        <v>627</v>
      </c>
      <c r="Z18" s="214">
        <f t="shared" si="2"/>
        <v>10548.730651266789</v>
      </c>
      <c r="AA18" s="219">
        <f>AA23+AA27</f>
        <v>5737.7403877826928</v>
      </c>
      <c r="AB18" s="219">
        <f>AB23+AB27</f>
        <v>4810.9902634840955</v>
      </c>
      <c r="AC18" s="17"/>
    </row>
    <row r="19" spans="1:29">
      <c r="I19" s="65"/>
      <c r="J19" s="65"/>
      <c r="K19" s="65"/>
      <c r="L19" s="65"/>
      <c r="M19" s="65"/>
      <c r="N19" s="65"/>
      <c r="O19" s="65"/>
      <c r="P19" s="4" t="s">
        <v>628</v>
      </c>
      <c r="Q19" s="24">
        <v>8384.3258130424438</v>
      </c>
      <c r="R19" s="24">
        <v>4318.3655792679874</v>
      </c>
      <c r="S19" s="24">
        <v>4066.2079632625951</v>
      </c>
      <c r="Y19" s="102" t="s">
        <v>628</v>
      </c>
      <c r="Z19" s="214">
        <f t="shared" si="2"/>
        <v>1903.8838789952606</v>
      </c>
      <c r="AA19" s="219">
        <f t="shared" ref="AA19:AB19" si="3">AA24+AA28</f>
        <v>1009.1007214355832</v>
      </c>
      <c r="AB19" s="219">
        <f t="shared" si="3"/>
        <v>894.78315755967753</v>
      </c>
      <c r="AC19" s="17"/>
    </row>
    <row r="20" spans="1:29">
      <c r="A20" s="1" t="s">
        <v>627</v>
      </c>
      <c r="B20" s="1">
        <v>19874</v>
      </c>
      <c r="C20" s="1">
        <v>10623</v>
      </c>
      <c r="D20" s="1">
        <v>9251</v>
      </c>
      <c r="E20" s="1">
        <v>18889</v>
      </c>
      <c r="F20" s="1">
        <v>9521</v>
      </c>
      <c r="G20" s="1">
        <v>9368</v>
      </c>
      <c r="I20" s="64">
        <v>0.98988498383027668</v>
      </c>
      <c r="J20" s="64">
        <v>0.97833384215405228</v>
      </c>
      <c r="K20" s="64">
        <v>1.0025167562284505</v>
      </c>
      <c r="L20" s="66"/>
      <c r="M20" s="66"/>
      <c r="N20" s="66"/>
      <c r="O20" s="66"/>
      <c r="P20" s="4" t="s">
        <v>629</v>
      </c>
      <c r="Q20" s="24">
        <v>11288.648355600477</v>
      </c>
      <c r="R20" s="24">
        <v>5245.8260616300295</v>
      </c>
      <c r="S20" s="24">
        <v>5208.0745486068008</v>
      </c>
      <c r="Y20" s="102" t="s">
        <v>488</v>
      </c>
      <c r="Z20" s="214">
        <f t="shared" si="2"/>
        <v>8644.8467722715286</v>
      </c>
      <c r="AA20" s="219">
        <f t="shared" ref="AA20:AB20" si="4">AA25+AA29</f>
        <v>4728.6396663471096</v>
      </c>
      <c r="AB20" s="219">
        <f t="shared" si="4"/>
        <v>3916.2071059244186</v>
      </c>
      <c r="AC20" s="17"/>
    </row>
    <row r="21" spans="1:29">
      <c r="A21" s="1" t="s">
        <v>628</v>
      </c>
      <c r="B21" s="1">
        <v>8470</v>
      </c>
      <c r="C21" s="1">
        <v>4414</v>
      </c>
      <c r="D21" s="1">
        <v>4056</v>
      </c>
      <c r="E21" s="22">
        <v>8050.2078091979474</v>
      </c>
      <c r="F21" s="22">
        <v>3956.104113715523</v>
      </c>
      <c r="G21" s="22">
        <v>4107.2973732569453</v>
      </c>
      <c r="H21" s="22"/>
      <c r="I21" s="23">
        <v>0.42618496528127203</v>
      </c>
      <c r="J21" s="23">
        <v>1</v>
      </c>
      <c r="K21" s="23">
        <v>1</v>
      </c>
      <c r="L21" s="66"/>
      <c r="M21" s="66"/>
      <c r="N21" s="66"/>
      <c r="O21" s="66"/>
      <c r="P21" s="4" t="s">
        <v>630</v>
      </c>
      <c r="Q21" s="24"/>
      <c r="R21" s="24">
        <v>828.64876430448248</v>
      </c>
      <c r="S21" s="24"/>
      <c r="Z21" s="214"/>
      <c r="AA21" s="220"/>
      <c r="AB21" s="220"/>
    </row>
    <row r="22" spans="1:29">
      <c r="A22" s="1" t="s">
        <v>629</v>
      </c>
      <c r="B22" s="25">
        <v>11404</v>
      </c>
      <c r="C22" s="1">
        <v>5362</v>
      </c>
      <c r="D22" s="25">
        <v>5195</v>
      </c>
      <c r="E22" s="22">
        <v>10838.792190802053</v>
      </c>
      <c r="F22" s="22">
        <v>4805.7612727101578</v>
      </c>
      <c r="G22" s="22">
        <v>5260.7026267430547</v>
      </c>
      <c r="H22" s="22"/>
      <c r="I22" s="23">
        <v>0.57381503471872808</v>
      </c>
      <c r="J22" s="23">
        <v>1.2147711826008156</v>
      </c>
      <c r="K22" s="23">
        <v>1.2808185404339252</v>
      </c>
      <c r="L22" s="66"/>
      <c r="M22" s="66"/>
      <c r="N22" s="66"/>
      <c r="O22" s="66"/>
      <c r="V22" s="181" t="s">
        <v>518</v>
      </c>
      <c r="Z22" s="214"/>
      <c r="AA22" s="220"/>
      <c r="AB22" s="220"/>
    </row>
    <row r="23" spans="1:29">
      <c r="A23" s="1" t="s">
        <v>630</v>
      </c>
      <c r="B23" s="26"/>
      <c r="C23" s="1">
        <v>847</v>
      </c>
      <c r="D23" s="26"/>
      <c r="E23" s="22"/>
      <c r="F23" s="22">
        <v>759.13461357431993</v>
      </c>
      <c r="G23" s="22"/>
      <c r="H23" s="22"/>
      <c r="I23" s="23"/>
      <c r="J23" s="23">
        <v>0.19188944268237429</v>
      </c>
      <c r="K23" s="23"/>
      <c r="L23" s="66"/>
      <c r="M23" s="66"/>
      <c r="N23" s="66"/>
      <c r="O23" s="66"/>
      <c r="P23" s="4" t="s">
        <v>194</v>
      </c>
      <c r="Q23" s="218">
        <f>Q18*0.17915158980676</f>
        <v>3524.4445985397015</v>
      </c>
      <c r="R23" s="218">
        <f t="shared" ref="R23:S23" si="5">R18*0.17915158980676</f>
        <v>1861.8938811999592</v>
      </c>
      <c r="S23" s="218">
        <f t="shared" si="5"/>
        <v>1661.5024563184338</v>
      </c>
      <c r="V23" s="181" t="s">
        <v>517</v>
      </c>
      <c r="Y23" s="4" t="s">
        <v>194</v>
      </c>
      <c r="Z23" s="214">
        <f t="shared" si="2"/>
        <v>963.98594041996694</v>
      </c>
      <c r="AA23" s="220">
        <f>AA24+AA25</f>
        <v>880.99394384663685</v>
      </c>
      <c r="AB23" s="220">
        <f>AB24+AB25</f>
        <v>82.991996573330098</v>
      </c>
    </row>
    <row r="24" spans="1:29">
      <c r="E24" s="27" t="s">
        <v>63</v>
      </c>
      <c r="P24" s="4" t="s">
        <v>195</v>
      </c>
      <c r="Q24" s="218">
        <f t="shared" ref="Q24:S24" si="6">Q19*0.17915158980676</f>
        <v>1502.0652988644094</v>
      </c>
      <c r="R24" s="218">
        <f t="shared" si="6"/>
        <v>773.64205889264997</v>
      </c>
      <c r="S24" s="218">
        <f t="shared" si="6"/>
        <v>728.46762110340148</v>
      </c>
      <c r="V24" s="181">
        <v>3.5907383441170268E-2</v>
      </c>
      <c r="W24" s="181">
        <v>1.9658571344341194E-2</v>
      </c>
      <c r="Y24" s="4" t="s">
        <v>195</v>
      </c>
      <c r="Z24" s="214">
        <f t="shared" si="2"/>
        <v>42.100094756378539</v>
      </c>
      <c r="AA24" s="220">
        <f>R24*V24</f>
        <v>27.779462054874813</v>
      </c>
      <c r="AB24" s="220">
        <f>S24*W24</f>
        <v>14.320632701503728</v>
      </c>
    </row>
    <row r="25" spans="1:29">
      <c r="P25" s="4" t="s">
        <v>97</v>
      </c>
      <c r="Q25" s="218">
        <f t="shared" ref="Q25:S25" si="7">Q20*0.17915158980676</f>
        <v>2022.3792996752923</v>
      </c>
      <c r="R25" s="218">
        <f t="shared" si="7"/>
        <v>939.79807879075429</v>
      </c>
      <c r="S25" s="218">
        <f t="shared" si="7"/>
        <v>933.03483521503233</v>
      </c>
      <c r="V25" s="181">
        <v>0.90786999999999995</v>
      </c>
      <c r="W25" s="181">
        <v>7.3599999999999999E-2</v>
      </c>
      <c r="Y25" s="4" t="s">
        <v>97</v>
      </c>
      <c r="Z25" s="214">
        <f t="shared" si="2"/>
        <v>921.8858456635885</v>
      </c>
      <c r="AA25" s="220">
        <f>R25*V25</f>
        <v>853.21448179176207</v>
      </c>
      <c r="AB25" s="220">
        <f>S25*W25</f>
        <v>68.671363871826372</v>
      </c>
    </row>
    <row r="26" spans="1:29" ht="16" thickBot="1">
      <c r="A26" s="1" t="s">
        <v>64</v>
      </c>
      <c r="I26" s="1" t="s">
        <v>510</v>
      </c>
      <c r="P26" s="4"/>
      <c r="Y26" s="4"/>
      <c r="Z26" s="214"/>
      <c r="AA26" s="220"/>
      <c r="AB26" s="220"/>
    </row>
    <row r="27" spans="1:29" ht="16" thickBot="1">
      <c r="A27" s="1" t="s">
        <v>66</v>
      </c>
      <c r="I27" s="1" t="s">
        <v>513</v>
      </c>
      <c r="P27" s="4" t="s">
        <v>193</v>
      </c>
      <c r="Q27" s="214">
        <f>Q18-Q23</f>
        <v>16148.529570103217</v>
      </c>
      <c r="R27" s="214">
        <f t="shared" ref="R27:S27" si="8">R18-R23</f>
        <v>8530.9465240025384</v>
      </c>
      <c r="S27" s="214">
        <f t="shared" si="8"/>
        <v>7612.7800555509621</v>
      </c>
      <c r="Y27" s="4" t="s">
        <v>193</v>
      </c>
      <c r="Z27" s="141">
        <f t="shared" si="2"/>
        <v>9584.7447108468223</v>
      </c>
      <c r="AA27" s="220">
        <f>AA28+AA29</f>
        <v>4856.7464439360556</v>
      </c>
      <c r="AB27" s="220">
        <f>AB28+AB29</f>
        <v>4727.9982669107658</v>
      </c>
    </row>
    <row r="28" spans="1:29">
      <c r="A28" s="1" t="s">
        <v>156</v>
      </c>
      <c r="I28" s="1" t="s">
        <v>514</v>
      </c>
      <c r="P28" s="4" t="s">
        <v>99</v>
      </c>
      <c r="Q28" s="214">
        <f t="shared" ref="Q28:S28" si="9">Q19-Q24</f>
        <v>6882.2605141780341</v>
      </c>
      <c r="R28" s="214">
        <f t="shared" si="9"/>
        <v>3544.7235203753376</v>
      </c>
      <c r="S28" s="214">
        <f t="shared" si="9"/>
        <v>3337.7403421591935</v>
      </c>
      <c r="V28" s="73">
        <v>0.27683999999999997</v>
      </c>
      <c r="W28" s="73">
        <v>0.26379000000000002</v>
      </c>
      <c r="Y28" s="4" t="s">
        <v>99</v>
      </c>
      <c r="Z28" s="214">
        <f t="shared" si="2"/>
        <v>1861.7837842388822</v>
      </c>
      <c r="AA28" s="220">
        <f>R28*V28</f>
        <v>981.3212593807084</v>
      </c>
      <c r="AB28" s="220">
        <f>S28*W28</f>
        <v>880.46252485817377</v>
      </c>
    </row>
    <row r="29" spans="1:29">
      <c r="I29" s="1" t="s">
        <v>515</v>
      </c>
      <c r="P29" s="4" t="s">
        <v>112</v>
      </c>
      <c r="Q29" s="214">
        <f t="shared" ref="Q29:S29" si="10">Q20-Q25</f>
        <v>9266.2690559251841</v>
      </c>
      <c r="R29" s="214">
        <f t="shared" si="10"/>
        <v>4306.027982839275</v>
      </c>
      <c r="S29" s="214">
        <f t="shared" si="10"/>
        <v>4275.0397133917686</v>
      </c>
      <c r="V29" s="72">
        <v>0.9</v>
      </c>
      <c r="W29" s="72">
        <v>0.9</v>
      </c>
      <c r="Y29" s="4" t="s">
        <v>112</v>
      </c>
      <c r="Z29" s="214">
        <f t="shared" si="2"/>
        <v>7722.9609266079397</v>
      </c>
      <c r="AA29" s="220">
        <f>R29*V29</f>
        <v>3875.4251845553476</v>
      </c>
      <c r="AB29" s="220">
        <f>S29*W29</f>
        <v>3847.535742052592</v>
      </c>
    </row>
    <row r="30" spans="1:29">
      <c r="A30" s="1" t="s">
        <v>157</v>
      </c>
      <c r="F30" s="21">
        <f>18000*EXP(LN(25/18)/15)^14</f>
        <v>24458.444967696967</v>
      </c>
      <c r="I30" s="1" t="s">
        <v>516</v>
      </c>
    </row>
    <row r="31" spans="1:29">
      <c r="G31" s="16"/>
      <c r="H31" s="16"/>
      <c r="I31" s="16"/>
      <c r="J31" s="16"/>
      <c r="P31" s="81" t="s">
        <v>162</v>
      </c>
      <c r="R31" s="16"/>
      <c r="S31" s="16"/>
      <c r="Y31" s="1" t="s">
        <v>109</v>
      </c>
      <c r="Z31" s="1" t="s">
        <v>626</v>
      </c>
    </row>
    <row r="32" spans="1:29">
      <c r="A32" s="1" t="s">
        <v>594</v>
      </c>
      <c r="G32" s="16"/>
      <c r="H32" s="16"/>
      <c r="I32" s="16"/>
      <c r="J32" s="200" t="s">
        <v>474</v>
      </c>
      <c r="K32" s="4" t="s">
        <v>739</v>
      </c>
      <c r="L32" s="4" t="s">
        <v>740</v>
      </c>
      <c r="P32" s="56" t="s">
        <v>65</v>
      </c>
      <c r="R32" s="16"/>
      <c r="S32" s="16"/>
      <c r="Z32" s="1" t="s">
        <v>336</v>
      </c>
    </row>
    <row r="33" spans="1:26">
      <c r="A33" s="1" t="s">
        <v>483</v>
      </c>
      <c r="G33" s="16"/>
      <c r="H33" s="16"/>
      <c r="I33" s="16" t="s">
        <v>535</v>
      </c>
      <c r="J33" s="216">
        <v>24397.960058593726</v>
      </c>
      <c r="K33" s="216">
        <v>12769.846395298438</v>
      </c>
      <c r="L33" s="216">
        <v>11628.113663295288</v>
      </c>
      <c r="P33" s="69" t="s">
        <v>102</v>
      </c>
      <c r="R33" s="16"/>
      <c r="S33" s="16"/>
      <c r="Z33" s="259" t="s">
        <v>19</v>
      </c>
    </row>
    <row r="34" spans="1:26">
      <c r="I34" s="1" t="s">
        <v>536</v>
      </c>
      <c r="J34" s="216">
        <v>21829.543912425394</v>
      </c>
      <c r="K34" s="216">
        <v>11410.002561909634</v>
      </c>
      <c r="L34" s="216">
        <v>10419.541350515759</v>
      </c>
      <c r="P34" s="1" t="s">
        <v>135</v>
      </c>
      <c r="R34" s="16"/>
      <c r="S34" s="16"/>
      <c r="Z34" s="58"/>
    </row>
    <row r="35" spans="1:26">
      <c r="A35" s="59" t="s">
        <v>481</v>
      </c>
      <c r="I35" s="1" t="s">
        <v>537</v>
      </c>
      <c r="J35" s="216">
        <v>2568.4161461683325</v>
      </c>
      <c r="K35" s="216">
        <v>1359.8438333888043</v>
      </c>
      <c r="L35" s="216">
        <v>1208.5723127795281</v>
      </c>
      <c r="P35" s="1" t="s">
        <v>307</v>
      </c>
      <c r="R35" s="16"/>
      <c r="S35" s="16"/>
      <c r="Z35" s="58"/>
    </row>
    <row r="36" spans="1:26">
      <c r="A36" s="1" t="s">
        <v>601</v>
      </c>
      <c r="Q36" s="16"/>
      <c r="R36" s="16"/>
      <c r="S36" s="16"/>
      <c r="Y36" s="1" t="s">
        <v>337</v>
      </c>
    </row>
    <row r="37" spans="1:26">
      <c r="A37" s="1" t="s">
        <v>264</v>
      </c>
      <c r="Q37" s="71" t="s">
        <v>103</v>
      </c>
      <c r="R37" s="71" t="s">
        <v>104</v>
      </c>
      <c r="S37" s="71" t="s">
        <v>105</v>
      </c>
      <c r="Y37" s="67">
        <f>Z8/36017</f>
        <v>1.52451436449983</v>
      </c>
      <c r="Z37" s="1" t="s">
        <v>338</v>
      </c>
    </row>
    <row r="38" spans="1:26">
      <c r="P38" s="4" t="s">
        <v>158</v>
      </c>
      <c r="Q38" s="70">
        <f>R38+S38</f>
        <v>24397.960058593726</v>
      </c>
      <c r="R38" s="70">
        <f t="shared" ref="R38" si="11">0.3076*R9</f>
        <v>12769.846395298438</v>
      </c>
      <c r="S38" s="70">
        <f>0.2931*S9</f>
        <v>11628.113663295288</v>
      </c>
      <c r="Y38" s="67">
        <f>Z13/35430</f>
        <v>1.2520379117957545</v>
      </c>
      <c r="Z38" s="1" t="s">
        <v>234</v>
      </c>
    </row>
    <row r="39" spans="1:26">
      <c r="A39" s="1" t="s">
        <v>662</v>
      </c>
      <c r="P39" s="4" t="s">
        <v>159</v>
      </c>
      <c r="Q39" s="70">
        <f>R39+S39</f>
        <v>21829.543912425394</v>
      </c>
      <c r="R39" s="70">
        <f>R38*R14/R9</f>
        <v>11410.002561909634</v>
      </c>
      <c r="S39" s="70">
        <f>S38*S14/S9</f>
        <v>10419.541350515759</v>
      </c>
      <c r="Y39" s="67">
        <f>Z23/587</f>
        <v>1.642224770732482</v>
      </c>
      <c r="Z39" s="1" t="s">
        <v>519</v>
      </c>
    </row>
    <row r="40" spans="1:26">
      <c r="A40" s="55">
        <v>38709.098749095363</v>
      </c>
      <c r="B40" s="1" t="s">
        <v>663</v>
      </c>
      <c r="C40" s="54">
        <v>21.962403362446995</v>
      </c>
      <c r="D40" s="1" t="s">
        <v>665</v>
      </c>
      <c r="P40" s="4" t="s">
        <v>482</v>
      </c>
      <c r="Q40" s="70">
        <f t="shared" ref="Q40" si="12">R40+S40</f>
        <v>2568.4161461683325</v>
      </c>
      <c r="R40" s="70">
        <f>R38-R39</f>
        <v>1359.8438333888043</v>
      </c>
      <c r="S40" s="70">
        <f>S38-S39</f>
        <v>1208.5723127795281</v>
      </c>
    </row>
    <row r="42" spans="1:26">
      <c r="A42" s="1" t="s">
        <v>265</v>
      </c>
    </row>
    <row r="43" spans="1:26">
      <c r="A43" s="57">
        <v>35430.26972098821</v>
      </c>
    </row>
    <row r="44" spans="1:26">
      <c r="A44" s="1" t="s">
        <v>263</v>
      </c>
    </row>
    <row r="45" spans="1:26">
      <c r="A45" s="58">
        <v>3278.8290281071531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1774 LF summary</vt:lpstr>
      <vt:lpstr>1774 free white age dist</vt:lpstr>
      <vt:lpstr>Maine</vt:lpstr>
      <vt:lpstr>New Hampshire</vt:lpstr>
      <vt:lpstr>Vermont</vt:lpstr>
      <vt:lpstr>Massachusetts</vt:lpstr>
      <vt:lpstr>Rhode Island</vt:lpstr>
      <vt:lpstr>Connecticut</vt:lpstr>
      <vt:lpstr>New York</vt:lpstr>
      <vt:lpstr>New Jersey</vt:lpstr>
      <vt:lpstr>Maryland</vt:lpstr>
      <vt:lpstr>6 other colonies</vt:lpstr>
      <vt:lpstr>Slave age shares</vt:lpstr>
    </vt:vector>
  </TitlesOfParts>
  <Company>UC Davis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Lindert</dc:creator>
  <cp:lastModifiedBy>Peter Lindert</cp:lastModifiedBy>
  <dcterms:created xsi:type="dcterms:W3CDTF">2010-11-03T20:19:19Z</dcterms:created>
  <dcterms:modified xsi:type="dcterms:W3CDTF">2011-06-28T15:06:13Z</dcterms:modified>
</cp:coreProperties>
</file>