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560" windowWidth="18540" windowHeight="16680" activeTab="1"/>
  </bookViews>
  <sheets>
    <sheet name="Notes" sheetId="1" r:id="rId1"/>
    <sheet name="Prices" sheetId="2" r:id="rId2"/>
    <sheet name="Wage rates" sheetId="3" r:id="rId3"/>
  </sheets>
  <definedNames>
    <definedName name="_xlnm.Print_Titles" localSheetId="1">'Prices'!$A:$A,'Prices'!$1:$11</definedName>
    <definedName name="_xlnm.Print_Titles" localSheetId="2">'Wage rates'!$A:$A,'Wage rates'!$1:$10</definedName>
  </definedNames>
  <calcPr fullCalcOnLoad="1"/>
</workbook>
</file>

<file path=xl/sharedStrings.xml><?xml version="1.0" encoding="utf-8"?>
<sst xmlns="http://schemas.openxmlformats.org/spreadsheetml/2006/main" count="349" uniqueCount="206">
  <si>
    <t>Bricks</t>
  </si>
  <si>
    <r>
      <t>moggio da carbone</t>
    </r>
    <r>
      <rPr>
        <sz val="12"/>
        <rFont val="Times New Roman"/>
        <family val="1"/>
      </rPr>
      <t>=225.1033 liters; used for vegetal charcoal.  Klimpert says "Mailänder Kohlenmaß" = 225.103 liters.</t>
    </r>
  </si>
  <si>
    <t>(Use 0.275 for 1601-1605.)</t>
  </si>
  <si>
    <t>Earnings in silver</t>
  </si>
  <si>
    <t>Notes on Italy Milan 1605-1710</t>
  </si>
  <si>
    <t>TEMPLATE</t>
  </si>
  <si>
    <t>lire</t>
  </si>
  <si>
    <t>annual</t>
  </si>
  <si>
    <t>soldi</t>
  </si>
  <si>
    <t>100 pounds</t>
  </si>
  <si>
    <t>brenta</t>
  </si>
  <si>
    <t>braccio</t>
  </si>
  <si>
    <t>moggio</t>
  </si>
  <si>
    <t>portiere</t>
  </si>
  <si>
    <t>fattore</t>
  </si>
  <si>
    <t>Caretaker</t>
  </si>
  <si>
    <t>1607</t>
  </si>
  <si>
    <t>Last revision date:</t>
  </si>
  <si>
    <t>Sources:</t>
  </si>
  <si>
    <t>Types of transactions:</t>
  </si>
  <si>
    <t>Underlying frequency:</t>
  </si>
  <si>
    <t>Special caveats:</t>
  </si>
  <si>
    <t>Conversions:</t>
  </si>
  <si>
    <t>Physical Conversions to metric system</t>
  </si>
  <si>
    <t>Monetary Conversions to silver</t>
  </si>
  <si>
    <t>File preparers: Levin 2001, Arroyo-Abad 2005</t>
  </si>
  <si>
    <t>Commodity:</t>
  </si>
  <si>
    <t>Physical Unit:</t>
  </si>
  <si>
    <t>Monetary Unit:</t>
  </si>
  <si>
    <t>Bread</t>
  </si>
  <si>
    <t>Rye</t>
  </si>
  <si>
    <t>Rice</t>
  </si>
  <si>
    <t>Wine</t>
  </si>
  <si>
    <t>Patricia A. Levin</t>
  </si>
  <si>
    <t>12/15/01</t>
  </si>
  <si>
    <t>Leticia Arroyo Abad</t>
  </si>
  <si>
    <t>Prices in Milan, 1605-1710</t>
  </si>
  <si>
    <t>millet prices</t>
  </si>
  <si>
    <r>
      <t>Local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</si>
  <si>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t>Also available in this volume:</t>
  </si>
  <si>
    <t>Silver grams</t>
  </si>
  <si>
    <r>
      <t>moggio da grano</t>
    </r>
    <r>
      <rPr>
        <sz val="12"/>
        <rFont val="Times New Roman"/>
        <family val="1"/>
      </rPr>
      <t>=146.2343 liters; used for cereals</t>
    </r>
  </si>
  <si>
    <t>1601</t>
  </si>
  <si>
    <t>1602</t>
  </si>
  <si>
    <t>1603</t>
  </si>
  <si>
    <t>1604</t>
  </si>
  <si>
    <r>
      <t>soma</t>
    </r>
    <r>
      <rPr>
        <sz val="12"/>
        <rFont val="Times New Roman"/>
        <family val="1"/>
      </rPr>
      <t>=164.5135 liters; used for cereals</t>
    </r>
  </si>
  <si>
    <r>
      <t>brenta</t>
    </r>
    <r>
      <rPr>
        <sz val="12"/>
        <rFont val="Times New Roman"/>
        <family val="1"/>
      </rPr>
      <t>=75.5544 liters; used for wine, and liquids</t>
    </r>
  </si>
  <si>
    <r>
      <t>libbra grossa</t>
    </r>
    <r>
      <rPr>
        <sz val="12"/>
        <rFont val="Times New Roman"/>
        <family val="1"/>
      </rPr>
      <t>=0.7625 kilograms; used for bread, butter, meat, oil, and for all food products in general</t>
    </r>
  </si>
  <si>
    <r>
      <t>libbra sottile o piccola</t>
    </r>
    <r>
      <rPr>
        <sz val="12"/>
        <rFont val="Times New Roman"/>
        <family val="1"/>
      </rPr>
      <t>=0.3267 kilograms; used for silk and precious goods</t>
    </r>
  </si>
  <si>
    <r>
      <t>fascio o centinaro</t>
    </r>
    <r>
      <rPr>
        <sz val="12"/>
        <rFont val="Times New Roman"/>
        <family val="1"/>
      </rPr>
      <t>=0.5949 meters; used for wood</t>
    </r>
  </si>
  <si>
    <r>
      <t>braccio di Milano</t>
    </r>
    <r>
      <rPr>
        <sz val="12"/>
        <rFont val="Times New Roman"/>
        <family val="1"/>
      </rPr>
      <t>=0.5949 meters</t>
    </r>
  </si>
  <si>
    <t>meter</t>
  </si>
  <si>
    <t>liter</t>
  </si>
  <si>
    <t>kilogram</t>
  </si>
  <si>
    <r>
      <t>Metric</t>
    </r>
    <r>
      <rPr>
        <b/>
        <sz val="12"/>
        <rFont val="Times New Roman"/>
        <family val="1"/>
      </rPr>
      <t xml:space="preserve"> Physical Units &amp; </t>
    </r>
    <r>
      <rPr>
        <b/>
        <u val="single"/>
        <sz val="12"/>
        <rFont val="Times New Roman"/>
        <family val="1"/>
      </rPr>
      <t>Silver</t>
    </r>
  </si>
  <si>
    <t>Wages in Milan, 1605-1710</t>
  </si>
  <si>
    <t>Farm Manager</t>
  </si>
  <si>
    <r>
      <t>Local</t>
    </r>
    <r>
      <rPr>
        <sz val="12"/>
        <rFont val="Times New Roman"/>
        <family val="1"/>
      </rPr>
      <t xml:space="preserve"> Monetary Units</t>
    </r>
  </si>
  <si>
    <t>1605</t>
  </si>
  <si>
    <t>1606</t>
  </si>
  <si>
    <t>1608</t>
  </si>
  <si>
    <t>1609</t>
  </si>
  <si>
    <t>1610</t>
  </si>
  <si>
    <t>1611</t>
  </si>
  <si>
    <t>(Sella's panno</t>
  </si>
  <si>
    <t>basso" series =</t>
  </si>
  <si>
    <t xml:space="preserve">this one for </t>
  </si>
  <si>
    <t>1605-1700)</t>
  </si>
  <si>
    <t>carbone di legno</t>
  </si>
  <si>
    <t>Charcoal</t>
  </si>
  <si>
    <t>laterizio</t>
  </si>
  <si>
    <t>Woolen cloth (low)</t>
  </si>
  <si>
    <t>Woolen cloth (high)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</si>
  <si>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</si>
  <si>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</si>
  <si>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</si>
  <si>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</si>
  <si>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</si>
  <si>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</si>
  <si>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</si>
  <si>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</si>
  <si>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</si>
  <si>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</si>
  <si>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</si>
  <si>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</si>
  <si>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</si>
  <si>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</si>
  <si>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</si>
  <si>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</si>
  <si>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</si>
  <si>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</si>
  <si>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</si>
  <si>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</si>
  <si>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</si>
  <si>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</si>
  <si>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</si>
  <si>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</si>
  <si>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</si>
  <si>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</si>
  <si>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</si>
  <si>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</si>
  <si>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</si>
  <si>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</si>
  <si>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</si>
  <si>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</si>
  <si>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</si>
  <si>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</si>
  <si>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</si>
  <si>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</si>
  <si>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</si>
  <si>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</si>
  <si>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</si>
  <si>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</si>
  <si>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</si>
  <si>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</si>
  <si>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</si>
  <si>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</si>
  <si>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</si>
  <si>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</si>
  <si>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</si>
  <si>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</si>
  <si>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</si>
  <si>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</si>
  <si>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</si>
  <si>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</si>
  <si>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</si>
  <si>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</si>
  <si>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</si>
  <si>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</si>
  <si>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</si>
  <si>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</si>
  <si>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</si>
  <si>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</si>
  <si>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r>
      <t xml:space="preserve">Domenico Sella, Domenico, </t>
    </r>
    <r>
      <rPr>
        <i/>
        <sz val="12"/>
        <rFont val="Times New Roman"/>
        <family val="0"/>
      </rPr>
      <t>Salari e lavoro nell'edilizia lombarda durante il secolo XVII</t>
    </r>
    <r>
      <rPr>
        <sz val="12"/>
        <rFont val="Times New Roman"/>
        <family val="0"/>
      </rPr>
      <t>. (Pavia, 1968.)</t>
    </r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</si>
  <si>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</si>
  <si>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</si>
  <si>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</si>
  <si>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</si>
  <si>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</si>
  <si>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</si>
  <si>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</si>
  <si>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</si>
  <si>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</si>
  <si>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</si>
  <si>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</si>
  <si>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</si>
  <si>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</si>
  <si>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</si>
  <si>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</si>
  <si>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</si>
  <si>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</si>
  <si>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</si>
  <si>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</si>
  <si>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</si>
  <si>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</si>
  <si>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</si>
  <si>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</si>
  <si>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</si>
  <si>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</si>
  <si>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</si>
  <si>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</si>
  <si>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</si>
  <si>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</si>
  <si>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</si>
  <si>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</si>
  <si>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</si>
  <si>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</si>
  <si>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</si>
  <si>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</si>
  <si>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</si>
  <si>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</si>
  <si>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</si>
  <si>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</si>
  <si>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Occupation:</t>
  </si>
  <si>
    <t>Italian:</t>
  </si>
  <si>
    <r>
      <t>Metric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</si>
  <si>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t xml:space="preserve">Bread </t>
  </si>
  <si>
    <t>prezzo corretto</t>
  </si>
  <si>
    <t xml:space="preserve">Current Value of </t>
  </si>
  <si>
    <t>prezzo effettivo</t>
  </si>
  <si>
    <r>
      <t xml:space="preserve">De Maddalena, Aldo. 1949. </t>
    </r>
    <r>
      <rPr>
        <i/>
        <sz val="12"/>
        <rFont val="Times New Roman"/>
        <family val="1"/>
      </rPr>
      <t>Prezzi e Aspetti di Mercato in Milano durante il Secolo XVII.</t>
    </r>
    <r>
      <rPr>
        <sz val="12"/>
        <rFont val="Times New Roman"/>
        <family val="1"/>
      </rPr>
      <t xml:space="preserve"> Milan: Malfasi Editore.</t>
    </r>
  </si>
  <si>
    <r>
      <t>Accounting records from The</t>
    </r>
    <r>
      <rPr>
        <i/>
        <sz val="12"/>
        <rFont val="Times New Roman"/>
        <family val="1"/>
      </rPr>
      <t xml:space="preserve"> Misericoria</t>
    </r>
    <r>
      <rPr>
        <sz val="12"/>
        <rFont val="Times New Roman"/>
        <family val="1"/>
      </rPr>
      <t xml:space="preserve"> Society</t>
    </r>
  </si>
  <si>
    <t>maestro da muro</t>
  </si>
  <si>
    <t>Mason-Milan</t>
  </si>
  <si>
    <t>Soldi</t>
  </si>
  <si>
    <t>Daily</t>
  </si>
  <si>
    <t>(Sella)</t>
  </si>
  <si>
    <t>Laborer-</t>
  </si>
  <si>
    <t>unskilled-Milan</t>
  </si>
  <si>
    <t>Lavorante o garzone</t>
  </si>
  <si>
    <t>agric'l-Milan</t>
  </si>
  <si>
    <t>braccianti</t>
  </si>
  <si>
    <t>libbra (.76kg)</t>
  </si>
  <si>
    <t>Sella</t>
  </si>
  <si>
    <t>DeMaddalena</t>
  </si>
  <si>
    <r>
      <t>Charity accounting records (</t>
    </r>
    <r>
      <rPr>
        <i/>
        <sz val="12"/>
        <rFont val="Times New Roman"/>
        <family val="1"/>
      </rPr>
      <t>Caritá e Monte Angelico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Divinitá</t>
    </r>
    <r>
      <rPr>
        <sz val="12"/>
        <rFont val="Times New Roman"/>
        <family val="1"/>
      </rPr>
      <t>, etc.)</t>
    </r>
  </si>
  <si>
    <r>
      <t xml:space="preserve">Aldo de Maddalena. 1974. </t>
    </r>
    <r>
      <rPr>
        <i/>
        <sz val="12"/>
        <rFont val="Times New Roman"/>
        <family val="1"/>
      </rPr>
      <t>Prezzi e Mercedi a Milano dal 1701 al 1860</t>
    </r>
    <r>
      <rPr>
        <sz val="12"/>
        <rFont val="Times New Roman"/>
        <family val="1"/>
      </rPr>
      <t>. Milano: Banca Commerciale Italiana</t>
    </r>
  </si>
  <si>
    <r>
      <t xml:space="preserve">The author provides the series in </t>
    </r>
    <r>
      <rPr>
        <i/>
        <sz val="12"/>
        <rFont val="Times New Roman"/>
        <family val="1"/>
      </rPr>
      <t>prezzo corretto.</t>
    </r>
  </si>
  <si>
    <r>
      <t>Prezzo corretto</t>
    </r>
    <r>
      <rPr>
        <sz val="12"/>
        <rFont val="Times New Roman"/>
        <family val="1"/>
      </rPr>
      <t xml:space="preserve"> is the ratio between the </t>
    </r>
    <r>
      <rPr>
        <i/>
        <sz val="12"/>
        <rFont val="Times New Roman"/>
        <family val="1"/>
      </rPr>
      <t>prezzo effettivo</t>
    </r>
    <r>
      <rPr>
        <sz val="12"/>
        <rFont val="Times New Roman"/>
        <family val="1"/>
      </rPr>
      <t xml:space="preserve"> and the current value of the currency multiplied by 100.</t>
    </r>
  </si>
  <si>
    <t>Apr. 2005</t>
  </si>
  <si>
    <r>
      <t xml:space="preserve"> the </t>
    </r>
    <r>
      <rPr>
        <i/>
        <sz val="12"/>
        <rFont val="Times New Roman"/>
        <family val="1"/>
      </rPr>
      <t>ducatone (in soldi)</t>
    </r>
  </si>
  <si>
    <t xml:space="preserve">Silver grams </t>
  </si>
  <si>
    <r>
      <t xml:space="preserve">in a </t>
    </r>
    <r>
      <rPr>
        <i/>
        <sz val="12"/>
        <rFont val="Times New Roman"/>
        <family val="1"/>
      </rPr>
      <t>ducatone*</t>
    </r>
  </si>
  <si>
    <t>(*) p. 51, fn. I</t>
  </si>
  <si>
    <r>
      <t xml:space="preserve">in a </t>
    </r>
    <r>
      <rPr>
        <i/>
        <sz val="12"/>
        <rFont val="Times New Roman"/>
        <family val="1"/>
      </rPr>
      <t>soldi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</si>
</sst>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0_);\(0\)"/>
    <numFmt numFmtId="167" formatCode="0.00_);\(0.00\)"/>
    <numFmt numFmtId="168" formatCode="0.0%"/>
    <numFmt numFmtId="169" formatCode="#,##0.000"/>
    <numFmt numFmtId="170" formatCode="#,##0.0"/>
    <numFmt numFmtId="171" formatCode="0.0000"/>
    <numFmt numFmtId="172" formatCode="0.000"/>
    <numFmt numFmtId="173" formatCode="\(0\)"/>
    <numFmt numFmtId="174" formatCode="0.0"/>
    <numFmt numFmtId="175" formatCode="dd\-mmm\-yy"/>
    <numFmt numFmtId="176" formatCode="[$-409]dddd\,\ mmmm\ dd\,\ yyyy"/>
    <numFmt numFmtId="177" formatCode="[$-409]d\-mmm\-yy;@"/>
    <numFmt numFmtId="178" formatCode="0.00000"/>
    <numFmt numFmtId="179" formatCode="#,##0.000_);\(#,##0.0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Palatino"/>
      <family val="0"/>
    </font>
    <font>
      <i/>
      <sz val="10"/>
      <name val="Palatino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69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39" fontId="0" fillId="0" borderId="0" xfId="0" applyAlignment="1">
      <alignment/>
    </xf>
    <xf numFmtId="0" fontId="6" fillId="0" borderId="0" xfId="21" applyFont="1">
      <alignment/>
      <protection/>
    </xf>
    <xf numFmtId="39" fontId="7" fillId="0" borderId="0" xfId="0" applyFont="1" applyAlignment="1">
      <alignment horizontal="left"/>
    </xf>
    <xf numFmtId="39" fontId="8" fillId="0" borderId="0" xfId="0" applyFont="1" applyAlignment="1">
      <alignment/>
    </xf>
    <xf numFmtId="39" fontId="8" fillId="0" borderId="0" xfId="0" applyFont="1" applyAlignment="1">
      <alignment horizontal="center"/>
    </xf>
    <xf numFmtId="39" fontId="7" fillId="0" borderId="0" xfId="0" applyFont="1" applyAlignment="1">
      <alignment/>
    </xf>
    <xf numFmtId="39" fontId="9" fillId="0" borderId="0" xfId="0" applyFont="1" applyAlignment="1">
      <alignment horizontal="center" wrapText="1"/>
    </xf>
    <xf numFmtId="37" fontId="9" fillId="0" borderId="0" xfId="0" applyNumberFormat="1" applyFont="1" applyAlignment="1">
      <alignment horizontal="center" wrapText="1"/>
    </xf>
    <xf numFmtId="39" fontId="8" fillId="0" borderId="0" xfId="0" applyFont="1" applyAlignment="1">
      <alignment horizontal="left"/>
    </xf>
    <xf numFmtId="39" fontId="8" fillId="0" borderId="0" xfId="0" applyFont="1" applyAlignment="1">
      <alignment horizontal="center" wrapText="1"/>
    </xf>
    <xf numFmtId="39" fontId="10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39" fontId="10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39" fontId="8" fillId="0" borderId="1" xfId="0" applyFont="1" applyBorder="1" applyAlignment="1">
      <alignment/>
    </xf>
    <xf numFmtId="49" fontId="8" fillId="0" borderId="2" xfId="0" applyNumberFormat="1" applyFont="1" applyBorder="1" applyAlignment="1">
      <alignment/>
    </xf>
    <xf numFmtId="39" fontId="8" fillId="0" borderId="3" xfId="0" applyFont="1" applyBorder="1" applyAlignment="1">
      <alignment/>
    </xf>
    <xf numFmtId="39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39" fontId="8" fillId="0" borderId="0" xfId="0" applyFont="1" applyBorder="1" applyAlignment="1">
      <alignment/>
    </xf>
    <xf numFmtId="0" fontId="8" fillId="0" borderId="0" xfId="21" applyFont="1">
      <alignment/>
      <protection/>
    </xf>
    <xf numFmtId="0" fontId="6" fillId="0" borderId="0" xfId="21" applyFont="1" applyAlignment="1">
      <alignment horizontal="left" indent="2"/>
      <protection/>
    </xf>
    <xf numFmtId="39" fontId="9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9" fontId="8" fillId="0" borderId="0" xfId="0" applyFont="1" applyAlignment="1">
      <alignment horizontal="right" wrapText="1"/>
    </xf>
    <xf numFmtId="39" fontId="6" fillId="0" borderId="0" xfId="0" applyFont="1" applyAlignment="1">
      <alignment horizontal="right"/>
    </xf>
    <xf numFmtId="39" fontId="6" fillId="0" borderId="0" xfId="0" applyFont="1" applyAlignment="1">
      <alignment horizontal="center"/>
    </xf>
    <xf numFmtId="39" fontId="10" fillId="0" borderId="0" xfId="0" applyFont="1" applyBorder="1" applyAlignment="1">
      <alignment/>
    </xf>
    <xf numFmtId="49" fontId="8" fillId="0" borderId="0" xfId="22" applyNumberFormat="1" applyFont="1" applyAlignment="1">
      <alignment horizontal="center"/>
      <protection/>
    </xf>
    <xf numFmtId="169" fontId="8" fillId="0" borderId="0" xfId="22" applyFont="1">
      <alignment/>
      <protection/>
    </xf>
    <xf numFmtId="170" fontId="8" fillId="0" borderId="0" xfId="22" applyNumberFormat="1" applyFont="1">
      <alignment/>
      <protection/>
    </xf>
    <xf numFmtId="169" fontId="8" fillId="0" borderId="0" xfId="22" applyNumberFormat="1" applyFont="1">
      <alignment/>
      <protection/>
    </xf>
    <xf numFmtId="169" fontId="6" fillId="0" borderId="0" xfId="22" applyNumberFormat="1" applyFont="1" applyAlignment="1">
      <alignment horizontal="center"/>
      <protection/>
    </xf>
    <xf numFmtId="0" fontId="9" fillId="0" borderId="0" xfId="21" applyFont="1">
      <alignment/>
      <protection/>
    </xf>
    <xf numFmtId="177" fontId="8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8" fillId="0" borderId="0" xfId="21" applyFont="1" applyAlignment="1">
      <alignment vertical="justify"/>
      <protection/>
    </xf>
    <xf numFmtId="0" fontId="8" fillId="0" borderId="0" xfId="21" applyFont="1" applyAlignment="1">
      <alignment horizontal="left" indent="1"/>
      <protection/>
    </xf>
    <xf numFmtId="0" fontId="8" fillId="0" borderId="0" xfId="2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169" fontId="8" fillId="0" borderId="0" xfId="22" applyFont="1" applyAlignment="1">
      <alignment horizontal="center"/>
      <protection/>
    </xf>
    <xf numFmtId="169" fontId="10" fillId="0" borderId="0" xfId="22" applyFont="1" applyBorder="1">
      <alignment/>
      <protection/>
    </xf>
    <xf numFmtId="169" fontId="10" fillId="0" borderId="0" xfId="22" applyFont="1">
      <alignment/>
      <protection/>
    </xf>
    <xf numFmtId="169" fontId="6" fillId="0" borderId="0" xfId="22" applyFont="1" applyFill="1" applyAlignment="1">
      <alignment horizontal="left"/>
      <protection/>
    </xf>
    <xf numFmtId="49" fontId="8" fillId="0" borderId="0" xfId="22" applyNumberFormat="1" applyFont="1" applyAlignment="1">
      <alignment horizontal="left"/>
      <protection/>
    </xf>
    <xf numFmtId="49" fontId="6" fillId="0" borderId="0" xfId="22" applyNumberFormat="1" applyFont="1" applyAlignment="1">
      <alignment horizontal="left"/>
      <protection/>
    </xf>
    <xf numFmtId="49" fontId="6" fillId="0" borderId="0" xfId="22" applyNumberFormat="1" applyFont="1" applyAlignment="1">
      <alignment horizontal="center"/>
      <protection/>
    </xf>
    <xf numFmtId="169" fontId="6" fillId="0" borderId="0" xfId="22" applyFont="1" applyAlignment="1">
      <alignment horizontal="center"/>
      <protection/>
    </xf>
    <xf numFmtId="169" fontId="8" fillId="0" borderId="0" xfId="22" applyFont="1" applyAlignment="1">
      <alignment horizontal="left"/>
      <protection/>
    </xf>
    <xf numFmtId="169" fontId="10" fillId="0" borderId="0" xfId="22" applyFont="1" applyBorder="1" applyAlignment="1">
      <alignment horizontal="left"/>
      <protection/>
    </xf>
    <xf numFmtId="172" fontId="8" fillId="0" borderId="0" xfId="22" applyNumberFormat="1" applyFont="1">
      <alignment/>
      <protection/>
    </xf>
    <xf numFmtId="169" fontId="11" fillId="0" borderId="0" xfId="22" applyFont="1" applyAlignment="1">
      <alignment horizontal="right"/>
      <protection/>
    </xf>
    <xf numFmtId="169" fontId="6" fillId="0" borderId="0" xfId="22" applyFont="1" applyAlignment="1">
      <alignment horizontal="right"/>
      <protection/>
    </xf>
    <xf numFmtId="172" fontId="6" fillId="0" borderId="0" xfId="21" applyNumberFormat="1" applyFont="1">
      <alignment/>
      <protection/>
    </xf>
    <xf numFmtId="169" fontId="8" fillId="0" borderId="0" xfId="22" applyFont="1" applyFill="1">
      <alignment/>
      <protection/>
    </xf>
    <xf numFmtId="169" fontId="8" fillId="0" borderId="0" xfId="22" applyFont="1" applyFill="1" applyAlignment="1">
      <alignment horizontal="left" vertical="top"/>
      <protection/>
    </xf>
    <xf numFmtId="39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39" fontId="12" fillId="0" borderId="0" xfId="0" applyFont="1" applyAlignment="1">
      <alignment horizontal="center"/>
    </xf>
    <xf numFmtId="39" fontId="7" fillId="0" borderId="0" xfId="0" applyFont="1" applyAlignment="1">
      <alignment horizontal="center"/>
    </xf>
    <xf numFmtId="39" fontId="12" fillId="0" borderId="0" xfId="0" applyFont="1" applyAlignment="1">
      <alignment horizontal="center" wrapText="1"/>
    </xf>
    <xf numFmtId="39" fontId="13" fillId="0" borderId="0" xfId="0" applyFont="1" applyAlignment="1">
      <alignment horizontal="center"/>
    </xf>
    <xf numFmtId="39" fontId="8" fillId="0" borderId="0" xfId="0" applyFont="1" applyAlignment="1">
      <alignment horizontal="center"/>
    </xf>
    <xf numFmtId="39" fontId="8" fillId="0" borderId="0" xfId="0" applyNumberFormat="1" applyFont="1" applyAlignment="1">
      <alignment horizontal="right" wrapText="1"/>
    </xf>
    <xf numFmtId="39" fontId="8" fillId="0" borderId="0" xfId="0" applyNumberFormat="1" applyFont="1" applyAlignment="1">
      <alignment horizontal="right"/>
    </xf>
    <xf numFmtId="39" fontId="8" fillId="0" borderId="0" xfId="0" applyFont="1" applyAlignment="1">
      <alignment horizontal="right"/>
    </xf>
    <xf numFmtId="39" fontId="8" fillId="0" borderId="0" xfId="0" applyFont="1" applyAlignment="1">
      <alignment horizontal="right" wrapText="1"/>
    </xf>
    <xf numFmtId="39" fontId="12" fillId="0" borderId="0" xfId="0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9" fontId="8" fillId="0" borderId="0" xfId="0" applyFont="1" applyAlignment="1">
      <alignment horizontal="right"/>
    </xf>
    <xf numFmtId="37" fontId="8" fillId="0" borderId="0" xfId="0" applyNumberFormat="1" applyFont="1" applyAlignment="1">
      <alignment horizontal="right"/>
    </xf>
    <xf numFmtId="39" fontId="12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2"/>
  <sheetViews>
    <sheetView workbookViewId="0" topLeftCell="A1">
      <selection activeCell="G43" sqref="G43"/>
    </sheetView>
  </sheetViews>
  <sheetFormatPr defaultColWidth="11.421875" defaultRowHeight="12.75"/>
  <cols>
    <col min="1" max="1" width="16.00390625" style="21" customWidth="1"/>
    <col min="2" max="2" width="17.00390625" style="21" customWidth="1"/>
    <col min="3" max="3" width="16.7109375" style="21" customWidth="1"/>
    <col min="4" max="4" width="21.8515625" style="21" customWidth="1"/>
    <col min="5" max="5" width="15.421875" style="21" customWidth="1"/>
    <col min="6" max="6" width="16.7109375" style="21" customWidth="1"/>
    <col min="7" max="7" width="15.8515625" style="21" customWidth="1"/>
    <col min="8" max="8" width="23.8515625" style="21" customWidth="1"/>
    <col min="9" max="16384" width="9.421875" style="21" customWidth="1"/>
  </cols>
  <sheetData>
    <row r="1" ht="15">
      <c r="A1" s="34" t="s">
        <v>4</v>
      </c>
    </row>
    <row r="2" ht="15">
      <c r="A2" s="21" t="s">
        <v>25</v>
      </c>
    </row>
    <row r="3" spans="1:3" ht="15">
      <c r="A3" s="21" t="s">
        <v>17</v>
      </c>
      <c r="C3" s="35">
        <v>38466</v>
      </c>
    </row>
    <row r="6" ht="15">
      <c r="A6" s="36" t="s">
        <v>18</v>
      </c>
    </row>
    <row r="7" ht="15">
      <c r="A7" s="21" t="s">
        <v>181</v>
      </c>
    </row>
    <row r="8" spans="1:9" ht="15">
      <c r="A8" s="57" t="s">
        <v>134</v>
      </c>
      <c r="B8" s="40"/>
      <c r="C8" s="40"/>
      <c r="D8" s="40"/>
      <c r="E8" s="40"/>
      <c r="F8" s="40"/>
      <c r="G8" s="40"/>
      <c r="H8" s="40"/>
      <c r="I8" s="40"/>
    </row>
    <row r="9" spans="2:9" ht="15">
      <c r="B9" s="40"/>
      <c r="C9" s="40"/>
      <c r="D9" s="40"/>
      <c r="E9" s="40"/>
      <c r="F9" s="40"/>
      <c r="G9" s="40"/>
      <c r="H9" s="40"/>
      <c r="I9" s="40"/>
    </row>
    <row r="10" ht="15">
      <c r="A10" s="36" t="s">
        <v>19</v>
      </c>
    </row>
    <row r="11" ht="15">
      <c r="A11" s="21" t="s">
        <v>182</v>
      </c>
    </row>
    <row r="12" ht="15">
      <c r="A12" s="21" t="s">
        <v>196</v>
      </c>
    </row>
    <row r="13" spans="9:13" ht="15">
      <c r="I13" s="41"/>
      <c r="J13" s="30"/>
      <c r="K13" s="30"/>
      <c r="L13" s="30"/>
      <c r="M13" s="30"/>
    </row>
    <row r="14" spans="9:13" ht="15">
      <c r="I14" s="42"/>
      <c r="J14" s="30"/>
      <c r="K14" s="30"/>
      <c r="L14" s="30"/>
      <c r="M14" s="30"/>
    </row>
    <row r="15" spans="1:13" ht="15">
      <c r="A15" s="36" t="s">
        <v>20</v>
      </c>
      <c r="I15" s="30"/>
      <c r="J15" s="30"/>
      <c r="K15" s="30"/>
      <c r="L15" s="30"/>
      <c r="M15" s="30"/>
    </row>
    <row r="16" spans="1:13" ht="15">
      <c r="A16" s="21" t="s">
        <v>7</v>
      </c>
      <c r="I16" s="30"/>
      <c r="J16" s="30"/>
      <c r="K16" s="43"/>
      <c r="L16" s="30"/>
      <c r="M16" s="30"/>
    </row>
    <row r="17" spans="9:13" ht="15">
      <c r="I17" s="30"/>
      <c r="J17" s="30"/>
      <c r="K17" s="42"/>
      <c r="L17" s="30"/>
      <c r="M17" s="30"/>
    </row>
    <row r="18" spans="1:13" ht="15">
      <c r="A18" s="36" t="s">
        <v>21</v>
      </c>
      <c r="I18" s="30"/>
      <c r="J18" s="30"/>
      <c r="K18" s="30"/>
      <c r="L18" s="30"/>
      <c r="M18" s="30"/>
    </row>
    <row r="19" spans="1:13" ht="15">
      <c r="A19" s="21" t="s">
        <v>39</v>
      </c>
      <c r="I19" s="30"/>
      <c r="J19" s="30"/>
      <c r="K19" s="30"/>
      <c r="L19" s="30"/>
      <c r="M19" s="30"/>
    </row>
    <row r="20" spans="1:13" ht="15">
      <c r="A20" s="21" t="s">
        <v>37</v>
      </c>
      <c r="I20" s="30"/>
      <c r="J20" s="30"/>
      <c r="K20" s="30"/>
      <c r="L20" s="30"/>
      <c r="M20" s="30"/>
    </row>
    <row r="21" spans="1:8" s="37" customFormat="1" ht="15">
      <c r="A21" s="21"/>
      <c r="B21" s="21"/>
      <c r="C21" s="21"/>
      <c r="D21" s="21"/>
      <c r="E21" s="21"/>
      <c r="F21" s="21"/>
      <c r="G21" s="21"/>
      <c r="H21" s="21"/>
    </row>
    <row r="22" spans="1:8" s="37" customFormat="1" ht="15">
      <c r="A22" s="36" t="s">
        <v>22</v>
      </c>
      <c r="B22" s="21"/>
      <c r="C22" s="21"/>
      <c r="D22" s="21"/>
      <c r="E22" s="21"/>
      <c r="F22" s="21"/>
      <c r="G22" s="21"/>
      <c r="H22" s="21"/>
    </row>
    <row r="23" spans="1:8" s="37" customFormat="1" ht="15">
      <c r="A23" s="1" t="s">
        <v>23</v>
      </c>
      <c r="B23" s="21"/>
      <c r="C23" s="21"/>
      <c r="D23" s="21"/>
      <c r="E23" s="21"/>
      <c r="F23" s="21"/>
      <c r="G23" s="21"/>
      <c r="H23" s="21"/>
    </row>
    <row r="24" spans="1:8" s="37" customFormat="1" ht="15">
      <c r="A24" s="38" t="s">
        <v>197</v>
      </c>
      <c r="B24" s="21"/>
      <c r="C24" s="21"/>
      <c r="D24" s="21"/>
      <c r="E24" s="21"/>
      <c r="F24" s="21"/>
      <c r="G24" s="21"/>
      <c r="H24" s="21"/>
    </row>
    <row r="25" spans="1:8" s="37" customFormat="1" ht="15">
      <c r="A25" s="21"/>
      <c r="B25" s="30"/>
      <c r="C25" s="30"/>
      <c r="D25" s="21"/>
      <c r="E25" s="21"/>
      <c r="F25" s="21"/>
      <c r="G25" s="21"/>
      <c r="H25" s="21"/>
    </row>
    <row r="26" spans="1:11" ht="15">
      <c r="A26" s="22" t="s">
        <v>41</v>
      </c>
      <c r="B26" s="30"/>
      <c r="C26" s="30"/>
      <c r="D26" s="30"/>
      <c r="E26" s="30"/>
      <c r="F26" s="30"/>
      <c r="G26" s="41"/>
      <c r="H26" s="30"/>
      <c r="J26" s="30"/>
      <c r="K26" s="30"/>
    </row>
    <row r="27" spans="1:11" ht="15">
      <c r="A27" s="22" t="s">
        <v>1</v>
      </c>
      <c r="B27" s="30"/>
      <c r="C27" s="30"/>
      <c r="D27" s="30"/>
      <c r="E27" s="30"/>
      <c r="F27" s="30"/>
      <c r="G27" s="41"/>
      <c r="H27" s="30"/>
      <c r="J27" s="30"/>
      <c r="K27" s="30"/>
    </row>
    <row r="28" spans="1:11" ht="15">
      <c r="A28" s="22" t="s">
        <v>46</v>
      </c>
      <c r="B28" s="30"/>
      <c r="C28" s="30"/>
      <c r="D28" s="30"/>
      <c r="E28" s="30"/>
      <c r="F28" s="30"/>
      <c r="G28" s="41"/>
      <c r="H28" s="30"/>
      <c r="J28" s="30"/>
      <c r="K28" s="30"/>
    </row>
    <row r="29" spans="1:11" ht="15">
      <c r="A29" s="22" t="s">
        <v>47</v>
      </c>
      <c r="B29" s="30"/>
      <c r="C29" s="30"/>
      <c r="D29" s="41"/>
      <c r="E29" s="30"/>
      <c r="F29" s="30"/>
      <c r="G29" s="41"/>
      <c r="H29" s="30"/>
      <c r="I29" s="30"/>
      <c r="J29" s="30"/>
      <c r="K29" s="30"/>
    </row>
    <row r="30" spans="1:11" ht="15">
      <c r="A30" s="22" t="s">
        <v>48</v>
      </c>
      <c r="B30" s="30"/>
      <c r="C30" s="30"/>
      <c r="D30" s="41"/>
      <c r="E30" s="30"/>
      <c r="F30" s="30"/>
      <c r="G30" s="30"/>
      <c r="H30" s="30"/>
      <c r="I30" s="30"/>
      <c r="J30" s="30"/>
      <c r="K30" s="30"/>
    </row>
    <row r="31" spans="1:11" ht="15">
      <c r="A31" s="22" t="s">
        <v>49</v>
      </c>
      <c r="B31" s="30"/>
      <c r="C31" s="41"/>
      <c r="D31" s="30"/>
      <c r="E31" s="30"/>
      <c r="F31" s="30"/>
      <c r="G31" s="30"/>
      <c r="H31" s="30"/>
      <c r="I31" s="41"/>
      <c r="J31" s="41"/>
      <c r="K31" s="41"/>
    </row>
    <row r="32" spans="1:11" ht="15">
      <c r="A32" s="22" t="s">
        <v>50</v>
      </c>
      <c r="B32" s="30"/>
      <c r="C32" s="41"/>
      <c r="D32" s="30"/>
      <c r="E32" s="30"/>
      <c r="F32" s="55"/>
      <c r="G32" s="30"/>
      <c r="H32" s="30"/>
      <c r="I32" s="41"/>
      <c r="J32" s="41"/>
      <c r="K32" s="41"/>
    </row>
    <row r="33" spans="1:11" ht="15">
      <c r="A33" s="22" t="s">
        <v>51</v>
      </c>
      <c r="B33" s="30"/>
      <c r="C33" s="30"/>
      <c r="D33" s="30"/>
      <c r="E33" s="30"/>
      <c r="F33" s="56"/>
      <c r="G33" s="43"/>
      <c r="H33" s="30"/>
      <c r="I33" s="30"/>
      <c r="J33" s="30"/>
      <c r="K33" s="30"/>
    </row>
    <row r="34" spans="1:11" ht="15">
      <c r="A34" s="29"/>
      <c r="B34" s="30"/>
      <c r="C34" s="30"/>
      <c r="D34" s="30"/>
      <c r="E34" s="30"/>
      <c r="F34" s="55"/>
      <c r="G34" s="30"/>
      <c r="H34" s="30"/>
      <c r="I34" s="30"/>
      <c r="J34" s="30"/>
      <c r="K34" s="30"/>
    </row>
    <row r="35" spans="1:11" ht="15">
      <c r="A35" s="44" t="s">
        <v>24</v>
      </c>
      <c r="B35" s="30"/>
      <c r="C35" s="30"/>
      <c r="D35" s="30"/>
      <c r="E35" s="30"/>
      <c r="F35" s="30"/>
      <c r="G35" s="42"/>
      <c r="H35" s="30"/>
      <c r="I35" s="30"/>
      <c r="J35" s="30"/>
      <c r="K35" s="30"/>
    </row>
    <row r="36" spans="1:11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5">
      <c r="A37" s="45" t="s">
        <v>198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5">
      <c r="A38" s="46" t="s">
        <v>199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">
      <c r="A39" s="45" t="s">
        <v>204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4" ht="15">
      <c r="A40" s="29"/>
      <c r="B40" s="29" t="s">
        <v>29</v>
      </c>
      <c r="C40" s="41" t="s">
        <v>177</v>
      </c>
      <c r="D40" s="41" t="s">
        <v>179</v>
      </c>
      <c r="E40" s="39" t="s">
        <v>202</v>
      </c>
      <c r="F40" s="41" t="s">
        <v>202</v>
      </c>
      <c r="G40" s="41"/>
      <c r="H40" s="39"/>
      <c r="I40" s="30"/>
      <c r="J40" s="43"/>
      <c r="K40" s="30"/>
      <c r="L40" s="30"/>
      <c r="M40" s="30"/>
      <c r="N40" s="30"/>
    </row>
    <row r="41" spans="1:14" ht="15">
      <c r="A41" s="29"/>
      <c r="B41" s="47" t="s">
        <v>180</v>
      </c>
      <c r="C41" s="48" t="s">
        <v>178</v>
      </c>
      <c r="D41" s="41" t="s">
        <v>201</v>
      </c>
      <c r="E41" s="39" t="s">
        <v>203</v>
      </c>
      <c r="F41" s="41" t="s">
        <v>205</v>
      </c>
      <c r="G41" s="41"/>
      <c r="H41" s="39"/>
      <c r="I41" s="30"/>
      <c r="J41" s="43"/>
      <c r="K41" s="30"/>
      <c r="L41" s="30"/>
      <c r="M41" s="30"/>
      <c r="N41" s="30"/>
    </row>
    <row r="42" spans="1:14" ht="15">
      <c r="A42" s="29" t="s">
        <v>59</v>
      </c>
      <c r="B42" s="3">
        <f>+Prices!B16</f>
        <v>333.375</v>
      </c>
      <c r="C42" s="3">
        <f>+(294.8+282.8)/2</f>
        <v>288.8</v>
      </c>
      <c r="D42" s="31">
        <f>+B42/C42*100</f>
        <v>115.4345567867036</v>
      </c>
      <c r="E42" s="3">
        <v>31.711</v>
      </c>
      <c r="F42" s="33">
        <f>+E42/D42</f>
        <v>0.2747097652793401</v>
      </c>
      <c r="G42" s="31" t="s">
        <v>2</v>
      </c>
      <c r="H42" s="54"/>
      <c r="I42" s="30"/>
      <c r="J42" s="30"/>
      <c r="K42" s="30"/>
      <c r="L42" s="30"/>
      <c r="M42" s="30"/>
      <c r="N42" s="30"/>
    </row>
    <row r="43" spans="1:14" ht="15">
      <c r="A43" s="29" t="s">
        <v>60</v>
      </c>
      <c r="B43" s="3">
        <f>+Prices!B17</f>
        <v>307.82500000000005</v>
      </c>
      <c r="C43" s="3">
        <f>+(258.3+268.3)/2</f>
        <v>263.3</v>
      </c>
      <c r="D43" s="31">
        <f aca="true" t="shared" si="0" ref="D43:D106">+B43/C43*100</f>
        <v>116.91036840106344</v>
      </c>
      <c r="E43" s="3">
        <v>31.711</v>
      </c>
      <c r="F43" s="33">
        <f aca="true" t="shared" si="1" ref="F43:F106">+E43/D43</f>
        <v>0.27124198164541535</v>
      </c>
      <c r="G43" s="31"/>
      <c r="H43" s="54"/>
      <c r="I43" s="30"/>
      <c r="J43" s="42"/>
      <c r="K43" s="30"/>
      <c r="L43" s="30"/>
      <c r="M43" s="30"/>
      <c r="N43" s="30"/>
    </row>
    <row r="44" spans="1:14" ht="15">
      <c r="A44" s="29" t="s">
        <v>16</v>
      </c>
      <c r="B44" s="3">
        <f>+Prices!B18</f>
        <v>361.625</v>
      </c>
      <c r="C44" s="3">
        <f>+(309.15+296.1)/2</f>
        <v>302.625</v>
      </c>
      <c r="D44" s="31">
        <f t="shared" si="0"/>
        <v>119.49607600165221</v>
      </c>
      <c r="E44" s="3">
        <v>31.711</v>
      </c>
      <c r="F44" s="33">
        <f t="shared" si="1"/>
        <v>0.2653727307293467</v>
      </c>
      <c r="G44" s="31"/>
      <c r="H44" s="54"/>
      <c r="I44" s="41"/>
      <c r="J44" s="30"/>
      <c r="K44" s="41"/>
      <c r="L44" s="30"/>
      <c r="M44" s="30"/>
      <c r="N44" s="30"/>
    </row>
    <row r="45" spans="1:14" ht="15">
      <c r="A45" s="29" t="s">
        <v>61</v>
      </c>
      <c r="B45" s="3">
        <f>+Prices!B19</f>
        <v>549.85</v>
      </c>
      <c r="C45" s="3">
        <f>+(439.7+438.85)/2</f>
        <v>439.275</v>
      </c>
      <c r="D45" s="31">
        <f t="shared" si="0"/>
        <v>125.17215867053667</v>
      </c>
      <c r="E45" s="3">
        <v>31.711</v>
      </c>
      <c r="F45" s="33">
        <f t="shared" si="1"/>
        <v>0.25333908384104753</v>
      </c>
      <c r="G45" s="31"/>
      <c r="H45" s="54"/>
      <c r="I45" s="41"/>
      <c r="J45" s="42"/>
      <c r="K45" s="41"/>
      <c r="L45" s="30"/>
      <c r="M45" s="30"/>
      <c r="N45" s="30"/>
    </row>
    <row r="46" spans="1:14" ht="15">
      <c r="A46" s="29" t="s">
        <v>62</v>
      </c>
      <c r="B46" s="3">
        <f>+Prices!B20</f>
        <v>427.45000000000005</v>
      </c>
      <c r="C46" s="3">
        <f>+(356.4+387)/2</f>
        <v>371.7</v>
      </c>
      <c r="D46" s="31">
        <f t="shared" si="0"/>
        <v>114.99865482916331</v>
      </c>
      <c r="E46" s="3">
        <v>31.711</v>
      </c>
      <c r="F46" s="33">
        <f t="shared" si="1"/>
        <v>0.27575105158498064</v>
      </c>
      <c r="G46" s="31"/>
      <c r="H46" s="54"/>
      <c r="I46" s="30"/>
      <c r="J46" s="30"/>
      <c r="K46" s="30"/>
      <c r="L46" s="30"/>
      <c r="M46" s="30"/>
      <c r="N46" s="30"/>
    </row>
    <row r="47" spans="1:14" ht="15">
      <c r="A47" s="29" t="s">
        <v>63</v>
      </c>
      <c r="B47" s="3">
        <f>+Prices!B21</f>
        <v>357.04999999999995</v>
      </c>
      <c r="C47" s="3">
        <f>+(312.6+306.15)/2</f>
        <v>309.375</v>
      </c>
      <c r="D47" s="31">
        <f t="shared" si="0"/>
        <v>115.41010101010099</v>
      </c>
      <c r="E47" s="3">
        <v>31.711</v>
      </c>
      <c r="F47" s="33">
        <f t="shared" si="1"/>
        <v>0.2747679771740653</v>
      </c>
      <c r="G47" s="31"/>
      <c r="H47" s="54"/>
      <c r="I47" s="30"/>
      <c r="J47" s="30"/>
      <c r="K47" s="30"/>
      <c r="L47" s="30"/>
      <c r="M47" s="30"/>
      <c r="N47" s="30"/>
    </row>
    <row r="48" spans="1:14" ht="15">
      <c r="A48" s="29" t="s">
        <v>64</v>
      </c>
      <c r="B48" s="3">
        <f>+Prices!B22</f>
        <v>334.175</v>
      </c>
      <c r="C48" s="3">
        <f>+(286.75+269.85)/2</f>
        <v>278.3</v>
      </c>
      <c r="D48" s="31">
        <f t="shared" si="0"/>
        <v>120.07725476104922</v>
      </c>
      <c r="E48" s="3">
        <v>31.711</v>
      </c>
      <c r="F48" s="33">
        <f t="shared" si="1"/>
        <v>0.2640883160020947</v>
      </c>
      <c r="G48" s="31"/>
      <c r="H48" s="54"/>
      <c r="I48" s="30"/>
      <c r="J48" s="49"/>
      <c r="K48" s="30"/>
      <c r="L48" s="30"/>
      <c r="M48" s="30"/>
      <c r="N48" s="30"/>
    </row>
    <row r="49" spans="1:14" ht="15">
      <c r="A49" s="29" t="s">
        <v>74</v>
      </c>
      <c r="B49" s="3">
        <f>+Prices!B23</f>
        <v>402.55</v>
      </c>
      <c r="C49" s="3">
        <f>+(332.15+363.65)/2</f>
        <v>347.9</v>
      </c>
      <c r="D49" s="31">
        <f t="shared" si="0"/>
        <v>115.70853693590112</v>
      </c>
      <c r="E49" s="3">
        <v>31.711</v>
      </c>
      <c r="F49" s="33">
        <f t="shared" si="1"/>
        <v>0.27405929449757793</v>
      </c>
      <c r="G49" s="31"/>
      <c r="H49" s="54"/>
      <c r="I49" s="30"/>
      <c r="J49" s="50"/>
      <c r="K49" s="30"/>
      <c r="L49" s="30"/>
      <c r="M49" s="30"/>
      <c r="N49" s="30"/>
    </row>
    <row r="50" spans="1:14" ht="15">
      <c r="A50" s="29" t="s">
        <v>75</v>
      </c>
      <c r="B50" s="3">
        <f>+Prices!B24</f>
        <v>409.075</v>
      </c>
      <c r="C50" s="3">
        <f>+(325.6+349.6)/2</f>
        <v>337.6</v>
      </c>
      <c r="D50" s="31">
        <f t="shared" si="0"/>
        <v>121.17150473933648</v>
      </c>
      <c r="E50" s="3">
        <v>31.711</v>
      </c>
      <c r="F50" s="33">
        <f t="shared" si="1"/>
        <v>0.26170344313389965</v>
      </c>
      <c r="G50" s="31"/>
      <c r="H50" s="54"/>
      <c r="I50" s="30"/>
      <c r="J50" s="30"/>
      <c r="K50" s="30"/>
      <c r="L50" s="30"/>
      <c r="M50" s="30"/>
      <c r="N50" s="30"/>
    </row>
    <row r="51" spans="1:14" ht="15">
      <c r="A51" s="29" t="s">
        <v>76</v>
      </c>
      <c r="B51" s="3">
        <f>+Prices!B25</f>
        <v>397.875</v>
      </c>
      <c r="C51" s="3">
        <f>+(307+346.6)/2</f>
        <v>326.8</v>
      </c>
      <c r="D51" s="31">
        <f t="shared" si="0"/>
        <v>121.74877600979192</v>
      </c>
      <c r="E51" s="3">
        <v>31.711</v>
      </c>
      <c r="F51" s="33">
        <f t="shared" si="1"/>
        <v>0.26046257744266416</v>
      </c>
      <c r="G51" s="31"/>
      <c r="H51" s="54"/>
      <c r="I51" s="30"/>
      <c r="J51" s="42"/>
      <c r="K51" s="30"/>
      <c r="L51" s="30"/>
      <c r="M51" s="30"/>
      <c r="N51" s="30"/>
    </row>
    <row r="52" spans="1:14" ht="15">
      <c r="A52" s="29" t="s">
        <v>77</v>
      </c>
      <c r="B52" s="3">
        <f>+Prices!B26</f>
        <v>401.8</v>
      </c>
      <c r="C52" s="3">
        <f>+(339.65+325.4)/2</f>
        <v>332.525</v>
      </c>
      <c r="D52" s="31">
        <f t="shared" si="0"/>
        <v>120.83302007367868</v>
      </c>
      <c r="E52" s="3">
        <v>31.711</v>
      </c>
      <c r="F52" s="33">
        <f t="shared" si="1"/>
        <v>0.26243654243404674</v>
      </c>
      <c r="G52" s="31"/>
      <c r="H52" s="54"/>
      <c r="I52" s="30"/>
      <c r="J52" s="30"/>
      <c r="K52" s="30"/>
      <c r="L52" s="30"/>
      <c r="M52" s="30"/>
      <c r="N52" s="30"/>
    </row>
    <row r="53" spans="1:14" ht="15">
      <c r="A53" s="29" t="s">
        <v>78</v>
      </c>
      <c r="B53" s="3">
        <f>+Prices!B27</f>
        <v>471.82500000000005</v>
      </c>
      <c r="C53" s="3">
        <f>+(357.25+361.25)/2</f>
        <v>359.25</v>
      </c>
      <c r="D53" s="31">
        <f t="shared" si="0"/>
        <v>131.33611691022966</v>
      </c>
      <c r="E53" s="3">
        <v>31.711</v>
      </c>
      <c r="F53" s="33">
        <f t="shared" si="1"/>
        <v>0.24144919726593542</v>
      </c>
      <c r="G53" s="31"/>
      <c r="H53" s="54"/>
      <c r="I53" s="30"/>
      <c r="J53" s="30"/>
      <c r="K53" s="30"/>
      <c r="L53" s="30"/>
      <c r="M53" s="30"/>
      <c r="N53" s="30"/>
    </row>
    <row r="54" spans="1:14" ht="15">
      <c r="A54" s="29" t="s">
        <v>79</v>
      </c>
      <c r="B54" s="3">
        <f>+Prices!B28</f>
        <v>341.725</v>
      </c>
      <c r="C54" s="3">
        <f>+(197.4+281.9)/2</f>
        <v>239.64999999999998</v>
      </c>
      <c r="D54" s="31">
        <f t="shared" si="0"/>
        <v>142.5933653244315</v>
      </c>
      <c r="E54" s="3">
        <v>31.711</v>
      </c>
      <c r="F54" s="33">
        <f t="shared" si="1"/>
        <v>0.22238762601507056</v>
      </c>
      <c r="G54" s="31"/>
      <c r="H54" s="54"/>
      <c r="I54" s="30"/>
      <c r="J54" s="30"/>
      <c r="K54" s="30"/>
      <c r="L54" s="30"/>
      <c r="M54" s="30"/>
      <c r="N54" s="30"/>
    </row>
    <row r="55" spans="1:14" ht="15">
      <c r="A55" s="29" t="s">
        <v>80</v>
      </c>
      <c r="B55" s="3">
        <f>+Prices!B29</f>
        <v>466.3</v>
      </c>
      <c r="C55" s="3">
        <f>+(279.45+329.1)/2</f>
        <v>304.275</v>
      </c>
      <c r="D55" s="31">
        <f t="shared" si="0"/>
        <v>153.2495275655246</v>
      </c>
      <c r="E55" s="3">
        <v>31.711</v>
      </c>
      <c r="F55" s="33">
        <f t="shared" si="1"/>
        <v>0.20692396579455286</v>
      </c>
      <c r="G55" s="31"/>
      <c r="H55" s="54"/>
      <c r="I55" s="30"/>
      <c r="J55" s="43"/>
      <c r="K55" s="30"/>
      <c r="L55" s="30"/>
      <c r="M55" s="30"/>
      <c r="N55" s="30"/>
    </row>
    <row r="56" spans="1:14" ht="15">
      <c r="A56" s="29" t="s">
        <v>81</v>
      </c>
      <c r="B56" s="3">
        <f>+Prices!B30</f>
        <v>554.3499999999999</v>
      </c>
      <c r="C56" s="3">
        <f>+(346.65+406.75)/2</f>
        <v>376.7</v>
      </c>
      <c r="D56" s="31">
        <f t="shared" si="0"/>
        <v>147.15954340323862</v>
      </c>
      <c r="E56" s="3">
        <v>31.711</v>
      </c>
      <c r="F56" s="33">
        <f t="shared" si="1"/>
        <v>0.21548721385406336</v>
      </c>
      <c r="G56" s="31"/>
      <c r="H56" s="54"/>
      <c r="I56" s="30"/>
      <c r="J56" s="30"/>
      <c r="K56" s="30"/>
      <c r="L56" s="30"/>
      <c r="M56" s="30"/>
      <c r="N56" s="30"/>
    </row>
    <row r="57" spans="1:14" ht="15">
      <c r="A57" s="29" t="s">
        <v>82</v>
      </c>
      <c r="B57" s="3">
        <f>+Prices!B31</f>
        <v>456.5</v>
      </c>
      <c r="C57" s="3">
        <f>+(371.4+422.5)/2</f>
        <v>396.95</v>
      </c>
      <c r="D57" s="31">
        <f t="shared" si="0"/>
        <v>115.00188940672629</v>
      </c>
      <c r="E57" s="3">
        <v>31.711</v>
      </c>
      <c r="F57" s="33">
        <f t="shared" si="1"/>
        <v>0.275743295728368</v>
      </c>
      <c r="G57" s="31"/>
      <c r="H57" s="54"/>
      <c r="I57" s="30"/>
      <c r="J57" s="43"/>
      <c r="K57" s="30"/>
      <c r="L57" s="30"/>
      <c r="M57" s="30"/>
      <c r="N57" s="30"/>
    </row>
    <row r="58" spans="1:14" ht="15">
      <c r="A58" s="29" t="s">
        <v>83</v>
      </c>
      <c r="B58" s="3">
        <f>+Prices!B32</f>
        <v>415.125</v>
      </c>
      <c r="C58" s="3">
        <f>+(367+354.95)/2</f>
        <v>360.975</v>
      </c>
      <c r="D58" s="31">
        <f t="shared" si="0"/>
        <v>115.00103885310618</v>
      </c>
      <c r="E58" s="3">
        <v>31.711</v>
      </c>
      <c r="F58" s="33">
        <f t="shared" si="1"/>
        <v>0.27574533514001803</v>
      </c>
      <c r="G58" s="31"/>
      <c r="H58" s="54"/>
      <c r="I58" s="30"/>
      <c r="J58" s="43"/>
      <c r="K58" s="30"/>
      <c r="L58" s="30"/>
      <c r="M58" s="30"/>
      <c r="N58" s="30"/>
    </row>
    <row r="59" spans="1:14" ht="15">
      <c r="A59" s="29" t="s">
        <v>84</v>
      </c>
      <c r="B59" s="3">
        <f>+Prices!B33</f>
        <v>402.85</v>
      </c>
      <c r="C59" s="3">
        <f>+(337.55+363.05)/2</f>
        <v>350.3</v>
      </c>
      <c r="D59" s="31">
        <f t="shared" si="0"/>
        <v>115.00142734798744</v>
      </c>
      <c r="E59" s="3">
        <v>31.711</v>
      </c>
      <c r="F59" s="33">
        <f t="shared" si="1"/>
        <v>0.2757444036241777</v>
      </c>
      <c r="G59" s="31"/>
      <c r="H59" s="54"/>
      <c r="I59" s="30"/>
      <c r="J59" s="43"/>
      <c r="K59" s="30"/>
      <c r="L59" s="30"/>
      <c r="M59" s="30"/>
      <c r="N59" s="30"/>
    </row>
    <row r="60" spans="1:14" ht="15">
      <c r="A60" s="29" t="s">
        <v>85</v>
      </c>
      <c r="B60" s="3">
        <f>+Prices!B34</f>
        <v>475.4</v>
      </c>
      <c r="C60" s="3">
        <f>+(393.3+433.45)/2</f>
        <v>413.375</v>
      </c>
      <c r="D60" s="31">
        <f t="shared" si="0"/>
        <v>115.00453583308135</v>
      </c>
      <c r="E60" s="3">
        <v>31.711</v>
      </c>
      <c r="F60" s="33">
        <f t="shared" si="1"/>
        <v>0.2757369504627682</v>
      </c>
      <c r="G60" s="31"/>
      <c r="H60" s="54"/>
      <c r="I60" s="30"/>
      <c r="J60" s="30"/>
      <c r="K60" s="30"/>
      <c r="L60" s="30"/>
      <c r="M60" s="30"/>
      <c r="N60" s="30"/>
    </row>
    <row r="61" spans="1:14" ht="15">
      <c r="A61" s="29" t="s">
        <v>86</v>
      </c>
      <c r="B61" s="3">
        <f>+Prices!B35</f>
        <v>466.5</v>
      </c>
      <c r="C61" s="3">
        <f>+(416.15+394.65)/2</f>
        <v>405.4</v>
      </c>
      <c r="D61" s="31">
        <f t="shared" si="0"/>
        <v>115.07153428712384</v>
      </c>
      <c r="E61" s="3">
        <v>31.711</v>
      </c>
      <c r="F61" s="33">
        <f t="shared" si="1"/>
        <v>0.2755764072883172</v>
      </c>
      <c r="G61" s="31"/>
      <c r="H61" s="54"/>
      <c r="I61" s="30"/>
      <c r="J61" s="30"/>
      <c r="K61" s="30"/>
      <c r="L61" s="30"/>
      <c r="M61" s="30"/>
      <c r="N61" s="30"/>
    </row>
    <row r="62" spans="1:14" ht="15">
      <c r="A62" s="29" t="s">
        <v>87</v>
      </c>
      <c r="B62" s="3">
        <f>+Prices!B36</f>
        <v>425.04999999999995</v>
      </c>
      <c r="C62" s="3">
        <f>+(386.7+352.5)/2</f>
        <v>369.6</v>
      </c>
      <c r="D62" s="31">
        <f t="shared" si="0"/>
        <v>115.00270562770561</v>
      </c>
      <c r="E62" s="3">
        <v>31.711</v>
      </c>
      <c r="F62" s="33">
        <f t="shared" si="1"/>
        <v>0.27574133866603934</v>
      </c>
      <c r="G62" s="31"/>
      <c r="H62" s="54"/>
      <c r="I62" s="30"/>
      <c r="J62" s="30"/>
      <c r="K62" s="30"/>
      <c r="L62" s="30"/>
      <c r="M62" s="30"/>
      <c r="N62" s="30"/>
    </row>
    <row r="63" spans="1:14" ht="15">
      <c r="A63" s="29" t="s">
        <v>88</v>
      </c>
      <c r="B63" s="3">
        <f>+Prices!B37</f>
        <v>405.275</v>
      </c>
      <c r="C63" s="3">
        <f>+(342.45+362.4)/2</f>
        <v>352.42499999999995</v>
      </c>
      <c r="D63" s="31">
        <f t="shared" si="0"/>
        <v>114.99609846066541</v>
      </c>
      <c r="E63" s="3">
        <v>31.711</v>
      </c>
      <c r="F63" s="33">
        <f t="shared" si="1"/>
        <v>0.2757571815433964</v>
      </c>
      <c r="G63" s="31"/>
      <c r="H63" s="54"/>
      <c r="I63" s="30"/>
      <c r="J63" s="30"/>
      <c r="K63" s="30"/>
      <c r="L63" s="30"/>
      <c r="M63" s="30"/>
      <c r="N63" s="30"/>
    </row>
    <row r="64" spans="1:14" ht="15">
      <c r="A64" s="29" t="s">
        <v>89</v>
      </c>
      <c r="B64" s="3">
        <f>+Prices!B38</f>
        <v>473.67499999999995</v>
      </c>
      <c r="C64" s="3">
        <f>+(399.5+424.25)/2</f>
        <v>411.875</v>
      </c>
      <c r="D64" s="31">
        <f t="shared" si="0"/>
        <v>115.00455235204853</v>
      </c>
      <c r="E64" s="3">
        <v>31.711</v>
      </c>
      <c r="F64" s="33">
        <f t="shared" si="1"/>
        <v>0.2757369108566</v>
      </c>
      <c r="G64" s="31"/>
      <c r="H64" s="54"/>
      <c r="I64" s="30"/>
      <c r="J64" s="30"/>
      <c r="K64" s="30"/>
      <c r="L64" s="30"/>
      <c r="M64" s="30"/>
      <c r="N64" s="30"/>
    </row>
    <row r="65" spans="1:14" ht="15">
      <c r="A65" s="29" t="s">
        <v>90</v>
      </c>
      <c r="B65" s="3">
        <f>+Prices!B39</f>
        <v>460.975</v>
      </c>
      <c r="C65" s="3">
        <f>+(374.8+426.9)/2</f>
        <v>400.85</v>
      </c>
      <c r="D65" s="31">
        <f t="shared" si="0"/>
        <v>114.99937632530872</v>
      </c>
      <c r="E65" s="3">
        <v>31.711</v>
      </c>
      <c r="F65" s="33">
        <f t="shared" si="1"/>
        <v>0.2757493215467216</v>
      </c>
      <c r="G65" s="31"/>
      <c r="H65" s="54"/>
      <c r="I65" s="30"/>
      <c r="J65" s="30"/>
      <c r="K65" s="30"/>
      <c r="L65" s="30"/>
      <c r="M65" s="30"/>
      <c r="N65" s="30"/>
    </row>
    <row r="66" spans="1:14" ht="15">
      <c r="A66" s="29" t="s">
        <v>91</v>
      </c>
      <c r="B66" s="3">
        <f>+Prices!B40</f>
        <v>683.65</v>
      </c>
      <c r="C66" s="3">
        <f>+(534.6+654.3)/2</f>
        <v>594.45</v>
      </c>
      <c r="D66" s="31">
        <f t="shared" si="0"/>
        <v>115.00546723862392</v>
      </c>
      <c r="E66" s="3">
        <v>31.711</v>
      </c>
      <c r="F66" s="33">
        <f t="shared" si="1"/>
        <v>0.2757347173261172</v>
      </c>
      <c r="G66" s="31"/>
      <c r="H66" s="54"/>
      <c r="I66" s="30"/>
      <c r="J66" s="30"/>
      <c r="K66" s="30"/>
      <c r="L66" s="30"/>
      <c r="M66" s="30"/>
      <c r="N66" s="30"/>
    </row>
    <row r="67" spans="1:14" ht="15">
      <c r="A67" s="29" t="s">
        <v>92</v>
      </c>
      <c r="B67" s="3">
        <f>+Prices!B41</f>
        <v>593.45</v>
      </c>
      <c r="C67" s="3">
        <f>+(518.9+513.15)/2</f>
        <v>516.025</v>
      </c>
      <c r="D67" s="31">
        <f t="shared" si="0"/>
        <v>115.00411801753792</v>
      </c>
      <c r="E67" s="3">
        <v>31.711</v>
      </c>
      <c r="F67" s="33">
        <f t="shared" si="1"/>
        <v>0.27573795222849434</v>
      </c>
      <c r="G67" s="31"/>
      <c r="H67" s="54"/>
      <c r="I67" s="30"/>
      <c r="J67" s="30"/>
      <c r="K67" s="30"/>
      <c r="L67" s="30"/>
      <c r="M67" s="30"/>
      <c r="N67" s="30"/>
    </row>
    <row r="68" spans="1:14" ht="15">
      <c r="A68" s="29" t="s">
        <v>93</v>
      </c>
      <c r="B68" s="3">
        <f>+Prices!B42</f>
        <v>535.75</v>
      </c>
      <c r="C68" s="3">
        <f>+(513.15+418.55)/2</f>
        <v>465.85</v>
      </c>
      <c r="D68" s="31">
        <f t="shared" si="0"/>
        <v>115.00482988086293</v>
      </c>
      <c r="E68" s="3">
        <v>31.711</v>
      </c>
      <c r="F68" s="33">
        <f t="shared" si="1"/>
        <v>0.27573624545030334</v>
      </c>
      <c r="G68" s="31"/>
      <c r="H68" s="54"/>
      <c r="I68" s="30"/>
      <c r="J68" s="30"/>
      <c r="K68" s="30"/>
      <c r="L68" s="30"/>
      <c r="M68" s="30"/>
      <c r="N68" s="30"/>
    </row>
    <row r="69" spans="1:14" ht="15">
      <c r="A69" s="29" t="s">
        <v>94</v>
      </c>
      <c r="B69" s="3">
        <f>+Prices!B43</f>
        <v>401.4</v>
      </c>
      <c r="C69" s="3">
        <f>+(418.55+279.5)/2</f>
        <v>349.025</v>
      </c>
      <c r="D69" s="31">
        <f t="shared" si="0"/>
        <v>115.00608838908389</v>
      </c>
      <c r="E69" s="3">
        <v>31.711</v>
      </c>
      <c r="F69" s="33">
        <f t="shared" si="1"/>
        <v>0.2757332280767314</v>
      </c>
      <c r="G69" s="31"/>
      <c r="H69" s="54"/>
      <c r="I69" s="30"/>
      <c r="J69" s="30"/>
      <c r="K69" s="30"/>
      <c r="L69" s="30"/>
      <c r="M69" s="30"/>
      <c r="N69" s="30"/>
    </row>
    <row r="70" spans="1:14" ht="15">
      <c r="A70" s="29" t="s">
        <v>95</v>
      </c>
      <c r="B70" s="3">
        <f>+Prices!B44</f>
        <v>321.45</v>
      </c>
      <c r="C70" s="3">
        <f>+(279.5*2)/2</f>
        <v>279.5</v>
      </c>
      <c r="D70" s="31">
        <f t="shared" si="0"/>
        <v>115.00894454382826</v>
      </c>
      <c r="E70" s="3">
        <v>31.711</v>
      </c>
      <c r="F70" s="33">
        <f t="shared" si="1"/>
        <v>0.27572638046352466</v>
      </c>
      <c r="G70" s="31"/>
      <c r="H70" s="54"/>
      <c r="I70" s="30"/>
      <c r="J70" s="30"/>
      <c r="K70" s="30"/>
      <c r="L70" s="30"/>
      <c r="M70" s="30"/>
      <c r="N70" s="30"/>
    </row>
    <row r="71" spans="1:14" ht="15">
      <c r="A71" s="29" t="s">
        <v>96</v>
      </c>
      <c r="B71" s="3">
        <f>+Prices!B45</f>
        <v>294.65</v>
      </c>
      <c r="C71" s="3">
        <f>+(279.5+232.9)/2</f>
        <v>256.2</v>
      </c>
      <c r="D71" s="31">
        <f t="shared" si="0"/>
        <v>115.00780640124901</v>
      </c>
      <c r="E71" s="3">
        <v>31.711</v>
      </c>
      <c r="F71" s="33">
        <f t="shared" si="1"/>
        <v>0.27572910911250637</v>
      </c>
      <c r="G71" s="31"/>
      <c r="H71" s="54"/>
      <c r="I71" s="30"/>
      <c r="J71" s="30"/>
      <c r="K71" s="30"/>
      <c r="L71" s="30"/>
      <c r="M71" s="30"/>
      <c r="N71" s="30"/>
    </row>
    <row r="72" spans="1:14" ht="15">
      <c r="A72" s="29" t="s">
        <v>97</v>
      </c>
      <c r="B72" s="3">
        <f>+Prices!B46</f>
        <v>312.5</v>
      </c>
      <c r="C72" s="3">
        <f>+(232.7+307.9)/2</f>
        <v>270.29999999999995</v>
      </c>
      <c r="D72" s="31">
        <f t="shared" si="0"/>
        <v>115.61228264890863</v>
      </c>
      <c r="E72" s="3">
        <v>31.711</v>
      </c>
      <c r="F72" s="33">
        <f t="shared" si="1"/>
        <v>0.27428746559999995</v>
      </c>
      <c r="G72" s="31"/>
      <c r="H72" s="54"/>
      <c r="I72" s="30"/>
      <c r="J72" s="30"/>
      <c r="K72" s="30"/>
      <c r="L72" s="30"/>
      <c r="M72" s="30"/>
      <c r="N72" s="30"/>
    </row>
    <row r="73" spans="1:14" ht="15">
      <c r="A73" s="29" t="s">
        <v>98</v>
      </c>
      <c r="B73" s="3">
        <f>+Prices!B47</f>
        <v>553.225</v>
      </c>
      <c r="C73" s="3">
        <f>+(549.1+396.55)/2</f>
        <v>472.82500000000005</v>
      </c>
      <c r="D73" s="31">
        <f t="shared" si="0"/>
        <v>117.0041770210966</v>
      </c>
      <c r="E73" s="3">
        <v>31.711</v>
      </c>
      <c r="F73" s="33">
        <f t="shared" si="1"/>
        <v>0.2710245121785892</v>
      </c>
      <c r="G73" s="31"/>
      <c r="H73" s="54"/>
      <c r="I73" s="30"/>
      <c r="J73" s="30"/>
      <c r="K73" s="30"/>
      <c r="L73" s="30"/>
      <c r="M73" s="30"/>
      <c r="N73" s="30"/>
    </row>
    <row r="74" spans="1:14" ht="15">
      <c r="A74" s="29" t="s">
        <v>99</v>
      </c>
      <c r="B74" s="3">
        <f>+Prices!B48</f>
        <v>453.7</v>
      </c>
      <c r="C74" s="3">
        <f>+(401.9+369.7)/2</f>
        <v>385.79999999999995</v>
      </c>
      <c r="D74" s="31">
        <f t="shared" si="0"/>
        <v>117.59979263867291</v>
      </c>
      <c r="E74" s="3">
        <v>31.711</v>
      </c>
      <c r="F74" s="33">
        <f t="shared" si="1"/>
        <v>0.2696518360149878</v>
      </c>
      <c r="G74" s="31"/>
      <c r="H74" s="54"/>
      <c r="I74" s="30"/>
      <c r="J74" s="30"/>
      <c r="K74" s="30"/>
      <c r="L74" s="30"/>
      <c r="M74" s="30"/>
      <c r="N74" s="30"/>
    </row>
    <row r="75" spans="1:14" ht="15">
      <c r="A75" s="29" t="s">
        <v>100</v>
      </c>
      <c r="B75" s="3">
        <f>+Prices!B49</f>
        <v>342.6</v>
      </c>
      <c r="C75" s="3">
        <f>+(305.7+287.4)/2</f>
        <v>296.54999999999995</v>
      </c>
      <c r="D75" s="31">
        <f t="shared" si="0"/>
        <v>115.52857865452708</v>
      </c>
      <c r="E75" s="3">
        <v>31.711</v>
      </c>
      <c r="F75" s="33">
        <f t="shared" si="1"/>
        <v>0.2744861952714535</v>
      </c>
      <c r="G75" s="31"/>
      <c r="H75" s="54"/>
      <c r="I75" s="30"/>
      <c r="J75" s="30"/>
      <c r="K75" s="30"/>
      <c r="L75" s="30"/>
      <c r="M75" s="30"/>
      <c r="N75" s="30"/>
    </row>
    <row r="76" spans="1:14" ht="15">
      <c r="A76" s="29" t="s">
        <v>101</v>
      </c>
      <c r="B76" s="3">
        <f>+Prices!B50</f>
        <v>342.6</v>
      </c>
      <c r="C76" s="3">
        <f>+(300.6+279.05)/2</f>
        <v>289.82500000000005</v>
      </c>
      <c r="D76" s="31">
        <f t="shared" si="0"/>
        <v>118.2092642111619</v>
      </c>
      <c r="E76" s="3">
        <v>31.711</v>
      </c>
      <c r="F76" s="33">
        <f t="shared" si="1"/>
        <v>0.26826154626386456</v>
      </c>
      <c r="G76" s="31"/>
      <c r="H76" s="54"/>
      <c r="I76" s="30"/>
      <c r="J76" s="30"/>
      <c r="K76" s="30"/>
      <c r="L76" s="30"/>
      <c r="M76" s="30"/>
      <c r="N76" s="30"/>
    </row>
    <row r="77" spans="1:14" ht="15">
      <c r="A77" s="29" t="s">
        <v>102</v>
      </c>
      <c r="B77" s="3">
        <f>+Prices!B51</f>
        <v>273.125</v>
      </c>
      <c r="C77" s="3">
        <f>+(231.45+223.75)/2</f>
        <v>227.6</v>
      </c>
      <c r="D77" s="31">
        <f t="shared" si="0"/>
        <v>120.00219683655536</v>
      </c>
      <c r="E77" s="3">
        <v>31.711</v>
      </c>
      <c r="F77" s="33">
        <f t="shared" si="1"/>
        <v>0.26425349565217393</v>
      </c>
      <c r="G77" s="31"/>
      <c r="H77" s="54"/>
      <c r="I77" s="30"/>
      <c r="J77" s="30"/>
      <c r="K77" s="30"/>
      <c r="L77" s="30"/>
      <c r="M77" s="30"/>
      <c r="N77" s="30"/>
    </row>
    <row r="78" spans="1:14" ht="15">
      <c r="A78" s="29" t="s">
        <v>103</v>
      </c>
      <c r="B78" s="3">
        <f>+Prices!B52</f>
        <v>268.5</v>
      </c>
      <c r="C78" s="3">
        <f>+(231.45+216.05)/2</f>
        <v>223.75</v>
      </c>
      <c r="D78" s="31">
        <f t="shared" si="0"/>
        <v>120</v>
      </c>
      <c r="E78" s="3">
        <v>31.711</v>
      </c>
      <c r="F78" s="33">
        <f t="shared" si="1"/>
        <v>0.2642583333333333</v>
      </c>
      <c r="G78" s="31"/>
      <c r="H78" s="54"/>
      <c r="I78" s="30"/>
      <c r="J78" s="30"/>
      <c r="K78" s="30"/>
      <c r="L78" s="30"/>
      <c r="M78" s="30"/>
      <c r="N78" s="30"/>
    </row>
    <row r="79" spans="1:14" ht="15">
      <c r="A79" s="29" t="s">
        <v>104</v>
      </c>
      <c r="B79" s="3">
        <f>+Prices!B53</f>
        <v>268.5</v>
      </c>
      <c r="C79" s="3">
        <f>+(223.75+223.5)/2</f>
        <v>223.625</v>
      </c>
      <c r="D79" s="31">
        <f t="shared" si="0"/>
        <v>120.06707657909446</v>
      </c>
      <c r="E79" s="3">
        <v>31.711</v>
      </c>
      <c r="F79" s="33">
        <f t="shared" si="1"/>
        <v>0.26411070297951583</v>
      </c>
      <c r="G79" s="31"/>
      <c r="H79" s="54"/>
      <c r="I79" s="30"/>
      <c r="J79" s="30"/>
      <c r="K79" s="30"/>
      <c r="L79" s="30"/>
      <c r="M79" s="30"/>
      <c r="N79" s="30"/>
    </row>
    <row r="80" spans="1:14" ht="15">
      <c r="A80" s="29" t="s">
        <v>105</v>
      </c>
      <c r="B80" s="3">
        <f>+Prices!B54</f>
        <v>328.675</v>
      </c>
      <c r="C80" s="3">
        <f>+(234.3+302.3)/2</f>
        <v>268.3</v>
      </c>
      <c r="D80" s="31">
        <f t="shared" si="0"/>
        <v>122.50279537830787</v>
      </c>
      <c r="E80" s="3">
        <v>31.711</v>
      </c>
      <c r="F80" s="33">
        <f t="shared" si="1"/>
        <v>0.2588593991024568</v>
      </c>
      <c r="G80" s="31"/>
      <c r="H80" s="54"/>
      <c r="I80" s="30"/>
      <c r="J80" s="30"/>
      <c r="K80" s="30"/>
      <c r="L80" s="30"/>
      <c r="M80" s="30"/>
      <c r="N80" s="30"/>
    </row>
    <row r="81" spans="1:14" ht="15">
      <c r="A81" s="29" t="s">
        <v>106</v>
      </c>
      <c r="B81" s="3">
        <f>+Prices!B55</f>
        <v>423.6</v>
      </c>
      <c r="C81" s="3">
        <f>+(328.75+362.8)/2</f>
        <v>345.775</v>
      </c>
      <c r="D81" s="31">
        <f t="shared" si="0"/>
        <v>122.50741088858364</v>
      </c>
      <c r="E81" s="3">
        <v>31.711</v>
      </c>
      <c r="F81" s="33">
        <f t="shared" si="1"/>
        <v>0.2588496464825306</v>
      </c>
      <c r="G81" s="31"/>
      <c r="H81" s="54"/>
      <c r="I81" s="30"/>
      <c r="J81" s="30"/>
      <c r="K81" s="30"/>
      <c r="L81" s="30"/>
      <c r="M81" s="30"/>
      <c r="N81" s="30"/>
    </row>
    <row r="82" spans="1:14" ht="15">
      <c r="A82" s="29" t="s">
        <v>107</v>
      </c>
      <c r="B82" s="3">
        <f>+Prices!B56</f>
        <v>337.95000000000005</v>
      </c>
      <c r="C82" s="3">
        <f>+(287.2+264.55)/2</f>
        <v>275.875</v>
      </c>
      <c r="D82" s="31">
        <f t="shared" si="0"/>
        <v>122.50113275940191</v>
      </c>
      <c r="E82" s="3">
        <v>31.711</v>
      </c>
      <c r="F82" s="33">
        <f t="shared" si="1"/>
        <v>0.25886291241307885</v>
      </c>
      <c r="G82" s="31"/>
      <c r="H82" s="54"/>
      <c r="I82" s="30"/>
      <c r="J82" s="30"/>
      <c r="K82" s="30"/>
      <c r="L82" s="30"/>
      <c r="M82" s="30"/>
      <c r="N82" s="30"/>
    </row>
    <row r="83" spans="1:14" ht="15">
      <c r="A83" s="29" t="s">
        <v>108</v>
      </c>
      <c r="B83" s="3">
        <f>+Prices!B57</f>
        <v>317</v>
      </c>
      <c r="C83" s="3">
        <f>+(268.8+254.75)/2</f>
        <v>261.775</v>
      </c>
      <c r="D83" s="31">
        <f t="shared" si="0"/>
        <v>121.09636137904691</v>
      </c>
      <c r="E83" s="3">
        <v>31.711</v>
      </c>
      <c r="F83" s="33">
        <f t="shared" si="1"/>
        <v>0.2618658367507886</v>
      </c>
      <c r="G83" s="31"/>
      <c r="H83" s="54"/>
      <c r="I83" s="30"/>
      <c r="J83" s="30"/>
      <c r="K83" s="30"/>
      <c r="L83" s="30"/>
      <c r="M83" s="30"/>
      <c r="N83" s="30"/>
    </row>
    <row r="84" spans="1:14" ht="15">
      <c r="A84" s="29" t="s">
        <v>109</v>
      </c>
      <c r="B84" s="3">
        <f>+Prices!B58</f>
        <v>351.85</v>
      </c>
      <c r="C84" s="3">
        <f>+(287.2+287.2)/2</f>
        <v>287.2</v>
      </c>
      <c r="D84" s="31">
        <f t="shared" si="0"/>
        <v>122.51044568245126</v>
      </c>
      <c r="E84" s="3">
        <v>31.711</v>
      </c>
      <c r="F84" s="33">
        <f t="shared" si="1"/>
        <v>0.25884323433281226</v>
      </c>
      <c r="G84" s="31"/>
      <c r="H84" s="54"/>
      <c r="I84" s="30"/>
      <c r="J84" s="30"/>
      <c r="K84" s="30"/>
      <c r="L84" s="30"/>
      <c r="M84" s="30"/>
      <c r="N84" s="30"/>
    </row>
    <row r="85" spans="1:14" ht="15">
      <c r="A85" s="29" t="s">
        <v>110</v>
      </c>
      <c r="B85" s="3">
        <f>+Prices!B59</f>
        <v>574.05</v>
      </c>
      <c r="C85" s="3">
        <v>468.6</v>
      </c>
      <c r="D85" s="31">
        <f t="shared" si="0"/>
        <v>122.50320102432777</v>
      </c>
      <c r="E85" s="3">
        <v>31.711</v>
      </c>
      <c r="F85" s="33">
        <f t="shared" si="1"/>
        <v>0.25885854193885555</v>
      </c>
      <c r="G85" s="31"/>
      <c r="H85" s="54"/>
      <c r="I85" s="30"/>
      <c r="J85" s="30"/>
      <c r="K85" s="30"/>
      <c r="L85" s="30"/>
      <c r="M85" s="30"/>
      <c r="N85" s="30"/>
    </row>
    <row r="86" spans="1:14" ht="15">
      <c r="A86" s="29" t="s">
        <v>111</v>
      </c>
      <c r="B86" s="3">
        <f>+Prices!B60</f>
        <v>587.925</v>
      </c>
      <c r="C86" s="3">
        <f>+(483.75+476.1)/2</f>
        <v>479.925</v>
      </c>
      <c r="D86" s="31">
        <f t="shared" si="0"/>
        <v>122.50351617440222</v>
      </c>
      <c r="E86" s="3">
        <v>31.711</v>
      </c>
      <c r="F86" s="33">
        <f t="shared" si="1"/>
        <v>0.2588578760045925</v>
      </c>
      <c r="G86" s="31"/>
      <c r="H86" s="54"/>
      <c r="I86" s="30"/>
      <c r="J86" s="30"/>
      <c r="K86" s="30"/>
      <c r="L86" s="30"/>
      <c r="M86" s="30"/>
      <c r="N86" s="30"/>
    </row>
    <row r="87" spans="1:14" ht="15">
      <c r="A87" s="29" t="s">
        <v>112</v>
      </c>
      <c r="B87" s="3">
        <f>+Prices!B61</f>
        <v>698.325</v>
      </c>
      <c r="C87" s="3">
        <f>+(551.75+588.35)/2</f>
        <v>570.05</v>
      </c>
      <c r="D87" s="31">
        <f t="shared" si="0"/>
        <v>122.50241206911676</v>
      </c>
      <c r="E87" s="3">
        <v>31.711</v>
      </c>
      <c r="F87" s="33">
        <f t="shared" si="1"/>
        <v>0.25886020907170726</v>
      </c>
      <c r="G87" s="31"/>
      <c r="H87" s="54"/>
      <c r="I87" s="30"/>
      <c r="J87" s="30"/>
      <c r="K87" s="30"/>
      <c r="L87" s="30"/>
      <c r="M87" s="30"/>
      <c r="N87" s="30"/>
    </row>
    <row r="88" spans="1:14" ht="15">
      <c r="A88" s="29" t="s">
        <v>113</v>
      </c>
      <c r="B88" s="3">
        <f>+Prices!B62</f>
        <v>338.875</v>
      </c>
      <c r="C88" s="3">
        <f>+(302.3+250.95)/2</f>
        <v>276.625</v>
      </c>
      <c r="D88" s="31">
        <f t="shared" si="0"/>
        <v>122.50338906461818</v>
      </c>
      <c r="E88" s="3">
        <v>31.711</v>
      </c>
      <c r="F88" s="33">
        <f t="shared" si="1"/>
        <v>0.25885814459608997</v>
      </c>
      <c r="G88" s="31"/>
      <c r="H88" s="54"/>
      <c r="I88" s="30"/>
      <c r="J88" s="30"/>
      <c r="K88" s="30"/>
      <c r="L88" s="30"/>
      <c r="M88" s="30"/>
      <c r="N88" s="30"/>
    </row>
    <row r="89" spans="1:14" ht="15">
      <c r="A89" s="29" t="s">
        <v>114</v>
      </c>
      <c r="B89" s="3">
        <f>+Prices!B63</f>
        <v>320.375</v>
      </c>
      <c r="C89" s="3">
        <f>+(250.95+272.1)/2</f>
        <v>261.525</v>
      </c>
      <c r="D89" s="31">
        <f t="shared" si="0"/>
        <v>122.50262881177709</v>
      </c>
      <c r="E89" s="3">
        <v>31.711</v>
      </c>
      <c r="F89" s="33">
        <f t="shared" si="1"/>
        <v>0.25885975107296133</v>
      </c>
      <c r="G89" s="31"/>
      <c r="H89" s="54"/>
      <c r="I89" s="30"/>
      <c r="J89" s="30"/>
      <c r="K89" s="30"/>
      <c r="L89" s="30"/>
      <c r="M89" s="30"/>
      <c r="N89" s="30"/>
    </row>
    <row r="90" spans="1:14" ht="15">
      <c r="A90" s="29" t="s">
        <v>115</v>
      </c>
      <c r="B90" s="3">
        <f>+Prices!B64</f>
        <v>333.35</v>
      </c>
      <c r="C90" s="3">
        <v>272.1</v>
      </c>
      <c r="D90" s="31">
        <f t="shared" si="0"/>
        <v>122.51010657846379</v>
      </c>
      <c r="E90" s="3">
        <v>31.711</v>
      </c>
      <c r="F90" s="33">
        <f t="shared" si="1"/>
        <v>0.25884395080245987</v>
      </c>
      <c r="G90" s="31"/>
      <c r="H90" s="54"/>
      <c r="I90" s="30"/>
      <c r="J90" s="30"/>
      <c r="K90" s="30"/>
      <c r="L90" s="30"/>
      <c r="M90" s="30"/>
      <c r="N90" s="30"/>
    </row>
    <row r="91" spans="1:14" ht="15">
      <c r="A91" s="29" t="s">
        <v>116</v>
      </c>
      <c r="B91" s="3">
        <f>+Prices!B65</f>
        <v>333.35</v>
      </c>
      <c r="C91" s="3">
        <v>272.1</v>
      </c>
      <c r="D91" s="31">
        <f t="shared" si="0"/>
        <v>122.51010657846379</v>
      </c>
      <c r="E91" s="3">
        <v>31.711</v>
      </c>
      <c r="F91" s="33">
        <f t="shared" si="1"/>
        <v>0.25884395080245987</v>
      </c>
      <c r="G91" s="31"/>
      <c r="H91" s="54"/>
      <c r="I91" s="30"/>
      <c r="J91" s="30"/>
      <c r="K91" s="30"/>
      <c r="L91" s="30"/>
      <c r="M91" s="30"/>
      <c r="N91" s="30"/>
    </row>
    <row r="92" spans="1:14" ht="15">
      <c r="A92" s="29" t="s">
        <v>117</v>
      </c>
      <c r="B92" s="3">
        <f>+Prices!B66</f>
        <v>333.35</v>
      </c>
      <c r="C92" s="3">
        <v>272.1</v>
      </c>
      <c r="D92" s="31">
        <f t="shared" si="0"/>
        <v>122.51010657846379</v>
      </c>
      <c r="E92" s="3">
        <v>31.711</v>
      </c>
      <c r="F92" s="33">
        <f t="shared" si="1"/>
        <v>0.25884395080245987</v>
      </c>
      <c r="G92" s="31"/>
      <c r="H92" s="54"/>
      <c r="I92" s="30"/>
      <c r="J92" s="30"/>
      <c r="K92" s="30"/>
      <c r="L92" s="30"/>
      <c r="M92" s="30"/>
      <c r="N92" s="30"/>
    </row>
    <row r="93" spans="1:14" ht="15">
      <c r="A93" s="29" t="s">
        <v>118</v>
      </c>
      <c r="B93" s="3">
        <f>+Prices!B67</f>
        <v>333.35</v>
      </c>
      <c r="C93" s="3">
        <v>272.1</v>
      </c>
      <c r="D93" s="31">
        <f t="shared" si="0"/>
        <v>122.51010657846379</v>
      </c>
      <c r="E93" s="3">
        <v>31.711</v>
      </c>
      <c r="F93" s="33">
        <f t="shared" si="1"/>
        <v>0.25884395080245987</v>
      </c>
      <c r="G93" s="31"/>
      <c r="H93" s="54"/>
      <c r="I93" s="30"/>
      <c r="J93" s="30"/>
      <c r="K93" s="30"/>
      <c r="L93" s="30"/>
      <c r="M93" s="30"/>
      <c r="N93" s="30"/>
    </row>
    <row r="94" spans="1:14" ht="15">
      <c r="A94" s="29" t="s">
        <v>119</v>
      </c>
      <c r="B94" s="3">
        <f>+Prices!B68</f>
        <v>333.35</v>
      </c>
      <c r="C94" s="3">
        <f>+(272.1+271.35)/2</f>
        <v>271.725</v>
      </c>
      <c r="D94" s="31">
        <f t="shared" si="0"/>
        <v>122.67917931732451</v>
      </c>
      <c r="E94" s="3">
        <v>31.711</v>
      </c>
      <c r="F94" s="33">
        <f t="shared" si="1"/>
        <v>0.2584872198890055</v>
      </c>
      <c r="G94" s="31"/>
      <c r="H94" s="54"/>
      <c r="I94" s="30"/>
      <c r="J94" s="30"/>
      <c r="K94" s="30"/>
      <c r="L94" s="30"/>
      <c r="M94" s="30"/>
      <c r="N94" s="30"/>
    </row>
    <row r="95" spans="1:14" ht="15">
      <c r="A95" s="29" t="s">
        <v>120</v>
      </c>
      <c r="B95" s="3">
        <f>+Prices!B69</f>
        <v>333.35</v>
      </c>
      <c r="C95" s="3">
        <f>+(266.7+262.9)/2</f>
        <v>264.79999999999995</v>
      </c>
      <c r="D95" s="31">
        <f t="shared" si="0"/>
        <v>125.88746223564956</v>
      </c>
      <c r="E95" s="3">
        <v>31.711</v>
      </c>
      <c r="F95" s="33">
        <f t="shared" si="1"/>
        <v>0.25189958902054893</v>
      </c>
      <c r="G95" s="31"/>
      <c r="H95" s="54"/>
      <c r="I95" s="30"/>
      <c r="J95" s="30"/>
      <c r="K95" s="30"/>
      <c r="L95" s="30"/>
      <c r="M95" s="30"/>
      <c r="N95" s="30"/>
    </row>
    <row r="96" spans="1:14" ht="15">
      <c r="A96" s="29" t="s">
        <v>121</v>
      </c>
      <c r="B96" s="3">
        <f>+Prices!B70</f>
        <v>333.35</v>
      </c>
      <c r="C96" s="3">
        <f>+(243.95+238.1)/2</f>
        <v>241.02499999999998</v>
      </c>
      <c r="D96" s="31">
        <f t="shared" si="0"/>
        <v>138.3051550669018</v>
      </c>
      <c r="E96" s="3">
        <v>31.711</v>
      </c>
      <c r="F96" s="33">
        <f t="shared" si="1"/>
        <v>0.2292828491075446</v>
      </c>
      <c r="G96" s="31"/>
      <c r="H96" s="54"/>
      <c r="I96" s="30"/>
      <c r="J96" s="30"/>
      <c r="K96" s="30"/>
      <c r="L96" s="30"/>
      <c r="M96" s="30"/>
      <c r="N96" s="30"/>
    </row>
    <row r="97" spans="1:14" ht="15">
      <c r="A97" s="29" t="s">
        <v>122</v>
      </c>
      <c r="B97" s="3">
        <f>+Prices!B71</f>
        <v>333.35</v>
      </c>
      <c r="C97" s="3">
        <v>238.1</v>
      </c>
      <c r="D97" s="31">
        <f t="shared" si="0"/>
        <v>140.0041999160017</v>
      </c>
      <c r="E97" s="3">
        <v>31.711</v>
      </c>
      <c r="F97" s="33">
        <f t="shared" si="1"/>
        <v>0.22650034798260082</v>
      </c>
      <c r="G97" s="31"/>
      <c r="H97" s="54"/>
      <c r="I97" s="30"/>
      <c r="J97" s="30"/>
      <c r="K97" s="30"/>
      <c r="L97" s="30"/>
      <c r="M97" s="30"/>
      <c r="N97" s="30"/>
    </row>
    <row r="98" spans="1:14" ht="15">
      <c r="A98" s="29" t="s">
        <v>123</v>
      </c>
      <c r="B98" s="3">
        <f>+Prices!B72</f>
        <v>427.6</v>
      </c>
      <c r="C98" s="3">
        <f>+(372.75+238.1)/2</f>
        <v>305.425</v>
      </c>
      <c r="D98" s="31">
        <f t="shared" si="0"/>
        <v>140.00163706310877</v>
      </c>
      <c r="E98" s="3">
        <v>31.711</v>
      </c>
      <c r="F98" s="33">
        <f t="shared" si="1"/>
        <v>0.22650449427034614</v>
      </c>
      <c r="G98" s="31"/>
      <c r="H98" s="54"/>
      <c r="I98" s="30"/>
      <c r="J98" s="30"/>
      <c r="K98" s="30"/>
      <c r="L98" s="30"/>
      <c r="M98" s="30"/>
      <c r="N98" s="30"/>
    </row>
    <row r="99" spans="1:14" ht="15">
      <c r="A99" s="29" t="s">
        <v>124</v>
      </c>
      <c r="B99" s="3">
        <f>+Prices!B73</f>
        <v>333.35</v>
      </c>
      <c r="C99" s="3">
        <v>238.1</v>
      </c>
      <c r="D99" s="31">
        <f t="shared" si="0"/>
        <v>140.0041999160017</v>
      </c>
      <c r="E99" s="3">
        <v>31.711</v>
      </c>
      <c r="F99" s="33">
        <f t="shared" si="1"/>
        <v>0.22650034798260082</v>
      </c>
      <c r="G99" s="31"/>
      <c r="H99" s="54"/>
      <c r="I99" s="30"/>
      <c r="J99" s="30"/>
      <c r="K99" s="30"/>
      <c r="L99" s="30"/>
      <c r="M99" s="30"/>
      <c r="N99" s="30"/>
    </row>
    <row r="100" spans="1:14" ht="15">
      <c r="A100" s="29" t="s">
        <v>125</v>
      </c>
      <c r="B100" s="3">
        <f>+Prices!B74</f>
        <v>333.35</v>
      </c>
      <c r="C100" s="3">
        <v>238.1</v>
      </c>
      <c r="D100" s="31">
        <f t="shared" si="0"/>
        <v>140.0041999160017</v>
      </c>
      <c r="E100" s="3">
        <v>31.711</v>
      </c>
      <c r="F100" s="33">
        <f t="shared" si="1"/>
        <v>0.22650034798260082</v>
      </c>
      <c r="G100" s="31"/>
      <c r="H100" s="54"/>
      <c r="I100" s="30"/>
      <c r="J100" s="30"/>
      <c r="K100" s="30"/>
      <c r="L100" s="30"/>
      <c r="M100" s="30"/>
      <c r="N100" s="30"/>
    </row>
    <row r="101" spans="1:14" ht="15">
      <c r="A101" s="29" t="s">
        <v>126</v>
      </c>
      <c r="B101" s="3">
        <f>+Prices!B75</f>
        <v>370.35</v>
      </c>
      <c r="C101" s="3">
        <v>264.55</v>
      </c>
      <c r="D101" s="31">
        <f t="shared" si="0"/>
        <v>139.99243999244</v>
      </c>
      <c r="E101" s="3">
        <v>31.711</v>
      </c>
      <c r="F101" s="33">
        <f t="shared" si="1"/>
        <v>0.22651937491562033</v>
      </c>
      <c r="G101" s="31"/>
      <c r="H101" s="54"/>
      <c r="I101" s="30"/>
      <c r="J101" s="30"/>
      <c r="K101" s="30"/>
      <c r="L101" s="30"/>
      <c r="M101" s="30"/>
      <c r="N101" s="30"/>
    </row>
    <row r="102" spans="1:14" ht="15">
      <c r="A102" s="29" t="s">
        <v>127</v>
      </c>
      <c r="B102" s="3">
        <f>+Prices!B76</f>
        <v>333.35</v>
      </c>
      <c r="C102" s="3">
        <v>238.1</v>
      </c>
      <c r="D102" s="31">
        <f t="shared" si="0"/>
        <v>140.0041999160017</v>
      </c>
      <c r="E102" s="3">
        <v>31.711</v>
      </c>
      <c r="F102" s="33">
        <f t="shared" si="1"/>
        <v>0.22650034798260082</v>
      </c>
      <c r="G102" s="31"/>
      <c r="H102" s="54"/>
      <c r="I102" s="30"/>
      <c r="J102" s="30"/>
      <c r="K102" s="30"/>
      <c r="L102" s="30"/>
      <c r="M102" s="30"/>
      <c r="N102" s="30"/>
    </row>
    <row r="103" spans="1:14" ht="15">
      <c r="A103" s="29" t="s">
        <v>128</v>
      </c>
      <c r="B103" s="3">
        <f>+Prices!B77</f>
        <v>314.82500000000005</v>
      </c>
      <c r="C103" s="3">
        <f>+(211.65+238.1)/2</f>
        <v>224.875</v>
      </c>
      <c r="D103" s="31">
        <f t="shared" si="0"/>
        <v>140</v>
      </c>
      <c r="E103" s="3">
        <v>31.711</v>
      </c>
      <c r="F103" s="33">
        <f t="shared" si="1"/>
        <v>0.22650714285714285</v>
      </c>
      <c r="G103" s="31"/>
      <c r="H103" s="54"/>
      <c r="I103" s="30"/>
      <c r="J103" s="30"/>
      <c r="K103" s="30"/>
      <c r="L103" s="30"/>
      <c r="M103" s="30"/>
      <c r="N103" s="30"/>
    </row>
    <row r="104" spans="1:14" ht="15">
      <c r="A104" s="29" t="s">
        <v>129</v>
      </c>
      <c r="B104" s="3">
        <f>+Prices!B78</f>
        <v>226.375</v>
      </c>
      <c r="C104" s="3">
        <f>+(148.1+175.25)/2</f>
        <v>161.675</v>
      </c>
      <c r="D104" s="31">
        <f t="shared" si="0"/>
        <v>140.01855574454925</v>
      </c>
      <c r="E104" s="3">
        <v>31.711</v>
      </c>
      <c r="F104" s="33">
        <f t="shared" si="1"/>
        <v>0.2264771253451132</v>
      </c>
      <c r="G104" s="31"/>
      <c r="H104" s="54"/>
      <c r="I104" s="30"/>
      <c r="J104" s="30"/>
      <c r="K104" s="30"/>
      <c r="L104" s="30"/>
      <c r="M104" s="30"/>
      <c r="N104" s="30"/>
    </row>
    <row r="105" spans="1:14" ht="15">
      <c r="A105" s="29" t="s">
        <v>130</v>
      </c>
      <c r="B105" s="3">
        <f>+Prices!B79</f>
        <v>277.775</v>
      </c>
      <c r="C105" s="3">
        <f>+(211.65+185.2)/2</f>
        <v>198.425</v>
      </c>
      <c r="D105" s="31">
        <f t="shared" si="0"/>
        <v>139.98992062492124</v>
      </c>
      <c r="E105" s="3">
        <v>31.711</v>
      </c>
      <c r="F105" s="33">
        <f t="shared" si="1"/>
        <v>0.22652345153451536</v>
      </c>
      <c r="G105" s="31"/>
      <c r="H105" s="54"/>
      <c r="I105" s="30"/>
      <c r="J105" s="30"/>
      <c r="K105" s="30"/>
      <c r="L105" s="30"/>
      <c r="M105" s="30"/>
      <c r="N105" s="30"/>
    </row>
    <row r="106" spans="1:14" ht="15">
      <c r="A106" s="29" t="s">
        <v>131</v>
      </c>
      <c r="B106" s="3">
        <f>+Prices!B80</f>
        <v>314.82500000000005</v>
      </c>
      <c r="C106" s="3">
        <f>+(211.65+238.1)/2</f>
        <v>224.875</v>
      </c>
      <c r="D106" s="31">
        <f t="shared" si="0"/>
        <v>140</v>
      </c>
      <c r="E106" s="3">
        <v>31.711</v>
      </c>
      <c r="F106" s="33">
        <f t="shared" si="1"/>
        <v>0.22650714285714285</v>
      </c>
      <c r="G106" s="31"/>
      <c r="H106" s="54"/>
      <c r="I106" s="30"/>
      <c r="J106" s="30"/>
      <c r="K106" s="30"/>
      <c r="L106" s="30"/>
      <c r="M106" s="30"/>
      <c r="N106" s="30"/>
    </row>
    <row r="107" spans="1:14" ht="15">
      <c r="A107" s="29" t="s">
        <v>132</v>
      </c>
      <c r="B107" s="3">
        <f>+Prices!B81</f>
        <v>370.35</v>
      </c>
      <c r="C107" s="3">
        <f>+(264.55*2)/2</f>
        <v>264.55</v>
      </c>
      <c r="D107" s="31">
        <f aca="true" t="shared" si="2" ref="D107:D146">+B107/C107*100</f>
        <v>139.99243999244</v>
      </c>
      <c r="E107" s="3">
        <v>31.711</v>
      </c>
      <c r="F107" s="33">
        <f aca="true" t="shared" si="3" ref="F107:F147">+E107/D107</f>
        <v>0.22651937491562033</v>
      </c>
      <c r="G107" s="31"/>
      <c r="H107" s="54"/>
      <c r="I107" s="30"/>
      <c r="J107" s="30"/>
      <c r="K107" s="30"/>
      <c r="L107" s="30"/>
      <c r="M107" s="30"/>
      <c r="N107" s="30"/>
    </row>
    <row r="108" spans="1:14" ht="15">
      <c r="A108" s="29" t="s">
        <v>133</v>
      </c>
      <c r="B108" s="3">
        <f>+Prices!B82</f>
        <v>326.85</v>
      </c>
      <c r="C108" s="3">
        <f>+(264.55+202.4)/2</f>
        <v>233.47500000000002</v>
      </c>
      <c r="D108" s="31">
        <f t="shared" si="2"/>
        <v>139.9935753292644</v>
      </c>
      <c r="E108" s="3">
        <v>31.711</v>
      </c>
      <c r="F108" s="33">
        <f t="shared" si="3"/>
        <v>0.22651753786140427</v>
      </c>
      <c r="G108" s="31"/>
      <c r="H108" s="54"/>
      <c r="I108" s="30"/>
      <c r="J108" s="30"/>
      <c r="K108" s="30"/>
      <c r="L108" s="30"/>
      <c r="M108" s="30"/>
      <c r="N108" s="30"/>
    </row>
    <row r="109" spans="1:14" ht="15">
      <c r="A109" s="29" t="s">
        <v>135</v>
      </c>
      <c r="B109" s="3">
        <f>+Prices!B83</f>
        <v>291.675</v>
      </c>
      <c r="C109" s="3">
        <f>+(214.3+202.4)/2</f>
        <v>208.35000000000002</v>
      </c>
      <c r="D109" s="31">
        <f t="shared" si="2"/>
        <v>139.9928005759539</v>
      </c>
      <c r="E109" s="3">
        <v>31.711</v>
      </c>
      <c r="F109" s="33">
        <f t="shared" si="3"/>
        <v>0.22651879146310108</v>
      </c>
      <c r="G109" s="31"/>
      <c r="H109" s="54"/>
      <c r="I109" s="30"/>
      <c r="J109" s="30"/>
      <c r="K109" s="30"/>
      <c r="L109" s="30"/>
      <c r="M109" s="30"/>
      <c r="N109" s="30"/>
    </row>
    <row r="110" spans="1:14" ht="15">
      <c r="A110" s="29" t="s">
        <v>136</v>
      </c>
      <c r="B110" s="3">
        <f>+Prices!B84</f>
        <v>197.625</v>
      </c>
      <c r="C110" s="3">
        <f>+(136.85+137.95)/2</f>
        <v>137.39999999999998</v>
      </c>
      <c r="D110" s="31">
        <f t="shared" si="2"/>
        <v>143.83187772925768</v>
      </c>
      <c r="E110" s="3">
        <v>31.711</v>
      </c>
      <c r="F110" s="33">
        <f t="shared" si="3"/>
        <v>0.2204726831119544</v>
      </c>
      <c r="G110" s="31"/>
      <c r="H110" s="54"/>
      <c r="I110" s="30"/>
      <c r="J110" s="30"/>
      <c r="K110" s="30"/>
      <c r="L110" s="30"/>
      <c r="M110" s="30"/>
      <c r="N110" s="30"/>
    </row>
    <row r="111" spans="1:14" ht="15">
      <c r="A111" s="29" t="s">
        <v>137</v>
      </c>
      <c r="B111" s="3">
        <f>+Prices!B85</f>
        <v>194.175</v>
      </c>
      <c r="C111" s="3">
        <f>+(137.95+125.5)/2</f>
        <v>131.725</v>
      </c>
      <c r="D111" s="31">
        <f t="shared" si="2"/>
        <v>147.40937559309168</v>
      </c>
      <c r="E111" s="3">
        <v>31.711</v>
      </c>
      <c r="F111" s="33">
        <f t="shared" si="3"/>
        <v>0.2151220020599974</v>
      </c>
      <c r="G111" s="31"/>
      <c r="H111" s="54"/>
      <c r="I111" s="30"/>
      <c r="J111" s="30"/>
      <c r="K111" s="30"/>
      <c r="L111" s="30"/>
      <c r="M111" s="30"/>
      <c r="N111" s="30"/>
    </row>
    <row r="112" spans="1:14" ht="15">
      <c r="A112" s="29" t="s">
        <v>138</v>
      </c>
      <c r="B112" s="3">
        <f>+Prices!B86</f>
        <v>216.65</v>
      </c>
      <c r="C112" s="3">
        <v>144.45</v>
      </c>
      <c r="D112" s="31">
        <f t="shared" si="2"/>
        <v>149.98269297334718</v>
      </c>
      <c r="E112" s="3">
        <v>31.711</v>
      </c>
      <c r="F112" s="33">
        <f t="shared" si="3"/>
        <v>0.2114310616201246</v>
      </c>
      <c r="G112" s="31"/>
      <c r="H112" s="54"/>
      <c r="I112" s="30"/>
      <c r="J112" s="30"/>
      <c r="K112" s="30"/>
      <c r="L112" s="30"/>
      <c r="M112" s="30"/>
      <c r="N112" s="30"/>
    </row>
    <row r="113" spans="1:14" ht="15">
      <c r="A113" s="29" t="s">
        <v>139</v>
      </c>
      <c r="B113" s="3">
        <f>+Prices!B87</f>
        <v>400</v>
      </c>
      <c r="C113" s="3">
        <f>+(250+252.6)/2</f>
        <v>251.3</v>
      </c>
      <c r="D113" s="31">
        <f t="shared" si="2"/>
        <v>159.17230401910066</v>
      </c>
      <c r="E113" s="3">
        <v>31.711</v>
      </c>
      <c r="F113" s="33">
        <f t="shared" si="3"/>
        <v>0.1992243575</v>
      </c>
      <c r="G113" s="31"/>
      <c r="H113" s="54"/>
      <c r="I113" s="30"/>
      <c r="J113" s="30"/>
      <c r="K113" s="30"/>
      <c r="L113" s="30"/>
      <c r="M113" s="30"/>
      <c r="N113" s="30"/>
    </row>
    <row r="114" spans="1:14" ht="15">
      <c r="A114" s="29" t="s">
        <v>140</v>
      </c>
      <c r="B114" s="3">
        <f>+Prices!B88</f>
        <v>268.475</v>
      </c>
      <c r="C114" s="3">
        <f>+(166.65+168.95)/2</f>
        <v>167.8</v>
      </c>
      <c r="D114" s="31">
        <f t="shared" si="2"/>
        <v>159.99702026221695</v>
      </c>
      <c r="E114" s="3">
        <v>31.711</v>
      </c>
      <c r="F114" s="33">
        <f t="shared" si="3"/>
        <v>0.19819744110252346</v>
      </c>
      <c r="G114" s="32"/>
      <c r="H114" s="53"/>
      <c r="I114" s="30"/>
      <c r="J114" s="30"/>
      <c r="K114" s="30"/>
      <c r="L114" s="30"/>
      <c r="M114" s="30"/>
      <c r="N114" s="30"/>
    </row>
    <row r="115" spans="1:14" ht="15">
      <c r="A115" s="29" t="s">
        <v>141</v>
      </c>
      <c r="B115" s="3">
        <f>+Prices!B89</f>
        <v>500</v>
      </c>
      <c r="C115" s="3">
        <v>312.5</v>
      </c>
      <c r="D115" s="31">
        <f t="shared" si="2"/>
        <v>160</v>
      </c>
      <c r="E115" s="3">
        <v>31.711</v>
      </c>
      <c r="F115" s="33">
        <f t="shared" si="3"/>
        <v>0.19819375</v>
      </c>
      <c r="G115" s="31"/>
      <c r="H115" s="53"/>
      <c r="I115" s="30"/>
      <c r="J115" s="30"/>
      <c r="K115" s="30"/>
      <c r="L115" s="30"/>
      <c r="M115" s="30"/>
      <c r="N115" s="30"/>
    </row>
    <row r="116" spans="1:14" ht="15">
      <c r="A116" s="29" t="s">
        <v>142</v>
      </c>
      <c r="B116" s="3">
        <f>+Prices!B90</f>
        <v>333.325</v>
      </c>
      <c r="C116" s="3">
        <f>+(229.15+187.5)/2</f>
        <v>208.325</v>
      </c>
      <c r="D116" s="31">
        <f t="shared" si="2"/>
        <v>160.00240009600384</v>
      </c>
      <c r="E116" s="3">
        <v>31.711</v>
      </c>
      <c r="F116" s="33">
        <f t="shared" si="3"/>
        <v>0.19819077701942547</v>
      </c>
      <c r="G116" s="31"/>
      <c r="H116" s="53"/>
      <c r="I116" s="30"/>
      <c r="J116" s="30"/>
      <c r="K116" s="30"/>
      <c r="L116" s="30"/>
      <c r="M116" s="30"/>
      <c r="N116" s="30"/>
    </row>
    <row r="117" spans="1:14" ht="15">
      <c r="A117" s="29" t="s">
        <v>143</v>
      </c>
      <c r="B117" s="3">
        <f>+Prices!B91</f>
        <v>300</v>
      </c>
      <c r="C117" s="3">
        <f>+(187.5*2)/2</f>
        <v>187.5</v>
      </c>
      <c r="D117" s="31">
        <f t="shared" si="2"/>
        <v>160</v>
      </c>
      <c r="E117" s="3">
        <v>31.711</v>
      </c>
      <c r="F117" s="33">
        <f t="shared" si="3"/>
        <v>0.19819375</v>
      </c>
      <c r="G117" s="31"/>
      <c r="H117" s="53"/>
      <c r="I117" s="30"/>
      <c r="J117" s="30"/>
      <c r="K117" s="30"/>
      <c r="L117" s="30"/>
      <c r="M117" s="30"/>
      <c r="N117" s="30"/>
    </row>
    <row r="118" spans="1:14" ht="15">
      <c r="A118" s="29" t="s">
        <v>144</v>
      </c>
      <c r="B118" s="3">
        <f>+Prices!B92</f>
        <v>287.5</v>
      </c>
      <c r="C118" s="3">
        <f>+(171.9+187.5)/2</f>
        <v>179.7</v>
      </c>
      <c r="D118" s="31">
        <f t="shared" si="2"/>
        <v>159.98887033945465</v>
      </c>
      <c r="E118" s="3">
        <v>31.711</v>
      </c>
      <c r="F118" s="33">
        <f t="shared" si="3"/>
        <v>0.19820753739130434</v>
      </c>
      <c r="G118" s="31"/>
      <c r="H118" s="53"/>
      <c r="I118" s="30"/>
      <c r="J118" s="30"/>
      <c r="K118" s="30"/>
      <c r="L118" s="30"/>
      <c r="M118" s="30"/>
      <c r="N118" s="30"/>
    </row>
    <row r="119" spans="1:14" ht="15">
      <c r="A119" s="29" t="s">
        <v>145</v>
      </c>
      <c r="B119" s="3">
        <f>+Prices!B93</f>
        <v>284.625</v>
      </c>
      <c r="C119" s="3">
        <f>+(148.45+207.35)/2</f>
        <v>177.89999999999998</v>
      </c>
      <c r="D119" s="31">
        <f t="shared" si="2"/>
        <v>159.99156829679598</v>
      </c>
      <c r="E119" s="3">
        <v>31.711</v>
      </c>
      <c r="F119" s="33">
        <f t="shared" si="3"/>
        <v>0.19820419499341235</v>
      </c>
      <c r="G119" s="31"/>
      <c r="H119" s="53"/>
      <c r="I119" s="30"/>
      <c r="J119" s="30"/>
      <c r="K119" s="30"/>
      <c r="L119" s="30"/>
      <c r="M119" s="30"/>
      <c r="N119" s="30"/>
    </row>
    <row r="120" spans="1:14" ht="15">
      <c r="A120" s="29" t="s">
        <v>146</v>
      </c>
      <c r="B120" s="3">
        <f>+Prices!B94</f>
        <v>304.175</v>
      </c>
      <c r="C120" s="3">
        <f>+(208.35+171.85)/2</f>
        <v>190.1</v>
      </c>
      <c r="D120" s="31">
        <f t="shared" si="2"/>
        <v>160.00789058390322</v>
      </c>
      <c r="E120" s="3">
        <v>31.711</v>
      </c>
      <c r="F120" s="33">
        <f t="shared" si="3"/>
        <v>0.19818397632941562</v>
      </c>
      <c r="G120" s="31"/>
      <c r="H120" s="53"/>
      <c r="I120" s="30"/>
      <c r="J120" s="30"/>
      <c r="K120" s="30"/>
      <c r="L120" s="30"/>
      <c r="M120" s="30"/>
      <c r="N120" s="30"/>
    </row>
    <row r="121" spans="1:14" ht="15">
      <c r="A121" s="29" t="s">
        <v>147</v>
      </c>
      <c r="B121" s="3">
        <f>+Prices!B95</f>
        <v>275</v>
      </c>
      <c r="C121" s="3">
        <v>171.85</v>
      </c>
      <c r="D121" s="31">
        <f t="shared" si="2"/>
        <v>160.02327611288916</v>
      </c>
      <c r="E121" s="3">
        <v>31.711</v>
      </c>
      <c r="F121" s="33">
        <f t="shared" si="3"/>
        <v>0.1981649218181818</v>
      </c>
      <c r="G121" s="31"/>
      <c r="H121" s="53"/>
      <c r="I121" s="30"/>
      <c r="J121" s="30"/>
      <c r="K121" s="30"/>
      <c r="L121" s="30"/>
      <c r="M121" s="30"/>
      <c r="N121" s="30"/>
    </row>
    <row r="122" spans="1:14" ht="15">
      <c r="A122" s="29" t="s">
        <v>148</v>
      </c>
      <c r="B122" s="3">
        <f>+Prices!B96</f>
        <v>333.35</v>
      </c>
      <c r="C122" s="3">
        <v>208.35</v>
      </c>
      <c r="D122" s="31">
        <f t="shared" si="2"/>
        <v>159.9952003839693</v>
      </c>
      <c r="E122" s="3">
        <v>31.711</v>
      </c>
      <c r="F122" s="33">
        <f t="shared" si="3"/>
        <v>0.1981996955152242</v>
      </c>
      <c r="G122" s="31"/>
      <c r="H122" s="53"/>
      <c r="I122" s="30"/>
      <c r="J122" s="30"/>
      <c r="K122" s="30"/>
      <c r="L122" s="30"/>
      <c r="M122" s="30"/>
      <c r="N122" s="30"/>
    </row>
    <row r="123" spans="1:14" ht="15">
      <c r="A123" s="29" t="s">
        <v>149</v>
      </c>
      <c r="B123" s="3">
        <f>+Prices!B97</f>
        <v>400</v>
      </c>
      <c r="C123" s="3">
        <v>250</v>
      </c>
      <c r="D123" s="31">
        <f t="shared" si="2"/>
        <v>160</v>
      </c>
      <c r="E123" s="3">
        <v>31.711</v>
      </c>
      <c r="F123" s="33">
        <f t="shared" si="3"/>
        <v>0.19819375</v>
      </c>
      <c r="G123" s="31"/>
      <c r="H123" s="53"/>
      <c r="I123" s="30"/>
      <c r="J123" s="30"/>
      <c r="K123" s="30"/>
      <c r="L123" s="30"/>
      <c r="M123" s="30"/>
      <c r="N123" s="30"/>
    </row>
    <row r="124" spans="1:14" ht="15">
      <c r="A124" s="29" t="s">
        <v>150</v>
      </c>
      <c r="B124" s="3">
        <f>+Prices!B98</f>
        <v>316.675</v>
      </c>
      <c r="C124" s="3">
        <f>+(208.35+187.5)/2</f>
        <v>197.925</v>
      </c>
      <c r="D124" s="31">
        <f t="shared" si="2"/>
        <v>159.99747379057723</v>
      </c>
      <c r="E124" s="3">
        <v>31.711</v>
      </c>
      <c r="F124" s="33">
        <f t="shared" si="3"/>
        <v>0.1981968792926502</v>
      </c>
      <c r="G124" s="31"/>
      <c r="H124" s="53"/>
      <c r="I124" s="31"/>
      <c r="J124" s="31"/>
      <c r="K124" s="30"/>
      <c r="L124" s="30"/>
      <c r="M124" s="30"/>
      <c r="N124" s="30"/>
    </row>
    <row r="125" spans="1:14" ht="15">
      <c r="A125" s="29" t="s">
        <v>151</v>
      </c>
      <c r="B125" s="3">
        <f>+Prices!B99</f>
        <v>275</v>
      </c>
      <c r="C125" s="3">
        <v>171.85</v>
      </c>
      <c r="D125" s="31">
        <f t="shared" si="2"/>
        <v>160.02327611288916</v>
      </c>
      <c r="E125" s="3">
        <v>31.711</v>
      </c>
      <c r="F125" s="33">
        <f t="shared" si="3"/>
        <v>0.1981649218181818</v>
      </c>
      <c r="G125" s="31"/>
      <c r="H125" s="53"/>
      <c r="I125" s="31"/>
      <c r="J125" s="31"/>
      <c r="K125" s="30"/>
      <c r="L125" s="30"/>
      <c r="M125" s="30"/>
      <c r="N125" s="30"/>
    </row>
    <row r="126" spans="1:14" ht="15">
      <c r="A126" s="29" t="s">
        <v>152</v>
      </c>
      <c r="B126" s="3">
        <f>+Prices!B100</f>
        <v>316.675</v>
      </c>
      <c r="C126" s="3">
        <f>+(208.35+187.5)/2</f>
        <v>197.925</v>
      </c>
      <c r="D126" s="31">
        <f t="shared" si="2"/>
        <v>159.99747379057723</v>
      </c>
      <c r="E126" s="3">
        <v>31.711</v>
      </c>
      <c r="F126" s="33">
        <f t="shared" si="3"/>
        <v>0.1981968792926502</v>
      </c>
      <c r="G126" s="31"/>
      <c r="H126" s="53"/>
      <c r="I126" s="31"/>
      <c r="J126" s="31"/>
      <c r="K126" s="30"/>
      <c r="L126" s="30"/>
      <c r="M126" s="30"/>
      <c r="N126" s="30"/>
    </row>
    <row r="127" spans="1:14" ht="15">
      <c r="A127" s="29" t="s">
        <v>153</v>
      </c>
      <c r="B127" s="3">
        <f>+Prices!B101</f>
        <v>333.35</v>
      </c>
      <c r="C127" s="3">
        <v>208.35</v>
      </c>
      <c r="D127" s="31">
        <f t="shared" si="2"/>
        <v>159.9952003839693</v>
      </c>
      <c r="E127" s="3">
        <v>31.711</v>
      </c>
      <c r="F127" s="33">
        <f t="shared" si="3"/>
        <v>0.1981996955152242</v>
      </c>
      <c r="G127" s="31"/>
      <c r="H127" s="53"/>
      <c r="I127" s="31"/>
      <c r="J127" s="31"/>
      <c r="K127" s="30"/>
      <c r="L127" s="30"/>
      <c r="M127" s="30"/>
      <c r="N127" s="30"/>
    </row>
    <row r="128" spans="1:14" ht="15">
      <c r="A128" s="29" t="s">
        <v>154</v>
      </c>
      <c r="B128" s="3">
        <f>+Prices!B102</f>
        <v>347.55</v>
      </c>
      <c r="C128" s="3">
        <f>+(226.05+208.35)/2</f>
        <v>217.2</v>
      </c>
      <c r="D128" s="31">
        <f t="shared" si="2"/>
        <v>160.01381215469615</v>
      </c>
      <c r="E128" s="3">
        <v>31.711</v>
      </c>
      <c r="F128" s="33">
        <f t="shared" si="3"/>
        <v>0.19817664220975395</v>
      </c>
      <c r="G128" s="31"/>
      <c r="H128" s="53"/>
      <c r="I128" s="31"/>
      <c r="J128" s="31"/>
      <c r="K128" s="30"/>
      <c r="L128" s="30"/>
      <c r="M128" s="30"/>
      <c r="N128" s="30"/>
    </row>
    <row r="129" spans="1:14" ht="15">
      <c r="A129" s="29" t="s">
        <v>155</v>
      </c>
      <c r="B129" s="3">
        <f>+Prices!B103</f>
        <v>333.35</v>
      </c>
      <c r="C129" s="3">
        <v>208.35</v>
      </c>
      <c r="D129" s="31">
        <f t="shared" si="2"/>
        <v>159.9952003839693</v>
      </c>
      <c r="E129" s="3">
        <v>31.711</v>
      </c>
      <c r="F129" s="33">
        <f t="shared" si="3"/>
        <v>0.1981996955152242</v>
      </c>
      <c r="G129" s="31"/>
      <c r="H129" s="53"/>
      <c r="I129" s="31"/>
      <c r="J129" s="31"/>
      <c r="K129" s="30"/>
      <c r="L129" s="30"/>
      <c r="M129" s="30"/>
      <c r="N129" s="30"/>
    </row>
    <row r="130" spans="1:14" ht="15">
      <c r="A130" s="29" t="s">
        <v>156</v>
      </c>
      <c r="B130" s="3">
        <f>+Prices!B104</f>
        <v>333.35</v>
      </c>
      <c r="C130" s="3">
        <v>208.35</v>
      </c>
      <c r="D130" s="31">
        <f t="shared" si="2"/>
        <v>159.9952003839693</v>
      </c>
      <c r="E130" s="3">
        <v>31.711</v>
      </c>
      <c r="F130" s="33">
        <f t="shared" si="3"/>
        <v>0.1981996955152242</v>
      </c>
      <c r="G130" s="31"/>
      <c r="H130" s="53"/>
      <c r="I130" s="31"/>
      <c r="J130" s="31"/>
      <c r="K130" s="30"/>
      <c r="L130" s="30"/>
      <c r="M130" s="30"/>
      <c r="N130" s="30"/>
    </row>
    <row r="131" spans="1:14" ht="15">
      <c r="A131" s="29" t="s">
        <v>157</v>
      </c>
      <c r="B131" s="3">
        <f>+Prices!B105</f>
        <v>400</v>
      </c>
      <c r="C131" s="3">
        <v>250</v>
      </c>
      <c r="D131" s="31">
        <f t="shared" si="2"/>
        <v>160</v>
      </c>
      <c r="E131" s="3">
        <v>31.711</v>
      </c>
      <c r="F131" s="33">
        <f t="shared" si="3"/>
        <v>0.19819375</v>
      </c>
      <c r="G131" s="31"/>
      <c r="H131" s="53"/>
      <c r="I131" s="31"/>
      <c r="J131" s="31"/>
      <c r="K131" s="30"/>
      <c r="L131" s="30"/>
      <c r="M131" s="30"/>
      <c r="N131" s="30"/>
    </row>
    <row r="132" spans="1:14" ht="15">
      <c r="A132" s="29" t="s">
        <v>158</v>
      </c>
      <c r="B132" s="3">
        <f>+Prices!B106</f>
        <v>433.325</v>
      </c>
      <c r="C132" s="3">
        <f>+(250+291.65)/2</f>
        <v>270.825</v>
      </c>
      <c r="D132" s="31">
        <f t="shared" si="2"/>
        <v>160.00184621065264</v>
      </c>
      <c r="E132" s="3">
        <v>31.711</v>
      </c>
      <c r="F132" s="33">
        <f t="shared" si="3"/>
        <v>0.1981914631050597</v>
      </c>
      <c r="G132" s="31"/>
      <c r="H132" s="53"/>
      <c r="I132" s="31"/>
      <c r="J132" s="31"/>
      <c r="K132" s="30"/>
      <c r="L132" s="30"/>
      <c r="M132" s="30"/>
      <c r="N132" s="30"/>
    </row>
    <row r="133" spans="1:14" ht="15">
      <c r="A133" s="29" t="s">
        <v>159</v>
      </c>
      <c r="B133" s="3">
        <f>+Prices!B107</f>
        <v>500</v>
      </c>
      <c r="C133" s="3">
        <v>312.5</v>
      </c>
      <c r="D133" s="31">
        <f t="shared" si="2"/>
        <v>160</v>
      </c>
      <c r="E133" s="3">
        <v>31.711</v>
      </c>
      <c r="F133" s="33">
        <f t="shared" si="3"/>
        <v>0.19819375</v>
      </c>
      <c r="G133" s="31"/>
      <c r="H133" s="53"/>
      <c r="I133" s="31"/>
      <c r="J133" s="31"/>
      <c r="K133" s="30"/>
      <c r="L133" s="30"/>
      <c r="M133" s="30"/>
      <c r="N133" s="30"/>
    </row>
    <row r="134" spans="1:14" ht="15">
      <c r="A134" s="29" t="s">
        <v>160</v>
      </c>
      <c r="B134" s="3">
        <f>+Prices!B108</f>
        <v>466.65</v>
      </c>
      <c r="C134" s="3">
        <v>291.65</v>
      </c>
      <c r="D134" s="31">
        <f t="shared" si="2"/>
        <v>160.00342876735814</v>
      </c>
      <c r="E134" s="3">
        <v>31.711</v>
      </c>
      <c r="F134" s="33">
        <f t="shared" si="3"/>
        <v>0.1981895028393871</v>
      </c>
      <c r="G134" s="31"/>
      <c r="H134" s="53"/>
      <c r="I134" s="31"/>
      <c r="J134" s="31"/>
      <c r="K134" s="30"/>
      <c r="L134" s="30"/>
      <c r="M134" s="30"/>
      <c r="N134" s="30"/>
    </row>
    <row r="135" spans="1:14" ht="15">
      <c r="A135" s="29" t="s">
        <v>161</v>
      </c>
      <c r="B135" s="3">
        <f>+Prices!B109</f>
        <v>400</v>
      </c>
      <c r="C135" s="3">
        <v>250</v>
      </c>
      <c r="D135" s="31">
        <f t="shared" si="2"/>
        <v>160</v>
      </c>
      <c r="E135" s="3">
        <v>31.711</v>
      </c>
      <c r="F135" s="33">
        <f t="shared" si="3"/>
        <v>0.19819375</v>
      </c>
      <c r="G135" s="31"/>
      <c r="H135" s="53"/>
      <c r="I135" s="31"/>
      <c r="J135" s="31"/>
      <c r="K135" s="30"/>
      <c r="L135" s="30"/>
      <c r="M135" s="30"/>
      <c r="N135" s="30"/>
    </row>
    <row r="136" spans="1:14" ht="15">
      <c r="A136" s="29" t="s">
        <v>162</v>
      </c>
      <c r="B136" s="3">
        <f>+Prices!B110</f>
        <v>400</v>
      </c>
      <c r="C136" s="3">
        <v>250</v>
      </c>
      <c r="D136" s="31">
        <f t="shared" si="2"/>
        <v>160</v>
      </c>
      <c r="E136" s="3">
        <v>31.711</v>
      </c>
      <c r="F136" s="33">
        <f t="shared" si="3"/>
        <v>0.19819375</v>
      </c>
      <c r="G136" s="31"/>
      <c r="H136" s="53"/>
      <c r="I136" s="31"/>
      <c r="J136" s="31"/>
      <c r="K136" s="30"/>
      <c r="L136" s="30"/>
      <c r="M136" s="30"/>
      <c r="N136" s="30"/>
    </row>
    <row r="137" spans="1:14" ht="15">
      <c r="A137" s="29" t="s">
        <v>163</v>
      </c>
      <c r="B137" s="3">
        <f>+Prices!B111</f>
        <v>333.35</v>
      </c>
      <c r="C137" s="3">
        <v>208.35</v>
      </c>
      <c r="D137" s="31">
        <f t="shared" si="2"/>
        <v>159.9952003839693</v>
      </c>
      <c r="E137" s="3">
        <v>31.711</v>
      </c>
      <c r="F137" s="33">
        <f t="shared" si="3"/>
        <v>0.1981996955152242</v>
      </c>
      <c r="H137" s="53"/>
      <c r="L137" s="30"/>
      <c r="M137" s="30"/>
      <c r="N137" s="30"/>
    </row>
    <row r="138" spans="1:9" ht="15">
      <c r="A138" s="29" t="s">
        <v>164</v>
      </c>
      <c r="B138" s="3">
        <f>+Prices!B112</f>
        <v>366.675</v>
      </c>
      <c r="C138" s="3">
        <f>+(208.35+250)/2</f>
        <v>229.175</v>
      </c>
      <c r="D138" s="31">
        <f t="shared" si="2"/>
        <v>159.99781826115412</v>
      </c>
      <c r="E138" s="3">
        <v>31.711</v>
      </c>
      <c r="F138" s="33">
        <f t="shared" si="3"/>
        <v>0.19819645258062318</v>
      </c>
      <c r="G138" s="52"/>
      <c r="H138" s="52"/>
      <c r="I138" s="30"/>
    </row>
    <row r="139" spans="1:9" ht="15">
      <c r="A139" s="29" t="s">
        <v>165</v>
      </c>
      <c r="B139" s="3">
        <f>+Prices!B113</f>
        <v>366.675</v>
      </c>
      <c r="C139" s="3">
        <f>+(208.35+250)/2</f>
        <v>229.175</v>
      </c>
      <c r="D139" s="31">
        <f t="shared" si="2"/>
        <v>159.99781826115412</v>
      </c>
      <c r="E139" s="3">
        <v>31.711</v>
      </c>
      <c r="F139" s="33">
        <f t="shared" si="3"/>
        <v>0.19819645258062318</v>
      </c>
      <c r="G139" s="52"/>
      <c r="H139" s="52"/>
      <c r="I139" s="30"/>
    </row>
    <row r="140" spans="1:9" ht="15">
      <c r="A140" s="29" t="s">
        <v>166</v>
      </c>
      <c r="B140" s="3">
        <f>+Prices!B114</f>
        <v>400</v>
      </c>
      <c r="C140" s="3">
        <v>250</v>
      </c>
      <c r="D140" s="31">
        <f t="shared" si="2"/>
        <v>160</v>
      </c>
      <c r="E140" s="3">
        <v>31.711</v>
      </c>
      <c r="F140" s="33">
        <f t="shared" si="3"/>
        <v>0.19819375</v>
      </c>
      <c r="G140" s="52"/>
      <c r="H140" s="52"/>
      <c r="I140" s="30"/>
    </row>
    <row r="141" spans="1:9" ht="15">
      <c r="A141" s="29" t="s">
        <v>167</v>
      </c>
      <c r="B141" s="3">
        <f>+Prices!B115</f>
        <v>333.35</v>
      </c>
      <c r="C141" s="3">
        <v>208.35</v>
      </c>
      <c r="D141" s="31">
        <f t="shared" si="2"/>
        <v>159.9952003839693</v>
      </c>
      <c r="E141" s="3">
        <v>31.711</v>
      </c>
      <c r="F141" s="33">
        <f t="shared" si="3"/>
        <v>0.1981996955152242</v>
      </c>
      <c r="G141" s="52"/>
      <c r="H141" s="52"/>
      <c r="I141" s="30"/>
    </row>
    <row r="142" spans="1:9" ht="15">
      <c r="A142" s="29" t="s">
        <v>168</v>
      </c>
      <c r="B142" s="3">
        <f>+Prices!B116</f>
        <v>333.35</v>
      </c>
      <c r="C142" s="3">
        <v>208.35</v>
      </c>
      <c r="D142" s="31">
        <f t="shared" si="2"/>
        <v>159.9952003839693</v>
      </c>
      <c r="E142" s="3">
        <v>31.711</v>
      </c>
      <c r="F142" s="33">
        <f t="shared" si="3"/>
        <v>0.1981996955152242</v>
      </c>
      <c r="G142" s="52"/>
      <c r="H142" s="52"/>
      <c r="I142" s="30"/>
    </row>
    <row r="143" spans="1:9" ht="15">
      <c r="A143" s="29" t="s">
        <v>169</v>
      </c>
      <c r="B143" s="3">
        <f>+Prices!B117</f>
        <v>333.35</v>
      </c>
      <c r="C143" s="3">
        <v>208.35</v>
      </c>
      <c r="D143" s="31">
        <f t="shared" si="2"/>
        <v>159.9952003839693</v>
      </c>
      <c r="E143" s="3">
        <v>31.711</v>
      </c>
      <c r="F143" s="33">
        <f t="shared" si="3"/>
        <v>0.1981996955152242</v>
      </c>
      <c r="G143" s="52"/>
      <c r="H143" s="52"/>
      <c r="I143" s="30"/>
    </row>
    <row r="144" spans="1:9" ht="15">
      <c r="A144" s="29" t="s">
        <v>170</v>
      </c>
      <c r="B144" s="3">
        <f>+Prices!B118</f>
        <v>400</v>
      </c>
      <c r="C144" s="3">
        <v>250</v>
      </c>
      <c r="D144" s="31">
        <f t="shared" si="2"/>
        <v>160</v>
      </c>
      <c r="E144" s="3">
        <v>31.711</v>
      </c>
      <c r="F144" s="33">
        <f t="shared" si="3"/>
        <v>0.19819375</v>
      </c>
      <c r="G144" s="52"/>
      <c r="H144" s="52"/>
      <c r="I144" s="30"/>
    </row>
    <row r="145" spans="1:9" ht="15">
      <c r="A145" s="29" t="s">
        <v>171</v>
      </c>
      <c r="B145" s="3">
        <f>+Prices!B119</f>
        <v>482.5</v>
      </c>
      <c r="C145" s="3">
        <f>+(250+353.1)/2</f>
        <v>301.55</v>
      </c>
      <c r="D145" s="31">
        <f t="shared" si="2"/>
        <v>160.00663239927042</v>
      </c>
      <c r="E145" s="3">
        <v>31.711</v>
      </c>
      <c r="F145" s="33">
        <f t="shared" si="3"/>
        <v>0.19818553471502592</v>
      </c>
      <c r="G145" s="52"/>
      <c r="H145" s="52"/>
      <c r="I145" s="30"/>
    </row>
    <row r="146" spans="1:9" ht="15">
      <c r="A146" s="29" t="s">
        <v>172</v>
      </c>
      <c r="B146" s="3">
        <f>+Prices!B120</f>
        <v>600</v>
      </c>
      <c r="C146" s="3">
        <v>375</v>
      </c>
      <c r="D146" s="31">
        <f t="shared" si="2"/>
        <v>160</v>
      </c>
      <c r="E146" s="3">
        <v>31.711</v>
      </c>
      <c r="F146" s="33">
        <f t="shared" si="3"/>
        <v>0.19819375</v>
      </c>
      <c r="G146" s="52"/>
      <c r="H146" s="52"/>
      <c r="I146" s="30"/>
    </row>
    <row r="147" spans="1:9" ht="15">
      <c r="A147" s="29" t="s">
        <v>173</v>
      </c>
      <c r="B147" s="3">
        <f>+Prices!B121</f>
        <v>725.5</v>
      </c>
      <c r="C147" s="3">
        <f>+(456.85+450)/2</f>
        <v>453.425</v>
      </c>
      <c r="D147" s="31">
        <f>+B147/C147*100</f>
        <v>160.00441087280146</v>
      </c>
      <c r="E147" s="3">
        <v>31.711</v>
      </c>
      <c r="F147" s="33">
        <f t="shared" si="3"/>
        <v>0.19818828635423844</v>
      </c>
      <c r="G147" s="52"/>
      <c r="H147" s="52"/>
      <c r="I147" s="30"/>
    </row>
    <row r="148" spans="1:14" ht="15">
      <c r="A148" s="29"/>
      <c r="B148" s="29"/>
      <c r="C148" s="51"/>
      <c r="D148" s="51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5">
      <c r="A149" s="45"/>
      <c r="B149" s="45"/>
      <c r="C149" s="51"/>
      <c r="D149" s="51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5">
      <c r="A150" s="29"/>
      <c r="B150" s="29"/>
      <c r="C150" s="51"/>
      <c r="D150" s="51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5">
      <c r="A151" s="29"/>
      <c r="B151" s="29"/>
      <c r="C151" s="51"/>
      <c r="D151" s="51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5">
      <c r="A152" s="29"/>
      <c r="B152" s="29"/>
      <c r="C152" s="51"/>
      <c r="D152" s="51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5">
      <c r="A153" s="29"/>
      <c r="B153" s="29"/>
      <c r="C153" s="51"/>
      <c r="D153" s="51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5">
      <c r="A154" s="29"/>
      <c r="B154" s="29"/>
      <c r="C154" s="51"/>
      <c r="D154" s="51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5">
      <c r="A155" s="29"/>
      <c r="B155" s="29"/>
      <c r="C155" s="51"/>
      <c r="D155" s="51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5">
      <c r="A156" s="29"/>
      <c r="B156" s="29"/>
      <c r="C156" s="51"/>
      <c r="D156" s="51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5">
      <c r="A157" s="29"/>
      <c r="B157" s="29"/>
      <c r="C157" s="51"/>
      <c r="D157" s="51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5">
      <c r="A158" s="29"/>
      <c r="B158" s="29"/>
      <c r="C158" s="51"/>
      <c r="D158" s="51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5">
      <c r="A159" s="29"/>
      <c r="B159" s="29"/>
      <c r="C159" s="51"/>
      <c r="D159" s="51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5">
      <c r="A160" s="29"/>
      <c r="B160" s="29"/>
      <c r="C160" s="51"/>
      <c r="D160" s="51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5">
      <c r="A161" s="29"/>
      <c r="B161" s="29"/>
      <c r="C161" s="51"/>
      <c r="D161" s="51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5">
      <c r="A162" s="29"/>
      <c r="B162" s="29"/>
      <c r="C162" s="51"/>
      <c r="D162" s="51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5">
      <c r="A163" s="29"/>
      <c r="B163" s="29"/>
      <c r="C163" s="51"/>
      <c r="D163" s="51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5">
      <c r="A164" s="29"/>
      <c r="B164" s="29"/>
      <c r="C164" s="51"/>
      <c r="D164" s="51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5">
      <c r="A165" s="29"/>
      <c r="B165" s="29"/>
      <c r="C165" s="51"/>
      <c r="D165" s="51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5">
      <c r="A166" s="29"/>
      <c r="B166" s="29"/>
      <c r="C166" s="51"/>
      <c r="D166" s="51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5">
      <c r="A167" s="29"/>
      <c r="B167" s="29"/>
      <c r="C167" s="51"/>
      <c r="D167" s="51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">
      <c r="A168" s="29"/>
      <c r="B168" s="29"/>
      <c r="C168" s="51"/>
      <c r="D168" s="51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">
      <c r="A169" s="29"/>
      <c r="B169" s="29"/>
      <c r="C169" s="51"/>
      <c r="D169" s="51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">
      <c r="A170" s="29"/>
      <c r="B170" s="29"/>
      <c r="C170" s="51"/>
      <c r="D170" s="51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5">
      <c r="A171" s="29"/>
      <c r="B171" s="29"/>
      <c r="C171" s="51"/>
      <c r="D171" s="51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5">
      <c r="A172" s="29"/>
      <c r="B172" s="29"/>
      <c r="C172" s="51"/>
      <c r="D172" s="51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5">
      <c r="A173" s="29"/>
      <c r="B173" s="29"/>
      <c r="C173" s="51"/>
      <c r="D173" s="51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5">
      <c r="A174" s="29"/>
      <c r="B174" s="29"/>
      <c r="C174" s="51"/>
      <c r="D174" s="51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5">
      <c r="A175" s="29"/>
      <c r="B175" s="29"/>
      <c r="C175" s="51"/>
      <c r="D175" s="51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5">
      <c r="A176" s="29"/>
      <c r="B176" s="29"/>
      <c r="C176" s="51"/>
      <c r="D176" s="51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5">
      <c r="A177" s="29"/>
      <c r="B177" s="29"/>
      <c r="C177" s="30"/>
      <c r="D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5">
      <c r="A178" s="29"/>
      <c r="B178" s="29"/>
      <c r="C178" s="30"/>
      <c r="D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5">
      <c r="A179" s="29"/>
      <c r="B179" s="29"/>
      <c r="C179" s="30"/>
      <c r="D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5">
      <c r="A180" s="29"/>
      <c r="B180" s="29"/>
      <c r="C180" s="30"/>
      <c r="D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5">
      <c r="A181" s="29"/>
      <c r="B181" s="29"/>
      <c r="C181" s="30"/>
      <c r="D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5">
      <c r="A182" s="29"/>
      <c r="B182" s="29"/>
      <c r="C182" s="30"/>
      <c r="D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5">
      <c r="A183" s="29"/>
      <c r="B183" s="29"/>
      <c r="C183" s="30"/>
      <c r="D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5">
      <c r="A184" s="29"/>
      <c r="B184" s="29"/>
      <c r="C184" s="30"/>
      <c r="D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">
      <c r="A185" s="29"/>
      <c r="B185" s="29"/>
      <c r="C185" s="30"/>
      <c r="D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5">
      <c r="A186" s="29"/>
      <c r="B186" s="29"/>
      <c r="C186" s="30"/>
      <c r="D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5">
      <c r="A187" s="29"/>
      <c r="B187" s="29"/>
      <c r="C187" s="30"/>
      <c r="D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5">
      <c r="A188" s="29"/>
      <c r="B188" s="29"/>
      <c r="C188" s="30"/>
      <c r="D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">
      <c r="A189" s="29"/>
      <c r="B189" s="29"/>
      <c r="C189" s="30"/>
      <c r="D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">
      <c r="A190" s="29"/>
      <c r="B190" s="29"/>
      <c r="C190" s="30"/>
      <c r="D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">
      <c r="A191" s="29"/>
      <c r="B191" s="29"/>
      <c r="C191" s="30"/>
      <c r="D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">
      <c r="A192" s="29"/>
      <c r="B192" s="29"/>
      <c r="C192" s="30"/>
      <c r="D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">
      <c r="A193" s="29"/>
      <c r="B193" s="29"/>
      <c r="C193" s="30"/>
      <c r="D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">
      <c r="A194" s="29"/>
      <c r="B194" s="29"/>
      <c r="C194" s="30"/>
      <c r="D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">
      <c r="A195" s="29"/>
      <c r="B195" s="29"/>
      <c r="C195" s="30"/>
      <c r="D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">
      <c r="A196" s="29"/>
      <c r="B196" s="29"/>
      <c r="C196" s="30"/>
      <c r="D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">
      <c r="A197" s="29"/>
      <c r="B197" s="29"/>
      <c r="C197" s="30"/>
      <c r="D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">
      <c r="A198" s="29"/>
      <c r="B198" s="29"/>
      <c r="C198" s="30"/>
      <c r="D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">
      <c r="A199" s="29"/>
      <c r="B199" s="29"/>
      <c r="C199" s="30"/>
      <c r="D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">
      <c r="A200" s="29"/>
      <c r="B200" s="29"/>
      <c r="C200" s="30"/>
      <c r="D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">
      <c r="A201" s="29"/>
      <c r="B201" s="29"/>
      <c r="C201" s="30"/>
      <c r="D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">
      <c r="A202" s="29"/>
      <c r="B202" s="29"/>
      <c r="C202" s="30"/>
      <c r="D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">
      <c r="A203" s="29"/>
      <c r="B203" s="29"/>
      <c r="C203" s="30"/>
      <c r="D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5">
      <c r="A204" s="29"/>
      <c r="B204" s="29"/>
      <c r="C204" s="30"/>
      <c r="D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5">
      <c r="A205" s="29"/>
      <c r="B205" s="29"/>
      <c r="C205" s="30"/>
      <c r="D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5">
      <c r="A206" s="29"/>
      <c r="B206" s="29"/>
      <c r="C206" s="30"/>
      <c r="D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5">
      <c r="A207" s="29"/>
      <c r="B207" s="29"/>
      <c r="C207" s="30"/>
      <c r="D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5">
      <c r="A208" s="29"/>
      <c r="B208" s="29"/>
      <c r="C208" s="30"/>
      <c r="D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5">
      <c r="A209" s="29"/>
      <c r="B209" s="29"/>
      <c r="C209" s="30"/>
      <c r="D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5">
      <c r="A210" s="29"/>
      <c r="B210" s="29"/>
      <c r="C210" s="30"/>
      <c r="D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5">
      <c r="A211" s="29"/>
      <c r="B211" s="29"/>
      <c r="C211" s="30"/>
      <c r="D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5">
      <c r="A212" s="29"/>
      <c r="B212" s="29"/>
      <c r="C212" s="30"/>
      <c r="D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5">
      <c r="A213" s="29"/>
      <c r="B213" s="29"/>
      <c r="C213" s="30"/>
      <c r="D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5">
      <c r="A214" s="30"/>
      <c r="B214" s="30"/>
      <c r="C214" s="30"/>
      <c r="D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5">
      <c r="A215" s="30"/>
      <c r="B215" s="30"/>
      <c r="C215" s="30"/>
      <c r="D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5">
      <c r="A216" s="30"/>
      <c r="B216" s="30"/>
      <c r="C216" s="30"/>
      <c r="D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5">
      <c r="A217" s="30"/>
      <c r="B217" s="30"/>
      <c r="C217" s="30"/>
      <c r="D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5">
      <c r="A218" s="30"/>
      <c r="B218" s="30"/>
      <c r="C218" s="30"/>
      <c r="D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5">
      <c r="A219" s="30"/>
      <c r="B219" s="30"/>
      <c r="C219" s="30"/>
      <c r="D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5">
      <c r="A220" s="30"/>
      <c r="B220" s="30"/>
      <c r="C220" s="30"/>
      <c r="D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">
      <c r="A221" s="30"/>
      <c r="B221" s="30"/>
      <c r="C221" s="30"/>
      <c r="D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5">
      <c r="A222" s="30"/>
      <c r="B222" s="30"/>
      <c r="C222" s="30"/>
      <c r="D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5">
      <c r="A223" s="30"/>
      <c r="B223" s="30"/>
      <c r="C223" s="30"/>
      <c r="D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5">
      <c r="A224" s="30"/>
      <c r="B224" s="30"/>
      <c r="C224" s="30"/>
      <c r="D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5">
      <c r="A225" s="30"/>
      <c r="B225" s="30"/>
      <c r="C225" s="30"/>
      <c r="D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5">
      <c r="A226" s="30"/>
      <c r="B226" s="30"/>
      <c r="C226" s="30"/>
      <c r="D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5">
      <c r="A227" s="30"/>
      <c r="B227" s="30"/>
      <c r="C227" s="30"/>
      <c r="D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5">
      <c r="A228" s="30"/>
      <c r="B228" s="30"/>
      <c r="C228" s="30"/>
      <c r="D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5">
      <c r="A229" s="30"/>
      <c r="B229" s="30"/>
      <c r="C229" s="30"/>
      <c r="D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5">
      <c r="A230" s="30"/>
      <c r="B230" s="30"/>
      <c r="C230" s="30"/>
      <c r="D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5">
      <c r="A231" s="30"/>
      <c r="B231" s="30"/>
      <c r="C231" s="30"/>
      <c r="D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5">
      <c r="A232" s="30"/>
      <c r="B232" s="30"/>
      <c r="C232" s="30"/>
      <c r="D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5">
      <c r="A233" s="30"/>
      <c r="B233" s="30"/>
      <c r="C233" s="30"/>
      <c r="D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5">
      <c r="A234" s="30"/>
      <c r="B234" s="30"/>
      <c r="C234" s="30"/>
      <c r="D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5">
      <c r="A235" s="30"/>
      <c r="B235" s="30"/>
      <c r="C235" s="30"/>
      <c r="D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5">
      <c r="A236" s="30"/>
      <c r="B236" s="30"/>
      <c r="C236" s="30"/>
      <c r="D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5">
      <c r="A237" s="30"/>
      <c r="B237" s="30"/>
      <c r="C237" s="30"/>
      <c r="D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5">
      <c r="A238" s="30"/>
      <c r="B238" s="30"/>
      <c r="C238" s="30"/>
      <c r="D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5">
      <c r="A239" s="30"/>
      <c r="B239" s="30"/>
      <c r="C239" s="30"/>
      <c r="D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">
      <c r="A240" s="30"/>
      <c r="B240" s="30"/>
      <c r="C240" s="30"/>
      <c r="D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5">
      <c r="A241" s="30"/>
      <c r="B241" s="30"/>
      <c r="C241" s="30"/>
      <c r="D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5">
      <c r="A242" s="30"/>
      <c r="B242" s="30"/>
      <c r="C242" s="30"/>
      <c r="D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5">
      <c r="A243" s="30"/>
      <c r="B243" s="30"/>
      <c r="C243" s="30"/>
      <c r="D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5">
      <c r="A244" s="30"/>
      <c r="B244" s="30"/>
      <c r="C244" s="30"/>
      <c r="D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5">
      <c r="A245" s="30"/>
      <c r="B245" s="30"/>
      <c r="C245" s="30"/>
      <c r="D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5">
      <c r="A246" s="30"/>
      <c r="B246" s="30"/>
      <c r="C246" s="30"/>
      <c r="D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5">
      <c r="A247" s="30"/>
      <c r="B247" s="30"/>
      <c r="C247" s="30"/>
      <c r="D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5">
      <c r="A248" s="30"/>
      <c r="B248" s="30"/>
      <c r="C248" s="30"/>
      <c r="D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5">
      <c r="A249" s="30"/>
      <c r="B249" s="30"/>
      <c r="C249" s="30"/>
      <c r="D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5">
      <c r="A250" s="30"/>
      <c r="B250" s="30"/>
      <c r="C250" s="30"/>
      <c r="D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5">
      <c r="A251" s="30"/>
      <c r="B251" s="30"/>
      <c r="C251" s="30"/>
      <c r="D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5">
      <c r="A252" s="30"/>
      <c r="B252" s="30"/>
      <c r="C252" s="30"/>
      <c r="D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5">
      <c r="A253" s="30"/>
      <c r="B253" s="30"/>
      <c r="C253" s="30"/>
      <c r="D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5">
      <c r="A254" s="30"/>
      <c r="B254" s="30"/>
      <c r="C254" s="30"/>
      <c r="D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5">
      <c r="A255" s="30"/>
      <c r="B255" s="30"/>
      <c r="C255" s="30"/>
      <c r="D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5">
      <c r="A256" s="30"/>
      <c r="B256" s="30"/>
      <c r="C256" s="30"/>
      <c r="D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5">
      <c r="A257" s="30"/>
      <c r="B257" s="30"/>
      <c r="C257" s="30"/>
      <c r="D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5">
      <c r="A258" s="30"/>
      <c r="B258" s="30"/>
      <c r="C258" s="30"/>
      <c r="D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5">
      <c r="A259" s="30"/>
      <c r="B259" s="30"/>
      <c r="C259" s="30"/>
      <c r="D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5">
      <c r="A260" s="30"/>
      <c r="B260" s="30"/>
      <c r="C260" s="30"/>
      <c r="D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5">
      <c r="A261" s="30"/>
      <c r="B261" s="30"/>
      <c r="C261" s="30"/>
      <c r="D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5">
      <c r="A262" s="30"/>
      <c r="B262" s="30"/>
      <c r="C262" s="30"/>
      <c r="D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5">
      <c r="A263" s="30"/>
      <c r="B263" s="30"/>
      <c r="C263" s="30"/>
      <c r="D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5">
      <c r="A264" s="30"/>
      <c r="B264" s="30"/>
      <c r="C264" s="30"/>
      <c r="D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5">
      <c r="A265" s="30"/>
      <c r="B265" s="30"/>
      <c r="C265" s="30"/>
      <c r="D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5">
      <c r="A266" s="30"/>
      <c r="B266" s="30"/>
      <c r="C266" s="30"/>
      <c r="D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5">
      <c r="A267" s="30"/>
      <c r="B267" s="30"/>
      <c r="C267" s="30"/>
      <c r="D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5">
      <c r="A268" s="30"/>
      <c r="B268" s="30"/>
      <c r="C268" s="30"/>
      <c r="D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5">
      <c r="A269" s="30"/>
      <c r="B269" s="30"/>
      <c r="C269" s="30"/>
      <c r="D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5">
      <c r="A270" s="30"/>
      <c r="B270" s="30"/>
      <c r="C270" s="30"/>
      <c r="D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5">
      <c r="A271" s="30"/>
      <c r="B271" s="30"/>
      <c r="C271" s="30"/>
      <c r="D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5">
      <c r="A272" s="30"/>
      <c r="B272" s="30"/>
      <c r="C272" s="30"/>
      <c r="D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5">
      <c r="A273" s="30"/>
      <c r="B273" s="30"/>
      <c r="C273" s="30"/>
      <c r="D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5">
      <c r="A274" s="30"/>
      <c r="B274" s="30"/>
      <c r="C274" s="30"/>
      <c r="D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5">
      <c r="A275" s="30"/>
      <c r="B275" s="30"/>
      <c r="C275" s="30"/>
      <c r="D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5">
      <c r="A276" s="30"/>
      <c r="B276" s="30"/>
      <c r="C276" s="30"/>
      <c r="D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5">
      <c r="A277" s="30"/>
      <c r="B277" s="30"/>
      <c r="C277" s="30"/>
      <c r="D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5">
      <c r="A278" s="30"/>
      <c r="B278" s="30"/>
      <c r="C278" s="30"/>
      <c r="D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5">
      <c r="A279" s="30"/>
      <c r="B279" s="30"/>
      <c r="C279" s="30"/>
      <c r="D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5">
      <c r="A280" s="30"/>
      <c r="B280" s="30"/>
      <c r="C280" s="30"/>
      <c r="D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5">
      <c r="A281" s="30"/>
      <c r="B281" s="30"/>
      <c r="C281" s="30"/>
      <c r="D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5">
      <c r="A282" s="30"/>
      <c r="B282" s="30"/>
      <c r="C282" s="30"/>
      <c r="D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5">
      <c r="A283" s="30"/>
      <c r="B283" s="30"/>
      <c r="C283" s="30"/>
      <c r="D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5">
      <c r="A284" s="30"/>
      <c r="B284" s="30"/>
      <c r="C284" s="30"/>
      <c r="D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5">
      <c r="A285" s="30"/>
      <c r="B285" s="30"/>
      <c r="C285" s="30"/>
      <c r="D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5">
      <c r="A286" s="30"/>
      <c r="B286" s="30"/>
      <c r="C286" s="30"/>
      <c r="D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5">
      <c r="A287" s="30"/>
      <c r="B287" s="30"/>
      <c r="C287" s="30"/>
      <c r="D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5">
      <c r="A288" s="30"/>
      <c r="B288" s="30"/>
      <c r="C288" s="30"/>
      <c r="D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5">
      <c r="A289" s="30"/>
      <c r="B289" s="30"/>
      <c r="C289" s="30"/>
      <c r="D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5">
      <c r="A290" s="30"/>
      <c r="B290" s="30"/>
      <c r="C290" s="30"/>
      <c r="D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5">
      <c r="A291" s="30"/>
      <c r="B291" s="30"/>
      <c r="C291" s="30"/>
      <c r="D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5">
      <c r="A292" s="30"/>
      <c r="B292" s="30"/>
      <c r="C292" s="30"/>
      <c r="D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5">
      <c r="A293" s="30"/>
      <c r="B293" s="30"/>
      <c r="C293" s="30"/>
      <c r="D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5">
      <c r="A294" s="30"/>
      <c r="B294" s="30"/>
      <c r="C294" s="30"/>
      <c r="D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5">
      <c r="A295" s="30"/>
      <c r="B295" s="30"/>
      <c r="C295" s="30"/>
      <c r="D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5">
      <c r="A296" s="30"/>
      <c r="B296" s="30"/>
      <c r="C296" s="30"/>
      <c r="D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5">
      <c r="A297" s="30"/>
      <c r="B297" s="30"/>
      <c r="C297" s="30"/>
      <c r="D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5">
      <c r="A298" s="30"/>
      <c r="B298" s="30"/>
      <c r="C298" s="30"/>
      <c r="D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5">
      <c r="A299" s="30"/>
      <c r="B299" s="30"/>
      <c r="C299" s="30"/>
      <c r="D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5">
      <c r="A300" s="30"/>
      <c r="B300" s="30"/>
      <c r="C300" s="30"/>
      <c r="D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5">
      <c r="A301" s="30"/>
      <c r="B301" s="30"/>
      <c r="C301" s="30"/>
      <c r="D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5">
      <c r="A302" s="30"/>
      <c r="B302" s="30"/>
      <c r="C302" s="30"/>
      <c r="D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5">
      <c r="A303" s="30"/>
      <c r="B303" s="30"/>
      <c r="C303" s="30"/>
      <c r="D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5">
      <c r="A304" s="30"/>
      <c r="B304" s="30"/>
      <c r="C304" s="30"/>
      <c r="D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">
      <c r="A305" s="30"/>
      <c r="B305" s="30"/>
      <c r="C305" s="30"/>
      <c r="D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5">
      <c r="A306" s="30"/>
      <c r="B306" s="30"/>
      <c r="C306" s="30"/>
      <c r="D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5">
      <c r="A307" s="30"/>
      <c r="B307" s="30"/>
      <c r="C307" s="30"/>
      <c r="D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">
      <c r="A308" s="30"/>
      <c r="B308" s="30"/>
      <c r="C308" s="30"/>
      <c r="D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5">
      <c r="A309" s="30"/>
      <c r="B309" s="30"/>
      <c r="C309" s="30"/>
      <c r="D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5">
      <c r="A310" s="30"/>
      <c r="B310" s="30"/>
      <c r="C310" s="30"/>
      <c r="D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5">
      <c r="A311" s="30"/>
      <c r="B311" s="30"/>
      <c r="C311" s="30"/>
      <c r="D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5">
      <c r="A312" s="30"/>
      <c r="B312" s="30"/>
      <c r="C312" s="30"/>
      <c r="D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5">
      <c r="A313" s="30"/>
      <c r="B313" s="30"/>
      <c r="C313" s="30"/>
      <c r="D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5">
      <c r="A314" s="30"/>
      <c r="B314" s="30"/>
      <c r="C314" s="30"/>
      <c r="D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5">
      <c r="A315" s="30"/>
      <c r="B315" s="30"/>
      <c r="C315" s="30"/>
      <c r="D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5">
      <c r="A316" s="30"/>
      <c r="B316" s="30"/>
      <c r="C316" s="30"/>
      <c r="D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5">
      <c r="A317" s="30"/>
      <c r="B317" s="30"/>
      <c r="C317" s="30"/>
      <c r="D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5">
      <c r="A318" s="30"/>
      <c r="B318" s="30"/>
      <c r="C318" s="30"/>
      <c r="D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5">
      <c r="A319" s="30"/>
      <c r="B319" s="30"/>
      <c r="C319" s="30"/>
      <c r="D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5">
      <c r="A320" s="30"/>
      <c r="B320" s="30"/>
      <c r="C320" s="30"/>
      <c r="D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5">
      <c r="A321" s="30"/>
      <c r="B321" s="30"/>
      <c r="C321" s="30"/>
      <c r="D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5">
      <c r="A322" s="30"/>
      <c r="B322" s="30"/>
      <c r="C322" s="30"/>
      <c r="D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5">
      <c r="A323" s="30"/>
      <c r="B323" s="30"/>
      <c r="C323" s="30"/>
      <c r="D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5">
      <c r="A324" s="30"/>
      <c r="B324" s="30"/>
      <c r="C324" s="30"/>
      <c r="D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5">
      <c r="A325" s="30"/>
      <c r="B325" s="30"/>
      <c r="C325" s="30"/>
      <c r="D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5">
      <c r="A326" s="30"/>
      <c r="B326" s="30"/>
      <c r="C326" s="30"/>
      <c r="D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5">
      <c r="A327" s="30"/>
      <c r="B327" s="30"/>
      <c r="C327" s="30"/>
      <c r="D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5">
      <c r="A328" s="30"/>
      <c r="B328" s="30"/>
      <c r="C328" s="30"/>
      <c r="D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5">
      <c r="A329" s="30"/>
      <c r="B329" s="30"/>
      <c r="C329" s="30"/>
      <c r="D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5">
      <c r="A330" s="30"/>
      <c r="B330" s="30"/>
      <c r="C330" s="30"/>
      <c r="D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5">
      <c r="A331" s="30"/>
      <c r="B331" s="30"/>
      <c r="C331" s="30"/>
      <c r="D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5">
      <c r="A332" s="30"/>
      <c r="B332" s="30"/>
      <c r="C332" s="30"/>
      <c r="D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5">
      <c r="A333" s="30"/>
      <c r="B333" s="30"/>
      <c r="C333" s="30"/>
      <c r="D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5">
      <c r="A334" s="30"/>
      <c r="B334" s="30"/>
      <c r="C334" s="30"/>
      <c r="D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5">
      <c r="A335" s="30"/>
      <c r="B335" s="30"/>
      <c r="C335" s="30"/>
      <c r="D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5">
      <c r="A336" s="30"/>
      <c r="B336" s="30"/>
      <c r="C336" s="30"/>
      <c r="D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5">
      <c r="A337" s="30"/>
      <c r="B337" s="30"/>
      <c r="C337" s="30"/>
      <c r="D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5">
      <c r="A338" s="30"/>
      <c r="B338" s="30"/>
      <c r="C338" s="30"/>
      <c r="D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5">
      <c r="A339" s="30"/>
      <c r="B339" s="30"/>
      <c r="C339" s="30"/>
      <c r="D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5">
      <c r="A340" s="30"/>
      <c r="B340" s="30"/>
      <c r="C340" s="30"/>
      <c r="D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5">
      <c r="A341" s="30"/>
      <c r="B341" s="30"/>
      <c r="C341" s="30"/>
      <c r="D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5">
      <c r="A342" s="30"/>
      <c r="B342" s="30"/>
      <c r="C342" s="30"/>
      <c r="D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5">
      <c r="A343" s="30"/>
      <c r="B343" s="30"/>
      <c r="C343" s="30"/>
      <c r="D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5">
      <c r="A344" s="30"/>
      <c r="B344" s="30"/>
      <c r="C344" s="30"/>
      <c r="D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5">
      <c r="A345" s="30"/>
      <c r="B345" s="30"/>
      <c r="C345" s="30"/>
      <c r="D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5">
      <c r="A346" s="30"/>
      <c r="B346" s="30"/>
      <c r="C346" s="30"/>
      <c r="D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5">
      <c r="A347" s="30"/>
      <c r="B347" s="30"/>
      <c r="C347" s="30"/>
      <c r="D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5">
      <c r="A348" s="30"/>
      <c r="B348" s="30"/>
      <c r="C348" s="30"/>
      <c r="D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5">
      <c r="A349" s="30"/>
      <c r="B349" s="30"/>
      <c r="C349" s="30"/>
      <c r="D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5">
      <c r="A350" s="30"/>
      <c r="B350" s="30"/>
      <c r="C350" s="30"/>
      <c r="D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5">
      <c r="A351" s="30"/>
      <c r="B351" s="30"/>
      <c r="C351" s="30"/>
      <c r="D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5">
      <c r="A352" s="30"/>
      <c r="B352" s="30"/>
      <c r="C352" s="30"/>
      <c r="D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5">
      <c r="A353" s="30"/>
      <c r="B353" s="30"/>
      <c r="C353" s="30"/>
      <c r="D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5">
      <c r="A354" s="30"/>
      <c r="B354" s="30"/>
      <c r="C354" s="30"/>
      <c r="D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5">
      <c r="A355" s="30"/>
      <c r="B355" s="30"/>
      <c r="C355" s="30"/>
      <c r="D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3" ht="15">
      <c r="A356" s="30"/>
      <c r="B356" s="30"/>
      <c r="C356" s="30"/>
      <c r="D356" s="30"/>
      <c r="F356" s="30"/>
      <c r="G356" s="30"/>
      <c r="H356" s="30"/>
      <c r="I356" s="30"/>
      <c r="J356" s="30"/>
      <c r="K356" s="30"/>
      <c r="L356" s="30"/>
      <c r="M356" s="30"/>
    </row>
    <row r="357" spans="1:13" ht="15">
      <c r="A357" s="30"/>
      <c r="B357" s="30"/>
      <c r="C357" s="30"/>
      <c r="D357" s="30"/>
      <c r="F357" s="30"/>
      <c r="G357" s="30"/>
      <c r="H357" s="30"/>
      <c r="I357" s="30"/>
      <c r="J357" s="30"/>
      <c r="K357" s="30"/>
      <c r="L357" s="30"/>
      <c r="M357" s="30"/>
    </row>
    <row r="358" spans="1:13" ht="15">
      <c r="A358" s="30"/>
      <c r="B358" s="30"/>
      <c r="C358" s="30"/>
      <c r="D358" s="30"/>
      <c r="F358" s="30"/>
      <c r="G358" s="30"/>
      <c r="H358" s="30"/>
      <c r="I358" s="30"/>
      <c r="J358" s="30"/>
      <c r="K358" s="30"/>
      <c r="L358" s="30"/>
      <c r="M358" s="30"/>
    </row>
    <row r="359" spans="1:13" ht="15">
      <c r="A359" s="30"/>
      <c r="B359" s="30"/>
      <c r="C359" s="30"/>
      <c r="D359" s="30"/>
      <c r="F359" s="30"/>
      <c r="G359" s="30"/>
      <c r="H359" s="30"/>
      <c r="I359" s="30"/>
      <c r="J359" s="30"/>
      <c r="K359" s="30"/>
      <c r="L359" s="30"/>
      <c r="M359" s="30"/>
    </row>
    <row r="360" spans="1:13" ht="15">
      <c r="A360" s="30"/>
      <c r="B360" s="30"/>
      <c r="C360" s="30"/>
      <c r="D360" s="30"/>
      <c r="F360" s="30"/>
      <c r="G360" s="30"/>
      <c r="H360" s="30"/>
      <c r="I360" s="30"/>
      <c r="J360" s="30"/>
      <c r="K360" s="30"/>
      <c r="L360" s="30"/>
      <c r="M360" s="30"/>
    </row>
    <row r="361" spans="1:13" ht="15">
      <c r="A361" s="30"/>
      <c r="B361" s="30"/>
      <c r="C361" s="30"/>
      <c r="D361" s="30"/>
      <c r="F361" s="30"/>
      <c r="G361" s="30"/>
      <c r="H361" s="30"/>
      <c r="I361" s="30"/>
      <c r="J361" s="30"/>
      <c r="K361" s="30"/>
      <c r="L361" s="30"/>
      <c r="M361" s="30"/>
    </row>
    <row r="362" spans="1:13" ht="15">
      <c r="A362" s="30"/>
      <c r="B362" s="30"/>
      <c r="C362" s="30"/>
      <c r="D362" s="30"/>
      <c r="F362" s="30"/>
      <c r="G362" s="30"/>
      <c r="H362" s="30"/>
      <c r="I362" s="30"/>
      <c r="J362" s="30"/>
      <c r="K362" s="30"/>
      <c r="L362" s="30"/>
      <c r="M362" s="30"/>
    </row>
    <row r="363" spans="1:13" ht="15">
      <c r="A363" s="30"/>
      <c r="B363" s="30"/>
      <c r="C363" s="30"/>
      <c r="D363" s="30"/>
      <c r="F363" s="30"/>
      <c r="G363" s="30"/>
      <c r="H363" s="30"/>
      <c r="I363" s="30"/>
      <c r="J363" s="30"/>
      <c r="K363" s="30"/>
      <c r="L363" s="30"/>
      <c r="M363" s="30"/>
    </row>
    <row r="364" spans="1:13" ht="15">
      <c r="A364" s="30"/>
      <c r="B364" s="30"/>
      <c r="C364" s="30"/>
      <c r="D364" s="30"/>
      <c r="F364" s="30"/>
      <c r="G364" s="30"/>
      <c r="H364" s="30"/>
      <c r="I364" s="30"/>
      <c r="J364" s="30"/>
      <c r="K364" s="30"/>
      <c r="L364" s="30"/>
      <c r="M364" s="30"/>
    </row>
    <row r="365" spans="1:13" ht="15">
      <c r="A365" s="30"/>
      <c r="B365" s="30"/>
      <c r="C365" s="30"/>
      <c r="D365" s="30"/>
      <c r="F365" s="30"/>
      <c r="G365" s="30"/>
      <c r="H365" s="30"/>
      <c r="I365" s="30"/>
      <c r="J365" s="30"/>
      <c r="K365" s="30"/>
      <c r="L365" s="30"/>
      <c r="M365" s="30"/>
    </row>
    <row r="366" spans="1:13" ht="15">
      <c r="A366" s="30"/>
      <c r="B366" s="30"/>
      <c r="C366" s="30"/>
      <c r="D366" s="30"/>
      <c r="F366" s="30"/>
      <c r="G366" s="30"/>
      <c r="H366" s="30"/>
      <c r="I366" s="30"/>
      <c r="J366" s="30"/>
      <c r="K366" s="30"/>
      <c r="L366" s="30"/>
      <c r="M366" s="30"/>
    </row>
    <row r="367" spans="1:13" ht="15">
      <c r="A367" s="30"/>
      <c r="B367" s="30"/>
      <c r="C367" s="30"/>
      <c r="D367" s="30"/>
      <c r="F367" s="30"/>
      <c r="G367" s="30"/>
      <c r="H367" s="30"/>
      <c r="I367" s="30"/>
      <c r="J367" s="30"/>
      <c r="K367" s="30"/>
      <c r="L367" s="30"/>
      <c r="M367" s="30"/>
    </row>
    <row r="368" spans="1:13" ht="15">
      <c r="A368" s="30"/>
      <c r="B368" s="30"/>
      <c r="C368" s="30"/>
      <c r="D368" s="30"/>
      <c r="F368" s="30"/>
      <c r="G368" s="30"/>
      <c r="H368" s="30"/>
      <c r="I368" s="30"/>
      <c r="J368" s="30"/>
      <c r="K368" s="30"/>
      <c r="L368" s="30"/>
      <c r="M368" s="30"/>
    </row>
    <row r="369" spans="1:13" ht="15">
      <c r="A369" s="30"/>
      <c r="B369" s="30"/>
      <c r="C369" s="30"/>
      <c r="D369" s="30"/>
      <c r="F369" s="30"/>
      <c r="G369" s="30"/>
      <c r="H369" s="30"/>
      <c r="I369" s="30"/>
      <c r="J369" s="30"/>
      <c r="K369" s="30"/>
      <c r="L369" s="30"/>
      <c r="M369" s="30"/>
    </row>
    <row r="370" spans="1:13" ht="15">
      <c r="A370" s="30"/>
      <c r="B370" s="30"/>
      <c r="C370" s="30"/>
      <c r="D370" s="30"/>
      <c r="F370" s="30"/>
      <c r="G370" s="30"/>
      <c r="H370" s="30"/>
      <c r="I370" s="30"/>
      <c r="J370" s="30"/>
      <c r="K370" s="30"/>
      <c r="L370" s="30"/>
      <c r="M370" s="30"/>
    </row>
    <row r="371" spans="1:13" ht="15">
      <c r="A371" s="30"/>
      <c r="B371" s="30"/>
      <c r="C371" s="30"/>
      <c r="D371" s="30"/>
      <c r="F371" s="30"/>
      <c r="G371" s="30"/>
      <c r="H371" s="30"/>
      <c r="I371" s="30"/>
      <c r="J371" s="30"/>
      <c r="K371" s="30"/>
      <c r="L371" s="30"/>
      <c r="M371" s="30"/>
    </row>
    <row r="372" spans="1:13" ht="15">
      <c r="A372" s="30"/>
      <c r="B372" s="30"/>
      <c r="C372" s="30"/>
      <c r="D372" s="30"/>
      <c r="F372" s="30"/>
      <c r="G372" s="30"/>
      <c r="H372" s="30"/>
      <c r="I372" s="30"/>
      <c r="J372" s="30"/>
      <c r="K372" s="30"/>
      <c r="L372" s="30"/>
      <c r="M372" s="30"/>
    </row>
    <row r="373" spans="1:13" ht="15">
      <c r="A373" s="30"/>
      <c r="B373" s="30"/>
      <c r="C373" s="30"/>
      <c r="D373" s="30"/>
      <c r="F373" s="30"/>
      <c r="G373" s="30"/>
      <c r="H373" s="30"/>
      <c r="I373" s="30"/>
      <c r="J373" s="30"/>
      <c r="K373" s="30"/>
      <c r="L373" s="30"/>
      <c r="M373" s="30"/>
    </row>
    <row r="374" spans="1:13" ht="15">
      <c r="A374" s="30"/>
      <c r="B374" s="30"/>
      <c r="C374" s="30"/>
      <c r="D374" s="30"/>
      <c r="F374" s="30"/>
      <c r="G374" s="30"/>
      <c r="H374" s="30"/>
      <c r="I374" s="30"/>
      <c r="J374" s="30"/>
      <c r="K374" s="30"/>
      <c r="L374" s="30"/>
      <c r="M374" s="30"/>
    </row>
    <row r="375" spans="1:13" ht="15">
      <c r="A375" s="30"/>
      <c r="B375" s="30"/>
      <c r="C375" s="30"/>
      <c r="D375" s="30"/>
      <c r="F375" s="30"/>
      <c r="G375" s="30"/>
      <c r="H375" s="30"/>
      <c r="I375" s="30"/>
      <c r="J375" s="30"/>
      <c r="K375" s="30"/>
      <c r="L375" s="30"/>
      <c r="M375" s="30"/>
    </row>
    <row r="376" spans="1:13" ht="15">
      <c r="A376" s="30"/>
      <c r="B376" s="30"/>
      <c r="C376" s="30"/>
      <c r="D376" s="30"/>
      <c r="F376" s="30"/>
      <c r="G376" s="30"/>
      <c r="H376" s="30"/>
      <c r="I376" s="30"/>
      <c r="J376" s="30"/>
      <c r="K376" s="30"/>
      <c r="L376" s="30"/>
      <c r="M376" s="30"/>
    </row>
    <row r="377" spans="1:13" ht="15">
      <c r="A377" s="30"/>
      <c r="B377" s="30"/>
      <c r="C377" s="30"/>
      <c r="D377" s="30"/>
      <c r="F377" s="30"/>
      <c r="G377" s="30"/>
      <c r="H377" s="30"/>
      <c r="I377" s="30"/>
      <c r="J377" s="30"/>
      <c r="K377" s="30"/>
      <c r="L377" s="30"/>
      <c r="M377" s="30"/>
    </row>
    <row r="378" spans="1:13" ht="15">
      <c r="A378" s="30"/>
      <c r="B378" s="30"/>
      <c r="C378" s="30"/>
      <c r="D378" s="30"/>
      <c r="F378" s="30"/>
      <c r="G378" s="30"/>
      <c r="H378" s="30"/>
      <c r="I378" s="30"/>
      <c r="J378" s="30"/>
      <c r="K378" s="30"/>
      <c r="L378" s="30"/>
      <c r="M378" s="30"/>
    </row>
    <row r="379" spans="1:13" ht="15">
      <c r="A379" s="30"/>
      <c r="B379" s="30"/>
      <c r="C379" s="30"/>
      <c r="D379" s="30"/>
      <c r="F379" s="30"/>
      <c r="G379" s="30"/>
      <c r="H379" s="30"/>
      <c r="I379" s="30"/>
      <c r="J379" s="30"/>
      <c r="K379" s="30"/>
      <c r="L379" s="30"/>
      <c r="M379" s="30"/>
    </row>
    <row r="380" spans="1:13" ht="15">
      <c r="A380" s="30"/>
      <c r="B380" s="30"/>
      <c r="C380" s="30"/>
      <c r="D380" s="30"/>
      <c r="F380" s="30"/>
      <c r="G380" s="30"/>
      <c r="H380" s="30"/>
      <c r="I380" s="30"/>
      <c r="J380" s="30"/>
      <c r="K380" s="30"/>
      <c r="L380" s="30"/>
      <c r="M380" s="30"/>
    </row>
    <row r="381" spans="1:13" ht="15">
      <c r="A381" s="30"/>
      <c r="B381" s="30"/>
      <c r="C381" s="30"/>
      <c r="D381" s="30"/>
      <c r="F381" s="30"/>
      <c r="G381" s="30"/>
      <c r="H381" s="30"/>
      <c r="I381" s="30"/>
      <c r="J381" s="30"/>
      <c r="K381" s="30"/>
      <c r="L381" s="30"/>
      <c r="M381" s="30"/>
    </row>
    <row r="382" spans="1:13" ht="15">
      <c r="A382" s="30"/>
      <c r="B382" s="30"/>
      <c r="C382" s="30"/>
      <c r="D382" s="30"/>
      <c r="F382" s="30"/>
      <c r="G382" s="30"/>
      <c r="H382" s="30"/>
      <c r="I382" s="30"/>
      <c r="J382" s="30"/>
      <c r="K382" s="30"/>
      <c r="L382" s="30"/>
      <c r="M382" s="30"/>
    </row>
    <row r="383" spans="1:13" ht="15">
      <c r="A383" s="30"/>
      <c r="B383" s="30"/>
      <c r="C383" s="30"/>
      <c r="D383" s="30"/>
      <c r="F383" s="30"/>
      <c r="G383" s="30"/>
      <c r="H383" s="30"/>
      <c r="I383" s="30"/>
      <c r="J383" s="30"/>
      <c r="K383" s="30"/>
      <c r="L383" s="30"/>
      <c r="M383" s="30"/>
    </row>
    <row r="384" spans="1:13" ht="15">
      <c r="A384" s="30"/>
      <c r="B384" s="30"/>
      <c r="C384" s="30"/>
      <c r="D384" s="30"/>
      <c r="F384" s="30"/>
      <c r="G384" s="30"/>
      <c r="H384" s="30"/>
      <c r="I384" s="30"/>
      <c r="J384" s="30"/>
      <c r="K384" s="30"/>
      <c r="L384" s="30"/>
      <c r="M384" s="30"/>
    </row>
    <row r="385" spans="1:13" ht="15">
      <c r="A385" s="30"/>
      <c r="B385" s="30"/>
      <c r="C385" s="30"/>
      <c r="D385" s="30"/>
      <c r="F385" s="30"/>
      <c r="G385" s="30"/>
      <c r="H385" s="30"/>
      <c r="I385" s="30"/>
      <c r="J385" s="30"/>
      <c r="K385" s="30"/>
      <c r="L385" s="30"/>
      <c r="M385" s="30"/>
    </row>
    <row r="386" spans="1:13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1:13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1:13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1:13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1:13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1:13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1:13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1:13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1:13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1:13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1:13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1:13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1:13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1:13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1:13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1:13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1:13" ht="1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1:13" ht="1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1:13" ht="1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1:13" ht="1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1:13" ht="1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1:13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1:13" ht="1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1:13" ht="1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1:13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1:13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1:13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1:13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1:13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1:13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1:13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1:13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1:13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1:13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1:13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1:13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1:13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1:13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1:13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1:13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3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1:13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1:13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1:13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1:13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1:13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1:13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1:13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1:13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1:13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1:13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1:13" ht="1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1:13" ht="1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1:13" ht="1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1:13" ht="1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1:13" ht="1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1:13" ht="1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1:13" ht="1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1:13" ht="1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1:13" ht="1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1:13" ht="1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1:13" ht="1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1:13" ht="1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1:13" ht="1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1:13" ht="1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1:13" ht="1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1:13" ht="1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1:13" ht="1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1:13" ht="1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1:13" ht="1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1:13" ht="1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1:13" ht="1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1:13" ht="1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1:13" ht="1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1:13" ht="1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1:13" ht="1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1:13" ht="1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1:13" ht="1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1:13" ht="1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1:13" ht="1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1:13" ht="1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1:13" ht="1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1:13" ht="1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1:13" ht="1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1:13" ht="1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1:13" ht="1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1:13" ht="1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1:13" ht="1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1:13" ht="1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1:13" ht="1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1:13" ht="1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1:13" ht="1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1:13" ht="1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1:13" ht="1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1:13" ht="1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3:13" ht="15">
      <c r="C481" s="30"/>
      <c r="D481" s="30"/>
      <c r="E481" s="30"/>
      <c r="G481" s="30"/>
      <c r="H481" s="30"/>
      <c r="I481" s="30"/>
      <c r="J481" s="30"/>
      <c r="K481" s="30"/>
      <c r="L481" s="30"/>
      <c r="M481" s="30"/>
    </row>
    <row r="482" spans="3:13" ht="15">
      <c r="C482" s="30"/>
      <c r="D482" s="30"/>
      <c r="E482" s="30"/>
      <c r="G482" s="30"/>
      <c r="H482" s="30"/>
      <c r="I482" s="30"/>
      <c r="J482" s="30"/>
      <c r="K482" s="30"/>
      <c r="L482" s="30"/>
      <c r="M482" s="30"/>
    </row>
    <row r="483" spans="7:10" ht="15">
      <c r="G483" s="30"/>
      <c r="H483" s="30"/>
      <c r="I483" s="30"/>
      <c r="J483" s="30"/>
    </row>
    <row r="484" spans="7:10" ht="15">
      <c r="G484" s="30"/>
      <c r="H484" s="30"/>
      <c r="I484" s="30"/>
      <c r="J484" s="30"/>
    </row>
    <row r="485" spans="7:10" ht="15">
      <c r="G485" s="30"/>
      <c r="H485" s="30"/>
      <c r="I485" s="30"/>
      <c r="J485" s="30"/>
    </row>
    <row r="486" spans="7:10" ht="15">
      <c r="G486" s="30"/>
      <c r="H486" s="30"/>
      <c r="I486" s="30"/>
      <c r="J486" s="30"/>
    </row>
    <row r="487" spans="7:10" ht="15">
      <c r="G487" s="30"/>
      <c r="H487" s="30"/>
      <c r="I487" s="30"/>
      <c r="J487" s="30"/>
    </row>
    <row r="488" spans="7:10" ht="15">
      <c r="G488" s="30"/>
      <c r="H488" s="30"/>
      <c r="I488" s="30"/>
      <c r="J488" s="30"/>
    </row>
    <row r="489" spans="7:10" ht="15">
      <c r="G489" s="30"/>
      <c r="H489" s="30"/>
      <c r="I489" s="30"/>
      <c r="J489" s="30"/>
    </row>
    <row r="490" spans="7:10" ht="15">
      <c r="G490" s="30"/>
      <c r="H490" s="30"/>
      <c r="I490" s="30"/>
      <c r="J490" s="30"/>
    </row>
    <row r="491" spans="7:10" ht="15">
      <c r="G491" s="30"/>
      <c r="H491" s="30"/>
      <c r="I491" s="30"/>
      <c r="J491" s="30"/>
    </row>
    <row r="492" spans="7:10" ht="15">
      <c r="G492" s="30"/>
      <c r="H492" s="30"/>
      <c r="I492" s="30"/>
      <c r="J492" s="30"/>
    </row>
  </sheetData>
  <printOptions/>
  <pageMargins left="0.75" right="0.75" top="1" bottom="1" header="0.5" footer="0.5"/>
  <pageSetup horizontalDpi="600" verticalDpi="600" orientation="portrait"/>
  <ignoredErrors>
    <ignoredError sqref="A42 A103:A104 A89:A97 A43:A88 A98:A102 A105:A111 A112:A131 A132:A145 A146:A1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1"/>
  <sheetViews>
    <sheetView showZeros="0" tabSelected="1" workbookViewId="0" topLeftCell="A1">
      <pane xSplit="5980" ySplit="5840" topLeftCell="AB105" activePane="bottomRight" state="split"/>
      <selection pane="topLeft" activeCell="B8" sqref="B8:AE121"/>
      <selection pane="topRight" activeCell="AH15" sqref="AH15"/>
      <selection pane="bottomLeft" activeCell="A16" sqref="A16:A121"/>
      <selection pane="bottomRight" activeCell="AG123" sqref="AG123"/>
    </sheetView>
  </sheetViews>
  <sheetFormatPr defaultColWidth="11.421875" defaultRowHeight="12.75"/>
  <cols>
    <col min="1" max="1" width="15.140625" style="4" customWidth="1"/>
    <col min="2" max="10" width="12.7109375" style="3" customWidth="1"/>
    <col min="11" max="11" width="9.421875" style="3" customWidth="1"/>
    <col min="12" max="12" width="6.140625" style="3" customWidth="1"/>
    <col min="13" max="20" width="12.7109375" style="3" customWidth="1"/>
    <col min="21" max="21" width="9.421875" style="3" customWidth="1"/>
    <col min="22" max="22" width="9.00390625" style="3" customWidth="1"/>
    <col min="23" max="23" width="4.7109375" style="3" customWidth="1"/>
    <col min="24" max="32" width="12.7109375" style="3" customWidth="1"/>
    <col min="33" max="33" width="11.00390625" style="3" customWidth="1"/>
    <col min="34" max="80" width="12.7109375" style="3" customWidth="1"/>
    <col min="81" max="16384" width="8.8515625" style="3" customWidth="1"/>
  </cols>
  <sheetData>
    <row r="1" spans="1:4" ht="15">
      <c r="A1" s="15" t="s">
        <v>33</v>
      </c>
      <c r="B1" s="17"/>
      <c r="C1" s="20"/>
      <c r="D1" s="2" t="s">
        <v>36</v>
      </c>
    </row>
    <row r="2" spans="1:4" ht="15">
      <c r="A2" s="16" t="s">
        <v>34</v>
      </c>
      <c r="B2" s="18"/>
      <c r="C2" s="20"/>
      <c r="D2" s="8"/>
    </row>
    <row r="3" spans="1:9" ht="15">
      <c r="A3" s="15" t="s">
        <v>35</v>
      </c>
      <c r="B3" s="17"/>
      <c r="C3" s="20"/>
      <c r="I3" s="3" t="s">
        <v>65</v>
      </c>
    </row>
    <row r="4" spans="1:9" ht="15">
      <c r="A4" s="16" t="s">
        <v>200</v>
      </c>
      <c r="B4" s="18"/>
      <c r="C4" s="20"/>
      <c r="I4" s="3" t="s">
        <v>66</v>
      </c>
    </row>
    <row r="5" spans="1:9" ht="15">
      <c r="A5" s="19"/>
      <c r="B5" s="20"/>
      <c r="C5" s="20"/>
      <c r="I5" s="3" t="s">
        <v>67</v>
      </c>
    </row>
    <row r="6" spans="2:25" ht="15">
      <c r="B6" s="13" t="s">
        <v>38</v>
      </c>
      <c r="C6" s="13"/>
      <c r="I6" s="3" t="s">
        <v>68</v>
      </c>
      <c r="M6" s="13" t="s">
        <v>176</v>
      </c>
      <c r="N6" s="13"/>
      <c r="X6" s="23" t="s">
        <v>55</v>
      </c>
      <c r="Y6" s="23"/>
    </row>
    <row r="7" spans="2:33" ht="15">
      <c r="B7" s="13"/>
      <c r="C7" s="13"/>
      <c r="J7" s="59" t="s">
        <v>69</v>
      </c>
      <c r="K7" s="70" t="s">
        <v>71</v>
      </c>
      <c r="L7" s="59"/>
      <c r="M7" s="13"/>
      <c r="N7" s="13"/>
      <c r="U7" s="72" t="s">
        <v>69</v>
      </c>
      <c r="V7" s="70" t="s">
        <v>71</v>
      </c>
      <c r="X7" s="23"/>
      <c r="Y7" s="23"/>
      <c r="AF7" s="72" t="s">
        <v>69</v>
      </c>
      <c r="AG7" s="70" t="s">
        <v>71</v>
      </c>
    </row>
    <row r="8" spans="2:33" ht="15">
      <c r="B8" s="70" t="s">
        <v>195</v>
      </c>
      <c r="C8" s="70" t="s">
        <v>194</v>
      </c>
      <c r="D8" s="70" t="s">
        <v>195</v>
      </c>
      <c r="E8" s="70" t="s">
        <v>195</v>
      </c>
      <c r="F8" s="70" t="s">
        <v>195</v>
      </c>
      <c r="G8" s="70" t="s">
        <v>194</v>
      </c>
      <c r="H8" s="70" t="s">
        <v>195</v>
      </c>
      <c r="I8" s="70" t="s">
        <v>195</v>
      </c>
      <c r="J8" s="66" t="s">
        <v>194</v>
      </c>
      <c r="K8" s="66" t="s">
        <v>194</v>
      </c>
      <c r="L8" s="70"/>
      <c r="M8" s="70" t="s">
        <v>195</v>
      </c>
      <c r="N8" s="70" t="s">
        <v>194</v>
      </c>
      <c r="O8" s="70" t="s">
        <v>195</v>
      </c>
      <c r="P8" s="70" t="s">
        <v>195</v>
      </c>
      <c r="Q8" s="70" t="s">
        <v>195</v>
      </c>
      <c r="R8" s="70" t="s">
        <v>194</v>
      </c>
      <c r="S8" s="66"/>
      <c r="T8" s="66"/>
      <c r="U8" s="66" t="s">
        <v>194</v>
      </c>
      <c r="V8" s="66" t="s">
        <v>194</v>
      </c>
      <c r="W8" s="66"/>
      <c r="X8" s="70" t="s">
        <v>195</v>
      </c>
      <c r="Y8" s="70" t="s">
        <v>194</v>
      </c>
      <c r="Z8" s="66"/>
      <c r="AA8" s="66"/>
      <c r="AB8" s="70" t="s">
        <v>195</v>
      </c>
      <c r="AC8" s="70" t="s">
        <v>194</v>
      </c>
      <c r="AD8" s="66"/>
      <c r="AE8" s="66"/>
      <c r="AF8" s="66" t="s">
        <v>194</v>
      </c>
      <c r="AG8" s="66" t="s">
        <v>194</v>
      </c>
    </row>
    <row r="9" spans="1:56" ht="30">
      <c r="A9" s="14" t="s">
        <v>26</v>
      </c>
      <c r="B9" s="67" t="s">
        <v>29</v>
      </c>
      <c r="C9" s="67" t="s">
        <v>29</v>
      </c>
      <c r="D9" s="25" t="s">
        <v>30</v>
      </c>
      <c r="E9" s="25" t="s">
        <v>31</v>
      </c>
      <c r="F9" s="25" t="s">
        <v>32</v>
      </c>
      <c r="G9" s="25" t="s">
        <v>32</v>
      </c>
      <c r="H9" s="25" t="s">
        <v>73</v>
      </c>
      <c r="I9" s="25" t="s">
        <v>72</v>
      </c>
      <c r="J9" s="68" t="s">
        <v>70</v>
      </c>
      <c r="K9" s="25" t="s">
        <v>0</v>
      </c>
      <c r="L9" s="25"/>
      <c r="M9" s="25" t="s">
        <v>29</v>
      </c>
      <c r="N9" s="25" t="s">
        <v>29</v>
      </c>
      <c r="O9" s="25" t="s">
        <v>30</v>
      </c>
      <c r="P9" s="25" t="s">
        <v>31</v>
      </c>
      <c r="Q9" s="25" t="s">
        <v>32</v>
      </c>
      <c r="R9" s="25" t="s">
        <v>32</v>
      </c>
      <c r="S9" s="25" t="s">
        <v>73</v>
      </c>
      <c r="T9" s="25" t="s">
        <v>72</v>
      </c>
      <c r="U9" s="68" t="s">
        <v>70</v>
      </c>
      <c r="V9" s="25" t="s">
        <v>0</v>
      </c>
      <c r="W9" s="25"/>
      <c r="X9" s="25" t="s">
        <v>29</v>
      </c>
      <c r="Y9" s="25" t="s">
        <v>29</v>
      </c>
      <c r="Z9" s="25" t="s">
        <v>30</v>
      </c>
      <c r="AA9" s="25" t="s">
        <v>31</v>
      </c>
      <c r="AB9" s="25" t="s">
        <v>32</v>
      </c>
      <c r="AC9" s="25" t="s">
        <v>32</v>
      </c>
      <c r="AD9" s="25" t="s">
        <v>73</v>
      </c>
      <c r="AE9" s="25" t="s">
        <v>72</v>
      </c>
      <c r="AF9" s="68" t="s">
        <v>70</v>
      </c>
      <c r="AG9" s="25" t="s">
        <v>0</v>
      </c>
      <c r="AH9" s="9"/>
      <c r="AJ9" s="9"/>
      <c r="AL9" s="9"/>
      <c r="AN9" s="9"/>
      <c r="AP9" s="9"/>
      <c r="AR9" s="9"/>
      <c r="AT9" s="9"/>
      <c r="AV9" s="9"/>
      <c r="AX9" s="9"/>
      <c r="AZ9" s="9"/>
      <c r="BB9" s="9"/>
      <c r="BD9" s="9"/>
    </row>
    <row r="10" spans="1:56" ht="15">
      <c r="A10" s="14" t="s">
        <v>28</v>
      </c>
      <c r="B10" s="67" t="s">
        <v>8</v>
      </c>
      <c r="C10" s="67" t="s">
        <v>185</v>
      </c>
      <c r="D10" s="25" t="s">
        <v>8</v>
      </c>
      <c r="E10" s="25" t="s">
        <v>8</v>
      </c>
      <c r="F10" s="25" t="s">
        <v>8</v>
      </c>
      <c r="G10" s="25" t="s">
        <v>8</v>
      </c>
      <c r="H10" s="25" t="s">
        <v>8</v>
      </c>
      <c r="I10" s="25" t="s">
        <v>8</v>
      </c>
      <c r="J10" s="25" t="s">
        <v>8</v>
      </c>
      <c r="K10" s="25" t="s">
        <v>8</v>
      </c>
      <c r="L10" s="68"/>
      <c r="M10" s="25" t="s">
        <v>8</v>
      </c>
      <c r="N10" s="25" t="s">
        <v>8</v>
      </c>
      <c r="O10" s="25" t="s">
        <v>8</v>
      </c>
      <c r="P10" s="25" t="s">
        <v>8</v>
      </c>
      <c r="Q10" s="25" t="s">
        <v>8</v>
      </c>
      <c r="R10" s="25" t="s">
        <v>8</v>
      </c>
      <c r="S10" s="25" t="s">
        <v>8</v>
      </c>
      <c r="T10" s="25" t="s">
        <v>8</v>
      </c>
      <c r="U10" s="25" t="s">
        <v>8</v>
      </c>
      <c r="V10" s="25" t="s">
        <v>8</v>
      </c>
      <c r="W10" s="25"/>
      <c r="X10" s="25" t="s">
        <v>40</v>
      </c>
      <c r="Y10" s="25" t="s">
        <v>40</v>
      </c>
      <c r="Z10" s="25" t="s">
        <v>40</v>
      </c>
      <c r="AA10" s="25" t="s">
        <v>40</v>
      </c>
      <c r="AB10" s="25" t="s">
        <v>40</v>
      </c>
      <c r="AC10" s="25" t="s">
        <v>40</v>
      </c>
      <c r="AD10" s="25" t="s">
        <v>40</v>
      </c>
      <c r="AE10" s="25" t="s">
        <v>40</v>
      </c>
      <c r="AF10" s="25" t="s">
        <v>40</v>
      </c>
      <c r="AG10" s="25" t="s">
        <v>40</v>
      </c>
      <c r="AH10" s="9"/>
      <c r="AJ10" s="9"/>
      <c r="AL10" s="9"/>
      <c r="AN10" s="9"/>
      <c r="AP10" s="9"/>
      <c r="AR10" s="9"/>
      <c r="AT10" s="9"/>
      <c r="AV10" s="9"/>
      <c r="AX10" s="9"/>
      <c r="AZ10" s="9"/>
      <c r="BB10" s="9"/>
      <c r="BD10" s="9"/>
    </row>
    <row r="11" spans="1:56" ht="15">
      <c r="A11" s="14" t="s">
        <v>27</v>
      </c>
      <c r="B11" s="67" t="s">
        <v>9</v>
      </c>
      <c r="C11" s="67" t="s">
        <v>193</v>
      </c>
      <c r="D11" s="25" t="s">
        <v>12</v>
      </c>
      <c r="E11" s="25" t="s">
        <v>12</v>
      </c>
      <c r="F11" s="25" t="s">
        <v>10</v>
      </c>
      <c r="G11" s="25" t="s">
        <v>10</v>
      </c>
      <c r="H11" s="25" t="s">
        <v>11</v>
      </c>
      <c r="I11" s="25" t="s">
        <v>11</v>
      </c>
      <c r="J11" s="68" t="s">
        <v>12</v>
      </c>
      <c r="K11" s="69">
        <v>1000</v>
      </c>
      <c r="L11" s="25"/>
      <c r="M11" s="25" t="s">
        <v>54</v>
      </c>
      <c r="N11" s="25" t="s">
        <v>54</v>
      </c>
      <c r="O11" s="25" t="s">
        <v>53</v>
      </c>
      <c r="P11" s="25" t="s">
        <v>53</v>
      </c>
      <c r="Q11" s="25" t="s">
        <v>53</v>
      </c>
      <c r="R11" s="25" t="s">
        <v>53</v>
      </c>
      <c r="S11" s="25" t="s">
        <v>52</v>
      </c>
      <c r="T11" s="25" t="s">
        <v>52</v>
      </c>
      <c r="U11" s="68" t="s">
        <v>53</v>
      </c>
      <c r="V11" s="69">
        <v>1000</v>
      </c>
      <c r="W11" s="25"/>
      <c r="X11" s="25" t="s">
        <v>54</v>
      </c>
      <c r="Y11" s="25" t="s">
        <v>54</v>
      </c>
      <c r="Z11" s="25" t="s">
        <v>53</v>
      </c>
      <c r="AA11" s="25" t="s">
        <v>53</v>
      </c>
      <c r="AB11" s="25" t="s">
        <v>53</v>
      </c>
      <c r="AC11" s="25" t="s">
        <v>53</v>
      </c>
      <c r="AD11" s="25" t="s">
        <v>52</v>
      </c>
      <c r="AE11" s="25" t="s">
        <v>52</v>
      </c>
      <c r="AF11" s="68" t="s">
        <v>53</v>
      </c>
      <c r="AG11" s="69">
        <v>1000</v>
      </c>
      <c r="AH11" s="9"/>
      <c r="AJ11" s="9"/>
      <c r="AL11" s="9"/>
      <c r="AN11" s="9"/>
      <c r="AP11" s="9"/>
      <c r="AR11" s="9"/>
      <c r="AT11" s="9"/>
      <c r="AV11" s="9"/>
      <c r="AX11" s="9"/>
      <c r="AZ11" s="9"/>
      <c r="BB11" s="9"/>
      <c r="BD11" s="9"/>
    </row>
    <row r="12" spans="1:56" ht="15">
      <c r="A12" s="58" t="s">
        <v>42</v>
      </c>
      <c r="B12" s="25"/>
      <c r="C12" s="25"/>
      <c r="D12" s="25"/>
      <c r="E12" s="25"/>
      <c r="F12" s="25"/>
      <c r="G12" s="25"/>
      <c r="H12" s="25"/>
      <c r="I12" s="25"/>
      <c r="J12" s="64">
        <v>61</v>
      </c>
      <c r="K12" s="25">
        <v>30.33</v>
      </c>
      <c r="L12" s="25"/>
      <c r="M12" s="25"/>
      <c r="N12" s="25"/>
      <c r="O12" s="25"/>
      <c r="P12" s="25"/>
      <c r="Q12" s="25"/>
      <c r="R12" s="25"/>
      <c r="S12" s="25"/>
      <c r="T12" s="25"/>
      <c r="U12" s="25">
        <f>J12/225.103</f>
        <v>0.27098705925731775</v>
      </c>
      <c r="V12" s="25">
        <v>30.33</v>
      </c>
      <c r="W12" s="25"/>
      <c r="X12" s="25"/>
      <c r="Y12" s="25"/>
      <c r="Z12" s="25"/>
      <c r="AA12" s="25"/>
      <c r="AB12" s="25"/>
      <c r="AC12" s="25"/>
      <c r="AD12" s="25"/>
      <c r="AE12" s="25"/>
      <c r="AF12" s="66">
        <f>U12*0.275</f>
        <v>0.0745214412957624</v>
      </c>
      <c r="AG12" s="66">
        <f>V12*0.275</f>
        <v>8.34075</v>
      </c>
      <c r="AH12" s="9"/>
      <c r="AJ12" s="9"/>
      <c r="AL12" s="9"/>
      <c r="AN12" s="9"/>
      <c r="AP12" s="9"/>
      <c r="AR12" s="9"/>
      <c r="AT12" s="9"/>
      <c r="AV12" s="9"/>
      <c r="AX12" s="9"/>
      <c r="AZ12" s="9"/>
      <c r="BB12" s="9"/>
      <c r="BD12" s="9"/>
    </row>
    <row r="13" spans="1:56" ht="15">
      <c r="A13" s="58" t="s">
        <v>43</v>
      </c>
      <c r="B13" s="25"/>
      <c r="C13" s="25"/>
      <c r="D13" s="25"/>
      <c r="E13" s="25"/>
      <c r="F13" s="25"/>
      <c r="G13" s="25"/>
      <c r="H13" s="25"/>
      <c r="I13" s="25"/>
      <c r="J13" s="64">
        <v>55</v>
      </c>
      <c r="K13" s="25">
        <v>32</v>
      </c>
      <c r="L13" s="25"/>
      <c r="M13" s="25"/>
      <c r="N13" s="25"/>
      <c r="O13" s="25"/>
      <c r="P13" s="25"/>
      <c r="Q13" s="25"/>
      <c r="R13" s="25"/>
      <c r="S13" s="25"/>
      <c r="T13" s="25"/>
      <c r="U13" s="25">
        <f aca="true" t="shared" si="0" ref="U13:U76">J13/225.103</f>
        <v>0.24433259441233568</v>
      </c>
      <c r="V13" s="25">
        <v>32</v>
      </c>
      <c r="W13" s="25"/>
      <c r="X13" s="25"/>
      <c r="Y13" s="25"/>
      <c r="Z13" s="25"/>
      <c r="AA13" s="25"/>
      <c r="AB13" s="25"/>
      <c r="AC13" s="25"/>
      <c r="AD13" s="25"/>
      <c r="AE13" s="25"/>
      <c r="AF13" s="66">
        <f aca="true" t="shared" si="1" ref="AF13:AG15">U13*0.275</f>
        <v>0.06719146346339232</v>
      </c>
      <c r="AG13" s="66">
        <f t="shared" si="1"/>
        <v>8.8</v>
      </c>
      <c r="AH13" s="9"/>
      <c r="AJ13" s="9"/>
      <c r="AL13" s="9"/>
      <c r="AN13" s="9"/>
      <c r="AP13" s="9"/>
      <c r="AR13" s="9"/>
      <c r="AT13" s="9"/>
      <c r="AV13" s="9"/>
      <c r="AX13" s="9"/>
      <c r="AZ13" s="9"/>
      <c r="BB13" s="9"/>
      <c r="BD13" s="9"/>
    </row>
    <row r="14" spans="1:56" ht="15">
      <c r="A14" s="58" t="s">
        <v>44</v>
      </c>
      <c r="B14" s="25"/>
      <c r="C14" s="25"/>
      <c r="D14" s="25"/>
      <c r="E14" s="25"/>
      <c r="F14" s="25"/>
      <c r="G14" s="25"/>
      <c r="H14" s="25"/>
      <c r="I14" s="25"/>
      <c r="J14" s="64">
        <v>55</v>
      </c>
      <c r="K14" s="25">
        <v>32</v>
      </c>
      <c r="L14" s="25"/>
      <c r="M14" s="25"/>
      <c r="N14" s="25"/>
      <c r="O14" s="25"/>
      <c r="P14" s="25"/>
      <c r="Q14" s="25"/>
      <c r="R14" s="25"/>
      <c r="S14" s="25"/>
      <c r="T14" s="25"/>
      <c r="U14" s="25">
        <f t="shared" si="0"/>
        <v>0.24433259441233568</v>
      </c>
      <c r="V14" s="25">
        <v>32</v>
      </c>
      <c r="W14" s="25"/>
      <c r="X14" s="25"/>
      <c r="Y14" s="25"/>
      <c r="Z14" s="25"/>
      <c r="AA14" s="25"/>
      <c r="AB14" s="25"/>
      <c r="AC14" s="25"/>
      <c r="AD14" s="25"/>
      <c r="AE14" s="25"/>
      <c r="AF14" s="66">
        <f t="shared" si="1"/>
        <v>0.06719146346339232</v>
      </c>
      <c r="AG14" s="66">
        <f t="shared" si="1"/>
        <v>8.8</v>
      </c>
      <c r="AH14" s="9"/>
      <c r="AJ14" s="9"/>
      <c r="AL14" s="9"/>
      <c r="AN14" s="9"/>
      <c r="AP14" s="9"/>
      <c r="AR14" s="9"/>
      <c r="AT14" s="9"/>
      <c r="AV14" s="9"/>
      <c r="AX14" s="9"/>
      <c r="AZ14" s="9"/>
      <c r="BB14" s="9"/>
      <c r="BD14" s="9"/>
    </row>
    <row r="15" spans="1:56" ht="15">
      <c r="A15" s="58" t="s">
        <v>45</v>
      </c>
      <c r="B15" s="25"/>
      <c r="C15" s="25"/>
      <c r="D15" s="25"/>
      <c r="E15" s="25"/>
      <c r="F15" s="25"/>
      <c r="G15" s="25"/>
      <c r="H15" s="25"/>
      <c r="I15" s="25"/>
      <c r="J15" s="64">
        <v>55</v>
      </c>
      <c r="K15" s="25">
        <v>31.41</v>
      </c>
      <c r="L15" s="25"/>
      <c r="M15" s="25"/>
      <c r="N15" s="25"/>
      <c r="O15" s="25"/>
      <c r="P15" s="25"/>
      <c r="Q15" s="25"/>
      <c r="R15" s="25"/>
      <c r="S15" s="25"/>
      <c r="T15" s="25"/>
      <c r="U15" s="25">
        <f t="shared" si="0"/>
        <v>0.24433259441233568</v>
      </c>
      <c r="V15" s="25">
        <v>31.41</v>
      </c>
      <c r="W15" s="25"/>
      <c r="X15" s="25"/>
      <c r="Y15" s="25"/>
      <c r="Z15" s="25"/>
      <c r="AA15" s="25"/>
      <c r="AB15" s="25"/>
      <c r="AC15" s="25"/>
      <c r="AD15" s="25"/>
      <c r="AE15" s="25"/>
      <c r="AF15" s="66">
        <f t="shared" si="1"/>
        <v>0.06719146346339232</v>
      </c>
      <c r="AG15" s="66">
        <f t="shared" si="1"/>
        <v>8.63775</v>
      </c>
      <c r="AH15" s="9"/>
      <c r="AJ15" s="9"/>
      <c r="AL15" s="9"/>
      <c r="AN15" s="9"/>
      <c r="AP15" s="9"/>
      <c r="AR15" s="9"/>
      <c r="AT15" s="9"/>
      <c r="AV15" s="9"/>
      <c r="AX15" s="9"/>
      <c r="AZ15" s="9"/>
      <c r="BB15" s="9"/>
      <c r="BD15" s="9"/>
    </row>
    <row r="16" spans="1:33" ht="15">
      <c r="A16" s="11">
        <v>1605</v>
      </c>
      <c r="B16" s="66">
        <f>+(339+327.75)/2</f>
        <v>333.375</v>
      </c>
      <c r="C16" s="66">
        <v>3.14</v>
      </c>
      <c r="D16" s="66">
        <f>+(268+268)/2</f>
        <v>268</v>
      </c>
      <c r="E16" s="66">
        <f>+(334+348)/2</f>
        <v>341</v>
      </c>
      <c r="F16" s="66">
        <v>150</v>
      </c>
      <c r="G16" s="71">
        <v>154</v>
      </c>
      <c r="H16" s="66">
        <v>107.5</v>
      </c>
      <c r="I16" s="66">
        <v>28</v>
      </c>
      <c r="J16" s="65">
        <v>57</v>
      </c>
      <c r="K16" s="66">
        <v>30.16</v>
      </c>
      <c r="L16" s="65"/>
      <c r="M16" s="66">
        <f>+B16/(0.7625*100)</f>
        <v>4.372131147540983</v>
      </c>
      <c r="N16" s="66">
        <f>C16/0.76</f>
        <v>4.131578947368421</v>
      </c>
      <c r="O16" s="66">
        <f>+D16/146.2343</f>
        <v>1.8326753709629</v>
      </c>
      <c r="P16" s="66">
        <f>+E16/146.2343</f>
        <v>2.3318742593221975</v>
      </c>
      <c r="Q16" s="66">
        <f>+F16/75.5544</f>
        <v>1.9853244814332454</v>
      </c>
      <c r="R16" s="66">
        <f>+G16/75.5544</f>
        <v>2.0382664676047986</v>
      </c>
      <c r="S16" s="66">
        <f>+H16/0.5949</f>
        <v>180.70263909900825</v>
      </c>
      <c r="T16" s="66">
        <f>I16/0.5949</f>
        <v>47.06673390485796</v>
      </c>
      <c r="U16" s="25">
        <f t="shared" si="0"/>
        <v>0.2532174160273297</v>
      </c>
      <c r="V16" s="66">
        <v>30.16</v>
      </c>
      <c r="W16" s="66"/>
      <c r="X16" s="66">
        <f>+M16*Notes!$F42</f>
        <v>1.2010671213114754</v>
      </c>
      <c r="Y16" s="66">
        <f>+N16*Notes!$F42</f>
        <v>1.134985082864642</v>
      </c>
      <c r="Z16" s="66">
        <f>+O16*Notes!$F42</f>
        <v>0.5034538209904458</v>
      </c>
      <c r="AA16" s="66">
        <f>+P16*Notes!$F42</f>
        <v>0.6405886304393359</v>
      </c>
      <c r="AB16" s="66">
        <f>+Q16*Notes!$F42</f>
        <v>0.5453880222978544</v>
      </c>
      <c r="AC16" s="66">
        <f>+R16*Notes!$F42</f>
        <v>0.5599317028924639</v>
      </c>
      <c r="AD16" s="66">
        <f>+S16*Notes!$F42</f>
        <v>49.64077957224586</v>
      </c>
      <c r="AE16" s="66">
        <f>+T16*Notes!$F42</f>
        <v>12.92969142346869</v>
      </c>
      <c r="AF16" s="66">
        <f>+U16*Notes!$F42</f>
        <v>0.06956129692150877</v>
      </c>
      <c r="AG16" s="66">
        <f>+V16*Notes!$F42</f>
        <v>8.285246520824897</v>
      </c>
    </row>
    <row r="17" spans="1:33" ht="15">
      <c r="A17" s="11">
        <v>1606</v>
      </c>
      <c r="B17" s="66">
        <f>(300.8+314.85)/2</f>
        <v>307.82500000000005</v>
      </c>
      <c r="C17" s="66">
        <v>3.41</v>
      </c>
      <c r="D17" s="66">
        <f>+(202+192.5)/2</f>
        <v>197.25</v>
      </c>
      <c r="E17" s="66">
        <f>+(318+315)/2</f>
        <v>316.5</v>
      </c>
      <c r="F17" s="66">
        <v>158</v>
      </c>
      <c r="G17" s="71">
        <v>164</v>
      </c>
      <c r="H17" s="66">
        <v>116</v>
      </c>
      <c r="I17" s="66">
        <v>28</v>
      </c>
      <c r="J17" s="65"/>
      <c r="K17" s="66">
        <v>27.9</v>
      </c>
      <c r="L17" s="65"/>
      <c r="M17" s="66">
        <f aca="true" t="shared" si="2" ref="M17:M80">+B17/(0.7625*100)</f>
        <v>4.03704918032787</v>
      </c>
      <c r="N17" s="66">
        <f aca="true" t="shared" si="3" ref="N17:N80">C17/0.76</f>
        <v>4.486842105263158</v>
      </c>
      <c r="O17" s="66">
        <f aca="true" t="shared" si="4" ref="O17:O80">+D17/146.2343</f>
        <v>1.3488627497105674</v>
      </c>
      <c r="P17" s="66">
        <f aca="true" t="shared" si="5" ref="P17:P80">+E17/146.2343</f>
        <v>2.1643349063796937</v>
      </c>
      <c r="Q17" s="66">
        <f aca="true" t="shared" si="6" ref="Q17:R80">+F17/75.5544</f>
        <v>2.091208453776352</v>
      </c>
      <c r="R17" s="66">
        <f t="shared" si="6"/>
        <v>2.1706214330336815</v>
      </c>
      <c r="S17" s="66">
        <f aca="true" t="shared" si="7" ref="S17:S80">+H17/0.5949</f>
        <v>194.99075474869727</v>
      </c>
      <c r="T17" s="66">
        <f aca="true" t="shared" si="8" ref="T17:T80">I17/0.5949</f>
        <v>47.06673390485796</v>
      </c>
      <c r="U17" s="25">
        <f t="shared" si="0"/>
        <v>0</v>
      </c>
      <c r="V17" s="66">
        <v>27.9</v>
      </c>
      <c r="W17" s="66"/>
      <c r="X17" s="66">
        <f>+M17*Notes!$F43</f>
        <v>1.095017219672131</v>
      </c>
      <c r="Y17" s="66">
        <f>+N17*Notes!$F43</f>
        <v>1.2170199439616665</v>
      </c>
      <c r="Z17" s="66">
        <f>+O17*Notes!$F43</f>
        <v>0.36586820519917823</v>
      </c>
      <c r="AA17" s="66">
        <f>+P17*Notes!$F43</f>
        <v>0.5870584889507726</v>
      </c>
      <c r="AB17" s="66">
        <f>+Q17*Notes!$F43</f>
        <v>0.5672235250359426</v>
      </c>
      <c r="AC17" s="66">
        <f>+R17*Notes!$F43</f>
        <v>0.588763658898067</v>
      </c>
      <c r="AD17" s="66">
        <f>+S17*Notes!$F43</f>
        <v>52.88967872057183</v>
      </c>
      <c r="AE17" s="66">
        <f>+T17*Notes!$F43</f>
        <v>12.766474173931131</v>
      </c>
      <c r="AF17" s="66">
        <f>+U17*Notes!$F43</f>
        <v>0</v>
      </c>
      <c r="AG17" s="66">
        <f>+V17*Notes!$F43</f>
        <v>7.567651287907088</v>
      </c>
    </row>
    <row r="18" spans="1:33" ht="15">
      <c r="A18" s="11">
        <v>1607</v>
      </c>
      <c r="B18" s="66">
        <f>+(367.9+355.35)/2</f>
        <v>361.625</v>
      </c>
      <c r="C18" s="66">
        <v>4.49</v>
      </c>
      <c r="D18" s="66">
        <f>+(237.5+252.75)/2</f>
        <v>245.125</v>
      </c>
      <c r="E18" s="66">
        <f>+(383.65+391)/2</f>
        <v>387.325</v>
      </c>
      <c r="F18" s="66">
        <f>+(170+214.5)/2</f>
        <v>192.25</v>
      </c>
      <c r="G18" s="71">
        <v>244</v>
      </c>
      <c r="H18" s="66">
        <v>105</v>
      </c>
      <c r="I18" s="66">
        <v>28</v>
      </c>
      <c r="J18" s="65">
        <v>59</v>
      </c>
      <c r="K18" s="66">
        <v>29</v>
      </c>
      <c r="L18" s="65"/>
      <c r="M18" s="66">
        <f t="shared" si="2"/>
        <v>4.742622950819672</v>
      </c>
      <c r="N18" s="66">
        <f t="shared" si="3"/>
        <v>5.907894736842105</v>
      </c>
      <c r="O18" s="66">
        <f t="shared" si="4"/>
        <v>1.6762483220420927</v>
      </c>
      <c r="P18" s="66">
        <f t="shared" si="5"/>
        <v>2.6486604032022583</v>
      </c>
      <c r="Q18" s="66">
        <f t="shared" si="6"/>
        <v>2.5445242103702763</v>
      </c>
      <c r="R18" s="66">
        <f t="shared" si="6"/>
        <v>3.2294611564647457</v>
      </c>
      <c r="S18" s="66">
        <f t="shared" si="7"/>
        <v>176.50025214321735</v>
      </c>
      <c r="T18" s="66">
        <f t="shared" si="8"/>
        <v>47.06673390485796</v>
      </c>
      <c r="U18" s="25">
        <f t="shared" si="0"/>
        <v>0.2621022376423237</v>
      </c>
      <c r="V18" s="66">
        <v>29</v>
      </c>
      <c r="W18" s="66"/>
      <c r="X18" s="66">
        <f>+M18*Notes!$F44</f>
        <v>1.2585628032786884</v>
      </c>
      <c r="Y18" s="66">
        <f>+N18*Notes!$F44</f>
        <v>1.5677941591773246</v>
      </c>
      <c r="Z18" s="66">
        <f>+O18*Notes!$F44</f>
        <v>0.4448305946007955</v>
      </c>
      <c r="AA18" s="66">
        <f>+P18*Notes!$F44</f>
        <v>0.7028822439724758</v>
      </c>
      <c r="AB18" s="66">
        <f>+Q18*Notes!$F44</f>
        <v>0.6752473381128948</v>
      </c>
      <c r="AC18" s="66">
        <f>+R18*Notes!$F44</f>
        <v>0.8570109258754035</v>
      </c>
      <c r="AD18" s="66">
        <f>+S18*Notes!$F44</f>
        <v>46.838353885663814</v>
      </c>
      <c r="AE18" s="66">
        <f>+T18*Notes!$F44</f>
        <v>12.490227702843685</v>
      </c>
      <c r="AF18" s="66">
        <f>+U18*Notes!$F44</f>
        <v>0.06955478653341561</v>
      </c>
      <c r="AG18" s="66">
        <f>+V18*Notes!$F44</f>
        <v>7.695809191151054</v>
      </c>
    </row>
    <row r="19" spans="1:33" ht="15">
      <c r="A19" s="11">
        <v>1608</v>
      </c>
      <c r="B19" s="66">
        <f>+(543+556.7)/2</f>
        <v>549.85</v>
      </c>
      <c r="C19" s="66">
        <v>4.83</v>
      </c>
      <c r="D19" s="66">
        <f>+(535+500)/2</f>
        <v>517.5</v>
      </c>
      <c r="E19" s="66">
        <f>+(557+600)/2</f>
        <v>578.5</v>
      </c>
      <c r="F19" s="66">
        <f>+(275+400)/2</f>
        <v>337.5</v>
      </c>
      <c r="G19" s="71">
        <v>307</v>
      </c>
      <c r="H19" s="66">
        <v>105</v>
      </c>
      <c r="I19" s="66">
        <v>28</v>
      </c>
      <c r="J19" s="65">
        <v>62</v>
      </c>
      <c r="K19" s="66">
        <v>32</v>
      </c>
      <c r="L19" s="65"/>
      <c r="M19" s="66">
        <f t="shared" si="2"/>
        <v>7.211147540983607</v>
      </c>
      <c r="N19" s="66">
        <f t="shared" si="3"/>
        <v>6.355263157894737</v>
      </c>
      <c r="O19" s="66">
        <f t="shared" si="4"/>
        <v>3.5388414346018684</v>
      </c>
      <c r="P19" s="66">
        <f t="shared" si="5"/>
        <v>3.955980231724021</v>
      </c>
      <c r="Q19" s="66">
        <f t="shared" si="6"/>
        <v>4.4669800832248026</v>
      </c>
      <c r="R19" s="66">
        <f t="shared" si="6"/>
        <v>4.063297438666709</v>
      </c>
      <c r="S19" s="66">
        <f t="shared" si="7"/>
        <v>176.50025214321735</v>
      </c>
      <c r="T19" s="66">
        <f t="shared" si="8"/>
        <v>47.06673390485796</v>
      </c>
      <c r="U19" s="25">
        <f t="shared" si="0"/>
        <v>0.2754294700648148</v>
      </c>
      <c r="V19" s="66">
        <v>32</v>
      </c>
      <c r="W19" s="66"/>
      <c r="X19" s="66">
        <f>+M19*Notes!$F45</f>
        <v>1.8268655114754098</v>
      </c>
      <c r="Y19" s="66">
        <f>+N19*Notes!$F45</f>
        <v>1.6100365459898154</v>
      </c>
      <c r="Z19" s="66">
        <f>+O19*Notes!$F45</f>
        <v>0.8965268469007757</v>
      </c>
      <c r="AA19" s="66">
        <f>+P19*Notes!$F45</f>
        <v>1.0022044075982584</v>
      </c>
      <c r="AB19" s="66">
        <f>+Q19*Notes!$F45</f>
        <v>1.1316606418203776</v>
      </c>
      <c r="AC19" s="66">
        <f>+R19*Notes!$F45</f>
        <v>1.029392050485499</v>
      </c>
      <c r="AD19" s="66">
        <f>+S19*Notes!$F45</f>
        <v>44.71441217567657</v>
      </c>
      <c r="AE19" s="66">
        <f>+T19*Notes!$F45</f>
        <v>11.923843246847087</v>
      </c>
      <c r="AF19" s="66">
        <f>+U19*Notes!$F45</f>
        <v>0.0697770496090454</v>
      </c>
      <c r="AG19" s="66">
        <f>+V19*Notes!$F45</f>
        <v>8.106850682913521</v>
      </c>
    </row>
    <row r="20" spans="1:33" ht="15">
      <c r="A20" s="11">
        <v>1609</v>
      </c>
      <c r="B20" s="66">
        <f>+(409.85+445.05)/2</f>
        <v>427.45000000000005</v>
      </c>
      <c r="C20" s="66">
        <v>4.02</v>
      </c>
      <c r="D20" s="66">
        <f>+(380*2)/2</f>
        <v>380</v>
      </c>
      <c r="E20" s="66">
        <f>+(460+426)/2</f>
        <v>443</v>
      </c>
      <c r="F20" s="66">
        <v>214</v>
      </c>
      <c r="G20" s="71">
        <v>221</v>
      </c>
      <c r="H20" s="66">
        <v>102.5</v>
      </c>
      <c r="I20" s="66">
        <v>28</v>
      </c>
      <c r="J20" s="65">
        <v>56</v>
      </c>
      <c r="K20" s="66">
        <v>29</v>
      </c>
      <c r="L20" s="65"/>
      <c r="M20" s="66">
        <f t="shared" si="2"/>
        <v>5.605901639344263</v>
      </c>
      <c r="N20" s="66">
        <f t="shared" si="3"/>
        <v>5.289473684210526</v>
      </c>
      <c r="O20" s="66">
        <f t="shared" si="4"/>
        <v>2.598569555842918</v>
      </c>
      <c r="P20" s="66">
        <f t="shared" si="5"/>
        <v>3.029385034837928</v>
      </c>
      <c r="Q20" s="66">
        <f t="shared" si="6"/>
        <v>2.832396260178097</v>
      </c>
      <c r="R20" s="66">
        <f t="shared" si="6"/>
        <v>2.925044735978315</v>
      </c>
      <c r="S20" s="66">
        <f t="shared" si="7"/>
        <v>172.29786518742645</v>
      </c>
      <c r="T20" s="66">
        <f t="shared" si="8"/>
        <v>47.06673390485796</v>
      </c>
      <c r="U20" s="25">
        <f t="shared" si="0"/>
        <v>0.2487750052198327</v>
      </c>
      <c r="V20" s="66">
        <v>29</v>
      </c>
      <c r="W20" s="66"/>
      <c r="X20" s="66">
        <f>+M20*Notes!$F46</f>
        <v>1.5458332721311474</v>
      </c>
      <c r="Y20" s="66">
        <f>+N20*Notes!$F46</f>
        <v>1.4585779307521343</v>
      </c>
      <c r="Z20" s="66">
        <f>+O20*Notes!$F46</f>
        <v>0.7165582876404006</v>
      </c>
      <c r="AA20" s="66">
        <f>+P20*Notes!$F46</f>
        <v>0.8353561090123619</v>
      </c>
      <c r="AB20" s="66">
        <f>+Q20*Notes!$F46</f>
        <v>0.7810362472494767</v>
      </c>
      <c r="AC20" s="66">
        <f>+R20*Notes!$F46</f>
        <v>0.8065841618791324</v>
      </c>
      <c r="AD20" s="66">
        <f>+S20*Notes!$F46</f>
        <v>47.511317511280076</v>
      </c>
      <c r="AE20" s="66">
        <f>+T20*Notes!$F46</f>
        <v>12.978701368935045</v>
      </c>
      <c r="AF20" s="66">
        <f>+U20*Notes!$F46</f>
        <v>0.06859996929742791</v>
      </c>
      <c r="AG20" s="66">
        <f>+V20*Notes!$F46</f>
        <v>7.996780495964439</v>
      </c>
    </row>
    <row r="21" spans="1:33" ht="15">
      <c r="A21" s="11">
        <v>1610</v>
      </c>
      <c r="B21" s="66">
        <f>+(358.95+355.15)/2</f>
        <v>357.04999999999995</v>
      </c>
      <c r="C21" s="66">
        <v>3.5</v>
      </c>
      <c r="D21" s="66">
        <f>+(288+257)/2</f>
        <v>272.5</v>
      </c>
      <c r="E21" s="66">
        <f>+(360+362)/2</f>
        <v>361</v>
      </c>
      <c r="F21" s="66">
        <f>+(228.25+252.65)/2</f>
        <v>240.45</v>
      </c>
      <c r="G21" s="71">
        <v>228</v>
      </c>
      <c r="H21" s="66">
        <v>102.5</v>
      </c>
      <c r="I21" s="66">
        <v>28</v>
      </c>
      <c r="J21" s="65">
        <v>55</v>
      </c>
      <c r="K21" s="66">
        <v>29</v>
      </c>
      <c r="L21" s="65"/>
      <c r="M21" s="66">
        <f t="shared" si="2"/>
        <v>4.682622950819671</v>
      </c>
      <c r="N21" s="66">
        <f t="shared" si="3"/>
        <v>4.605263157894737</v>
      </c>
      <c r="O21" s="66">
        <f t="shared" si="4"/>
        <v>1.8634479051768293</v>
      </c>
      <c r="P21" s="66">
        <f t="shared" si="5"/>
        <v>2.468641078050772</v>
      </c>
      <c r="Q21" s="66">
        <f t="shared" si="6"/>
        <v>3.1824751437374923</v>
      </c>
      <c r="R21" s="66">
        <f t="shared" si="6"/>
        <v>3.017693211778533</v>
      </c>
      <c r="S21" s="66">
        <f t="shared" si="7"/>
        <v>172.29786518742645</v>
      </c>
      <c r="T21" s="66">
        <f t="shared" si="8"/>
        <v>47.06673390485796</v>
      </c>
      <c r="U21" s="25">
        <f t="shared" si="0"/>
        <v>0.24433259441233568</v>
      </c>
      <c r="V21" s="66">
        <v>29</v>
      </c>
      <c r="W21" s="66"/>
      <c r="X21" s="66">
        <f>+M21*Notes!$F47</f>
        <v>1.2866348360655737</v>
      </c>
      <c r="Y21" s="66">
        <f>+N21*Notes!$F47</f>
        <v>1.2653788422489851</v>
      </c>
      <c r="Z21" s="66">
        <f>+O21*Notes!$F47</f>
        <v>0.5120158114746869</v>
      </c>
      <c r="AA21" s="66">
        <f>+P21*Notes!$F47</f>
        <v>0.6783035153848145</v>
      </c>
      <c r="AB21" s="66">
        <f>+Q21*Notes!$F47</f>
        <v>0.8744422576514935</v>
      </c>
      <c r="AC21" s="66">
        <f>+R21*Notes!$F47</f>
        <v>0.8291654595322958</v>
      </c>
      <c r="AD21" s="66">
        <f>+S21*Notes!$F47</f>
        <v>47.34193588895897</v>
      </c>
      <c r="AE21" s="66">
        <f>+T21*Notes!$F47</f>
        <v>12.932431267227818</v>
      </c>
      <c r="AF21" s="66">
        <f>+U21*Notes!$F47</f>
        <v>0.06713477272436881</v>
      </c>
      <c r="AG21" s="66">
        <f>+V21*Notes!$F47</f>
        <v>7.968271338047894</v>
      </c>
    </row>
    <row r="22" spans="1:33" ht="15">
      <c r="A22" s="11">
        <v>1611</v>
      </c>
      <c r="B22" s="66">
        <f>+(344.1+324.25)/2</f>
        <v>334.175</v>
      </c>
      <c r="C22" s="66">
        <v>3.53</v>
      </c>
      <c r="D22" s="66">
        <f>+(270+275)/2</f>
        <v>272.5</v>
      </c>
      <c r="E22" s="66">
        <f>+(360+355)/2</f>
        <v>357.5</v>
      </c>
      <c r="F22" s="66">
        <f>+(323.35+400)/2</f>
        <v>361.675</v>
      </c>
      <c r="G22" s="71">
        <v>305</v>
      </c>
      <c r="H22" s="66">
        <v>97</v>
      </c>
      <c r="I22" s="66">
        <v>28</v>
      </c>
      <c r="J22" s="65">
        <v>57</v>
      </c>
      <c r="K22" s="66">
        <v>28</v>
      </c>
      <c r="L22" s="65"/>
      <c r="M22" s="66">
        <f t="shared" si="2"/>
        <v>4.382622950819672</v>
      </c>
      <c r="N22" s="66">
        <f t="shared" si="3"/>
        <v>4.644736842105263</v>
      </c>
      <c r="O22" s="66">
        <f t="shared" si="4"/>
        <v>1.8634479051768293</v>
      </c>
      <c r="P22" s="66">
        <f t="shared" si="5"/>
        <v>2.4447068847732716</v>
      </c>
      <c r="Q22" s="66">
        <f t="shared" si="6"/>
        <v>4.786948212149127</v>
      </c>
      <c r="R22" s="66">
        <f t="shared" si="6"/>
        <v>4.036826445580933</v>
      </c>
      <c r="S22" s="66">
        <f t="shared" si="7"/>
        <v>163.0526138846865</v>
      </c>
      <c r="T22" s="66">
        <f t="shared" si="8"/>
        <v>47.06673390485796</v>
      </c>
      <c r="U22" s="25">
        <f t="shared" si="0"/>
        <v>0.2532174160273297</v>
      </c>
      <c r="V22" s="66">
        <v>28</v>
      </c>
      <c r="W22" s="66"/>
      <c r="X22" s="66">
        <f>+M22*Notes!$F48</f>
        <v>1.1573995147540983</v>
      </c>
      <c r="Y22" s="66">
        <f>+N22*Notes!$F48</f>
        <v>1.226620730904466</v>
      </c>
      <c r="Z22" s="66">
        <f>+O22*Notes!$F48</f>
        <v>0.49211481923577993</v>
      </c>
      <c r="AA22" s="66">
        <f>+P22*Notes!$F48</f>
        <v>0.6456185243185003</v>
      </c>
      <c r="AB22" s="66">
        <f>+Q22*Notes!$F48</f>
        <v>1.264177092135701</v>
      </c>
      <c r="AC22" s="66">
        <f>+R22*Notes!$F48</f>
        <v>1.06607869800619</v>
      </c>
      <c r="AD22" s="66">
        <f>+S22*Notes!$F48</f>
        <v>43.06029022054663</v>
      </c>
      <c r="AE22" s="66">
        <f>+T22*Notes!$F48</f>
        <v>12.429774496652634</v>
      </c>
      <c r="AF22" s="66">
        <f>+U22*Notes!$F48</f>
        <v>0.06687176098105933</v>
      </c>
      <c r="AG22" s="66">
        <f>+V22*Notes!$F48</f>
        <v>7.394472848058651</v>
      </c>
    </row>
    <row r="23" spans="1:33" ht="15">
      <c r="A23" s="11">
        <v>1612</v>
      </c>
      <c r="B23" s="66">
        <f>+(382+423.1)/2</f>
        <v>402.55</v>
      </c>
      <c r="C23" s="66">
        <v>4.07</v>
      </c>
      <c r="D23" s="66">
        <f>+(280+330)/2</f>
        <v>305</v>
      </c>
      <c r="E23" s="66">
        <f>+(320+320)/2</f>
        <v>320</v>
      </c>
      <c r="F23" s="66">
        <f>+(210+280)/2</f>
        <v>245</v>
      </c>
      <c r="G23" s="71">
        <v>277</v>
      </c>
      <c r="H23" s="66">
        <v>100</v>
      </c>
      <c r="I23" s="66">
        <v>28</v>
      </c>
      <c r="J23" s="65"/>
      <c r="K23" s="66">
        <v>28</v>
      </c>
      <c r="L23" s="65"/>
      <c r="M23" s="66">
        <f t="shared" si="2"/>
        <v>5.279344262295082</v>
      </c>
      <c r="N23" s="66">
        <f t="shared" si="3"/>
        <v>5.355263157894737</v>
      </c>
      <c r="O23" s="66">
        <f t="shared" si="4"/>
        <v>2.0856939856107632</v>
      </c>
      <c r="P23" s="66">
        <f t="shared" si="5"/>
        <v>2.188269099657194</v>
      </c>
      <c r="Q23" s="66">
        <f t="shared" si="6"/>
        <v>3.242696653007634</v>
      </c>
      <c r="R23" s="66">
        <f t="shared" si="6"/>
        <v>3.66623254238006</v>
      </c>
      <c r="S23" s="66">
        <f t="shared" si="7"/>
        <v>168.09547823163558</v>
      </c>
      <c r="T23" s="66">
        <f t="shared" si="8"/>
        <v>47.06673390485796</v>
      </c>
      <c r="U23" s="25">
        <f t="shared" si="0"/>
        <v>0</v>
      </c>
      <c r="V23" s="66">
        <v>28</v>
      </c>
      <c r="W23" s="66"/>
      <c r="X23" s="66">
        <f>+M23*Notes!$F49</f>
        <v>1.446853363934426</v>
      </c>
      <c r="Y23" s="66">
        <f>+N23*Notes!$F49</f>
        <v>1.467659642901503</v>
      </c>
      <c r="Z23" s="66">
        <f>+O23*Notes!$F49</f>
        <v>0.5716038222343273</v>
      </c>
      <c r="AA23" s="66">
        <f>+P23*Notes!$F49</f>
        <v>0.5997154856229007</v>
      </c>
      <c r="AB23" s="66">
        <f>+Q23*Notes!$F49</f>
        <v>0.8886911569929296</v>
      </c>
      <c r="AC23" s="66">
        <f>+R23*Notes!$F49</f>
        <v>1.0047651040287406</v>
      </c>
      <c r="AD23" s="66">
        <f>+S23*Notes!$F49</f>
        <v>46.068128172395014</v>
      </c>
      <c r="AE23" s="66">
        <f>+T23*Notes!$F49</f>
        <v>12.899075888270604</v>
      </c>
      <c r="AF23" s="66">
        <f>+U23*Notes!$F49</f>
        <v>0</v>
      </c>
      <c r="AG23" s="66">
        <f>+V23*Notes!$F49</f>
        <v>7.673660245932182</v>
      </c>
    </row>
    <row r="24" spans="1:33" ht="15">
      <c r="A24" s="11">
        <v>1613</v>
      </c>
      <c r="B24" s="66">
        <f>+(390.75+427.4)/2</f>
        <v>409.075</v>
      </c>
      <c r="C24" s="66">
        <v>4.08</v>
      </c>
      <c r="D24" s="66">
        <f>+(290+310)/2</f>
        <v>300</v>
      </c>
      <c r="E24" s="66">
        <f>+(460+440)/2</f>
        <v>450</v>
      </c>
      <c r="F24" s="66">
        <f>+(275+310)/2</f>
        <v>292.5</v>
      </c>
      <c r="G24" s="71">
        <v>310</v>
      </c>
      <c r="H24" s="66">
        <v>104</v>
      </c>
      <c r="I24" s="66">
        <v>27.25</v>
      </c>
      <c r="J24" s="65">
        <v>65.5</v>
      </c>
      <c r="K24" s="66">
        <v>29</v>
      </c>
      <c r="L24" s="65"/>
      <c r="M24" s="66">
        <f t="shared" si="2"/>
        <v>5.3649180327868855</v>
      </c>
      <c r="N24" s="66">
        <f t="shared" si="3"/>
        <v>5.368421052631579</v>
      </c>
      <c r="O24" s="66">
        <f t="shared" si="4"/>
        <v>2.0515022809286196</v>
      </c>
      <c r="P24" s="66">
        <f t="shared" si="5"/>
        <v>3.0772534213929292</v>
      </c>
      <c r="Q24" s="66">
        <f t="shared" si="6"/>
        <v>3.8713827387948285</v>
      </c>
      <c r="R24" s="66">
        <f t="shared" si="6"/>
        <v>4.103003928295374</v>
      </c>
      <c r="S24" s="66">
        <f t="shared" si="7"/>
        <v>174.819297360901</v>
      </c>
      <c r="T24" s="66">
        <f t="shared" si="8"/>
        <v>45.806017818120694</v>
      </c>
      <c r="U24" s="25">
        <f t="shared" si="0"/>
        <v>0.2909779078910543</v>
      </c>
      <c r="V24" s="66">
        <v>29</v>
      </c>
      <c r="W24" s="66"/>
      <c r="X24" s="66">
        <f>+M24*Notes!$F50</f>
        <v>1.4040175213114754</v>
      </c>
      <c r="Y24" s="66">
        <f>+N24*Notes!$F50</f>
        <v>1.404934273666198</v>
      </c>
      <c r="Z24" s="66">
        <f>+O24*Notes!$F50</f>
        <v>0.5368852105160684</v>
      </c>
      <c r="AA24" s="66">
        <f>+P24*Notes!$F50</f>
        <v>0.8053278157741026</v>
      </c>
      <c r="AB24" s="66">
        <f>+Q24*Notes!$F50</f>
        <v>1.013154192431753</v>
      </c>
      <c r="AC24" s="66">
        <f>+R24*Notes!$F50</f>
        <v>1.0737702552268154</v>
      </c>
      <c r="AD24" s="66">
        <f>+S24*Notes!$F50</f>
        <v>45.75081204559685</v>
      </c>
      <c r="AE24" s="66">
        <f>+T24*Notes!$F50</f>
        <v>11.987592579254944</v>
      </c>
      <c r="AF24" s="66">
        <f>+U24*Notes!$F50</f>
        <v>0.07614992037098763</v>
      </c>
      <c r="AG24" s="66">
        <f>+V24*Notes!$F50</f>
        <v>7.5893998508830895</v>
      </c>
    </row>
    <row r="25" spans="1:33" ht="15">
      <c r="A25" s="11">
        <v>1614</v>
      </c>
      <c r="B25" s="66">
        <f>+(389.9+405.85)/2</f>
        <v>397.875</v>
      </c>
      <c r="C25" s="66">
        <v>4.03</v>
      </c>
      <c r="D25" s="66">
        <f>+(320+346)/2</f>
        <v>333</v>
      </c>
      <c r="E25" s="66">
        <f>+(440*2)/2</f>
        <v>440</v>
      </c>
      <c r="F25" s="66">
        <f>+(310+280)/2</f>
        <v>295</v>
      </c>
      <c r="G25" s="71">
        <v>240</v>
      </c>
      <c r="H25" s="66">
        <v>107.5</v>
      </c>
      <c r="I25" s="66">
        <v>29.55</v>
      </c>
      <c r="J25" s="65">
        <v>65</v>
      </c>
      <c r="K25" s="66">
        <v>28</v>
      </c>
      <c r="L25" s="65"/>
      <c r="M25" s="66">
        <f t="shared" si="2"/>
        <v>5.218032786885246</v>
      </c>
      <c r="N25" s="66">
        <f t="shared" si="3"/>
        <v>5.302631578947369</v>
      </c>
      <c r="O25" s="66">
        <f t="shared" si="4"/>
        <v>2.277167531830768</v>
      </c>
      <c r="P25" s="66">
        <f t="shared" si="5"/>
        <v>3.008870012028642</v>
      </c>
      <c r="Q25" s="66">
        <f t="shared" si="6"/>
        <v>3.9044714801520493</v>
      </c>
      <c r="R25" s="66">
        <f t="shared" si="6"/>
        <v>3.1765191702931928</v>
      </c>
      <c r="S25" s="66">
        <f t="shared" si="7"/>
        <v>180.70263909900825</v>
      </c>
      <c r="T25" s="66">
        <f t="shared" si="8"/>
        <v>49.672213817448316</v>
      </c>
      <c r="U25" s="25">
        <f t="shared" si="0"/>
        <v>0.2887567024873058</v>
      </c>
      <c r="V25" s="66">
        <v>28</v>
      </c>
      <c r="W25" s="66"/>
      <c r="X25" s="66">
        <f>+M25*Notes!$F51</f>
        <v>1.359102268852459</v>
      </c>
      <c r="Y25" s="66">
        <f>+N25*Notes!$F51</f>
        <v>1.3811370882814955</v>
      </c>
      <c r="Z25" s="66">
        <f>+O25*Notes!$F51</f>
        <v>0.5931169246093918</v>
      </c>
      <c r="AA25" s="66">
        <f>+P25*Notes!$F51</f>
        <v>0.78369803852292</v>
      </c>
      <c r="AB25" s="66">
        <f>+Q25*Notes!$F51</f>
        <v>1.0169687052717766</v>
      </c>
      <c r="AC25" s="66">
        <f>+R25*Notes!$F51</f>
        <v>0.827364370390598</v>
      </c>
      <c r="AD25" s="66">
        <f>+S25*Notes!$F51</f>
        <v>47.06627513041923</v>
      </c>
      <c r="AE25" s="66">
        <f>+T25*Notes!$F51</f>
        <v>12.937752838175705</v>
      </c>
      <c r="AF25" s="66">
        <f>+U25*Notes!$F51</f>
        <v>0.07521031498368821</v>
      </c>
      <c r="AG25" s="66">
        <f>+V25*Notes!$F51</f>
        <v>7.292952168394597</v>
      </c>
    </row>
    <row r="26" spans="1:33" ht="15">
      <c r="A26" s="11">
        <v>1615</v>
      </c>
      <c r="B26" s="66">
        <f>+(400.3+403.3)/2</f>
        <v>401.8</v>
      </c>
      <c r="C26" s="66">
        <v>4.32</v>
      </c>
      <c r="D26" s="66">
        <f>+(360*2)/2</f>
        <v>360</v>
      </c>
      <c r="E26" s="66">
        <f>+(460+420)/2</f>
        <v>440</v>
      </c>
      <c r="F26" s="66">
        <f>+(200+280)/2</f>
        <v>240</v>
      </c>
      <c r="G26" s="71">
        <v>250</v>
      </c>
      <c r="H26" s="66">
        <v>112.5</v>
      </c>
      <c r="I26" s="66">
        <v>29.55</v>
      </c>
      <c r="J26" s="65">
        <v>65</v>
      </c>
      <c r="K26" s="66">
        <v>28</v>
      </c>
      <c r="L26" s="65"/>
      <c r="M26" s="66">
        <f t="shared" si="2"/>
        <v>5.269508196721311</v>
      </c>
      <c r="N26" s="66">
        <f t="shared" si="3"/>
        <v>5.684210526315789</v>
      </c>
      <c r="O26" s="66">
        <f t="shared" si="4"/>
        <v>2.4618027371143434</v>
      </c>
      <c r="P26" s="66">
        <f t="shared" si="5"/>
        <v>3.008870012028642</v>
      </c>
      <c r="Q26" s="66">
        <f t="shared" si="6"/>
        <v>3.1765191702931928</v>
      </c>
      <c r="R26" s="66">
        <f t="shared" si="6"/>
        <v>3.3088741357220757</v>
      </c>
      <c r="S26" s="66">
        <f t="shared" si="7"/>
        <v>189.10741301059002</v>
      </c>
      <c r="T26" s="66">
        <f t="shared" si="8"/>
        <v>49.672213817448316</v>
      </c>
      <c r="U26" s="25">
        <f t="shared" si="0"/>
        <v>0.2887567024873058</v>
      </c>
      <c r="V26" s="66">
        <v>28</v>
      </c>
      <c r="W26" s="66"/>
      <c r="X26" s="66">
        <f>+M26*Notes!$F52</f>
        <v>1.3829115114754096</v>
      </c>
      <c r="Y26" s="66">
        <f>+N26*Notes!$F52</f>
        <v>1.4917445569935288</v>
      </c>
      <c r="Z26" s="66">
        <f>+O26*Notes!$F52</f>
        <v>0.6460669984829608</v>
      </c>
      <c r="AA26" s="66">
        <f>+P26*Notes!$F52</f>
        <v>0.7896374425902855</v>
      </c>
      <c r="AB26" s="66">
        <f>+Q26*Notes!$F52</f>
        <v>0.8336347080272124</v>
      </c>
      <c r="AC26" s="66">
        <f>+R26*Notes!$F52</f>
        <v>0.8683694875283462</v>
      </c>
      <c r="AD26" s="66">
        <f>+S26*Notes!$F52</f>
        <v>49.62869561914651</v>
      </c>
      <c r="AE26" s="66">
        <f>+T26*Notes!$F52</f>
        <v>13.035804049295818</v>
      </c>
      <c r="AF26" s="66">
        <f>+U26*Notes!$F52</f>
        <v>0.07578031060542523</v>
      </c>
      <c r="AG26" s="66">
        <f>+V26*Notes!$F52</f>
        <v>7.348223188153309</v>
      </c>
    </row>
    <row r="27" spans="1:33" ht="15">
      <c r="A27" s="11">
        <v>1616</v>
      </c>
      <c r="B27" s="66">
        <f>+(462.3+481.35)/2</f>
        <v>471.82500000000005</v>
      </c>
      <c r="C27" s="66">
        <v>3.78</v>
      </c>
      <c r="D27" s="66">
        <f>+(445+317)/2</f>
        <v>381</v>
      </c>
      <c r="E27" s="66">
        <f>+(410*2)/2</f>
        <v>410</v>
      </c>
      <c r="F27" s="66">
        <f>+(220+220)/2</f>
        <v>220</v>
      </c>
      <c r="G27" s="71">
        <v>230</v>
      </c>
      <c r="H27" s="66">
        <v>122.5</v>
      </c>
      <c r="I27" s="66">
        <v>30</v>
      </c>
      <c r="J27" s="65">
        <v>64.33</v>
      </c>
      <c r="K27" s="66">
        <v>32.5</v>
      </c>
      <c r="L27" s="65"/>
      <c r="M27" s="66">
        <f t="shared" si="2"/>
        <v>6.187868852459017</v>
      </c>
      <c r="N27" s="66">
        <f t="shared" si="3"/>
        <v>4.973684210526315</v>
      </c>
      <c r="O27" s="66">
        <f t="shared" si="4"/>
        <v>2.605407896779347</v>
      </c>
      <c r="P27" s="66">
        <f t="shared" si="5"/>
        <v>2.80371978393578</v>
      </c>
      <c r="Q27" s="66">
        <f t="shared" si="6"/>
        <v>2.9118092394354265</v>
      </c>
      <c r="R27" s="66">
        <f t="shared" si="6"/>
        <v>3.04416420486431</v>
      </c>
      <c r="S27" s="66">
        <f t="shared" si="7"/>
        <v>205.91696083375356</v>
      </c>
      <c r="T27" s="66">
        <f t="shared" si="8"/>
        <v>50.42864346949067</v>
      </c>
      <c r="U27" s="25">
        <f t="shared" si="0"/>
        <v>0.2857802872462828</v>
      </c>
      <c r="V27" s="66">
        <v>32.5</v>
      </c>
      <c r="W27" s="66"/>
      <c r="X27" s="66">
        <f>+M27*Notes!$F53</f>
        <v>1.4940559672131146</v>
      </c>
      <c r="Y27" s="66">
        <f>+N27*Notes!$F53</f>
        <v>1.2008920600858366</v>
      </c>
      <c r="Z27" s="66">
        <f>+O27*Notes!$F53</f>
        <v>0.6290736452277024</v>
      </c>
      <c r="AA27" s="66">
        <f>+P27*Notes!$F53</f>
        <v>0.676955891189916</v>
      </c>
      <c r="AB27" s="66">
        <f>+Q27*Notes!$F53</f>
        <v>0.7030540034532177</v>
      </c>
      <c r="AC27" s="66">
        <f>+R27*Notes!$F53</f>
        <v>0.7350110036101822</v>
      </c>
      <c r="AD27" s="66">
        <f>+S27*Notes!$F53</f>
        <v>49.71848489675086</v>
      </c>
      <c r="AE27" s="66">
        <f>+T27*Notes!$F53</f>
        <v>12.17595548491858</v>
      </c>
      <c r="AF27" s="66">
        <f>+U27*Notes!$F53</f>
        <v>0.06900142095004343</v>
      </c>
      <c r="AG27" s="66">
        <f>+V27*Notes!$F53</f>
        <v>7.8470989111429015</v>
      </c>
    </row>
    <row r="28" spans="1:33" ht="15">
      <c r="A28" s="11">
        <v>1617</v>
      </c>
      <c r="B28" s="66">
        <f>+(274.8+408.65)/2</f>
        <v>341.725</v>
      </c>
      <c r="C28" s="66">
        <v>4.14</v>
      </c>
      <c r="D28" s="66">
        <f>+(250+255)/2</f>
        <v>252.5</v>
      </c>
      <c r="E28" s="66">
        <f>+(418.75+360)/2</f>
        <v>389.375</v>
      </c>
      <c r="F28" s="66">
        <f>+(240+270)/2</f>
        <v>255</v>
      </c>
      <c r="G28" s="71">
        <v>285</v>
      </c>
      <c r="H28" s="66">
        <v>140</v>
      </c>
      <c r="I28" s="66">
        <v>32.5</v>
      </c>
      <c r="J28" s="65">
        <v>63</v>
      </c>
      <c r="K28" s="66">
        <v>31.5</v>
      </c>
      <c r="L28" s="65"/>
      <c r="M28" s="66">
        <f t="shared" si="2"/>
        <v>4.4816393442622955</v>
      </c>
      <c r="N28" s="66">
        <f t="shared" si="3"/>
        <v>5.447368421052631</v>
      </c>
      <c r="O28" s="66">
        <f t="shared" si="4"/>
        <v>1.7266810864482547</v>
      </c>
      <c r="P28" s="66">
        <f t="shared" si="5"/>
        <v>2.6626790021219375</v>
      </c>
      <c r="Q28" s="66">
        <f t="shared" si="6"/>
        <v>3.375051618436517</v>
      </c>
      <c r="R28" s="66">
        <f t="shared" si="6"/>
        <v>3.7721165147231663</v>
      </c>
      <c r="S28" s="66">
        <f t="shared" si="7"/>
        <v>235.3336695242898</v>
      </c>
      <c r="T28" s="66">
        <f t="shared" si="8"/>
        <v>54.63103042528156</v>
      </c>
      <c r="U28" s="25">
        <f t="shared" si="0"/>
        <v>0.2798718808723118</v>
      </c>
      <c r="V28" s="66">
        <v>31.5</v>
      </c>
      <c r="W28" s="66"/>
      <c r="X28" s="66">
        <f>+M28*Notes!$F54</f>
        <v>0.9966611344262294</v>
      </c>
      <c r="Y28" s="66">
        <f>+N28*Notes!$F54</f>
        <v>1.211427331187358</v>
      </c>
      <c r="Z28" s="66">
        <f>+O28*Notes!$F54</f>
        <v>0.3839925077003502</v>
      </c>
      <c r="AA28" s="66">
        <f>+P28*Notes!$F54</f>
        <v>0.5921468621220747</v>
      </c>
      <c r="AB28" s="66">
        <f>+Q28*Notes!$F54</f>
        <v>0.7505697171024188</v>
      </c>
      <c r="AC28" s="66">
        <f>+R28*Notes!$F54</f>
        <v>0.8388720367615269</v>
      </c>
      <c r="AD28" s="66">
        <f>+S28*Notes!$F54</f>
        <v>52.33529608692197</v>
      </c>
      <c r="AE28" s="66">
        <f>+T28*Notes!$F54</f>
        <v>12.149265163035457</v>
      </c>
      <c r="AF28" s="66">
        <f>+U28*Notes!$F54</f>
        <v>0.06224004317556606</v>
      </c>
      <c r="AG28" s="66">
        <f>+V28*Notes!$F54</f>
        <v>7.005210219474723</v>
      </c>
    </row>
    <row r="29" spans="1:33" ht="15">
      <c r="A29" s="11">
        <v>1618</v>
      </c>
      <c r="B29" s="66">
        <f>+(420+512.6)/2</f>
        <v>466.3</v>
      </c>
      <c r="C29" s="66">
        <v>5.34</v>
      </c>
      <c r="D29" s="66">
        <f>+(280+297)/2</f>
        <v>288.5</v>
      </c>
      <c r="E29" s="66">
        <f>+(420+386.75)/2</f>
        <v>403.375</v>
      </c>
      <c r="F29" s="66">
        <f>+(300+276)/2</f>
        <v>288</v>
      </c>
      <c r="G29" s="71">
        <v>252</v>
      </c>
      <c r="H29" s="66">
        <v>145</v>
      </c>
      <c r="I29" s="66">
        <v>32.5</v>
      </c>
      <c r="J29" s="65">
        <v>80</v>
      </c>
      <c r="K29" s="66">
        <v>32.66</v>
      </c>
      <c r="L29" s="65"/>
      <c r="M29" s="66">
        <f t="shared" si="2"/>
        <v>6.115409836065574</v>
      </c>
      <c r="N29" s="66">
        <f t="shared" si="3"/>
        <v>7.026315789473684</v>
      </c>
      <c r="O29" s="66">
        <f t="shared" si="4"/>
        <v>1.9728613601596892</v>
      </c>
      <c r="P29" s="66">
        <f t="shared" si="5"/>
        <v>2.75841577523194</v>
      </c>
      <c r="Q29" s="66">
        <f t="shared" si="6"/>
        <v>3.8118230043518313</v>
      </c>
      <c r="R29" s="66">
        <f t="shared" si="6"/>
        <v>3.335345128807852</v>
      </c>
      <c r="S29" s="66">
        <f t="shared" si="7"/>
        <v>243.73844343587157</v>
      </c>
      <c r="T29" s="66">
        <f t="shared" si="8"/>
        <v>54.63103042528156</v>
      </c>
      <c r="U29" s="25">
        <f t="shared" si="0"/>
        <v>0.355392864599761</v>
      </c>
      <c r="V29" s="66">
        <v>32.66</v>
      </c>
      <c r="W29" s="66"/>
      <c r="X29" s="66">
        <f>+M29*Notes!$F55</f>
        <v>1.2654248557377048</v>
      </c>
      <c r="Y29" s="66">
        <f>+N29*Notes!$F55</f>
        <v>1.4539131280827793</v>
      </c>
      <c r="Z29" s="66">
        <f>+O29*Notes!$F55</f>
        <v>0.40823229660707855</v>
      </c>
      <c r="AA29" s="66">
        <f>+P29*Notes!$F55</f>
        <v>0.5707823315212489</v>
      </c>
      <c r="AB29" s="66">
        <f>+Q29*Notes!$F55</f>
        <v>0.788757532967388</v>
      </c>
      <c r="AC29" s="66">
        <f>+R29*Notes!$F55</f>
        <v>0.6901628413464644</v>
      </c>
      <c r="AD29" s="66">
        <f>+S29*Notes!$F55</f>
        <v>50.43532533234185</v>
      </c>
      <c r="AE29" s="66">
        <f>+T29*Notes!$F55</f>
        <v>11.304469471042138</v>
      </c>
      <c r="AF29" s="66">
        <f>+U29*Notes!$F55</f>
        <v>0.0735393009580691</v>
      </c>
      <c r="AG29" s="66">
        <f>+V29*Notes!$F55</f>
        <v>6.758136722850096</v>
      </c>
    </row>
    <row r="30" spans="1:33" ht="15">
      <c r="A30" s="11">
        <v>1619</v>
      </c>
      <c r="B30" s="66">
        <f>+(554.65+554.05)/2</f>
        <v>554.3499999999999</v>
      </c>
      <c r="C30" s="66">
        <v>4.9</v>
      </c>
      <c r="D30" s="66">
        <f>+(440+418)/2</f>
        <v>429</v>
      </c>
      <c r="E30" s="66">
        <f>+(529.35+618.8)/2</f>
        <v>574.075</v>
      </c>
      <c r="F30" s="66">
        <f>+(228+352.5)/2</f>
        <v>290.25</v>
      </c>
      <c r="G30" s="71">
        <v>338</v>
      </c>
      <c r="H30" s="66">
        <v>150</v>
      </c>
      <c r="I30" s="66">
        <v>35</v>
      </c>
      <c r="J30" s="65">
        <v>69.33</v>
      </c>
      <c r="K30" s="66">
        <v>31.33</v>
      </c>
      <c r="L30" s="65"/>
      <c r="M30" s="66">
        <f t="shared" si="2"/>
        <v>7.270163934426228</v>
      </c>
      <c r="N30" s="66">
        <f t="shared" si="3"/>
        <v>6.447368421052632</v>
      </c>
      <c r="O30" s="66">
        <f t="shared" si="4"/>
        <v>2.933648261727926</v>
      </c>
      <c r="P30" s="66">
        <f t="shared" si="5"/>
        <v>3.9257205730803246</v>
      </c>
      <c r="Q30" s="66">
        <f t="shared" si="6"/>
        <v>3.84160287157333</v>
      </c>
      <c r="R30" s="66">
        <f t="shared" si="6"/>
        <v>4.473597831496247</v>
      </c>
      <c r="S30" s="66">
        <f t="shared" si="7"/>
        <v>252.14321734745337</v>
      </c>
      <c r="T30" s="66">
        <f t="shared" si="8"/>
        <v>58.83341738107245</v>
      </c>
      <c r="U30" s="25">
        <f t="shared" si="0"/>
        <v>0.30799234128376785</v>
      </c>
      <c r="V30" s="66">
        <v>31.33</v>
      </c>
      <c r="W30" s="66"/>
      <c r="X30" s="66">
        <f>+M30*Notes!$F56</f>
        <v>1.5666273704918032</v>
      </c>
      <c r="Y30" s="66">
        <f>+N30*Notes!$F56</f>
        <v>1.3893254577433032</v>
      </c>
      <c r="Z30" s="66">
        <f>+O30*Notes!$F56</f>
        <v>0.6321636903475668</v>
      </c>
      <c r="AA30" s="66">
        <f>+P30*Notes!$F56</f>
        <v>0.845942588662656</v>
      </c>
      <c r="AB30" s="66">
        <f>+Q30*Notes!$F56</f>
        <v>0.8278162995291061</v>
      </c>
      <c r="AC30" s="66">
        <f>+R30*Notes!$F56</f>
        <v>0.9640031326127059</v>
      </c>
      <c r="AD30" s="66">
        <f>+S30*Notes!$F56</f>
        <v>54.33363939840226</v>
      </c>
      <c r="AE30" s="66">
        <f>+T30*Notes!$F56</f>
        <v>12.677849192960528</v>
      </c>
      <c r="AF30" s="66">
        <f>+U30*Notes!$F56</f>
        <v>0.06636841151162895</v>
      </c>
      <c r="AG30" s="66">
        <f>+V30*Notes!$F56</f>
        <v>6.751214410047805</v>
      </c>
    </row>
    <row r="31" spans="1:33" ht="15">
      <c r="A31" s="11">
        <v>1620</v>
      </c>
      <c r="B31" s="66">
        <f>+(427.1+485.9)/2</f>
        <v>456.5</v>
      </c>
      <c r="C31" s="66">
        <v>4.54</v>
      </c>
      <c r="D31" s="66">
        <f>+(383+439)/2</f>
        <v>411</v>
      </c>
      <c r="E31" s="66">
        <f>+(560+545)/2</f>
        <v>552.5</v>
      </c>
      <c r="F31" s="66">
        <v>325</v>
      </c>
      <c r="G31" s="71">
        <v>312</v>
      </c>
      <c r="H31" s="66">
        <v>120</v>
      </c>
      <c r="I31" s="66">
        <v>26.5</v>
      </c>
      <c r="J31" s="65">
        <v>68</v>
      </c>
      <c r="K31" s="66">
        <v>31.66</v>
      </c>
      <c r="L31" s="65"/>
      <c r="M31" s="66">
        <f t="shared" si="2"/>
        <v>5.9868852459016395</v>
      </c>
      <c r="N31" s="66">
        <f t="shared" si="3"/>
        <v>5.973684210526316</v>
      </c>
      <c r="O31" s="66">
        <f t="shared" si="4"/>
        <v>2.810558124872209</v>
      </c>
      <c r="P31" s="66">
        <f t="shared" si="5"/>
        <v>3.778183367376874</v>
      </c>
      <c r="Q31" s="66">
        <f t="shared" si="6"/>
        <v>4.3015363764386985</v>
      </c>
      <c r="R31" s="66">
        <f t="shared" si="6"/>
        <v>4.12947492138115</v>
      </c>
      <c r="S31" s="66">
        <f t="shared" si="7"/>
        <v>201.7145738779627</v>
      </c>
      <c r="T31" s="66">
        <f t="shared" si="8"/>
        <v>44.545301731383425</v>
      </c>
      <c r="U31" s="25">
        <f t="shared" si="0"/>
        <v>0.30208393490979685</v>
      </c>
      <c r="V31" s="66">
        <v>31.66</v>
      </c>
      <c r="W31" s="66"/>
      <c r="X31" s="66">
        <f>+M31*Notes!$F57</f>
        <v>1.650843468852459</v>
      </c>
      <c r="Y31" s="66">
        <f>+N31*Notes!$F57</f>
        <v>1.6472033718510404</v>
      </c>
      <c r="Z31" s="66">
        <f>+O31*Notes!$F57</f>
        <v>0.7749925601884049</v>
      </c>
      <c r="AA31" s="66">
        <f>+P31*Notes!$F57</f>
        <v>1.0418087335866026</v>
      </c>
      <c r="AB31" s="66">
        <f>+Q31*Notes!$F57</f>
        <v>1.1861198171346685</v>
      </c>
      <c r="AC31" s="66">
        <f>+R31*Notes!$F57</f>
        <v>1.1386750244492816</v>
      </c>
      <c r="AD31" s="66">
        <f>+S31*Notes!$F57</f>
        <v>55.62144139755279</v>
      </c>
      <c r="AE31" s="66">
        <f>+T31*Notes!$F57</f>
        <v>12.283068308626241</v>
      </c>
      <c r="AF31" s="66">
        <f>+U31*Notes!$F57</f>
        <v>0.08329761979862117</v>
      </c>
      <c r="AG31" s="66">
        <f>+V31*Notes!$F57</f>
        <v>8.73003274276013</v>
      </c>
    </row>
    <row r="32" spans="1:33" ht="15">
      <c r="A32" s="11">
        <v>1621</v>
      </c>
      <c r="B32" s="66">
        <f>+(422.05+408.2)/2</f>
        <v>415.125</v>
      </c>
      <c r="C32" s="66">
        <v>3.98</v>
      </c>
      <c r="D32" s="66">
        <f>+(350+310)/2</f>
        <v>330</v>
      </c>
      <c r="E32" s="66">
        <f>+(560+452)/2</f>
        <v>506</v>
      </c>
      <c r="F32" s="66">
        <v>295</v>
      </c>
      <c r="G32" s="71">
        <v>265</v>
      </c>
      <c r="H32" s="66">
        <v>115</v>
      </c>
      <c r="I32" s="66">
        <v>20</v>
      </c>
      <c r="J32" s="65">
        <v>66</v>
      </c>
      <c r="K32" s="66">
        <v>29.5</v>
      </c>
      <c r="L32" s="65"/>
      <c r="M32" s="66">
        <f t="shared" si="2"/>
        <v>5.444262295081967</v>
      </c>
      <c r="N32" s="66">
        <f t="shared" si="3"/>
        <v>5.2368421052631575</v>
      </c>
      <c r="O32" s="66">
        <f t="shared" si="4"/>
        <v>2.2566525090214813</v>
      </c>
      <c r="P32" s="66">
        <f t="shared" si="5"/>
        <v>3.4602005138329384</v>
      </c>
      <c r="Q32" s="66">
        <f t="shared" si="6"/>
        <v>3.9044714801520493</v>
      </c>
      <c r="R32" s="66">
        <f t="shared" si="6"/>
        <v>3.5074065838654</v>
      </c>
      <c r="S32" s="66">
        <f t="shared" si="7"/>
        <v>193.30979996638092</v>
      </c>
      <c r="T32" s="66">
        <f t="shared" si="8"/>
        <v>33.61909564632712</v>
      </c>
      <c r="U32" s="25">
        <f t="shared" si="0"/>
        <v>0.2931991132948028</v>
      </c>
      <c r="V32" s="66">
        <v>29.5</v>
      </c>
      <c r="W32" s="66"/>
      <c r="X32" s="66">
        <f>+M32*Notes!$F58</f>
        <v>1.5012299311475408</v>
      </c>
      <c r="Y32" s="66">
        <f>+N32*Notes!$F58</f>
        <v>1.444034781391147</v>
      </c>
      <c r="Z32" s="66">
        <f>+O32*Notes!$F58</f>
        <v>0.622261402394691</v>
      </c>
      <c r="AA32" s="66">
        <f>+P32*Notes!$F58</f>
        <v>0.9541341503385262</v>
      </c>
      <c r="AB32" s="66">
        <f>+Q32*Notes!$F58</f>
        <v>1.076639796839169</v>
      </c>
      <c r="AC32" s="66">
        <f>+R32*Notes!$F58</f>
        <v>0.9671510039402705</v>
      </c>
      <c r="AD32" s="66">
        <f>+S32*Notes!$F58</f>
        <v>53.30427557757955</v>
      </c>
      <c r="AE32" s="66">
        <f>+T32*Notes!$F58</f>
        <v>9.270308796100792</v>
      </c>
      <c r="AF32" s="66">
        <f>+U32*Notes!$F58</f>
        <v>0.08084828775823151</v>
      </c>
      <c r="AG32" s="66">
        <f>+V32*Notes!$F58</f>
        <v>8.134487386630532</v>
      </c>
    </row>
    <row r="33" spans="1:33" ht="15">
      <c r="A33" s="11">
        <v>1622</v>
      </c>
      <c r="B33" s="66">
        <f>+(388.2+417.5)/2</f>
        <v>402.85</v>
      </c>
      <c r="C33" s="66">
        <v>4.35</v>
      </c>
      <c r="D33" s="66">
        <f>+(287+300)/2</f>
        <v>293.5</v>
      </c>
      <c r="E33" s="66">
        <f>+(421+455)/2</f>
        <v>438</v>
      </c>
      <c r="F33" s="66">
        <v>250</v>
      </c>
      <c r="G33" s="71">
        <v>220</v>
      </c>
      <c r="H33" s="66">
        <v>115</v>
      </c>
      <c r="I33" s="66">
        <v>24.55</v>
      </c>
      <c r="J33" s="65">
        <v>60</v>
      </c>
      <c r="K33" s="66">
        <v>29.5</v>
      </c>
      <c r="L33" s="65"/>
      <c r="M33" s="66">
        <f t="shared" si="2"/>
        <v>5.28327868852459</v>
      </c>
      <c r="N33" s="66">
        <f t="shared" si="3"/>
        <v>5.723684210526315</v>
      </c>
      <c r="O33" s="66">
        <f t="shared" si="4"/>
        <v>2.0070530648418328</v>
      </c>
      <c r="P33" s="66">
        <f t="shared" si="5"/>
        <v>2.9951933301557845</v>
      </c>
      <c r="Q33" s="66">
        <f t="shared" si="6"/>
        <v>3.3088741357220757</v>
      </c>
      <c r="R33" s="66">
        <f t="shared" si="6"/>
        <v>2.9118092394354265</v>
      </c>
      <c r="S33" s="66">
        <f t="shared" si="7"/>
        <v>193.30979996638092</v>
      </c>
      <c r="T33" s="66">
        <f t="shared" si="8"/>
        <v>41.26743990586653</v>
      </c>
      <c r="U33" s="25">
        <f t="shared" si="0"/>
        <v>0.26654464844982073</v>
      </c>
      <c r="V33" s="66">
        <v>29.5</v>
      </c>
      <c r="W33" s="66"/>
      <c r="X33" s="66">
        <f>+M33*Notes!$F59</f>
        <v>1.4568345311475408</v>
      </c>
      <c r="Y33" s="66">
        <f>+N33*Notes!$F59</f>
        <v>1.578273889164701</v>
      </c>
      <c r="Z33" s="66">
        <f>+O33*Notes!$F59</f>
        <v>0.5534336504068892</v>
      </c>
      <c r="AA33" s="66">
        <f>+P33*Notes!$F59</f>
        <v>0.8259077985629215</v>
      </c>
      <c r="AB33" s="66">
        <f>+Q33*Notes!$F59</f>
        <v>0.9124035252221501</v>
      </c>
      <c r="AC33" s="66">
        <f>+R33*Notes!$F59</f>
        <v>0.8029151021954921</v>
      </c>
      <c r="AD33" s="66">
        <f>+S33*Notes!$F59</f>
        <v>53.30409550643879</v>
      </c>
      <c r="AE33" s="66">
        <f>+T33*Notes!$F59</f>
        <v>11.379265605939757</v>
      </c>
      <c r="AF33" s="66">
        <f>+U33*Notes!$F59</f>
        <v>0.07349819512601191</v>
      </c>
      <c r="AG33" s="66">
        <f>+V33*Notes!$F59</f>
        <v>8.134459906913241</v>
      </c>
    </row>
    <row r="34" spans="1:33" ht="15">
      <c r="A34" s="11">
        <v>1623</v>
      </c>
      <c r="B34" s="66">
        <f>+(452.3+498.5)/2</f>
        <v>475.4</v>
      </c>
      <c r="C34" s="66">
        <v>4.88</v>
      </c>
      <c r="D34" s="66">
        <f>+(411.5+400)/2</f>
        <v>405.75</v>
      </c>
      <c r="E34" s="66">
        <f>+(480+400)/2</f>
        <v>440</v>
      </c>
      <c r="F34" s="66">
        <v>180</v>
      </c>
      <c r="G34" s="71">
        <v>190</v>
      </c>
      <c r="H34" s="66">
        <v>94.5</v>
      </c>
      <c r="I34" s="66">
        <v>23</v>
      </c>
      <c r="J34" s="65">
        <v>62.5</v>
      </c>
      <c r="K34" s="66">
        <v>29.25</v>
      </c>
      <c r="L34" s="65"/>
      <c r="M34" s="66">
        <f t="shared" si="2"/>
        <v>6.234754098360655</v>
      </c>
      <c r="N34" s="66">
        <f t="shared" si="3"/>
        <v>6.421052631578947</v>
      </c>
      <c r="O34" s="66">
        <f t="shared" si="4"/>
        <v>2.774656834955958</v>
      </c>
      <c r="P34" s="66">
        <f t="shared" si="5"/>
        <v>3.008870012028642</v>
      </c>
      <c r="Q34" s="66">
        <f t="shared" si="6"/>
        <v>2.3823893777198943</v>
      </c>
      <c r="R34" s="66">
        <f t="shared" si="6"/>
        <v>2.5147443431487777</v>
      </c>
      <c r="S34" s="66">
        <f t="shared" si="7"/>
        <v>158.8502269288956</v>
      </c>
      <c r="T34" s="66">
        <f t="shared" si="8"/>
        <v>38.661959993276184</v>
      </c>
      <c r="U34" s="25">
        <f t="shared" si="0"/>
        <v>0.27765067546856326</v>
      </c>
      <c r="V34" s="66">
        <v>29.25</v>
      </c>
      <c r="W34" s="66"/>
      <c r="X34" s="66">
        <f>+M34*Notes!$F60</f>
        <v>1.719152081967213</v>
      </c>
      <c r="Y34" s="66">
        <f>+N34*Notes!$F60</f>
        <v>1.7705214713925115</v>
      </c>
      <c r="Z34" s="66">
        <f>+O34*Notes!$F60</f>
        <v>0.7650754142514321</v>
      </c>
      <c r="AA34" s="66">
        <f>+P34*Notes!$F60</f>
        <v>0.8296566414556504</v>
      </c>
      <c r="AB34" s="66">
        <f>+Q34*Notes!$F60</f>
        <v>0.6569127818273757</v>
      </c>
      <c r="AC34" s="66">
        <f>+R34*Notes!$F60</f>
        <v>0.6934079363733411</v>
      </c>
      <c r="AD34" s="66">
        <f>+S34*Notes!$F60</f>
        <v>43.800877153692376</v>
      </c>
      <c r="AE34" s="66">
        <f>+T34*Notes!$F60</f>
        <v>10.66053094745952</v>
      </c>
      <c r="AF34" s="66">
        <f>+U34*Notes!$F60</f>
        <v>0.07655855054762936</v>
      </c>
      <c r="AG34" s="66">
        <f>+V34*Notes!$F60</f>
        <v>8.06530580103597</v>
      </c>
    </row>
    <row r="35" spans="1:33" ht="15">
      <c r="A35" s="11">
        <v>1624</v>
      </c>
      <c r="B35" s="66">
        <f>+(479.15+453.85)/2</f>
        <v>466.5</v>
      </c>
      <c r="C35" s="66">
        <v>4.49</v>
      </c>
      <c r="D35" s="66">
        <f>+(306.5+351)/2</f>
        <v>328.75</v>
      </c>
      <c r="E35" s="66">
        <f>+(400+480)/2</f>
        <v>440</v>
      </c>
      <c r="F35" s="66">
        <v>215</v>
      </c>
      <c r="G35" s="71">
        <v>195</v>
      </c>
      <c r="H35" s="66">
        <v>98.35</v>
      </c>
      <c r="I35" s="66">
        <v>28</v>
      </c>
      <c r="J35" s="65">
        <v>61</v>
      </c>
      <c r="K35" s="66">
        <v>29.5</v>
      </c>
      <c r="L35" s="65"/>
      <c r="M35" s="66">
        <f t="shared" si="2"/>
        <v>6.118032786885246</v>
      </c>
      <c r="N35" s="66">
        <f t="shared" si="3"/>
        <v>5.907894736842105</v>
      </c>
      <c r="O35" s="66">
        <f t="shared" si="4"/>
        <v>2.2481045828509454</v>
      </c>
      <c r="P35" s="66">
        <f t="shared" si="5"/>
        <v>3.008870012028642</v>
      </c>
      <c r="Q35" s="66">
        <f t="shared" si="6"/>
        <v>2.845631756720985</v>
      </c>
      <c r="R35" s="66">
        <f t="shared" si="6"/>
        <v>2.580921825863219</v>
      </c>
      <c r="S35" s="66">
        <f t="shared" si="7"/>
        <v>165.32190284081358</v>
      </c>
      <c r="T35" s="66">
        <f t="shared" si="8"/>
        <v>47.06673390485796</v>
      </c>
      <c r="U35" s="25">
        <f t="shared" si="0"/>
        <v>0.27098705925731775</v>
      </c>
      <c r="V35" s="66">
        <v>29.5</v>
      </c>
      <c r="W35" s="66"/>
      <c r="X35" s="66">
        <f>+M35*Notes!$F61</f>
        <v>1.685985495081967</v>
      </c>
      <c r="Y35" s="66">
        <f>+N35*Notes!$F61</f>
        <v>1.6280764062165056</v>
      </c>
      <c r="Z35" s="66">
        <f>+O35*Notes!$F61</f>
        <v>0.6195245841504646</v>
      </c>
      <c r="AA35" s="66">
        <f>+P35*Notes!$F61</f>
        <v>0.829173587912409</v>
      </c>
      <c r="AB35" s="66">
        <f>+Q35*Notes!$F61</f>
        <v>0.7841889759827118</v>
      </c>
      <c r="AC35" s="66">
        <f>+R35*Notes!$F61</f>
        <v>0.7112411642633898</v>
      </c>
      <c r="AD35" s="66">
        <f>+S35*Notes!$F61</f>
        <v>45.55881603093965</v>
      </c>
      <c r="AE35" s="66">
        <f>+T35*Notes!$F61</f>
        <v>12.970481432295987</v>
      </c>
      <c r="AF35" s="66">
        <f>+U35*Notes!$F61</f>
        <v>0.07467764021175795</v>
      </c>
      <c r="AG35" s="66">
        <f>+V35*Notes!$F61</f>
        <v>8.129504015005358</v>
      </c>
    </row>
    <row r="36" spans="1:33" ht="15">
      <c r="A36" s="11">
        <v>1625</v>
      </c>
      <c r="B36" s="66">
        <f>+(444.7+405.4)/2</f>
        <v>425.04999999999995</v>
      </c>
      <c r="C36" s="66">
        <v>3.99</v>
      </c>
      <c r="D36" s="66">
        <f>+(300+296)/2</f>
        <v>298</v>
      </c>
      <c r="E36" s="66">
        <f>+(400*2)/2</f>
        <v>400</v>
      </c>
      <c r="F36" s="66">
        <v>150</v>
      </c>
      <c r="G36" s="71">
        <v>180</v>
      </c>
      <c r="H36" s="66">
        <v>110</v>
      </c>
      <c r="I36" s="66">
        <v>27</v>
      </c>
      <c r="J36" s="65">
        <v>58</v>
      </c>
      <c r="K36" s="66">
        <v>30.3</v>
      </c>
      <c r="L36" s="65"/>
      <c r="M36" s="66">
        <f t="shared" si="2"/>
        <v>5.574426229508196</v>
      </c>
      <c r="N36" s="66">
        <f t="shared" si="3"/>
        <v>5.25</v>
      </c>
      <c r="O36" s="66">
        <f t="shared" si="4"/>
        <v>2.037825599055762</v>
      </c>
      <c r="P36" s="66">
        <f t="shared" si="5"/>
        <v>2.7353363745714927</v>
      </c>
      <c r="Q36" s="66">
        <f t="shared" si="6"/>
        <v>1.9853244814332454</v>
      </c>
      <c r="R36" s="66">
        <f t="shared" si="6"/>
        <v>2.3823893777198943</v>
      </c>
      <c r="S36" s="66">
        <f t="shared" si="7"/>
        <v>184.90502605479912</v>
      </c>
      <c r="T36" s="66">
        <f t="shared" si="8"/>
        <v>45.38577912254161</v>
      </c>
      <c r="U36" s="25">
        <f t="shared" si="0"/>
        <v>0.2576598268348267</v>
      </c>
      <c r="V36" s="66">
        <v>30.3</v>
      </c>
      <c r="W36" s="66"/>
      <c r="X36" s="66">
        <f>+M36*Notes!$F62</f>
        <v>1.5370997508196722</v>
      </c>
      <c r="Y36" s="66">
        <f>+N36*Notes!$F62</f>
        <v>1.4476420279967066</v>
      </c>
      <c r="Z36" s="66">
        <f>+O36*Notes!$F62</f>
        <v>0.5619127586515594</v>
      </c>
      <c r="AA36" s="66">
        <f>+P36*Notes!$F62</f>
        <v>0.7542453136262542</v>
      </c>
      <c r="AB36" s="66">
        <f>+Q36*Notes!$F62</f>
        <v>0.5474360301968635</v>
      </c>
      <c r="AC36" s="66">
        <f>+R36*Notes!$F62</f>
        <v>0.656923236236236</v>
      </c>
      <c r="AD36" s="66">
        <f>+S36*Notes!$F62</f>
        <v>50.985959410429196</v>
      </c>
      <c r="AE36" s="66">
        <f>+T36*Notes!$F62</f>
        <v>12.514735491650804</v>
      </c>
      <c r="AF36" s="66">
        <f>+U36*Notes!$F62</f>
        <v>0.071047465571895</v>
      </c>
      <c r="AG36" s="66">
        <f>+V36*Notes!$F62</f>
        <v>8.354962561580992</v>
      </c>
    </row>
    <row r="37" spans="1:33" ht="15">
      <c r="A37" s="11">
        <v>1626</v>
      </c>
      <c r="B37" s="66">
        <f>+(393.8+416.75)/2</f>
        <v>405.275</v>
      </c>
      <c r="C37" s="66">
        <v>4.38</v>
      </c>
      <c r="D37" s="66">
        <f>+(260+240)/2</f>
        <v>250</v>
      </c>
      <c r="E37" s="66">
        <f>+(400+460)/2</f>
        <v>430</v>
      </c>
      <c r="F37" s="66">
        <v>230</v>
      </c>
      <c r="G37" s="71">
        <v>240</v>
      </c>
      <c r="H37" s="66">
        <v>100</v>
      </c>
      <c r="I37" s="66">
        <v>25.25</v>
      </c>
      <c r="J37" s="65">
        <v>64</v>
      </c>
      <c r="K37" s="66">
        <v>28</v>
      </c>
      <c r="L37" s="65"/>
      <c r="M37" s="66">
        <f t="shared" si="2"/>
        <v>5.315081967213114</v>
      </c>
      <c r="N37" s="66">
        <f t="shared" si="3"/>
        <v>5.763157894736842</v>
      </c>
      <c r="O37" s="66">
        <f t="shared" si="4"/>
        <v>1.7095852341071829</v>
      </c>
      <c r="P37" s="66">
        <f t="shared" si="5"/>
        <v>2.940486602664355</v>
      </c>
      <c r="Q37" s="66">
        <f t="shared" si="6"/>
        <v>3.04416420486431</v>
      </c>
      <c r="R37" s="66">
        <f t="shared" si="6"/>
        <v>3.1765191702931928</v>
      </c>
      <c r="S37" s="66">
        <f t="shared" si="7"/>
        <v>168.09547823163558</v>
      </c>
      <c r="T37" s="66">
        <f t="shared" si="8"/>
        <v>42.44410825348798</v>
      </c>
      <c r="U37" s="25">
        <f t="shared" si="0"/>
        <v>0.28431429167980876</v>
      </c>
      <c r="V37" s="66">
        <v>28</v>
      </c>
      <c r="W37" s="66"/>
      <c r="X37" s="66">
        <f>+M37*Notes!$F63</f>
        <v>1.465672022950819</v>
      </c>
      <c r="Y37" s="66">
        <f>+N37*Notes!$F63</f>
        <v>1.5892321778422054</v>
      </c>
      <c r="Z37" s="66">
        <f>+O37*Notes!$F63</f>
        <v>0.47143040576560424</v>
      </c>
      <c r="AA37" s="66">
        <f>+P37*Notes!$F63</f>
        <v>0.8108602979168394</v>
      </c>
      <c r="AB37" s="66">
        <f>+Q37*Notes!$F63</f>
        <v>0.8394501412886765</v>
      </c>
      <c r="AC37" s="66">
        <f>+R37*Notes!$F63</f>
        <v>0.8759479735186189</v>
      </c>
      <c r="AD37" s="66">
        <f>+S37*Notes!$F63</f>
        <v>46.35353530734517</v>
      </c>
      <c r="AE37" s="66">
        <f>+T37*Notes!$F63</f>
        <v>11.704267665104656</v>
      </c>
      <c r="AF37" s="66">
        <f>+U37*Notes!$F63</f>
        <v>0.07840170774613119</v>
      </c>
      <c r="AG37" s="66">
        <f>+V37*Notes!$F63</f>
        <v>7.7212010832150995</v>
      </c>
    </row>
    <row r="38" spans="1:33" ht="15">
      <c r="A38" s="11">
        <v>1627</v>
      </c>
      <c r="B38" s="66">
        <f>+(459.45+487.9)/2</f>
        <v>473.67499999999995</v>
      </c>
      <c r="C38" s="66">
        <v>4.59</v>
      </c>
      <c r="D38" s="66">
        <f>+(277.5+310)/2</f>
        <v>293.75</v>
      </c>
      <c r="E38" s="66">
        <f>+(435+460)/2</f>
        <v>447.5</v>
      </c>
      <c r="F38" s="66">
        <v>280</v>
      </c>
      <c r="G38" s="71">
        <v>300</v>
      </c>
      <c r="H38" s="66">
        <v>117.6</v>
      </c>
      <c r="I38" s="66">
        <v>31</v>
      </c>
      <c r="J38" s="65">
        <v>64</v>
      </c>
      <c r="K38" s="66">
        <v>31</v>
      </c>
      <c r="L38" s="65"/>
      <c r="M38" s="66">
        <f t="shared" si="2"/>
        <v>6.212131147540983</v>
      </c>
      <c r="N38" s="66">
        <f t="shared" si="3"/>
        <v>6.039473684210526</v>
      </c>
      <c r="O38" s="66">
        <f t="shared" si="4"/>
        <v>2.00876265007594</v>
      </c>
      <c r="P38" s="66">
        <f t="shared" si="5"/>
        <v>3.0601575690518574</v>
      </c>
      <c r="Q38" s="66">
        <f t="shared" si="6"/>
        <v>3.705939032008725</v>
      </c>
      <c r="R38" s="66">
        <f t="shared" si="6"/>
        <v>3.9706489628664907</v>
      </c>
      <c r="S38" s="66">
        <f t="shared" si="7"/>
        <v>197.68028240040343</v>
      </c>
      <c r="T38" s="66">
        <f t="shared" si="8"/>
        <v>52.10959825180703</v>
      </c>
      <c r="U38" s="25">
        <f t="shared" si="0"/>
        <v>0.28431429167980876</v>
      </c>
      <c r="V38" s="66">
        <v>31</v>
      </c>
      <c r="W38" s="66"/>
      <c r="X38" s="66">
        <f>+M38*Notes!$F64</f>
        <v>1.7129138524590164</v>
      </c>
      <c r="Y38" s="66">
        <f>+N38*Notes!$F64</f>
        <v>1.6653058168839394</v>
      </c>
      <c r="Z38" s="66">
        <f>+O38*Notes!$F64</f>
        <v>0.5538900077760571</v>
      </c>
      <c r="AA38" s="66">
        <f>+P38*Notes!$F64</f>
        <v>0.8437983948248018</v>
      </c>
      <c r="AB38" s="66">
        <f>+Q38*Notes!$F64</f>
        <v>1.0218641805089843</v>
      </c>
      <c r="AC38" s="66">
        <f>+R38*Notes!$F64</f>
        <v>1.094854479116769</v>
      </c>
      <c r="AD38" s="66">
        <f>+S38*Notes!$F64</f>
        <v>54.507750406347554</v>
      </c>
      <c r="AE38" s="66">
        <f>+T38*Notes!$F64</f>
        <v>14.368539647931755</v>
      </c>
      <c r="AF38" s="66">
        <f>+U38*Notes!$F64</f>
        <v>0.0783959445001728</v>
      </c>
      <c r="AG38" s="66">
        <f>+V38*Notes!$F64</f>
        <v>8.547844236554601</v>
      </c>
    </row>
    <row r="39" spans="1:33" ht="15">
      <c r="A39" s="11">
        <v>1628</v>
      </c>
      <c r="B39" s="66">
        <f>+(431+490.95)/2</f>
        <v>460.975</v>
      </c>
      <c r="C39" s="66">
        <v>5.53</v>
      </c>
      <c r="D39" s="66">
        <f>+(420+460)/2</f>
        <v>440</v>
      </c>
      <c r="E39" s="66">
        <f>+(660+952)/2</f>
        <v>806</v>
      </c>
      <c r="F39" s="66">
        <v>270</v>
      </c>
      <c r="G39" s="71">
        <v>260</v>
      </c>
      <c r="H39" s="66">
        <v>117</v>
      </c>
      <c r="I39" s="66">
        <v>32</v>
      </c>
      <c r="J39" s="65">
        <v>64</v>
      </c>
      <c r="K39" s="66"/>
      <c r="L39" s="65"/>
      <c r="M39" s="66">
        <f t="shared" si="2"/>
        <v>6.045573770491804</v>
      </c>
      <c r="N39" s="66">
        <f t="shared" si="3"/>
        <v>7.276315789473684</v>
      </c>
      <c r="O39" s="66">
        <f t="shared" si="4"/>
        <v>3.008870012028642</v>
      </c>
      <c r="P39" s="66">
        <f t="shared" si="5"/>
        <v>5.5117027947615576</v>
      </c>
      <c r="Q39" s="66">
        <f t="shared" si="6"/>
        <v>3.573584066579842</v>
      </c>
      <c r="R39" s="66">
        <f t="shared" si="6"/>
        <v>3.4412291011509586</v>
      </c>
      <c r="S39" s="66">
        <f t="shared" si="7"/>
        <v>196.67170953101362</v>
      </c>
      <c r="T39" s="66">
        <f t="shared" si="8"/>
        <v>53.790553034123384</v>
      </c>
      <c r="U39" s="25">
        <f t="shared" si="0"/>
        <v>0.28431429167980876</v>
      </c>
      <c r="V39" s="66"/>
      <c r="W39" s="66"/>
      <c r="X39" s="66">
        <f>+M39*Notes!$F65</f>
        <v>1.6670628655737705</v>
      </c>
      <c r="Y39" s="66">
        <f>+N39*Notes!$F65</f>
        <v>2.0064391423070664</v>
      </c>
      <c r="Z39" s="66">
        <f>+O39*Notes!$F65</f>
        <v>0.8296938644391741</v>
      </c>
      <c r="AA39" s="66">
        <f>+P39*Notes!$F65</f>
        <v>1.5198483062226689</v>
      </c>
      <c r="AB39" s="66">
        <f>+Q39*Notes!$F65</f>
        <v>0.9854133818495658</v>
      </c>
      <c r="AC39" s="66">
        <f>+R39*Notes!$F65</f>
        <v>0.9489165899292115</v>
      </c>
      <c r="AD39" s="66">
        <f>+S39*Notes!$F65</f>
        <v>54.232090470610906</v>
      </c>
      <c r="AE39" s="66">
        <f>+T39*Notes!$F65</f>
        <v>14.83270850478247</v>
      </c>
      <c r="AF39" s="66">
        <f>+U39*Notes!$F65</f>
        <v>0.07839947303674398</v>
      </c>
      <c r="AG39" s="66">
        <f>+V39*Notes!$F65</f>
        <v>0</v>
      </c>
    </row>
    <row r="40" spans="1:33" ht="15">
      <c r="A40" s="11">
        <v>1629</v>
      </c>
      <c r="B40" s="66">
        <f>+(614.8+752.5)/2</f>
        <v>683.65</v>
      </c>
      <c r="C40" s="66">
        <v>6.74</v>
      </c>
      <c r="D40" s="66">
        <f>+(541.75+500)/2</f>
        <v>520.875</v>
      </c>
      <c r="E40" s="66">
        <f>+(800+1090)/2</f>
        <v>945</v>
      </c>
      <c r="F40" s="66">
        <v>280</v>
      </c>
      <c r="G40" s="71">
        <v>300</v>
      </c>
      <c r="H40" s="66">
        <v>110</v>
      </c>
      <c r="I40" s="66">
        <v>27.25</v>
      </c>
      <c r="J40" s="65"/>
      <c r="K40" s="66">
        <v>31</v>
      </c>
      <c r="L40" s="65"/>
      <c r="M40" s="66">
        <f t="shared" si="2"/>
        <v>8.965901639344262</v>
      </c>
      <c r="N40" s="66">
        <f t="shared" si="3"/>
        <v>8.868421052631579</v>
      </c>
      <c r="O40" s="66">
        <f t="shared" si="4"/>
        <v>3.5619208352623155</v>
      </c>
      <c r="P40" s="66">
        <f t="shared" si="5"/>
        <v>6.462232184925151</v>
      </c>
      <c r="Q40" s="66">
        <f t="shared" si="6"/>
        <v>3.705939032008725</v>
      </c>
      <c r="R40" s="66">
        <f t="shared" si="6"/>
        <v>3.9706489628664907</v>
      </c>
      <c r="S40" s="66">
        <f t="shared" si="7"/>
        <v>184.90502605479912</v>
      </c>
      <c r="T40" s="66">
        <f t="shared" si="8"/>
        <v>45.806017818120694</v>
      </c>
      <c r="U40" s="25">
        <f t="shared" si="0"/>
        <v>0</v>
      </c>
      <c r="V40" s="66">
        <v>31</v>
      </c>
      <c r="W40" s="66"/>
      <c r="X40" s="66">
        <f>+M40*Notes!$F66</f>
        <v>2.472210354098361</v>
      </c>
      <c r="Y40" s="66">
        <f>+N40*Notes!$F66</f>
        <v>2.445331572076355</v>
      </c>
      <c r="Z40" s="66">
        <f>+O40*Notes!$F66</f>
        <v>0.9821452346490619</v>
      </c>
      <c r="AA40" s="66">
        <f>+P40*Notes!$F66</f>
        <v>1.7818617648060733</v>
      </c>
      <c r="AB40" s="66">
        <f>+Q40*Notes!$F66</f>
        <v>1.0218560514187502</v>
      </c>
      <c r="AC40" s="66">
        <f>+R40*Notes!$F66</f>
        <v>1.0948457693772322</v>
      </c>
      <c r="AD40" s="66">
        <f>+S40*Notes!$F66</f>
        <v>50.98473509139837</v>
      </c>
      <c r="AE40" s="66">
        <f>+T40*Notes!$F66</f>
        <v>12.630309374914598</v>
      </c>
      <c r="AF40" s="66">
        <f>+U40*Notes!$F66</f>
        <v>0</v>
      </c>
      <c r="AG40" s="66">
        <f>+V40*Notes!$F66</f>
        <v>8.547776237109634</v>
      </c>
    </row>
    <row r="41" spans="1:33" ht="15">
      <c r="A41" s="11">
        <v>1630</v>
      </c>
      <c r="B41" s="66">
        <f>+(596.75+590.15)/2</f>
        <v>593.45</v>
      </c>
      <c r="C41" s="66">
        <v>5.9</v>
      </c>
      <c r="D41" s="66">
        <f>+(440+440)/2</f>
        <v>440</v>
      </c>
      <c r="E41" s="66">
        <f>+(520*2)/2</f>
        <v>520</v>
      </c>
      <c r="F41" s="66">
        <v>315</v>
      </c>
      <c r="G41" s="71">
        <v>285</v>
      </c>
      <c r="H41" s="66">
        <v>95</v>
      </c>
      <c r="I41" s="66">
        <v>25</v>
      </c>
      <c r="J41" s="65">
        <v>67.5</v>
      </c>
      <c r="K41" s="66"/>
      <c r="L41" s="65"/>
      <c r="M41" s="66">
        <f t="shared" si="2"/>
        <v>7.7829508196721315</v>
      </c>
      <c r="N41" s="66">
        <f t="shared" si="3"/>
        <v>7.7631578947368425</v>
      </c>
      <c r="O41" s="66">
        <f t="shared" si="4"/>
        <v>3.008870012028642</v>
      </c>
      <c r="P41" s="66">
        <f t="shared" si="5"/>
        <v>3.5559372869429406</v>
      </c>
      <c r="Q41" s="66">
        <f t="shared" si="6"/>
        <v>4.1691814110098155</v>
      </c>
      <c r="R41" s="66">
        <f t="shared" si="6"/>
        <v>3.7721165147231663</v>
      </c>
      <c r="S41" s="66">
        <f t="shared" si="7"/>
        <v>159.69070432005378</v>
      </c>
      <c r="T41" s="66">
        <f t="shared" si="8"/>
        <v>42.023869557908895</v>
      </c>
      <c r="U41" s="25">
        <f t="shared" si="0"/>
        <v>0.2998627295060483</v>
      </c>
      <c r="V41" s="66"/>
      <c r="W41" s="66"/>
      <c r="X41" s="66">
        <f>+M41*Notes!$F67</f>
        <v>2.146054921311475</v>
      </c>
      <c r="Y41" s="66">
        <f>+N41*Notes!$F67</f>
        <v>2.140597260721206</v>
      </c>
      <c r="Z41" s="66">
        <f>+O41*Notes!$F67</f>
        <v>0.8296596556385029</v>
      </c>
      <c r="AA41" s="66">
        <f>+P41*Notes!$F67</f>
        <v>0.9805068657545943</v>
      </c>
      <c r="AB41" s="66">
        <f>+Q41*Notes!$F67</f>
        <v>1.149601544740951</v>
      </c>
      <c r="AC41" s="66">
        <f>+R41*Notes!$F67</f>
        <v>1.040115683337051</v>
      </c>
      <c r="AD41" s="66">
        <f>+S41*Notes!$F67</f>
        <v>44.03278779913761</v>
      </c>
      <c r="AE41" s="66">
        <f>+T41*Notes!$F67</f>
        <v>11.587575736615161</v>
      </c>
      <c r="AF41" s="66">
        <f>+U41*Notes!$F67</f>
        <v>0.08268353498364467</v>
      </c>
      <c r="AG41" s="66">
        <f>+V41*Notes!$F67</f>
        <v>0</v>
      </c>
    </row>
    <row r="42" spans="1:33" ht="15">
      <c r="A42" s="11">
        <v>1631</v>
      </c>
      <c r="B42" s="66">
        <f>+(590.15+481.35)/2</f>
        <v>535.75</v>
      </c>
      <c r="C42" s="66">
        <v>4.81</v>
      </c>
      <c r="D42" s="66">
        <f>+(440+250)/2</f>
        <v>345</v>
      </c>
      <c r="E42" s="66">
        <f>+(560.35+360)/2</f>
        <v>460.175</v>
      </c>
      <c r="F42" s="66">
        <v>220</v>
      </c>
      <c r="G42" s="71">
        <v>225</v>
      </c>
      <c r="H42" s="66">
        <v>114</v>
      </c>
      <c r="I42" s="66">
        <v>30</v>
      </c>
      <c r="J42" s="65"/>
      <c r="K42" s="66">
        <v>31</v>
      </c>
      <c r="L42" s="65"/>
      <c r="M42" s="66">
        <f t="shared" si="2"/>
        <v>7.026229508196721</v>
      </c>
      <c r="N42" s="66">
        <f t="shared" si="3"/>
        <v>6.328947368421052</v>
      </c>
      <c r="O42" s="66">
        <f t="shared" si="4"/>
        <v>2.3592276230679126</v>
      </c>
      <c r="P42" s="66">
        <f t="shared" si="5"/>
        <v>3.1468335404210914</v>
      </c>
      <c r="Q42" s="66">
        <f t="shared" si="6"/>
        <v>2.9118092394354265</v>
      </c>
      <c r="R42" s="66">
        <f t="shared" si="6"/>
        <v>2.977986722149868</v>
      </c>
      <c r="S42" s="66">
        <f t="shared" si="7"/>
        <v>191.62884518406455</v>
      </c>
      <c r="T42" s="66">
        <f t="shared" si="8"/>
        <v>50.42864346949067</v>
      </c>
      <c r="U42" s="25">
        <f t="shared" si="0"/>
        <v>0</v>
      </c>
      <c r="V42" s="66">
        <v>31</v>
      </c>
      <c r="W42" s="66"/>
      <c r="X42" s="66">
        <f>+M42*Notes!$F68</f>
        <v>1.9373861442622953</v>
      </c>
      <c r="Y42" s="66">
        <f>+N42*Notes!$F68</f>
        <v>1.7451201850209987</v>
      </c>
      <c r="Z42" s="66">
        <f>+O42*Notes!$F68</f>
        <v>0.6505245669473897</v>
      </c>
      <c r="AA42" s="66">
        <f>+P42*Notes!$F68</f>
        <v>0.8676960654927971</v>
      </c>
      <c r="AB42" s="66">
        <f>+Q42*Notes!$F68</f>
        <v>0.8028913471494279</v>
      </c>
      <c r="AC42" s="66">
        <f>+R42*Notes!$F68</f>
        <v>0.8211388777664603</v>
      </c>
      <c r="AD42" s="66">
        <f>+S42*Notes!$F68</f>
        <v>52.8390182910314</v>
      </c>
      <c r="AE42" s="66">
        <f>+T42*Notes!$F68</f>
        <v>13.905004813429317</v>
      </c>
      <c r="AF42" s="66">
        <f>+U42*Notes!$F68</f>
        <v>0</v>
      </c>
      <c r="AG42" s="66">
        <f>+V42*Notes!$F68</f>
        <v>8.547823608959403</v>
      </c>
    </row>
    <row r="43" spans="1:33" ht="15">
      <c r="A43" s="11">
        <v>1632</v>
      </c>
      <c r="B43" s="66">
        <f>+(481.35+321.45)/2</f>
        <v>401.4</v>
      </c>
      <c r="C43" s="66">
        <v>3.21</v>
      </c>
      <c r="D43" s="66">
        <f>+(250+187.7)/2</f>
        <v>218.85</v>
      </c>
      <c r="E43" s="66">
        <f>+(420.7+390)/2</f>
        <v>405.35</v>
      </c>
      <c r="F43" s="66">
        <v>265</v>
      </c>
      <c r="G43" s="71">
        <v>260</v>
      </c>
      <c r="H43" s="66">
        <v>108.3</v>
      </c>
      <c r="I43" s="66">
        <v>28.5</v>
      </c>
      <c r="J43" s="65"/>
      <c r="K43" s="66"/>
      <c r="L43" s="65"/>
      <c r="M43" s="66">
        <f t="shared" si="2"/>
        <v>5.264262295081967</v>
      </c>
      <c r="N43" s="66">
        <f t="shared" si="3"/>
        <v>4.223684210526316</v>
      </c>
      <c r="O43" s="66">
        <f t="shared" si="4"/>
        <v>1.496570913937428</v>
      </c>
      <c r="P43" s="66">
        <f t="shared" si="5"/>
        <v>2.7719214985813867</v>
      </c>
      <c r="Q43" s="66">
        <f t="shared" si="6"/>
        <v>3.5074065838654</v>
      </c>
      <c r="R43" s="66">
        <f t="shared" si="6"/>
        <v>3.4412291011509586</v>
      </c>
      <c r="S43" s="66">
        <f t="shared" si="7"/>
        <v>182.04740292486133</v>
      </c>
      <c r="T43" s="66">
        <f t="shared" si="8"/>
        <v>47.907211296016136</v>
      </c>
      <c r="U43" s="25">
        <f t="shared" si="0"/>
        <v>0</v>
      </c>
      <c r="V43" s="66"/>
      <c r="W43" s="66"/>
      <c r="X43" s="66">
        <f>+M43*Notes!$F69</f>
        <v>1.4515320360655735</v>
      </c>
      <c r="Y43" s="66">
        <f>+N43*Notes!$F69</f>
        <v>1.164610081745142</v>
      </c>
      <c r="Z43" s="66">
        <f>+O43*Notes!$F69</f>
        <v>0.41265432914571115</v>
      </c>
      <c r="AA43" s="66">
        <f>+P43*Notes!$F69</f>
        <v>0.7643108627791366</v>
      </c>
      <c r="AB43" s="66">
        <f>+Q43*Notes!$F69</f>
        <v>0.9671085395467877</v>
      </c>
      <c r="AC43" s="66">
        <f>+R43*Notes!$F69</f>
        <v>0.9488612086119427</v>
      </c>
      <c r="AD43" s="66">
        <f>+S43*Notes!$F69</f>
        <v>50.196518071457405</v>
      </c>
      <c r="AE43" s="66">
        <f>+T43*Notes!$F69</f>
        <v>13.20961001880458</v>
      </c>
      <c r="AF43" s="66">
        <f>+U43*Notes!$F69</f>
        <v>0</v>
      </c>
      <c r="AG43" s="66">
        <f>+V43*Notes!$F69</f>
        <v>0</v>
      </c>
    </row>
    <row r="44" spans="1:33" ht="15">
      <c r="A44" s="11">
        <v>1633</v>
      </c>
      <c r="B44" s="66">
        <f>+(321.45+321.45)/2</f>
        <v>321.45</v>
      </c>
      <c r="C44" s="66">
        <v>3.21</v>
      </c>
      <c r="D44" s="66">
        <f>+(187.7*2)/2</f>
        <v>187.7</v>
      </c>
      <c r="E44" s="66">
        <f>+(390+400)/2</f>
        <v>395</v>
      </c>
      <c r="F44" s="66">
        <v>240</v>
      </c>
      <c r="G44" s="71">
        <v>240</v>
      </c>
      <c r="H44" s="66">
        <v>121.6</v>
      </c>
      <c r="I44" s="66">
        <v>32</v>
      </c>
      <c r="J44" s="65">
        <v>67</v>
      </c>
      <c r="K44" s="66"/>
      <c r="L44" s="65"/>
      <c r="M44" s="66">
        <f t="shared" si="2"/>
        <v>4.215737704918032</v>
      </c>
      <c r="N44" s="66">
        <f t="shared" si="3"/>
        <v>4.223684210526316</v>
      </c>
      <c r="O44" s="66">
        <f t="shared" si="4"/>
        <v>1.283556593767673</v>
      </c>
      <c r="P44" s="66">
        <f t="shared" si="5"/>
        <v>2.701144669889349</v>
      </c>
      <c r="Q44" s="66">
        <f t="shared" si="6"/>
        <v>3.1765191702931928</v>
      </c>
      <c r="R44" s="66">
        <f t="shared" si="6"/>
        <v>3.1765191702931928</v>
      </c>
      <c r="S44" s="66">
        <f t="shared" si="7"/>
        <v>204.40410152966885</v>
      </c>
      <c r="T44" s="66">
        <f t="shared" si="8"/>
        <v>53.790553034123384</v>
      </c>
      <c r="U44" s="25">
        <f t="shared" si="0"/>
        <v>0.2976415241022998</v>
      </c>
      <c r="V44" s="66"/>
      <c r="W44" s="66"/>
      <c r="X44" s="66">
        <f>+M44*Notes!$F70</f>
        <v>1.1623900983606557</v>
      </c>
      <c r="Y44" s="66">
        <f>+N44*Notes!$F70</f>
        <v>1.1645811595893607</v>
      </c>
      <c r="Z44" s="66">
        <f>+O44*Notes!$F70</f>
        <v>0.35391041371965115</v>
      </c>
      <c r="AA44" s="66">
        <f>+P44*Notes!$F70</f>
        <v>0.7447768429369324</v>
      </c>
      <c r="AB44" s="66">
        <f>+Q44*Notes!$F70</f>
        <v>0.8758501332979405</v>
      </c>
      <c r="AC44" s="66">
        <f>+R44*Notes!$F70</f>
        <v>0.8758501332979405</v>
      </c>
      <c r="AD44" s="66">
        <f>+S44*Notes!$F70</f>
        <v>56.359603066674396</v>
      </c>
      <c r="AE44" s="66">
        <f>+T44*Notes!$F70</f>
        <v>14.831474491230106</v>
      </c>
      <c r="AF44" s="66">
        <f>+U44*Notes!$F70</f>
        <v>0.08206762011637407</v>
      </c>
      <c r="AG44" s="66">
        <f>+V44*Notes!$F70</f>
        <v>0</v>
      </c>
    </row>
    <row r="45" spans="1:33" ht="15">
      <c r="A45" s="11">
        <v>1634</v>
      </c>
      <c r="B45" s="66">
        <f>+(321.45+267.85)/2</f>
        <v>294.65</v>
      </c>
      <c r="C45" s="66">
        <v>2.68</v>
      </c>
      <c r="D45" s="66">
        <f>+(187.7+209.25)/2</f>
        <v>198.475</v>
      </c>
      <c r="E45" s="66">
        <f>+(340+400)/2</f>
        <v>370</v>
      </c>
      <c r="F45" s="66">
        <v>240</v>
      </c>
      <c r="G45" s="71">
        <v>230</v>
      </c>
      <c r="H45" s="66">
        <v>104.75</v>
      </c>
      <c r="I45" s="66">
        <v>32.5</v>
      </c>
      <c r="J45" s="65"/>
      <c r="K45" s="66"/>
      <c r="L45" s="65"/>
      <c r="M45" s="66">
        <f t="shared" si="2"/>
        <v>3.864262295081967</v>
      </c>
      <c r="N45" s="66">
        <f t="shared" si="3"/>
        <v>3.5263157894736845</v>
      </c>
      <c r="O45" s="66">
        <f t="shared" si="4"/>
        <v>1.3572397173576924</v>
      </c>
      <c r="P45" s="66">
        <f t="shared" si="5"/>
        <v>2.5301861464786306</v>
      </c>
      <c r="Q45" s="66">
        <f t="shared" si="6"/>
        <v>3.1765191702931928</v>
      </c>
      <c r="R45" s="66">
        <f t="shared" si="6"/>
        <v>3.04416420486431</v>
      </c>
      <c r="S45" s="66">
        <f t="shared" si="7"/>
        <v>176.08001344763827</v>
      </c>
      <c r="T45" s="66">
        <f t="shared" si="8"/>
        <v>54.63103042528156</v>
      </c>
      <c r="U45" s="25">
        <f t="shared" si="0"/>
        <v>0</v>
      </c>
      <c r="V45" s="66"/>
      <c r="W45" s="66"/>
      <c r="X45" s="66">
        <f>+M45*Notes!$F71</f>
        <v>1.0654896</v>
      </c>
      <c r="Y45" s="66">
        <f>+N45*Notes!$F71</f>
        <v>0.9723079110809436</v>
      </c>
      <c r="Z45" s="66">
        <f>+O45*Notes!$F71</f>
        <v>0.3742304981191465</v>
      </c>
      <c r="AA45" s="66">
        <f>+P45*Notes!$F71</f>
        <v>0.6976459720573583</v>
      </c>
      <c r="AB45" s="66">
        <f>+Q45*Notes!$F71</f>
        <v>0.8758588009037399</v>
      </c>
      <c r="AC45" s="66">
        <f>+R45*Notes!$F71</f>
        <v>0.8393646841994175</v>
      </c>
      <c r="AD45" s="66">
        <f>+S45*Notes!$F71</f>
        <v>48.55038524043544</v>
      </c>
      <c r="AE45" s="66">
        <f>+T45*Notes!$F71</f>
        <v>15.063365349061113</v>
      </c>
      <c r="AF45" s="66">
        <f>+U45*Notes!$F71</f>
        <v>0</v>
      </c>
      <c r="AG45" s="66">
        <f>+V45*Notes!$F71</f>
        <v>0</v>
      </c>
    </row>
    <row r="46" spans="1:33" ht="15">
      <c r="A46" s="11">
        <v>1635</v>
      </c>
      <c r="B46" s="66">
        <f>+(267.85+357.15)/2</f>
        <v>312.5</v>
      </c>
      <c r="C46" s="66">
        <v>4.97</v>
      </c>
      <c r="D46" s="66">
        <f>+(209.25+217.9)/2</f>
        <v>213.575</v>
      </c>
      <c r="E46" s="66">
        <f>+(400+600)/2</f>
        <v>500</v>
      </c>
      <c r="F46" s="66">
        <v>230</v>
      </c>
      <c r="G46" s="71">
        <v>270</v>
      </c>
      <c r="H46" s="66">
        <v>112.15</v>
      </c>
      <c r="I46" s="66">
        <v>32</v>
      </c>
      <c r="J46" s="65">
        <v>60</v>
      </c>
      <c r="K46" s="66">
        <v>31</v>
      </c>
      <c r="L46" s="65"/>
      <c r="M46" s="66">
        <f t="shared" si="2"/>
        <v>4.098360655737705</v>
      </c>
      <c r="N46" s="66">
        <f t="shared" si="3"/>
        <v>6.539473684210526</v>
      </c>
      <c r="O46" s="66">
        <f t="shared" si="4"/>
        <v>1.4604986654977663</v>
      </c>
      <c r="P46" s="66">
        <f t="shared" si="5"/>
        <v>3.4191704682143658</v>
      </c>
      <c r="Q46" s="66">
        <f t="shared" si="6"/>
        <v>3.04416420486431</v>
      </c>
      <c r="R46" s="66">
        <f t="shared" si="6"/>
        <v>3.573584066579842</v>
      </c>
      <c r="S46" s="66">
        <f t="shared" si="7"/>
        <v>188.5190788367793</v>
      </c>
      <c r="T46" s="66">
        <f t="shared" si="8"/>
        <v>53.790553034123384</v>
      </c>
      <c r="U46" s="25">
        <f t="shared" si="0"/>
        <v>0.26654464844982073</v>
      </c>
      <c r="V46" s="66">
        <v>31</v>
      </c>
      <c r="W46" s="66"/>
      <c r="X46" s="66">
        <f>+M46*Notes!$F72</f>
        <v>1.1241289573770488</v>
      </c>
      <c r="Y46" s="66">
        <f>+N46*Notes!$F72</f>
        <v>1.7936956631999994</v>
      </c>
      <c r="Z46" s="66">
        <f>+O46*Notes!$F72</f>
        <v>0.4005964774715644</v>
      </c>
      <c r="AA46" s="66">
        <f>+P46*Notes!$F72</f>
        <v>0.9378356021808836</v>
      </c>
      <c r="AB46" s="66">
        <f>+Q46*Notes!$F72</f>
        <v>0.8349760846224705</v>
      </c>
      <c r="AC46" s="66">
        <f>+R46*Notes!$F72</f>
        <v>0.9801893167307263</v>
      </c>
      <c r="AD46" s="66">
        <f>+S46*Notes!$F72</f>
        <v>51.70842035138678</v>
      </c>
      <c r="AE46" s="66">
        <f>+T46*Notes!$F72</f>
        <v>14.75407446495209</v>
      </c>
      <c r="AF46" s="66">
        <f>+U46*Notes!$F72</f>
        <v>0.07310985609254428</v>
      </c>
      <c r="AG46" s="66">
        <f>+V46*Notes!$F72</f>
        <v>8.502911433599998</v>
      </c>
    </row>
    <row r="47" spans="1:33" ht="15">
      <c r="A47" s="11">
        <v>1636</v>
      </c>
      <c r="B47" s="66">
        <f>+(638.5+467.95)/2</f>
        <v>553.225</v>
      </c>
      <c r="C47" s="66">
        <v>4.74</v>
      </c>
      <c r="D47" s="66">
        <f>+(606.2+340)/2</f>
        <v>473.1</v>
      </c>
      <c r="E47" s="66">
        <f>+(643+640)/2</f>
        <v>641.5</v>
      </c>
      <c r="F47" s="66">
        <v>260</v>
      </c>
      <c r="G47" s="71">
        <v>212</v>
      </c>
      <c r="H47" s="66">
        <v>116</v>
      </c>
      <c r="I47" s="66">
        <v>31.5</v>
      </c>
      <c r="J47" s="65"/>
      <c r="K47" s="66">
        <v>31</v>
      </c>
      <c r="L47" s="65"/>
      <c r="M47" s="66">
        <f t="shared" si="2"/>
        <v>7.255409836065574</v>
      </c>
      <c r="N47" s="66">
        <f t="shared" si="3"/>
        <v>6.236842105263158</v>
      </c>
      <c r="O47" s="66">
        <f t="shared" si="4"/>
        <v>3.235219097024433</v>
      </c>
      <c r="P47" s="66">
        <f t="shared" si="5"/>
        <v>4.386795710719031</v>
      </c>
      <c r="Q47" s="66">
        <f t="shared" si="6"/>
        <v>3.4412291011509586</v>
      </c>
      <c r="R47" s="66">
        <f t="shared" si="6"/>
        <v>2.80592526709232</v>
      </c>
      <c r="S47" s="66">
        <f t="shared" si="7"/>
        <v>194.99075474869727</v>
      </c>
      <c r="T47" s="66">
        <f t="shared" si="8"/>
        <v>52.9500756429652</v>
      </c>
      <c r="U47" s="25">
        <f t="shared" si="0"/>
        <v>0</v>
      </c>
      <c r="V47" s="66">
        <v>31</v>
      </c>
      <c r="W47" s="66"/>
      <c r="X47" s="66">
        <f>+M47*Notes!$F73</f>
        <v>1.96639391147541</v>
      </c>
      <c r="Y47" s="66">
        <f>+N47*Notes!$F73</f>
        <v>1.6903370891138327</v>
      </c>
      <c r="Z47" s="66">
        <f>+O47*Notes!$F73</f>
        <v>0.8768236775619028</v>
      </c>
      <c r="AA47" s="66">
        <f>+P47*Notes!$F73</f>
        <v>1.1889291675247529</v>
      </c>
      <c r="AB47" s="66">
        <f>+Q47*Notes!$F73</f>
        <v>0.9326574384342036</v>
      </c>
      <c r="AC47" s="66">
        <f>+R47*Notes!$F73</f>
        <v>0.7604745267232736</v>
      </c>
      <c r="AD47" s="66">
        <f>+S47*Notes!$F73</f>
        <v>52.8472741851006</v>
      </c>
      <c r="AE47" s="66">
        <f>+T47*Notes!$F73</f>
        <v>14.350768420954042</v>
      </c>
      <c r="AF47" s="66">
        <f>+U47*Notes!$F73</f>
        <v>0</v>
      </c>
      <c r="AG47" s="66">
        <f>+V47*Notes!$F73</f>
        <v>8.401759877536264</v>
      </c>
    </row>
    <row r="48" spans="1:33" ht="15">
      <c r="A48" s="11">
        <v>1637</v>
      </c>
      <c r="B48" s="66">
        <f>+(481.5+425.9)/2</f>
        <v>453.7</v>
      </c>
      <c r="C48" s="66">
        <v>3.89</v>
      </c>
      <c r="D48" s="66">
        <f>+(340+320)/2</f>
        <v>330</v>
      </c>
      <c r="E48" s="66">
        <f>+(570+560)/2</f>
        <v>565</v>
      </c>
      <c r="F48" s="66">
        <v>205</v>
      </c>
      <c r="G48" s="71">
        <v>202</v>
      </c>
      <c r="H48" s="66">
        <v>109.5</v>
      </c>
      <c r="I48" s="66">
        <v>32.5</v>
      </c>
      <c r="J48" s="65">
        <v>65</v>
      </c>
      <c r="K48" s="66">
        <v>30</v>
      </c>
      <c r="L48" s="65"/>
      <c r="M48" s="66">
        <f t="shared" si="2"/>
        <v>5.95016393442623</v>
      </c>
      <c r="N48" s="66">
        <f t="shared" si="3"/>
        <v>5.118421052631579</v>
      </c>
      <c r="O48" s="66">
        <f t="shared" si="4"/>
        <v>2.2566525090214813</v>
      </c>
      <c r="P48" s="66">
        <f t="shared" si="5"/>
        <v>3.8636626290822336</v>
      </c>
      <c r="Q48" s="66">
        <f t="shared" si="6"/>
        <v>2.713276791292102</v>
      </c>
      <c r="R48" s="66">
        <f t="shared" si="6"/>
        <v>2.673570301663437</v>
      </c>
      <c r="S48" s="66">
        <f t="shared" si="7"/>
        <v>184.06454866364095</v>
      </c>
      <c r="T48" s="66">
        <f t="shared" si="8"/>
        <v>54.63103042528156</v>
      </c>
      <c r="U48" s="25">
        <f t="shared" si="0"/>
        <v>0.2887567024873058</v>
      </c>
      <c r="V48" s="66">
        <v>30</v>
      </c>
      <c r="W48" s="66"/>
      <c r="X48" s="66">
        <f>+M48*Notes!$F74</f>
        <v>1.6044726295081964</v>
      </c>
      <c r="Y48" s="66">
        <f>+N48*Notes!$F74</f>
        <v>1.380191634339872</v>
      </c>
      <c r="Z48" s="66">
        <f>+O48*Notes!$F74</f>
        <v>0.6085104923054713</v>
      </c>
      <c r="AA48" s="66">
        <f>+P48*Notes!$F74</f>
        <v>1.041843721674519</v>
      </c>
      <c r="AB48" s="66">
        <f>+Q48*Notes!$F74</f>
        <v>0.7316400683887703</v>
      </c>
      <c r="AC48" s="66">
        <f>+R48*Notes!$F74</f>
        <v>0.7209331405586906</v>
      </c>
      <c r="AD48" s="66">
        <f>+S48*Notes!$F74</f>
        <v>49.633343492420856</v>
      </c>
      <c r="AE48" s="66">
        <f>+T48*Notes!$F74</f>
        <v>14.731357657567834</v>
      </c>
      <c r="AF48" s="66">
        <f>+U48*Notes!$F74</f>
        <v>0.0778637749873356</v>
      </c>
      <c r="AG48" s="66">
        <f>+V48*Notes!$F74</f>
        <v>8.089555080449635</v>
      </c>
    </row>
    <row r="49" spans="1:33" ht="15">
      <c r="A49" s="11">
        <v>1638</v>
      </c>
      <c r="B49" s="66">
        <f>+(351.85+333.35)/2</f>
        <v>342.6</v>
      </c>
      <c r="C49" s="66">
        <v>3.42</v>
      </c>
      <c r="D49" s="66">
        <f>+(240+180)/2</f>
        <v>210</v>
      </c>
      <c r="E49" s="66">
        <f>+(493+440)/2</f>
        <v>466.5</v>
      </c>
      <c r="F49" s="66">
        <v>200</v>
      </c>
      <c r="G49" s="71">
        <v>180</v>
      </c>
      <c r="H49" s="66">
        <v>97.5</v>
      </c>
      <c r="I49" s="66">
        <v>32.5</v>
      </c>
      <c r="J49" s="65"/>
      <c r="K49" s="66">
        <v>30</v>
      </c>
      <c r="L49" s="65"/>
      <c r="M49" s="66">
        <f t="shared" si="2"/>
        <v>4.493114754098361</v>
      </c>
      <c r="N49" s="66">
        <f t="shared" si="3"/>
        <v>4.5</v>
      </c>
      <c r="O49" s="66">
        <f t="shared" si="4"/>
        <v>1.4360515966500336</v>
      </c>
      <c r="P49" s="66">
        <f t="shared" si="5"/>
        <v>3.1900860468440033</v>
      </c>
      <c r="Q49" s="66">
        <f t="shared" si="6"/>
        <v>2.6470993085776606</v>
      </c>
      <c r="R49" s="66">
        <f t="shared" si="6"/>
        <v>2.3823893777198943</v>
      </c>
      <c r="S49" s="66">
        <f t="shared" si="7"/>
        <v>163.89309127584468</v>
      </c>
      <c r="T49" s="66">
        <f t="shared" si="8"/>
        <v>54.63103042528156</v>
      </c>
      <c r="U49" s="25">
        <f t="shared" si="0"/>
        <v>0</v>
      </c>
      <c r="V49" s="66">
        <v>30</v>
      </c>
      <c r="W49" s="66"/>
      <c r="X49" s="66">
        <f>+M49*Notes!$F75</f>
        <v>1.2332979737704914</v>
      </c>
      <c r="Y49" s="66">
        <f>+N49*Notes!$F75</f>
        <v>1.235187878721541</v>
      </c>
      <c r="Z49" s="66">
        <f>+O49*Notes!$F75</f>
        <v>0.3941763389779637</v>
      </c>
      <c r="AA49" s="66">
        <f>+P49*Notes!$F75</f>
        <v>0.8756345815867623</v>
      </c>
      <c r="AB49" s="66">
        <f>+Q49*Notes!$F75</f>
        <v>0.7265922177171773</v>
      </c>
      <c r="AC49" s="66">
        <f>+R49*Notes!$F75</f>
        <v>0.6539329959454595</v>
      </c>
      <c r="AD49" s="66">
        <f>+S49*Notes!$F75</f>
        <v>44.98639105558366</v>
      </c>
      <c r="AE49" s="66">
        <f>+T49*Notes!$F75</f>
        <v>14.995463685194553</v>
      </c>
      <c r="AF49" s="66">
        <f>+U49*Notes!$F75</f>
        <v>0</v>
      </c>
      <c r="AG49" s="66">
        <f>+V49*Notes!$F75</f>
        <v>8.234585858143605</v>
      </c>
    </row>
    <row r="50" spans="1:33" ht="15">
      <c r="A50" s="11">
        <v>1639</v>
      </c>
      <c r="B50" s="66">
        <f>+(351.85+333.35)/2</f>
        <v>342.6</v>
      </c>
      <c r="C50" s="66">
        <v>3.05</v>
      </c>
      <c r="D50" s="66">
        <f>+(180+145)/2</f>
        <v>162.5</v>
      </c>
      <c r="E50" s="66">
        <f>+(380*2)/2</f>
        <v>380</v>
      </c>
      <c r="F50" s="66">
        <v>200</v>
      </c>
      <c r="G50" s="71">
        <v>240</v>
      </c>
      <c r="H50" s="66">
        <v>100</v>
      </c>
      <c r="I50" s="66">
        <v>32.5</v>
      </c>
      <c r="J50" s="65"/>
      <c r="K50" s="66">
        <v>30</v>
      </c>
      <c r="L50" s="65"/>
      <c r="M50" s="66">
        <f t="shared" si="2"/>
        <v>4.493114754098361</v>
      </c>
      <c r="N50" s="66">
        <f t="shared" si="3"/>
        <v>4.013157894736842</v>
      </c>
      <c r="O50" s="66">
        <f t="shared" si="4"/>
        <v>1.1112304021696688</v>
      </c>
      <c r="P50" s="66">
        <f t="shared" si="5"/>
        <v>2.598569555842918</v>
      </c>
      <c r="Q50" s="66">
        <f t="shared" si="6"/>
        <v>2.6470993085776606</v>
      </c>
      <c r="R50" s="66">
        <f t="shared" si="6"/>
        <v>3.1765191702931928</v>
      </c>
      <c r="S50" s="66">
        <f t="shared" si="7"/>
        <v>168.09547823163558</v>
      </c>
      <c r="T50" s="66">
        <f t="shared" si="8"/>
        <v>54.63103042528156</v>
      </c>
      <c r="U50" s="25">
        <f t="shared" si="0"/>
        <v>0</v>
      </c>
      <c r="V50" s="66">
        <v>30</v>
      </c>
      <c r="W50" s="66"/>
      <c r="X50" s="66">
        <f>+M50*Notes!$F76</f>
        <v>1.20532991147541</v>
      </c>
      <c r="Y50" s="66">
        <f>+N50*Notes!$F76</f>
        <v>1.0765759422431405</v>
      </c>
      <c r="Z50" s="66">
        <f>+O50*Notes!$F76</f>
        <v>0.29810038594145144</v>
      </c>
      <c r="AA50" s="66">
        <f>+P50*Notes!$F76</f>
        <v>0.6970962871246249</v>
      </c>
      <c r="AB50" s="66">
        <f>+Q50*Notes!$F76</f>
        <v>0.71011495363305</v>
      </c>
      <c r="AC50" s="66">
        <f>+R50*Notes!$F76</f>
        <v>0.85213794435966</v>
      </c>
      <c r="AD50" s="66">
        <f>+S50*Notes!$F76</f>
        <v>45.09355291038235</v>
      </c>
      <c r="AE50" s="66">
        <f>+T50*Notes!$F76</f>
        <v>14.65540469587426</v>
      </c>
      <c r="AF50" s="66">
        <f>+U50*Notes!$F76</f>
        <v>0</v>
      </c>
      <c r="AG50" s="66">
        <f>+V50*Notes!$F76</f>
        <v>8.047846387915937</v>
      </c>
    </row>
    <row r="51" spans="1:33" ht="15">
      <c r="A51" s="11">
        <v>1640</v>
      </c>
      <c r="B51" s="66">
        <f>+(277.75+268.5)/2</f>
        <v>273.125</v>
      </c>
      <c r="C51" s="66">
        <v>2.73</v>
      </c>
      <c r="D51" s="66">
        <f>+(166+176.15)/2</f>
        <v>171.075</v>
      </c>
      <c r="E51" s="66">
        <f>+(340+312)/2</f>
        <v>326</v>
      </c>
      <c r="F51" s="66">
        <v>220</v>
      </c>
      <c r="G51" s="71">
        <v>200</v>
      </c>
      <c r="H51" s="66">
        <v>100</v>
      </c>
      <c r="I51" s="66">
        <v>33</v>
      </c>
      <c r="J51" s="65"/>
      <c r="K51" s="66">
        <v>30</v>
      </c>
      <c r="L51" s="65"/>
      <c r="M51" s="66">
        <f t="shared" si="2"/>
        <v>3.581967213114754</v>
      </c>
      <c r="N51" s="66">
        <f t="shared" si="3"/>
        <v>3.5921052631578947</v>
      </c>
      <c r="O51" s="66">
        <f t="shared" si="4"/>
        <v>1.1698691756995452</v>
      </c>
      <c r="P51" s="66">
        <f t="shared" si="5"/>
        <v>2.2292991452757667</v>
      </c>
      <c r="Q51" s="66">
        <f t="shared" si="6"/>
        <v>2.9118092394354265</v>
      </c>
      <c r="R51" s="66">
        <f t="shared" si="6"/>
        <v>2.6470993085776606</v>
      </c>
      <c r="S51" s="66">
        <f t="shared" si="7"/>
        <v>168.09547823163558</v>
      </c>
      <c r="T51" s="66">
        <f t="shared" si="8"/>
        <v>55.47150781643974</v>
      </c>
      <c r="U51" s="25">
        <f t="shared" si="0"/>
        <v>0</v>
      </c>
      <c r="V51" s="66">
        <v>30</v>
      </c>
      <c r="W51" s="66"/>
      <c r="X51" s="66">
        <f>+M51*Notes!$F77</f>
        <v>0.9465473573770492</v>
      </c>
      <c r="Y51" s="66">
        <f>+N51*Notes!$F77</f>
        <v>0.9492263725400458</v>
      </c>
      <c r="Z51" s="66">
        <f>+O51*Notes!$F77</f>
        <v>0.3091420191343321</v>
      </c>
      <c r="AA51" s="66">
        <f>+P51*Notes!$F77</f>
        <v>0.5891000919935249</v>
      </c>
      <c r="AB51" s="66">
        <f>+Q51*Notes!$F77</f>
        <v>0.7694557701931094</v>
      </c>
      <c r="AC51" s="66">
        <f>+R51*Notes!$F77</f>
        <v>0.6995052456300994</v>
      </c>
      <c r="AD51" s="66">
        <f>+S51*Notes!$F77</f>
        <v>44.419817726033614</v>
      </c>
      <c r="AE51" s="66">
        <f>+T51*Notes!$F77</f>
        <v>14.65853984959109</v>
      </c>
      <c r="AF51" s="66">
        <f>+U51*Notes!$F77</f>
        <v>0</v>
      </c>
      <c r="AG51" s="66">
        <f>+V51*Notes!$F77</f>
        <v>7.927604869565218</v>
      </c>
    </row>
    <row r="52" spans="1:33" ht="15">
      <c r="A52" s="11">
        <v>1641</v>
      </c>
      <c r="B52" s="66">
        <f>+(277.75+259.25)/2</f>
        <v>268.5</v>
      </c>
      <c r="C52" s="66">
        <v>2.63</v>
      </c>
      <c r="D52" s="66">
        <f>+(160*2)/2</f>
        <v>160</v>
      </c>
      <c r="E52" s="66">
        <f>+(350+355)/2</f>
        <v>352.5</v>
      </c>
      <c r="F52" s="66">
        <v>200</v>
      </c>
      <c r="G52" s="71">
        <v>200</v>
      </c>
      <c r="H52" s="66">
        <v>95</v>
      </c>
      <c r="I52" s="66">
        <v>33</v>
      </c>
      <c r="J52" s="65"/>
      <c r="K52" s="66">
        <v>30</v>
      </c>
      <c r="L52" s="65"/>
      <c r="M52" s="66">
        <f t="shared" si="2"/>
        <v>3.5213114754098362</v>
      </c>
      <c r="N52" s="66">
        <f t="shared" si="3"/>
        <v>3.4605263157894735</v>
      </c>
      <c r="O52" s="66">
        <f t="shared" si="4"/>
        <v>1.094134549828597</v>
      </c>
      <c r="P52" s="66">
        <f t="shared" si="5"/>
        <v>2.410515180091128</v>
      </c>
      <c r="Q52" s="66">
        <f t="shared" si="6"/>
        <v>2.6470993085776606</v>
      </c>
      <c r="R52" s="66">
        <f t="shared" si="6"/>
        <v>2.6470993085776606</v>
      </c>
      <c r="S52" s="66">
        <f t="shared" si="7"/>
        <v>159.69070432005378</v>
      </c>
      <c r="T52" s="66">
        <f t="shared" si="8"/>
        <v>55.47150781643974</v>
      </c>
      <c r="U52" s="25">
        <f t="shared" si="0"/>
        <v>0</v>
      </c>
      <c r="V52" s="66">
        <v>30</v>
      </c>
      <c r="W52" s="66"/>
      <c r="X52" s="66">
        <f>+M52*Notes!$F78</f>
        <v>0.9305359016393443</v>
      </c>
      <c r="Y52" s="66">
        <f>+N52*Notes!$F78</f>
        <v>0.9144729166666665</v>
      </c>
      <c r="Z52" s="66">
        <f>+O52*Notes!$F78</f>
        <v>0.289134172580122</v>
      </c>
      <c r="AA52" s="66">
        <f>+P52*Notes!$F78</f>
        <v>0.6369987239655813</v>
      </c>
      <c r="AB52" s="66">
        <f>+Q52*Notes!$F78</f>
        <v>0.6995180514525516</v>
      </c>
      <c r="AC52" s="66">
        <f>+R52*Notes!$F78</f>
        <v>0.6995180514525516</v>
      </c>
      <c r="AD52" s="66">
        <f>+S52*Notes!$F78</f>
        <v>42.199599372443544</v>
      </c>
      <c r="AE52" s="66">
        <f>+T52*Notes!$F78</f>
        <v>14.658808203059337</v>
      </c>
      <c r="AF52" s="66">
        <f>+U52*Notes!$F78</f>
        <v>0</v>
      </c>
      <c r="AG52" s="66">
        <f>+V52*Notes!$F78</f>
        <v>7.92775</v>
      </c>
    </row>
    <row r="53" spans="1:33" ht="15">
      <c r="A53" s="11">
        <v>1642</v>
      </c>
      <c r="B53" s="66">
        <f>+(268.5+268.5)/2</f>
        <v>268.5</v>
      </c>
      <c r="C53" s="66">
        <v>2.77</v>
      </c>
      <c r="D53" s="66">
        <f>+(175+200)/2</f>
        <v>187.5</v>
      </c>
      <c r="E53" s="66">
        <f>+(400*2)/2</f>
        <v>400</v>
      </c>
      <c r="F53" s="66">
        <v>220</v>
      </c>
      <c r="G53" s="71">
        <v>220</v>
      </c>
      <c r="H53" s="66">
        <v>95</v>
      </c>
      <c r="I53" s="66">
        <v>30</v>
      </c>
      <c r="J53" s="65">
        <v>65</v>
      </c>
      <c r="K53" s="66">
        <v>30</v>
      </c>
      <c r="L53" s="65"/>
      <c r="M53" s="66">
        <f t="shared" si="2"/>
        <v>3.5213114754098362</v>
      </c>
      <c r="N53" s="66">
        <f t="shared" si="3"/>
        <v>3.6447368421052633</v>
      </c>
      <c r="O53" s="66">
        <f t="shared" si="4"/>
        <v>1.282188925580387</v>
      </c>
      <c r="P53" s="66">
        <f t="shared" si="5"/>
        <v>2.7353363745714927</v>
      </c>
      <c r="Q53" s="66">
        <f t="shared" si="6"/>
        <v>2.9118092394354265</v>
      </c>
      <c r="R53" s="66">
        <f t="shared" si="6"/>
        <v>2.9118092394354265</v>
      </c>
      <c r="S53" s="66">
        <f t="shared" si="7"/>
        <v>159.69070432005378</v>
      </c>
      <c r="T53" s="66">
        <f t="shared" si="8"/>
        <v>50.42864346949067</v>
      </c>
      <c r="U53" s="25">
        <f t="shared" si="0"/>
        <v>0.2887567024873058</v>
      </c>
      <c r="V53" s="66">
        <v>30</v>
      </c>
      <c r="W53" s="66"/>
      <c r="X53" s="66">
        <f>+M53*Notes!$F79</f>
        <v>0.9300160491803279</v>
      </c>
      <c r="Y53" s="66">
        <f>+N53*Notes!$F79</f>
        <v>0.9626140095437616</v>
      </c>
      <c r="Z53" s="66">
        <f>+O53*Notes!$F79</f>
        <v>0.3386398184875862</v>
      </c>
      <c r="AA53" s="66">
        <f>+P53*Notes!$F79</f>
        <v>0.7224316127735172</v>
      </c>
      <c r="AB53" s="66">
        <f>+Q53*Notes!$F79</f>
        <v>0.7690399851695399</v>
      </c>
      <c r="AC53" s="66">
        <f>+R53*Notes!$F79</f>
        <v>0.7690399851695399</v>
      </c>
      <c r="AD53" s="66">
        <f>+S53*Notes!$F79</f>
        <v>42.17602417726341</v>
      </c>
      <c r="AE53" s="66">
        <f>+T53*Notes!$F79</f>
        <v>13.318744477030553</v>
      </c>
      <c r="AF53" s="66">
        <f>+U53*Notes!$F79</f>
        <v>0.07626373568396924</v>
      </c>
      <c r="AG53" s="66">
        <f>+V53*Notes!$F79</f>
        <v>7.923321089385475</v>
      </c>
    </row>
    <row r="54" spans="1:33" ht="15">
      <c r="A54" s="11">
        <v>1643</v>
      </c>
      <c r="B54" s="66">
        <f>+(287+370.35)/2</f>
        <v>328.675</v>
      </c>
      <c r="C54" s="66">
        <v>3.86</v>
      </c>
      <c r="D54" s="66">
        <f>+(240+350)/2</f>
        <v>295</v>
      </c>
      <c r="E54" s="66">
        <f>+(460+500)/2</f>
        <v>480</v>
      </c>
      <c r="F54" s="66">
        <v>200</v>
      </c>
      <c r="G54" s="71">
        <v>200</v>
      </c>
      <c r="H54" s="66">
        <v>95</v>
      </c>
      <c r="I54" s="66">
        <v>30.5</v>
      </c>
      <c r="J54" s="65">
        <v>62.5</v>
      </c>
      <c r="K54" s="66">
        <v>30</v>
      </c>
      <c r="L54" s="65"/>
      <c r="M54" s="66">
        <f t="shared" si="2"/>
        <v>4.310491803278689</v>
      </c>
      <c r="N54" s="66">
        <f t="shared" si="3"/>
        <v>5.078947368421052</v>
      </c>
      <c r="O54" s="66">
        <f t="shared" si="4"/>
        <v>2.017310576246476</v>
      </c>
      <c r="P54" s="66">
        <f t="shared" si="5"/>
        <v>3.2824036494857913</v>
      </c>
      <c r="Q54" s="66">
        <f t="shared" si="6"/>
        <v>2.6470993085776606</v>
      </c>
      <c r="R54" s="66">
        <f t="shared" si="6"/>
        <v>2.6470993085776606</v>
      </c>
      <c r="S54" s="66">
        <f t="shared" si="7"/>
        <v>159.69070432005378</v>
      </c>
      <c r="T54" s="66">
        <f t="shared" si="8"/>
        <v>51.26912086064885</v>
      </c>
      <c r="U54" s="25">
        <f t="shared" si="0"/>
        <v>0.27765067546856326</v>
      </c>
      <c r="V54" s="66">
        <v>30</v>
      </c>
      <c r="W54" s="66"/>
      <c r="X54" s="66">
        <f>+M54*Notes!$F80</f>
        <v>1.1158113180327869</v>
      </c>
      <c r="Y54" s="66">
        <f>+N54*Notes!$F80</f>
        <v>1.3147332638624778</v>
      </c>
      <c r="Z54" s="66">
        <f>+O54*Notes!$F80</f>
        <v>0.5221998035701937</v>
      </c>
      <c r="AA54" s="66">
        <f>+P54*Notes!$F80</f>
        <v>0.8496810363176032</v>
      </c>
      <c r="AB54" s="66">
        <f>+Q54*Notes!$F80</f>
        <v>0.6852265363829422</v>
      </c>
      <c r="AC54" s="66">
        <f>+R54*Notes!$F80</f>
        <v>0.6852265363829422</v>
      </c>
      <c r="AD54" s="66">
        <f>+S54*Notes!$F80</f>
        <v>41.33743976253723</v>
      </c>
      <c r="AE54" s="66">
        <f>+T54*Notes!$F80</f>
        <v>13.271493818498794</v>
      </c>
      <c r="AF54" s="66">
        <f>+U54*Notes!$F80</f>
        <v>0.07187248701218353</v>
      </c>
      <c r="AG54" s="66">
        <f>+V54*Notes!$F80</f>
        <v>7.765781973073704</v>
      </c>
    </row>
    <row r="55" spans="1:33" ht="15">
      <c r="A55" s="11">
        <v>1644</v>
      </c>
      <c r="B55" s="66">
        <f>+(402.75+444.45)/2</f>
        <v>423.6</v>
      </c>
      <c r="C55" s="66">
        <v>3.98</v>
      </c>
      <c r="D55" s="66">
        <f>+(340+390)/2</f>
        <v>365</v>
      </c>
      <c r="E55" s="66">
        <f>+(435*2)/2</f>
        <v>435</v>
      </c>
      <c r="F55" s="66">
        <v>200</v>
      </c>
      <c r="G55" s="71">
        <v>200</v>
      </c>
      <c r="H55" s="66">
        <v>96.65</v>
      </c>
      <c r="I55" s="66">
        <v>30.5</v>
      </c>
      <c r="J55" s="65">
        <v>58.33</v>
      </c>
      <c r="K55" s="66"/>
      <c r="L55" s="65"/>
      <c r="M55" s="66">
        <f t="shared" si="2"/>
        <v>5.555409836065574</v>
      </c>
      <c r="N55" s="66">
        <f t="shared" si="3"/>
        <v>5.2368421052631575</v>
      </c>
      <c r="O55" s="66">
        <f t="shared" si="4"/>
        <v>2.495994441796487</v>
      </c>
      <c r="P55" s="66">
        <f t="shared" si="5"/>
        <v>2.9746783073464984</v>
      </c>
      <c r="Q55" s="66">
        <f t="shared" si="6"/>
        <v>2.6470993085776606</v>
      </c>
      <c r="R55" s="66">
        <f t="shared" si="6"/>
        <v>2.6470993085776606</v>
      </c>
      <c r="S55" s="66">
        <f t="shared" si="7"/>
        <v>162.4642797108758</v>
      </c>
      <c r="T55" s="66">
        <f t="shared" si="8"/>
        <v>51.26912086064885</v>
      </c>
      <c r="U55" s="25">
        <f t="shared" si="0"/>
        <v>0.2591258224013007</v>
      </c>
      <c r="V55" s="66"/>
      <c r="W55" s="66"/>
      <c r="X55" s="66">
        <f>+M55*Notes!$F81</f>
        <v>1.4380158721311471</v>
      </c>
      <c r="Y55" s="66">
        <f>+N55*Notes!$F81</f>
        <v>1.3555547276321998</v>
      </c>
      <c r="Z55" s="66">
        <f>+O55*Notes!$F81</f>
        <v>0.646087278881382</v>
      </c>
      <c r="AA55" s="66">
        <f>+P55*Notes!$F81</f>
        <v>0.7699944282558937</v>
      </c>
      <c r="AB55" s="66">
        <f>+Q55*Notes!$F81</f>
        <v>0.6852007202294786</v>
      </c>
      <c r="AC55" s="66">
        <f>+R55*Notes!$F81</f>
        <v>0.6852007202294786</v>
      </c>
      <c r="AD55" s="66">
        <f>+S55*Notes!$F81</f>
        <v>42.05382136919917</v>
      </c>
      <c r="AE55" s="66">
        <f>+T55*Notes!$F81</f>
        <v>13.27099381024909</v>
      </c>
      <c r="AF55" s="66">
        <f>+U55*Notes!$F81</f>
        <v>0.06707462752307171</v>
      </c>
      <c r="AG55" s="66">
        <f>+V55*Notes!$F81</f>
        <v>0</v>
      </c>
    </row>
    <row r="56" spans="1:33" ht="15">
      <c r="A56" s="11">
        <v>1645</v>
      </c>
      <c r="B56" s="66">
        <f>+(351.85+324.05)/2</f>
        <v>337.95000000000005</v>
      </c>
      <c r="C56" s="66">
        <v>3.23</v>
      </c>
      <c r="D56" s="66">
        <f>+(240+235)/2</f>
        <v>237.5</v>
      </c>
      <c r="E56" s="66">
        <f>+(350*2)/2</f>
        <v>350</v>
      </c>
      <c r="F56" s="66">
        <f>+(200+265)/2</f>
        <v>232.5</v>
      </c>
      <c r="G56" s="71">
        <v>230</v>
      </c>
      <c r="H56" s="66">
        <v>89</v>
      </c>
      <c r="I56" s="66">
        <v>30.5</v>
      </c>
      <c r="J56" s="65"/>
      <c r="K56" s="66">
        <v>30</v>
      </c>
      <c r="L56" s="65"/>
      <c r="M56" s="66">
        <f t="shared" si="2"/>
        <v>4.432131147540984</v>
      </c>
      <c r="N56" s="66">
        <f t="shared" si="3"/>
        <v>4.25</v>
      </c>
      <c r="O56" s="66">
        <f t="shared" si="4"/>
        <v>1.6241059724018239</v>
      </c>
      <c r="P56" s="66">
        <f t="shared" si="5"/>
        <v>2.393419327750056</v>
      </c>
      <c r="Q56" s="66">
        <f t="shared" si="6"/>
        <v>3.0772529462215306</v>
      </c>
      <c r="R56" s="66">
        <f t="shared" si="6"/>
        <v>3.04416420486431</v>
      </c>
      <c r="S56" s="66">
        <f t="shared" si="7"/>
        <v>149.60497562615566</v>
      </c>
      <c r="T56" s="66">
        <f t="shared" si="8"/>
        <v>51.26912086064885</v>
      </c>
      <c r="U56" s="25">
        <f t="shared" si="0"/>
        <v>0</v>
      </c>
      <c r="V56" s="66">
        <v>30</v>
      </c>
      <c r="W56" s="66"/>
      <c r="X56" s="66">
        <f>+M56*Notes!$F82</f>
        <v>1.1473143770491803</v>
      </c>
      <c r="Y56" s="66">
        <f>+N56*Notes!$F82</f>
        <v>1.1001673777555852</v>
      </c>
      <c r="Z56" s="66">
        <f>+O56*Notes!$F82</f>
        <v>0.4204208020834116</v>
      </c>
      <c r="AA56" s="66">
        <f>+P56*Notes!$F82</f>
        <v>0.6195674978071328</v>
      </c>
      <c r="AB56" s="66">
        <f>+Q56*Notes!$F82</f>
        <v>0.7965866598906329</v>
      </c>
      <c r="AC56" s="66">
        <f>+R56*Notes!$F82</f>
        <v>0.7880212119348197</v>
      </c>
      <c r="AD56" s="66">
        <f>+S56*Notes!$F82</f>
        <v>38.72717970207433</v>
      </c>
      <c r="AE56" s="66">
        <f>+T56*Notes!$F82</f>
        <v>13.271673942845696</v>
      </c>
      <c r="AF56" s="66">
        <f>+U56*Notes!$F82</f>
        <v>0</v>
      </c>
      <c r="AG56" s="66">
        <f>+V56*Notes!$F82</f>
        <v>7.765887372392365</v>
      </c>
    </row>
    <row r="57" spans="1:33" ht="15">
      <c r="A57" s="11">
        <v>1646</v>
      </c>
      <c r="B57" s="66">
        <f>+(321.95+312.05)/2</f>
        <v>317</v>
      </c>
      <c r="C57" s="66">
        <v>3.32</v>
      </c>
      <c r="D57" s="66">
        <f>+(235+220)/2</f>
        <v>227.5</v>
      </c>
      <c r="E57" s="66">
        <f>+(320+310)/2</f>
        <v>315</v>
      </c>
      <c r="F57" s="66">
        <f>+(206+240)/2</f>
        <v>223</v>
      </c>
      <c r="G57" s="71">
        <v>210</v>
      </c>
      <c r="H57" s="66">
        <v>87.5</v>
      </c>
      <c r="I57" s="66">
        <v>30.5</v>
      </c>
      <c r="J57" s="65">
        <v>60</v>
      </c>
      <c r="K57" s="66"/>
      <c r="L57" s="65"/>
      <c r="M57" s="66">
        <f t="shared" si="2"/>
        <v>4.157377049180328</v>
      </c>
      <c r="N57" s="66">
        <f t="shared" si="3"/>
        <v>4.368421052631579</v>
      </c>
      <c r="O57" s="66">
        <f t="shared" si="4"/>
        <v>1.5557225630375364</v>
      </c>
      <c r="P57" s="66">
        <f t="shared" si="5"/>
        <v>2.1540773949750505</v>
      </c>
      <c r="Q57" s="66">
        <f t="shared" si="6"/>
        <v>2.9515157290640914</v>
      </c>
      <c r="R57" s="66">
        <f t="shared" si="6"/>
        <v>2.7794542740065435</v>
      </c>
      <c r="S57" s="66">
        <f t="shared" si="7"/>
        <v>147.0835434526811</v>
      </c>
      <c r="T57" s="66">
        <f t="shared" si="8"/>
        <v>51.26912086064885</v>
      </c>
      <c r="U57" s="25">
        <f t="shared" si="0"/>
        <v>0.26654464844982073</v>
      </c>
      <c r="V57" s="66"/>
      <c r="W57" s="66"/>
      <c r="X57" s="66">
        <f>+M57*Notes!$F83</f>
        <v>1.088675019672131</v>
      </c>
      <c r="Y57" s="66">
        <f>+N57*Notes!$F83</f>
        <v>1.1439402342271292</v>
      </c>
      <c r="Z57" s="66">
        <f>+O57*Notes!$F83</f>
        <v>0.407390590721906</v>
      </c>
      <c r="AA57" s="66">
        <f>+P57*Notes!$F83</f>
        <v>0.5640792794611006</v>
      </c>
      <c r="AB57" s="66">
        <f>+Q57*Notes!$F83</f>
        <v>0.7729011360744822</v>
      </c>
      <c r="AC57" s="66">
        <f>+R57*Notes!$F83</f>
        <v>0.7278441191732792</v>
      </c>
      <c r="AD57" s="66">
        <f>+S57*Notes!$F83</f>
        <v>38.51615517850732</v>
      </c>
      <c r="AE57" s="66">
        <f>+T57*Notes!$F83</f>
        <v>13.425631233651123</v>
      </c>
      <c r="AF57" s="66">
        <f>+U57*Notes!$F83</f>
        <v>0.0697989373977571</v>
      </c>
      <c r="AG57" s="66">
        <f>+V57*Notes!$F83</f>
        <v>0</v>
      </c>
    </row>
    <row r="58" spans="1:33" ht="15">
      <c r="A58" s="11">
        <v>1647</v>
      </c>
      <c r="B58" s="66">
        <f>+(351.85+351.85)/2</f>
        <v>351.85</v>
      </c>
      <c r="C58" s="66">
        <v>4.63</v>
      </c>
      <c r="D58" s="66">
        <f>+(200+210)/2</f>
        <v>205</v>
      </c>
      <c r="E58" s="66">
        <f>+(390+360)/2</f>
        <v>375</v>
      </c>
      <c r="F58" s="66">
        <v>180</v>
      </c>
      <c r="G58" s="71">
        <v>190</v>
      </c>
      <c r="H58" s="66">
        <v>87</v>
      </c>
      <c r="I58" s="66">
        <v>30.5</v>
      </c>
      <c r="J58" s="65">
        <v>57.5</v>
      </c>
      <c r="K58" s="66">
        <v>30</v>
      </c>
      <c r="L58" s="65"/>
      <c r="M58" s="66">
        <f t="shared" si="2"/>
        <v>4.614426229508197</v>
      </c>
      <c r="N58" s="66">
        <f t="shared" si="3"/>
        <v>6.092105263157895</v>
      </c>
      <c r="O58" s="66">
        <f t="shared" si="4"/>
        <v>1.40185989196789</v>
      </c>
      <c r="P58" s="66">
        <f t="shared" si="5"/>
        <v>2.564377851160774</v>
      </c>
      <c r="Q58" s="66">
        <f t="shared" si="6"/>
        <v>2.3823893777198943</v>
      </c>
      <c r="R58" s="66">
        <f t="shared" si="6"/>
        <v>2.5147443431487777</v>
      </c>
      <c r="S58" s="66">
        <f t="shared" si="7"/>
        <v>146.24306606152294</v>
      </c>
      <c r="T58" s="66">
        <f t="shared" si="8"/>
        <v>51.26912086064885</v>
      </c>
      <c r="U58" s="25">
        <f t="shared" si="0"/>
        <v>0.2554386214310782</v>
      </c>
      <c r="V58" s="66">
        <v>30</v>
      </c>
      <c r="W58" s="66"/>
      <c r="X58" s="66">
        <f>+M58*Notes!$F84</f>
        <v>1.1944130098360657</v>
      </c>
      <c r="Y58" s="66">
        <f>+N58*Notes!$F84</f>
        <v>1.5769002302117379</v>
      </c>
      <c r="Z58" s="66">
        <f>+O58*Notes!$F84</f>
        <v>0.3628619485184154</v>
      </c>
      <c r="AA58" s="66">
        <f>+P58*Notes!$F84</f>
        <v>0.6637718570458818</v>
      </c>
      <c r="AB58" s="66">
        <f>+Q58*Notes!$F84</f>
        <v>0.6166653719691534</v>
      </c>
      <c r="AC58" s="66">
        <f>+R58*Notes!$F84</f>
        <v>0.6509245593007731</v>
      </c>
      <c r="AD58" s="66">
        <f>+S58*Notes!$F84</f>
        <v>37.85402821811172</v>
      </c>
      <c r="AE58" s="66">
        <f>+T58*Notes!$F84</f>
        <v>13.270665064970203</v>
      </c>
      <c r="AF58" s="66">
        <f>+U58*Notes!$F84</f>
        <v>0.06611855894473509</v>
      </c>
      <c r="AG58" s="66">
        <f>+V58*Notes!$F84</f>
        <v>7.765297029984367</v>
      </c>
    </row>
    <row r="59" spans="1:33" ht="15">
      <c r="A59" s="11">
        <v>1648</v>
      </c>
      <c r="B59" s="66">
        <f>+(574.05+574.05)/2</f>
        <v>574.05</v>
      </c>
      <c r="C59" s="66">
        <v>5.83</v>
      </c>
      <c r="D59" s="66">
        <f>+(380+400)/2</f>
        <v>390</v>
      </c>
      <c r="E59" s="66">
        <f>+(515+640)/2</f>
        <v>577.5</v>
      </c>
      <c r="F59" s="66">
        <v>190</v>
      </c>
      <c r="G59" s="71">
        <v>190</v>
      </c>
      <c r="H59" s="66">
        <v>87</v>
      </c>
      <c r="I59" s="66">
        <v>31</v>
      </c>
      <c r="J59" s="65">
        <v>67</v>
      </c>
      <c r="K59" s="66">
        <v>30</v>
      </c>
      <c r="L59" s="65"/>
      <c r="M59" s="66">
        <f t="shared" si="2"/>
        <v>7.528524590163934</v>
      </c>
      <c r="N59" s="66">
        <f t="shared" si="3"/>
        <v>7.671052631578948</v>
      </c>
      <c r="O59" s="66">
        <f t="shared" si="4"/>
        <v>2.6669529652072055</v>
      </c>
      <c r="P59" s="66">
        <f t="shared" si="5"/>
        <v>3.9491418907875926</v>
      </c>
      <c r="Q59" s="66">
        <f t="shared" si="6"/>
        <v>2.5147443431487777</v>
      </c>
      <c r="R59" s="66">
        <f t="shared" si="6"/>
        <v>2.5147443431487777</v>
      </c>
      <c r="S59" s="66">
        <f t="shared" si="7"/>
        <v>146.24306606152294</v>
      </c>
      <c r="T59" s="66">
        <f t="shared" si="8"/>
        <v>52.10959825180703</v>
      </c>
      <c r="U59" s="25">
        <f t="shared" si="0"/>
        <v>0.2976415241022998</v>
      </c>
      <c r="V59" s="66">
        <v>30</v>
      </c>
      <c r="W59" s="66"/>
      <c r="X59" s="66">
        <f>+M59*Notes!$F85</f>
        <v>1.948822898360656</v>
      </c>
      <c r="Y59" s="66">
        <f>+N59*Notes!$F85</f>
        <v>1.9857174993467472</v>
      </c>
      <c r="Z59" s="66">
        <f>+O59*Notes!$F85</f>
        <v>0.6903635559930446</v>
      </c>
      <c r="AA59" s="66">
        <f>+P59*Notes!$F85</f>
        <v>1.0222691117589313</v>
      </c>
      <c r="AB59" s="66">
        <f>+Q59*Notes!$F85</f>
        <v>0.6509630540164776</v>
      </c>
      <c r="AC59" s="66">
        <f>+R59*Notes!$F85</f>
        <v>0.6509630540164776</v>
      </c>
      <c r="AD59" s="66">
        <f>+S59*Notes!$F85</f>
        <v>37.85626684935356</v>
      </c>
      <c r="AE59" s="66">
        <f>+T59*Notes!$F85</f>
        <v>13.489014624482303</v>
      </c>
      <c r="AF59" s="66">
        <f>+U59*Notes!$F85</f>
        <v>0.07704705094958006</v>
      </c>
      <c r="AG59" s="66">
        <f>+V59*Notes!$F85</f>
        <v>7.765756258165666</v>
      </c>
    </row>
    <row r="60" spans="1:33" ht="15">
      <c r="A60" s="11">
        <v>1649</v>
      </c>
      <c r="B60" s="66">
        <f>+(592.6+583.25)/2</f>
        <v>587.925</v>
      </c>
      <c r="C60" s="66">
        <v>6.31</v>
      </c>
      <c r="D60" s="66">
        <f>+(430+430)/2</f>
        <v>430</v>
      </c>
      <c r="E60" s="66">
        <f>+(633+710)/2</f>
        <v>671.5</v>
      </c>
      <c r="F60" s="66">
        <f>+(200+285)/2</f>
        <v>242.5</v>
      </c>
      <c r="G60" s="71">
        <v>262</v>
      </c>
      <c r="H60" s="66">
        <v>87</v>
      </c>
      <c r="I60" s="66">
        <v>31</v>
      </c>
      <c r="J60" s="65">
        <v>65.5</v>
      </c>
      <c r="K60" s="66">
        <v>30</v>
      </c>
      <c r="L60" s="65"/>
      <c r="M60" s="66">
        <f t="shared" si="2"/>
        <v>7.710491803278688</v>
      </c>
      <c r="N60" s="66">
        <f t="shared" si="3"/>
        <v>8.302631578947368</v>
      </c>
      <c r="O60" s="66">
        <f t="shared" si="4"/>
        <v>2.940486602664355</v>
      </c>
      <c r="P60" s="66">
        <f t="shared" si="5"/>
        <v>4.591945938811893</v>
      </c>
      <c r="Q60" s="66">
        <f t="shared" si="6"/>
        <v>3.2096079116504135</v>
      </c>
      <c r="R60" s="66">
        <f t="shared" si="6"/>
        <v>3.4677000942367355</v>
      </c>
      <c r="S60" s="66">
        <f t="shared" si="7"/>
        <v>146.24306606152294</v>
      </c>
      <c r="T60" s="66">
        <f t="shared" si="8"/>
        <v>52.10959825180703</v>
      </c>
      <c r="U60" s="25">
        <f t="shared" si="0"/>
        <v>0.2909779078910543</v>
      </c>
      <c r="V60" s="66">
        <v>30</v>
      </c>
      <c r="W60" s="66"/>
      <c r="X60" s="66">
        <f>+M60*Notes!$F86</f>
        <v>1.9959215311475413</v>
      </c>
      <c r="Y60" s="66">
        <f>+N60*Notes!$F86</f>
        <v>2.149201575774972</v>
      </c>
      <c r="Z60" s="66">
        <f>+O60*Notes!$F86</f>
        <v>0.761168116385655</v>
      </c>
      <c r="AA60" s="66">
        <f>+P60*Notes!$F86</f>
        <v>1.188661372448761</v>
      </c>
      <c r="AB60" s="66">
        <f>+Q60*Notes!$F86</f>
        <v>0.8308322868173618</v>
      </c>
      <c r="AC60" s="66">
        <f>+R60*Notes!$F86</f>
        <v>0.8976414810150466</v>
      </c>
      <c r="AD60" s="66">
        <f>+S60*Notes!$F86</f>
        <v>37.85616946108513</v>
      </c>
      <c r="AE60" s="66">
        <f>+T60*Notes!$F86</f>
        <v>13.488979922915393</v>
      </c>
      <c r="AF60" s="66">
        <f>+U60*Notes!$F86</f>
        <v>0.07532192320093826</v>
      </c>
      <c r="AG60" s="66">
        <f>+V60*Notes!$F86</f>
        <v>7.765736280137775</v>
      </c>
    </row>
    <row r="61" spans="1:33" ht="15">
      <c r="A61" s="11">
        <v>1650</v>
      </c>
      <c r="B61" s="66">
        <f>+(675.9+720.75)/2</f>
        <v>698.325</v>
      </c>
      <c r="C61" s="66">
        <v>5.45</v>
      </c>
      <c r="D61" s="66">
        <f>+(520+560)/2</f>
        <v>540</v>
      </c>
      <c r="E61" s="66">
        <f>+(640+823)/2</f>
        <v>731.5</v>
      </c>
      <c r="F61" s="66">
        <v>290</v>
      </c>
      <c r="G61" s="71">
        <v>340</v>
      </c>
      <c r="H61" s="66">
        <v>87</v>
      </c>
      <c r="I61" s="66">
        <v>29</v>
      </c>
      <c r="J61" s="65">
        <v>69</v>
      </c>
      <c r="K61" s="66"/>
      <c r="L61" s="65"/>
      <c r="M61" s="66">
        <f t="shared" si="2"/>
        <v>9.158360655737706</v>
      </c>
      <c r="N61" s="66">
        <f t="shared" si="3"/>
        <v>7.171052631578948</v>
      </c>
      <c r="O61" s="66">
        <f t="shared" si="4"/>
        <v>3.692704105671515</v>
      </c>
      <c r="P61" s="66">
        <f t="shared" si="5"/>
        <v>5.002246394997617</v>
      </c>
      <c r="Q61" s="66">
        <f t="shared" si="6"/>
        <v>3.838293997437608</v>
      </c>
      <c r="R61" s="66">
        <f t="shared" si="6"/>
        <v>4.500068824582023</v>
      </c>
      <c r="S61" s="66">
        <f t="shared" si="7"/>
        <v>146.24306606152294</v>
      </c>
      <c r="T61" s="66">
        <f t="shared" si="8"/>
        <v>48.74768868717432</v>
      </c>
      <c r="U61" s="25">
        <f t="shared" si="0"/>
        <v>0.30652634571729387</v>
      </c>
      <c r="V61" s="66"/>
      <c r="W61" s="66"/>
      <c r="X61" s="66">
        <f>+M61*Notes!$F87</f>
        <v>2.3707351540983606</v>
      </c>
      <c r="Y61" s="66">
        <f>+N61*Notes!$F87</f>
        <v>1.856300183474743</v>
      </c>
      <c r="Z61" s="66">
        <f>+O61*Notes!$F87</f>
        <v>0.9558941568340802</v>
      </c>
      <c r="AA61" s="66">
        <f>+P61*Notes!$F87</f>
        <v>1.2948825476372772</v>
      </c>
      <c r="AB61" s="66">
        <f>+Q61*Notes!$F87</f>
        <v>0.9935815866553782</v>
      </c>
      <c r="AC61" s="66">
        <f>+R61*Notes!$F87</f>
        <v>1.1648887567683743</v>
      </c>
      <c r="AD61" s="66">
        <f>+S61*Notes!$F87</f>
        <v>37.856510655973324</v>
      </c>
      <c r="AE61" s="66">
        <f>+T61*Notes!$F87</f>
        <v>12.618836885324443</v>
      </c>
      <c r="AF61" s="66">
        <f>+U61*Notes!$F87</f>
        <v>0.07934747393836511</v>
      </c>
      <c r="AG61" s="66">
        <f>+V61*Notes!$F87</f>
        <v>0</v>
      </c>
    </row>
    <row r="62" spans="1:33" ht="15">
      <c r="A62" s="11">
        <v>1651</v>
      </c>
      <c r="B62" s="66">
        <f>+(370.35+307.4)/2</f>
        <v>338.875</v>
      </c>
      <c r="C62" s="66">
        <v>3.07</v>
      </c>
      <c r="D62" s="66">
        <f>+(280+210)/2</f>
        <v>245</v>
      </c>
      <c r="E62" s="66">
        <f>+(440+390)/2</f>
        <v>415</v>
      </c>
      <c r="F62" s="66">
        <v>360</v>
      </c>
      <c r="G62" s="71">
        <v>260</v>
      </c>
      <c r="H62" s="66">
        <v>85</v>
      </c>
      <c r="I62" s="66">
        <v>28</v>
      </c>
      <c r="J62" s="65">
        <v>67.5</v>
      </c>
      <c r="K62" s="66">
        <v>30</v>
      </c>
      <c r="L62" s="65"/>
      <c r="M62" s="66">
        <f t="shared" si="2"/>
        <v>4.444262295081967</v>
      </c>
      <c r="N62" s="66">
        <f t="shared" si="3"/>
        <v>4.039473684210526</v>
      </c>
      <c r="O62" s="66">
        <f t="shared" si="4"/>
        <v>1.6753935294250393</v>
      </c>
      <c r="P62" s="66">
        <f t="shared" si="5"/>
        <v>2.8379114886179235</v>
      </c>
      <c r="Q62" s="66">
        <f t="shared" si="6"/>
        <v>4.764778755439789</v>
      </c>
      <c r="R62" s="66">
        <f t="shared" si="6"/>
        <v>3.4412291011509586</v>
      </c>
      <c r="S62" s="66">
        <f t="shared" si="7"/>
        <v>142.88115649689024</v>
      </c>
      <c r="T62" s="66">
        <f t="shared" si="8"/>
        <v>47.06673390485796</v>
      </c>
      <c r="U62" s="25">
        <f t="shared" si="0"/>
        <v>0.2998627295060483</v>
      </c>
      <c r="V62" s="66">
        <v>30</v>
      </c>
      <c r="W62" s="66"/>
      <c r="X62" s="66">
        <f>+M62*Notes!$F88</f>
        <v>1.1504334918032786</v>
      </c>
      <c r="Y62" s="66">
        <f>+N62*Notes!$F88</f>
        <v>1.0456506630394684</v>
      </c>
      <c r="Z62" s="66">
        <f>+O62*Notes!$F88</f>
        <v>0.43368926049526035</v>
      </c>
      <c r="AA62" s="66">
        <f>+P62*Notes!$F88</f>
        <v>0.7346165024715634</v>
      </c>
      <c r="AB62" s="66">
        <f>+Q62*Notes!$F88</f>
        <v>1.2334017880440105</v>
      </c>
      <c r="AC62" s="66">
        <f>+R62*Notes!$F88</f>
        <v>0.8907901802540076</v>
      </c>
      <c r="AD62" s="66">
        <f>+S62*Notes!$F88</f>
        <v>36.98595106852857</v>
      </c>
      <c r="AE62" s="66">
        <f>+T62*Notes!$F88</f>
        <v>12.183607410809412</v>
      </c>
      <c r="AF62" s="66">
        <f>+U62*Notes!$F88</f>
        <v>0.07762190979345486</v>
      </c>
      <c r="AG62" s="66">
        <f>+V62*Notes!$F88</f>
        <v>7.765744337882699</v>
      </c>
    </row>
    <row r="63" spans="1:33" ht="15">
      <c r="A63" s="11">
        <v>1652</v>
      </c>
      <c r="B63" s="66">
        <f>+(307.4+333.35)/2</f>
        <v>320.375</v>
      </c>
      <c r="C63" s="66">
        <v>3.33</v>
      </c>
      <c r="D63" s="66">
        <f>+(195+185)/2</f>
        <v>190</v>
      </c>
      <c r="E63" s="66">
        <f>+(360+360)/2</f>
        <v>360</v>
      </c>
      <c r="F63" s="66">
        <v>160</v>
      </c>
      <c r="G63" s="71">
        <v>180</v>
      </c>
      <c r="H63" s="66">
        <v>75</v>
      </c>
      <c r="I63" s="66">
        <v>31</v>
      </c>
      <c r="J63" s="65">
        <v>75</v>
      </c>
      <c r="K63" s="66">
        <v>35</v>
      </c>
      <c r="L63" s="65"/>
      <c r="M63" s="66">
        <f t="shared" si="2"/>
        <v>4.201639344262295</v>
      </c>
      <c r="N63" s="66">
        <f t="shared" si="3"/>
        <v>4.381578947368421</v>
      </c>
      <c r="O63" s="66">
        <f t="shared" si="4"/>
        <v>1.299284777921459</v>
      </c>
      <c r="P63" s="66">
        <f t="shared" si="5"/>
        <v>2.4618027371143434</v>
      </c>
      <c r="Q63" s="66">
        <f t="shared" si="6"/>
        <v>2.1176794468621285</v>
      </c>
      <c r="R63" s="66">
        <f t="shared" si="6"/>
        <v>2.3823893777198943</v>
      </c>
      <c r="S63" s="66">
        <f t="shared" si="7"/>
        <v>126.07160867372669</v>
      </c>
      <c r="T63" s="66">
        <f t="shared" si="8"/>
        <v>52.10959825180703</v>
      </c>
      <c r="U63" s="25">
        <f t="shared" si="0"/>
        <v>0.33318081056227594</v>
      </c>
      <c r="V63" s="66">
        <v>35</v>
      </c>
      <c r="W63" s="66"/>
      <c r="X63" s="66">
        <f>+M63*Notes!$F89</f>
        <v>1.0876353147540982</v>
      </c>
      <c r="Y63" s="66">
        <f>+N63*Notes!$F89</f>
        <v>1.1342144356223174</v>
      </c>
      <c r="Z63" s="66">
        <f>+O63*Notes!$F89</f>
        <v>0.3363325341856367</v>
      </c>
      <c r="AA63" s="66">
        <f>+P63*Notes!$F89</f>
        <v>0.6372616437201538</v>
      </c>
      <c r="AB63" s="66">
        <f>+Q63*Notes!$F89</f>
        <v>0.5481819744670571</v>
      </c>
      <c r="AC63" s="66">
        <f>+R63*Notes!$F89</f>
        <v>0.6167047212754391</v>
      </c>
      <c r="AD63" s="66">
        <f>+S63*Notes!$F89</f>
        <v>32.63486523864868</v>
      </c>
      <c r="AE63" s="66">
        <f>+T63*Notes!$F89</f>
        <v>13.489077631974789</v>
      </c>
      <c r="AF63" s="66">
        <f>+U63*Notes!$F89</f>
        <v>0.08624710168443823</v>
      </c>
      <c r="AG63" s="66">
        <f>+V63*Notes!$F89</f>
        <v>9.060091287553647</v>
      </c>
    </row>
    <row r="64" spans="1:33" ht="15">
      <c r="A64" s="11">
        <v>1653</v>
      </c>
      <c r="B64" s="66">
        <f>+(333.35+333.35)/2</f>
        <v>333.35</v>
      </c>
      <c r="C64" s="66">
        <v>3.33</v>
      </c>
      <c r="D64" s="66">
        <f>+(180+200)/2</f>
        <v>190</v>
      </c>
      <c r="E64" s="66">
        <f>+(400+380)/2</f>
        <v>390</v>
      </c>
      <c r="F64" s="66">
        <v>210</v>
      </c>
      <c r="G64" s="71">
        <v>220</v>
      </c>
      <c r="H64" s="66">
        <v>75</v>
      </c>
      <c r="I64" s="66">
        <v>31</v>
      </c>
      <c r="J64" s="65">
        <v>65</v>
      </c>
      <c r="K64" s="66">
        <v>35</v>
      </c>
      <c r="L64" s="65"/>
      <c r="M64" s="66">
        <f t="shared" si="2"/>
        <v>4.371803278688525</v>
      </c>
      <c r="N64" s="66">
        <f t="shared" si="3"/>
        <v>4.381578947368421</v>
      </c>
      <c r="O64" s="66">
        <f t="shared" si="4"/>
        <v>1.299284777921459</v>
      </c>
      <c r="P64" s="66">
        <f t="shared" si="5"/>
        <v>2.6669529652072055</v>
      </c>
      <c r="Q64" s="66">
        <f t="shared" si="6"/>
        <v>2.7794542740065435</v>
      </c>
      <c r="R64" s="66">
        <f t="shared" si="6"/>
        <v>2.9118092394354265</v>
      </c>
      <c r="S64" s="66">
        <f t="shared" si="7"/>
        <v>126.07160867372669</v>
      </c>
      <c r="T64" s="66">
        <f t="shared" si="8"/>
        <v>52.10959825180703</v>
      </c>
      <c r="U64" s="25">
        <f t="shared" si="0"/>
        <v>0.2887567024873058</v>
      </c>
      <c r="V64" s="66">
        <v>35</v>
      </c>
      <c r="W64" s="66"/>
      <c r="X64" s="66">
        <f>+M64*Notes!$F90</f>
        <v>1.1316148327868851</v>
      </c>
      <c r="Y64" s="66">
        <f>+N64*Notes!$F90</f>
        <v>1.1341452054897254</v>
      </c>
      <c r="Z64" s="66">
        <f>+O64*Notes!$F90</f>
        <v>0.3363120051346871</v>
      </c>
      <c r="AA64" s="66">
        <f>+P64*Notes!$F90</f>
        <v>0.6903246421185684</v>
      </c>
      <c r="AB64" s="66">
        <f>+Q64*Notes!$F90</f>
        <v>0.7194449253586366</v>
      </c>
      <c r="AC64" s="66">
        <f>+R64*Notes!$F90</f>
        <v>0.7537042075185716</v>
      </c>
      <c r="AD64" s="66">
        <f>+S64*Notes!$F90</f>
        <v>32.632873273129086</v>
      </c>
      <c r="AE64" s="66">
        <f>+T64*Notes!$F90</f>
        <v>13.488254286226686</v>
      </c>
      <c r="AF64" s="66">
        <f>+U64*Notes!$F90</f>
        <v>0.07474292569250472</v>
      </c>
      <c r="AG64" s="66">
        <f>+V64*Notes!$F90</f>
        <v>9.059538278086094</v>
      </c>
    </row>
    <row r="65" spans="1:33" ht="15">
      <c r="A65" s="11">
        <v>1654</v>
      </c>
      <c r="B65" s="66">
        <f>+(333.35+333.35)/2</f>
        <v>333.35</v>
      </c>
      <c r="C65" s="66">
        <v>3.33</v>
      </c>
      <c r="D65" s="66">
        <f>+(200+180)/2</f>
        <v>190</v>
      </c>
      <c r="E65" s="66">
        <f>+(380+397)/2</f>
        <v>388.5</v>
      </c>
      <c r="F65" s="66">
        <v>200</v>
      </c>
      <c r="G65" s="71">
        <v>200</v>
      </c>
      <c r="H65" s="66">
        <v>77.5</v>
      </c>
      <c r="I65" s="66">
        <v>29.5</v>
      </c>
      <c r="J65" s="65">
        <v>64.5</v>
      </c>
      <c r="K65" s="66">
        <v>35</v>
      </c>
      <c r="L65" s="65"/>
      <c r="M65" s="66">
        <f t="shared" si="2"/>
        <v>4.371803278688525</v>
      </c>
      <c r="N65" s="66">
        <f t="shared" si="3"/>
        <v>4.381578947368421</v>
      </c>
      <c r="O65" s="66">
        <f t="shared" si="4"/>
        <v>1.299284777921459</v>
      </c>
      <c r="P65" s="66">
        <f t="shared" si="5"/>
        <v>2.6566954538025622</v>
      </c>
      <c r="Q65" s="66">
        <f t="shared" si="6"/>
        <v>2.6470993085776606</v>
      </c>
      <c r="R65" s="66">
        <f t="shared" si="6"/>
        <v>2.6470993085776606</v>
      </c>
      <c r="S65" s="66">
        <f t="shared" si="7"/>
        <v>130.27399562951757</v>
      </c>
      <c r="T65" s="66">
        <f t="shared" si="8"/>
        <v>49.58816607833249</v>
      </c>
      <c r="U65" s="25">
        <f t="shared" si="0"/>
        <v>0.2865354970835573</v>
      </c>
      <c r="V65" s="66">
        <v>35</v>
      </c>
      <c r="W65" s="66"/>
      <c r="X65" s="66">
        <f>+M65*Notes!$F91</f>
        <v>1.1316148327868851</v>
      </c>
      <c r="Y65" s="66">
        <f>+N65*Notes!$F91</f>
        <v>1.1341452054897254</v>
      </c>
      <c r="Z65" s="66">
        <f>+O65*Notes!$F91</f>
        <v>0.3363120051346871</v>
      </c>
      <c r="AA65" s="66">
        <f>+P65*Notes!$F91</f>
        <v>0.6876695473411892</v>
      </c>
      <c r="AB65" s="66">
        <f>+Q65*Notes!$F91</f>
        <v>0.6851856431987016</v>
      </c>
      <c r="AC65" s="66">
        <f>+R65*Notes!$F91</f>
        <v>0.6851856431987016</v>
      </c>
      <c r="AD65" s="66">
        <f>+S65*Notes!$F91</f>
        <v>33.720635715566715</v>
      </c>
      <c r="AE65" s="66">
        <f>+T65*Notes!$F91</f>
        <v>12.835596820764104</v>
      </c>
      <c r="AF65" s="66">
        <f>+U65*Notes!$F91</f>
        <v>0.07416798011025469</v>
      </c>
      <c r="AG65" s="66">
        <f>+V65*Notes!$F91</f>
        <v>9.059538278086094</v>
      </c>
    </row>
    <row r="66" spans="1:33" ht="15">
      <c r="A66" s="11">
        <v>1655</v>
      </c>
      <c r="B66" s="66">
        <f>+(333.35+333.35)/2</f>
        <v>333.35</v>
      </c>
      <c r="C66" s="66">
        <v>3.33</v>
      </c>
      <c r="D66" s="66">
        <f>+(190*2)/2</f>
        <v>190</v>
      </c>
      <c r="E66" s="66">
        <f>+(380+360)/2</f>
        <v>370</v>
      </c>
      <c r="F66" s="66">
        <v>200</v>
      </c>
      <c r="G66" s="71">
        <v>200</v>
      </c>
      <c r="H66" s="66">
        <v>71.2</v>
      </c>
      <c r="I66" s="66">
        <v>29.75</v>
      </c>
      <c r="J66" s="65">
        <v>60</v>
      </c>
      <c r="K66" s="66">
        <v>35</v>
      </c>
      <c r="L66" s="65"/>
      <c r="M66" s="66">
        <f t="shared" si="2"/>
        <v>4.371803278688525</v>
      </c>
      <c r="N66" s="66">
        <f t="shared" si="3"/>
        <v>4.381578947368421</v>
      </c>
      <c r="O66" s="66">
        <f t="shared" si="4"/>
        <v>1.299284777921459</v>
      </c>
      <c r="P66" s="66">
        <f t="shared" si="5"/>
        <v>2.5301861464786306</v>
      </c>
      <c r="Q66" s="66">
        <f t="shared" si="6"/>
        <v>2.6470993085776606</v>
      </c>
      <c r="R66" s="66">
        <f t="shared" si="6"/>
        <v>2.6470993085776606</v>
      </c>
      <c r="S66" s="66">
        <f t="shared" si="7"/>
        <v>119.68398050092453</v>
      </c>
      <c r="T66" s="66">
        <f t="shared" si="8"/>
        <v>50.008404773911586</v>
      </c>
      <c r="U66" s="25">
        <f t="shared" si="0"/>
        <v>0.26654464844982073</v>
      </c>
      <c r="V66" s="66">
        <v>35</v>
      </c>
      <c r="W66" s="66"/>
      <c r="X66" s="66">
        <f>+M66*Notes!$F92</f>
        <v>1.1316148327868851</v>
      </c>
      <c r="Y66" s="66">
        <f>+N66*Notes!$F92</f>
        <v>1.1341452054897254</v>
      </c>
      <c r="Z66" s="66">
        <f>+O66*Notes!$F92</f>
        <v>0.3363120051346871</v>
      </c>
      <c r="AA66" s="66">
        <f>+P66*Notes!$F92</f>
        <v>0.6549233784201802</v>
      </c>
      <c r="AB66" s="66">
        <f>+Q66*Notes!$F92</f>
        <v>0.6851856431987016</v>
      </c>
      <c r="AC66" s="66">
        <f>+R66*Notes!$F92</f>
        <v>0.6851856431987016</v>
      </c>
      <c r="AD66" s="66">
        <f>+S66*Notes!$F92</f>
        <v>30.979474360623875</v>
      </c>
      <c r="AE66" s="66">
        <f>+T66*Notes!$F92</f>
        <v>12.94437306500787</v>
      </c>
      <c r="AF66" s="66">
        <f>+U66*Notes!$F92</f>
        <v>0.06899346987000436</v>
      </c>
      <c r="AG66" s="66">
        <f>+V66*Notes!$F92</f>
        <v>9.059538278086094</v>
      </c>
    </row>
    <row r="67" spans="1:33" ht="15">
      <c r="A67" s="11">
        <v>1656</v>
      </c>
      <c r="B67" s="66">
        <f aca="true" t="shared" si="9" ref="B67:B76">+(333.35+333.35)/2</f>
        <v>333.35</v>
      </c>
      <c r="C67" s="66">
        <v>3.33</v>
      </c>
      <c r="D67" s="66">
        <v>160.7</v>
      </c>
      <c r="E67" s="66">
        <f>+(360+320)/2</f>
        <v>340</v>
      </c>
      <c r="F67" s="66">
        <v>220</v>
      </c>
      <c r="G67" s="71">
        <v>240</v>
      </c>
      <c r="H67" s="66">
        <v>70</v>
      </c>
      <c r="I67" s="66">
        <v>29</v>
      </c>
      <c r="J67" s="65">
        <v>61.5</v>
      </c>
      <c r="K67" s="66">
        <v>35</v>
      </c>
      <c r="L67" s="65"/>
      <c r="M67" s="66">
        <f t="shared" si="2"/>
        <v>4.371803278688525</v>
      </c>
      <c r="N67" s="66">
        <f t="shared" si="3"/>
        <v>4.381578947368421</v>
      </c>
      <c r="O67" s="66">
        <f t="shared" si="4"/>
        <v>1.0989213884840972</v>
      </c>
      <c r="P67" s="66">
        <f t="shared" si="5"/>
        <v>2.325035918385769</v>
      </c>
      <c r="Q67" s="66">
        <f t="shared" si="6"/>
        <v>2.9118092394354265</v>
      </c>
      <c r="R67" s="66">
        <f t="shared" si="6"/>
        <v>3.1765191702931928</v>
      </c>
      <c r="S67" s="66">
        <f t="shared" si="7"/>
        <v>117.6668347621449</v>
      </c>
      <c r="T67" s="66">
        <f t="shared" si="8"/>
        <v>48.74768868717432</v>
      </c>
      <c r="U67" s="25">
        <f t="shared" si="0"/>
        <v>0.27320826466106624</v>
      </c>
      <c r="V67" s="66">
        <v>35</v>
      </c>
      <c r="W67" s="66"/>
      <c r="X67" s="66">
        <f>+M67*Notes!$F93</f>
        <v>1.1316148327868851</v>
      </c>
      <c r="Y67" s="66">
        <f>+N67*Notes!$F93</f>
        <v>1.1341452054897254</v>
      </c>
      <c r="Z67" s="66">
        <f>+O67*Notes!$F93</f>
        <v>0.2844491538165485</v>
      </c>
      <c r="AA67" s="66">
        <f>+P67*Notes!$F93</f>
        <v>0.6018214828725981</v>
      </c>
      <c r="AB67" s="66">
        <f>+Q67*Notes!$F93</f>
        <v>0.7537042075185716</v>
      </c>
      <c r="AC67" s="66">
        <f>+R67*Notes!$F93</f>
        <v>0.8222227718384418</v>
      </c>
      <c r="AD67" s="66">
        <f>+S67*Notes!$F93</f>
        <v>30.45734838825381</v>
      </c>
      <c r="AE67" s="66">
        <f>+T67*Notes!$F93</f>
        <v>12.618044332276579</v>
      </c>
      <c r="AF67" s="66">
        <f>+U67*Notes!$F93</f>
        <v>0.07071830661675446</v>
      </c>
      <c r="AG67" s="66">
        <f>+V67*Notes!$F93</f>
        <v>9.059538278086094</v>
      </c>
    </row>
    <row r="68" spans="1:33" ht="15">
      <c r="A68" s="11">
        <v>1657</v>
      </c>
      <c r="B68" s="66">
        <f t="shared" si="9"/>
        <v>333.35</v>
      </c>
      <c r="C68" s="66">
        <v>3.33</v>
      </c>
      <c r="D68" s="66">
        <v>260</v>
      </c>
      <c r="E68" s="66">
        <f>+(360+340)/2</f>
        <v>350</v>
      </c>
      <c r="F68" s="66">
        <v>240</v>
      </c>
      <c r="G68" s="71">
        <v>220</v>
      </c>
      <c r="H68" s="66">
        <v>70</v>
      </c>
      <c r="I68" s="66">
        <v>29</v>
      </c>
      <c r="J68" s="65"/>
      <c r="K68" s="66">
        <v>35</v>
      </c>
      <c r="L68" s="65"/>
      <c r="M68" s="66">
        <f t="shared" si="2"/>
        <v>4.371803278688525</v>
      </c>
      <c r="N68" s="66">
        <f t="shared" si="3"/>
        <v>4.381578947368421</v>
      </c>
      <c r="O68" s="66">
        <f t="shared" si="4"/>
        <v>1.7779686434714703</v>
      </c>
      <c r="P68" s="66">
        <f t="shared" si="5"/>
        <v>2.393419327750056</v>
      </c>
      <c r="Q68" s="66">
        <f t="shared" si="6"/>
        <v>3.1765191702931928</v>
      </c>
      <c r="R68" s="66">
        <f t="shared" si="6"/>
        <v>2.9118092394354265</v>
      </c>
      <c r="S68" s="66">
        <f t="shared" si="7"/>
        <v>117.6668347621449</v>
      </c>
      <c r="T68" s="66">
        <f t="shared" si="8"/>
        <v>48.74768868717432</v>
      </c>
      <c r="U68" s="25">
        <f t="shared" si="0"/>
        <v>0</v>
      </c>
      <c r="V68" s="66">
        <v>35</v>
      </c>
      <c r="W68" s="66"/>
      <c r="X68" s="66">
        <f>+M68*Notes!$F94</f>
        <v>1.1300552754098359</v>
      </c>
      <c r="Y68" s="66">
        <f>+N68*Notes!$F94</f>
        <v>1.1325821608294584</v>
      </c>
      <c r="Z68" s="66">
        <f>+O68*Notes!$F94</f>
        <v>0.4595821717007668</v>
      </c>
      <c r="AA68" s="66">
        <f>+P68*Notes!$F94</f>
        <v>0.6186683080587245</v>
      </c>
      <c r="AB68" s="66">
        <f>+Q68*Notes!$F94</f>
        <v>0.821089609253218</v>
      </c>
      <c r="AC68" s="66">
        <f>+R68*Notes!$F94</f>
        <v>0.752665475148783</v>
      </c>
      <c r="AD68" s="66">
        <f>+S68*Notes!$F94</f>
        <v>30.415372990805828</v>
      </c>
      <c r="AE68" s="66">
        <f>+T68*Notes!$F94</f>
        <v>12.600654524762415</v>
      </c>
      <c r="AF68" s="66">
        <f>+U68*Notes!$F94</f>
        <v>0</v>
      </c>
      <c r="AG68" s="66">
        <f>+V68*Notes!$F94</f>
        <v>9.047052696115193</v>
      </c>
    </row>
    <row r="69" spans="1:33" ht="15">
      <c r="A69" s="11">
        <v>1658</v>
      </c>
      <c r="B69" s="66">
        <f t="shared" si="9"/>
        <v>333.35</v>
      </c>
      <c r="C69" s="66">
        <v>3.33</v>
      </c>
      <c r="D69" s="66">
        <v>240</v>
      </c>
      <c r="E69" s="66">
        <f>+(360+340)/2</f>
        <v>350</v>
      </c>
      <c r="F69" s="66">
        <v>220</v>
      </c>
      <c r="G69" s="71">
        <v>240</v>
      </c>
      <c r="H69" s="66">
        <v>60</v>
      </c>
      <c r="I69" s="66">
        <v>30</v>
      </c>
      <c r="J69" s="65">
        <v>70</v>
      </c>
      <c r="K69" s="66">
        <v>26</v>
      </c>
      <c r="L69" s="65"/>
      <c r="M69" s="66">
        <f t="shared" si="2"/>
        <v>4.371803278688525</v>
      </c>
      <c r="N69" s="66">
        <f t="shared" si="3"/>
        <v>4.381578947368421</v>
      </c>
      <c r="O69" s="66">
        <f t="shared" si="4"/>
        <v>1.6412018247428957</v>
      </c>
      <c r="P69" s="66">
        <f t="shared" si="5"/>
        <v>2.393419327750056</v>
      </c>
      <c r="Q69" s="66">
        <f t="shared" si="6"/>
        <v>2.9118092394354265</v>
      </c>
      <c r="R69" s="66">
        <f t="shared" si="6"/>
        <v>3.1765191702931928</v>
      </c>
      <c r="S69" s="66">
        <f t="shared" si="7"/>
        <v>100.85728693898135</v>
      </c>
      <c r="T69" s="66">
        <f t="shared" si="8"/>
        <v>50.42864346949067</v>
      </c>
      <c r="U69" s="25">
        <f t="shared" si="0"/>
        <v>0.31096875652479083</v>
      </c>
      <c r="V69" s="66">
        <v>26</v>
      </c>
      <c r="W69" s="66"/>
      <c r="X69" s="66">
        <f>+M69*Notes!$F95</f>
        <v>1.1012554491803277</v>
      </c>
      <c r="Y69" s="66">
        <f>+N69*Notes!$F95</f>
        <v>1.1037179361031948</v>
      </c>
      <c r="Z69" s="66">
        <f>+O69*Notes!$F95</f>
        <v>0.4134180651525104</v>
      </c>
      <c r="AA69" s="66">
        <f>+P69*Notes!$F95</f>
        <v>0.6029013450140777</v>
      </c>
      <c r="AB69" s="66">
        <f>+Q69*Notes!$F95</f>
        <v>0.7334835507200211</v>
      </c>
      <c r="AC69" s="66">
        <f>+R69*Notes!$F95</f>
        <v>0.8001638735127503</v>
      </c>
      <c r="AD69" s="66">
        <f>+S69*Notes!$F95</f>
        <v>25.40590912965698</v>
      </c>
      <c r="AE69" s="66">
        <f>+T69*Notes!$F95</f>
        <v>12.70295456482849</v>
      </c>
      <c r="AF69" s="66">
        <f>+U69*Notes!$F95</f>
        <v>0.07833290196682595</v>
      </c>
      <c r="AG69" s="66">
        <f>+V69*Notes!$F95</f>
        <v>6.549389314534272</v>
      </c>
    </row>
    <row r="70" spans="1:33" ht="15">
      <c r="A70" s="11">
        <v>1659</v>
      </c>
      <c r="B70" s="66">
        <f t="shared" si="9"/>
        <v>333.35</v>
      </c>
      <c r="C70" s="66">
        <v>3.33</v>
      </c>
      <c r="D70" s="66">
        <v>240</v>
      </c>
      <c r="E70" s="66">
        <f>+(360+360)/2</f>
        <v>360</v>
      </c>
      <c r="F70" s="66">
        <v>240</v>
      </c>
      <c r="G70" s="71">
        <v>240</v>
      </c>
      <c r="H70" s="66">
        <v>82.5</v>
      </c>
      <c r="I70" s="66">
        <v>31</v>
      </c>
      <c r="J70" s="65"/>
      <c r="K70" s="66"/>
      <c r="L70" s="65"/>
      <c r="M70" s="66">
        <f t="shared" si="2"/>
        <v>4.371803278688525</v>
      </c>
      <c r="N70" s="66">
        <f t="shared" si="3"/>
        <v>4.381578947368421</v>
      </c>
      <c r="O70" s="66">
        <f t="shared" si="4"/>
        <v>1.6412018247428957</v>
      </c>
      <c r="P70" s="66">
        <f t="shared" si="5"/>
        <v>2.4618027371143434</v>
      </c>
      <c r="Q70" s="66">
        <f t="shared" si="6"/>
        <v>3.1765191702931928</v>
      </c>
      <c r="R70" s="66">
        <f t="shared" si="6"/>
        <v>3.1765191702931928</v>
      </c>
      <c r="S70" s="66">
        <f t="shared" si="7"/>
        <v>138.67876954109934</v>
      </c>
      <c r="T70" s="66">
        <f t="shared" si="8"/>
        <v>52.10959825180703</v>
      </c>
      <c r="U70" s="25">
        <f t="shared" si="0"/>
        <v>0</v>
      </c>
      <c r="V70" s="66"/>
      <c r="W70" s="66"/>
      <c r="X70" s="66">
        <f>+M70*Notes!$F96</f>
        <v>1.0023795114754097</v>
      </c>
      <c r="Y70" s="66">
        <f>+N70*Notes!$F96</f>
        <v>1.0046209046422678</v>
      </c>
      <c r="Z70" s="66">
        <f>+O70*Notes!$F96</f>
        <v>0.3762994303375522</v>
      </c>
      <c r="AA70" s="66">
        <f>+P70*Notes!$F96</f>
        <v>0.5644491455063283</v>
      </c>
      <c r="AB70" s="66">
        <f>+Q70*Notes!$F96</f>
        <v>0.7283213656095568</v>
      </c>
      <c r="AC70" s="66">
        <f>+R70*Notes!$F96</f>
        <v>0.7283213656095568</v>
      </c>
      <c r="AD70" s="66">
        <f>+S70*Notes!$F96</f>
        <v>31.79666339111183</v>
      </c>
      <c r="AE70" s="66">
        <f>+T70*Notes!$F96</f>
        <v>11.94783715302384</v>
      </c>
      <c r="AF70" s="66">
        <f>+U70*Notes!$F96</f>
        <v>0</v>
      </c>
      <c r="AG70" s="66">
        <f>+V70*Notes!$F96</f>
        <v>0</v>
      </c>
    </row>
    <row r="71" spans="1:33" ht="15">
      <c r="A71" s="11">
        <v>1660</v>
      </c>
      <c r="B71" s="66">
        <f t="shared" si="9"/>
        <v>333.35</v>
      </c>
      <c r="C71" s="66">
        <v>4.17</v>
      </c>
      <c r="D71" s="66">
        <v>240</v>
      </c>
      <c r="E71" s="66">
        <f>+(365*2)/2</f>
        <v>365</v>
      </c>
      <c r="F71" s="66">
        <v>230</v>
      </c>
      <c r="G71" s="71">
        <v>210</v>
      </c>
      <c r="H71" s="66">
        <v>82.7</v>
      </c>
      <c r="I71" s="66">
        <v>31</v>
      </c>
      <c r="J71" s="65">
        <v>60</v>
      </c>
      <c r="K71" s="66"/>
      <c r="L71" s="65"/>
      <c r="M71" s="66">
        <f t="shared" si="2"/>
        <v>4.371803278688525</v>
      </c>
      <c r="N71" s="66">
        <f t="shared" si="3"/>
        <v>5.4868421052631575</v>
      </c>
      <c r="O71" s="66">
        <f t="shared" si="4"/>
        <v>1.6412018247428957</v>
      </c>
      <c r="P71" s="66">
        <f t="shared" si="5"/>
        <v>2.495994441796487</v>
      </c>
      <c r="Q71" s="66">
        <f t="shared" si="6"/>
        <v>3.04416420486431</v>
      </c>
      <c r="R71" s="66">
        <f t="shared" si="6"/>
        <v>2.7794542740065435</v>
      </c>
      <c r="S71" s="66">
        <f t="shared" si="7"/>
        <v>139.0149604975626</v>
      </c>
      <c r="T71" s="66">
        <f t="shared" si="8"/>
        <v>52.10959825180703</v>
      </c>
      <c r="U71" s="25">
        <f t="shared" si="0"/>
        <v>0.26654464844982073</v>
      </c>
      <c r="V71" s="66"/>
      <c r="W71" s="66"/>
      <c r="X71" s="66">
        <f>+M71*Notes!$F97</f>
        <v>0.990214963934426</v>
      </c>
      <c r="Y71" s="66">
        <f>+N71*Notes!$F97</f>
        <v>1.2427716461676912</v>
      </c>
      <c r="Z71" s="66">
        <f>+O71*Notes!$F97</f>
        <v>0.3717327844139453</v>
      </c>
      <c r="AA71" s="66">
        <f>+P71*Notes!$F97</f>
        <v>0.5653436096295418</v>
      </c>
      <c r="AB71" s="66">
        <f>+Q71*Notes!$F97</f>
        <v>0.6895042517179435</v>
      </c>
      <c r="AC71" s="66">
        <f>+R71*Notes!$F97</f>
        <v>0.6295473602642092</v>
      </c>
      <c r="AD71" s="66">
        <f>+S71*Notes!$F97</f>
        <v>31.486936927485438</v>
      </c>
      <c r="AE71" s="66">
        <f>+T71*Notes!$F97</f>
        <v>11.80284213726782</v>
      </c>
      <c r="AF71" s="66">
        <f>+U71*Notes!$F97</f>
        <v>0.0603724556267844</v>
      </c>
      <c r="AG71" s="66">
        <f>+V71*Notes!$F97</f>
        <v>0</v>
      </c>
    </row>
    <row r="72" spans="1:33" ht="15">
      <c r="A72" s="11">
        <v>1661</v>
      </c>
      <c r="B72" s="66">
        <f>+(521.85+333.35)/2</f>
        <v>427.6</v>
      </c>
      <c r="C72" s="66">
        <v>3.33</v>
      </c>
      <c r="D72" s="66">
        <v>200</v>
      </c>
      <c r="E72" s="66">
        <f>+(360*2)/2</f>
        <v>360</v>
      </c>
      <c r="F72" s="66">
        <v>200</v>
      </c>
      <c r="G72" s="71">
        <v>200</v>
      </c>
      <c r="H72" s="66">
        <v>77.5</v>
      </c>
      <c r="I72" s="66">
        <v>31</v>
      </c>
      <c r="J72" s="65"/>
      <c r="K72" s="66">
        <v>26</v>
      </c>
      <c r="L72" s="65"/>
      <c r="M72" s="66">
        <f t="shared" si="2"/>
        <v>5.607868852459017</v>
      </c>
      <c r="N72" s="66">
        <f t="shared" si="3"/>
        <v>4.381578947368421</v>
      </c>
      <c r="O72" s="66">
        <f t="shared" si="4"/>
        <v>1.3676681872857464</v>
      </c>
      <c r="P72" s="66">
        <f t="shared" si="5"/>
        <v>2.4618027371143434</v>
      </c>
      <c r="Q72" s="66">
        <f t="shared" si="6"/>
        <v>2.6470993085776606</v>
      </c>
      <c r="R72" s="66">
        <f t="shared" si="6"/>
        <v>2.6470993085776606</v>
      </c>
      <c r="S72" s="66">
        <f t="shared" si="7"/>
        <v>130.27399562951757</v>
      </c>
      <c r="T72" s="66">
        <f t="shared" si="8"/>
        <v>52.10959825180703</v>
      </c>
      <c r="U72" s="25">
        <f t="shared" si="0"/>
        <v>0</v>
      </c>
      <c r="V72" s="66">
        <v>26</v>
      </c>
      <c r="W72" s="66"/>
      <c r="X72" s="66">
        <f>+M72*Notes!$F98</f>
        <v>1.270207498360656</v>
      </c>
      <c r="Y72" s="66">
        <f>+N72*Notes!$F98</f>
        <v>0.9924473235792798</v>
      </c>
      <c r="Z72" s="66">
        <f>+O72*Notes!$F98</f>
        <v>0.30978299109079904</v>
      </c>
      <c r="AA72" s="66">
        <f>+P72*Notes!$F98</f>
        <v>0.5576093839634382</v>
      </c>
      <c r="AB72" s="66">
        <f>+Q72*Notes!$F98</f>
        <v>0.5995798901727659</v>
      </c>
      <c r="AC72" s="66">
        <f>+R72*Notes!$F98</f>
        <v>0.5995798901727659</v>
      </c>
      <c r="AD72" s="66">
        <f>+S72*Notes!$F98</f>
        <v>29.50764549664116</v>
      </c>
      <c r="AE72" s="66">
        <f>+T72*Notes!$F98</f>
        <v>11.803058198656464</v>
      </c>
      <c r="AF72" s="66">
        <f>+U72*Notes!$F98</f>
        <v>0</v>
      </c>
      <c r="AG72" s="66">
        <f>+V72*Notes!$F98</f>
        <v>5.889116851029</v>
      </c>
    </row>
    <row r="73" spans="1:33" ht="15">
      <c r="A73" s="11">
        <v>1662</v>
      </c>
      <c r="B73" s="66">
        <f t="shared" si="9"/>
        <v>333.35</v>
      </c>
      <c r="C73" s="66">
        <v>3.33</v>
      </c>
      <c r="D73" s="66">
        <v>222</v>
      </c>
      <c r="E73" s="66">
        <f>+(300*2)/2</f>
        <v>300</v>
      </c>
      <c r="F73" s="66">
        <v>200</v>
      </c>
      <c r="G73" s="71">
        <v>200</v>
      </c>
      <c r="H73" s="66">
        <v>80</v>
      </c>
      <c r="I73" s="66">
        <v>30.5</v>
      </c>
      <c r="J73" s="65"/>
      <c r="K73" s="66"/>
      <c r="L73" s="65"/>
      <c r="M73" s="66">
        <f t="shared" si="2"/>
        <v>4.371803278688525</v>
      </c>
      <c r="N73" s="66">
        <f t="shared" si="3"/>
        <v>4.381578947368421</v>
      </c>
      <c r="O73" s="66">
        <f t="shared" si="4"/>
        <v>1.5181116878871783</v>
      </c>
      <c r="P73" s="66">
        <f t="shared" si="5"/>
        <v>2.0515022809286196</v>
      </c>
      <c r="Q73" s="66">
        <f t="shared" si="6"/>
        <v>2.6470993085776606</v>
      </c>
      <c r="R73" s="66">
        <f t="shared" si="6"/>
        <v>2.6470993085776606</v>
      </c>
      <c r="S73" s="66">
        <f t="shared" si="7"/>
        <v>134.47638258530847</v>
      </c>
      <c r="T73" s="66">
        <f t="shared" si="8"/>
        <v>51.26912086064885</v>
      </c>
      <c r="U73" s="25">
        <f t="shared" si="0"/>
        <v>0</v>
      </c>
      <c r="V73" s="66"/>
      <c r="W73" s="66"/>
      <c r="X73" s="66">
        <f>+M73*Notes!$F99</f>
        <v>0.990214963934426</v>
      </c>
      <c r="Y73" s="66">
        <f>+N73*Notes!$F99</f>
        <v>0.9924291562921852</v>
      </c>
      <c r="Z73" s="66">
        <f>+O73*Notes!$F99</f>
        <v>0.34385282558289937</v>
      </c>
      <c r="AA73" s="66">
        <f>+P73*Notes!$F99</f>
        <v>0.4646659805174317</v>
      </c>
      <c r="AB73" s="66">
        <f>+Q73*Notes!$F99</f>
        <v>0.5995689145373422</v>
      </c>
      <c r="AC73" s="66">
        <f>+R73*Notes!$F99</f>
        <v>0.5995689145373422</v>
      </c>
      <c r="AD73" s="66">
        <f>+S73*Notes!$F99</f>
        <v>30.45894745101373</v>
      </c>
      <c r="AE73" s="66">
        <f>+T73*Notes!$F99</f>
        <v>11.612473715698982</v>
      </c>
      <c r="AF73" s="66">
        <f>+U73*Notes!$F99</f>
        <v>0</v>
      </c>
      <c r="AG73" s="66">
        <f>+V73*Notes!$F99</f>
        <v>0</v>
      </c>
    </row>
    <row r="74" spans="1:33" ht="15">
      <c r="A74" s="11">
        <v>1663</v>
      </c>
      <c r="B74" s="66">
        <f t="shared" si="9"/>
        <v>333.35</v>
      </c>
      <c r="C74" s="66">
        <v>3.51</v>
      </c>
      <c r="D74" s="66">
        <v>200</v>
      </c>
      <c r="E74" s="66">
        <v>300</v>
      </c>
      <c r="F74" s="66">
        <v>200</v>
      </c>
      <c r="G74" s="71">
        <v>180</v>
      </c>
      <c r="H74" s="66">
        <v>80</v>
      </c>
      <c r="I74" s="66">
        <v>30.5</v>
      </c>
      <c r="J74" s="65">
        <v>55</v>
      </c>
      <c r="K74" s="66">
        <v>26.5</v>
      </c>
      <c r="L74" s="65"/>
      <c r="M74" s="66">
        <f t="shared" si="2"/>
        <v>4.371803278688525</v>
      </c>
      <c r="N74" s="66">
        <f t="shared" si="3"/>
        <v>4.618421052631579</v>
      </c>
      <c r="O74" s="66">
        <f t="shared" si="4"/>
        <v>1.3676681872857464</v>
      </c>
      <c r="P74" s="66">
        <f t="shared" si="5"/>
        <v>2.0515022809286196</v>
      </c>
      <c r="Q74" s="66">
        <f t="shared" si="6"/>
        <v>2.6470993085776606</v>
      </c>
      <c r="R74" s="66">
        <f t="shared" si="6"/>
        <v>2.3823893777198943</v>
      </c>
      <c r="S74" s="66">
        <f t="shared" si="7"/>
        <v>134.47638258530847</v>
      </c>
      <c r="T74" s="66">
        <f t="shared" si="8"/>
        <v>51.26912086064885</v>
      </c>
      <c r="U74" s="25">
        <f t="shared" si="0"/>
        <v>0.24433259441233568</v>
      </c>
      <c r="V74" s="66">
        <v>26.5</v>
      </c>
      <c r="W74" s="66"/>
      <c r="X74" s="66">
        <f>+M74*Notes!$F100</f>
        <v>0.990214963934426</v>
      </c>
      <c r="Y74" s="66">
        <f>+N74*Notes!$F100</f>
        <v>1.0460739755512223</v>
      </c>
      <c r="Z74" s="66">
        <f>+O74*Notes!$F100</f>
        <v>0.3097773203449544</v>
      </c>
      <c r="AA74" s="66">
        <f>+P74*Notes!$F100</f>
        <v>0.4646659805174317</v>
      </c>
      <c r="AB74" s="66">
        <f>+Q74*Notes!$F100</f>
        <v>0.5995689145373422</v>
      </c>
      <c r="AC74" s="66">
        <f>+R74*Notes!$F100</f>
        <v>0.5396120230836079</v>
      </c>
      <c r="AD74" s="66">
        <f>+S74*Notes!$F100</f>
        <v>30.45894745101373</v>
      </c>
      <c r="AE74" s="66">
        <f>+T74*Notes!$F100</f>
        <v>11.612473715698982</v>
      </c>
      <c r="AF74" s="66">
        <f>+U74*Notes!$F100</f>
        <v>0.0553414176578857</v>
      </c>
      <c r="AG74" s="66">
        <f>+V74*Notes!$F100</f>
        <v>6.002259221538922</v>
      </c>
    </row>
    <row r="75" spans="1:33" ht="15">
      <c r="A75" s="11">
        <v>1664</v>
      </c>
      <c r="B75" s="66">
        <v>370.35</v>
      </c>
      <c r="C75" s="66">
        <v>3.51</v>
      </c>
      <c r="D75" s="66">
        <v>240</v>
      </c>
      <c r="E75" s="66">
        <v>400</v>
      </c>
      <c r="F75" s="66">
        <v>170</v>
      </c>
      <c r="G75" s="71">
        <v>190</v>
      </c>
      <c r="H75" s="66">
        <v>80</v>
      </c>
      <c r="I75" s="66">
        <v>30.5</v>
      </c>
      <c r="J75" s="65">
        <v>55</v>
      </c>
      <c r="K75" s="66">
        <v>26.75</v>
      </c>
      <c r="L75" s="65"/>
      <c r="M75" s="66">
        <f t="shared" si="2"/>
        <v>4.857049180327869</v>
      </c>
      <c r="N75" s="66">
        <f t="shared" si="3"/>
        <v>4.618421052631579</v>
      </c>
      <c r="O75" s="66">
        <f t="shared" si="4"/>
        <v>1.6412018247428957</v>
      </c>
      <c r="P75" s="66">
        <f t="shared" si="5"/>
        <v>2.7353363745714927</v>
      </c>
      <c r="Q75" s="66">
        <f t="shared" si="6"/>
        <v>2.2500344122910114</v>
      </c>
      <c r="R75" s="66">
        <f t="shared" si="6"/>
        <v>2.5147443431487777</v>
      </c>
      <c r="S75" s="66">
        <f t="shared" si="7"/>
        <v>134.47638258530847</v>
      </c>
      <c r="T75" s="66">
        <f t="shared" si="8"/>
        <v>51.26912086064885</v>
      </c>
      <c r="U75" s="25">
        <f t="shared" si="0"/>
        <v>0.24433259441233568</v>
      </c>
      <c r="V75" s="66">
        <v>26.75</v>
      </c>
      <c r="W75" s="66"/>
      <c r="X75" s="66">
        <f>+M75*Notes!$F101</f>
        <v>1.1002157442622948</v>
      </c>
      <c r="Y75" s="66">
        <f>+N75*Notes!$F101</f>
        <v>1.0461618499392464</v>
      </c>
      <c r="Z75" s="66">
        <f>+O75*Notes!$F101</f>
        <v>0.3717640114511362</v>
      </c>
      <c r="AA75" s="66">
        <f>+P75*Notes!$F101</f>
        <v>0.6196066857518936</v>
      </c>
      <c r="AB75" s="66">
        <f>+Q75*Notes!$F101</f>
        <v>0.509676388610795</v>
      </c>
      <c r="AC75" s="66">
        <f>+R75*Notes!$F101</f>
        <v>0.5696383166826533</v>
      </c>
      <c r="AD75" s="66">
        <f>+S75*Notes!$F101</f>
        <v>30.461506124137884</v>
      </c>
      <c r="AE75" s="66">
        <f>+T75*Notes!$F101</f>
        <v>11.613449209827568</v>
      </c>
      <c r="AF75" s="66">
        <f>+U75*Notes!$F101</f>
        <v>0.05534606655779407</v>
      </c>
      <c r="AG75" s="66">
        <f>+V75*Notes!$F101</f>
        <v>6.059393278992844</v>
      </c>
    </row>
    <row r="76" spans="1:33" ht="15">
      <c r="A76" s="11">
        <v>1665</v>
      </c>
      <c r="B76" s="66">
        <f t="shared" si="9"/>
        <v>333.35</v>
      </c>
      <c r="C76" s="66">
        <v>3.14</v>
      </c>
      <c r="D76" s="66">
        <v>240</v>
      </c>
      <c r="E76" s="66">
        <f>+(400+340)/2</f>
        <v>370</v>
      </c>
      <c r="F76" s="66">
        <v>200</v>
      </c>
      <c r="G76" s="71">
        <v>220</v>
      </c>
      <c r="H76" s="66">
        <v>80</v>
      </c>
      <c r="I76" s="66">
        <v>30.5</v>
      </c>
      <c r="J76" s="65"/>
      <c r="K76" s="66">
        <v>26.75</v>
      </c>
      <c r="L76" s="65"/>
      <c r="M76" s="66">
        <f t="shared" si="2"/>
        <v>4.371803278688525</v>
      </c>
      <c r="N76" s="66">
        <f t="shared" si="3"/>
        <v>4.131578947368421</v>
      </c>
      <c r="O76" s="66">
        <f t="shared" si="4"/>
        <v>1.6412018247428957</v>
      </c>
      <c r="P76" s="66">
        <f t="shared" si="5"/>
        <v>2.5301861464786306</v>
      </c>
      <c r="Q76" s="66">
        <f t="shared" si="6"/>
        <v>2.6470993085776606</v>
      </c>
      <c r="R76" s="66">
        <f t="shared" si="6"/>
        <v>2.9118092394354265</v>
      </c>
      <c r="S76" s="66">
        <f t="shared" si="7"/>
        <v>134.47638258530847</v>
      </c>
      <c r="T76" s="66">
        <f t="shared" si="8"/>
        <v>51.26912086064885</v>
      </c>
      <c r="U76" s="25">
        <f t="shared" si="0"/>
        <v>0</v>
      </c>
      <c r="V76" s="66">
        <v>26.75</v>
      </c>
      <c r="W76" s="66"/>
      <c r="X76" s="66">
        <f>+M76*Notes!$F102</f>
        <v>0.990214963934426</v>
      </c>
      <c r="Y76" s="66">
        <f>+N76*Notes!$F102</f>
        <v>0.935804069296535</v>
      </c>
      <c r="Z76" s="66">
        <f>+O76*Notes!$F102</f>
        <v>0.3717327844139453</v>
      </c>
      <c r="AA76" s="66">
        <f>+P76*Notes!$F102</f>
        <v>0.5730880426381657</v>
      </c>
      <c r="AB76" s="66">
        <f>+Q76*Notes!$F102</f>
        <v>0.5995689145373422</v>
      </c>
      <c r="AC76" s="66">
        <f>+R76*Notes!$F102</f>
        <v>0.6595258059910764</v>
      </c>
      <c r="AD76" s="66">
        <f>+S76*Notes!$F102</f>
        <v>30.45894745101373</v>
      </c>
      <c r="AE76" s="66">
        <f>+T76*Notes!$F102</f>
        <v>11.612473715698982</v>
      </c>
      <c r="AF76" s="66">
        <f>+U76*Notes!$F102</f>
        <v>0</v>
      </c>
      <c r="AG76" s="66">
        <f>+V76*Notes!$F102</f>
        <v>6.058884308534572</v>
      </c>
    </row>
    <row r="77" spans="1:33" ht="15">
      <c r="A77" s="11">
        <v>1666</v>
      </c>
      <c r="B77" s="66">
        <f>+(296.3+333.35)/2</f>
        <v>314.82500000000005</v>
      </c>
      <c r="C77" s="66">
        <v>2.7</v>
      </c>
      <c r="D77" s="66">
        <v>200</v>
      </c>
      <c r="E77" s="66">
        <f>+(300+240)/2</f>
        <v>270</v>
      </c>
      <c r="F77" s="66">
        <v>270</v>
      </c>
      <c r="G77" s="71">
        <v>200</v>
      </c>
      <c r="H77" s="66">
        <v>65.35</v>
      </c>
      <c r="I77" s="66">
        <v>30.5</v>
      </c>
      <c r="J77" s="65">
        <v>55</v>
      </c>
      <c r="K77" s="66"/>
      <c r="L77" s="65"/>
      <c r="M77" s="66">
        <f t="shared" si="2"/>
        <v>4.128852459016394</v>
      </c>
      <c r="N77" s="66">
        <f t="shared" si="3"/>
        <v>3.5526315789473686</v>
      </c>
      <c r="O77" s="66">
        <f t="shared" si="4"/>
        <v>1.3676681872857464</v>
      </c>
      <c r="P77" s="66">
        <f t="shared" si="5"/>
        <v>1.8463520528357575</v>
      </c>
      <c r="Q77" s="66">
        <f t="shared" si="6"/>
        <v>3.573584066579842</v>
      </c>
      <c r="R77" s="66">
        <f t="shared" si="6"/>
        <v>2.6470993085776606</v>
      </c>
      <c r="S77" s="66">
        <f t="shared" si="7"/>
        <v>109.85039502437384</v>
      </c>
      <c r="T77" s="66">
        <f t="shared" si="8"/>
        <v>51.26912086064885</v>
      </c>
      <c r="U77" s="25">
        <f aca="true" t="shared" si="10" ref="U77:U112">J77/225.103</f>
        <v>0.24433259441233568</v>
      </c>
      <c r="V77" s="66"/>
      <c r="W77" s="66"/>
      <c r="X77" s="66">
        <f>+M77*Notes!$F103</f>
        <v>0.9352145737704919</v>
      </c>
      <c r="Y77" s="66">
        <f>+N77*Notes!$F103</f>
        <v>0.8046964285714285</v>
      </c>
      <c r="Z77" s="66">
        <f>+O77*Notes!$F103</f>
        <v>0.3097866134787022</v>
      </c>
      <c r="AA77" s="66">
        <f>+P77*Notes!$F103</f>
        <v>0.4182119281962479</v>
      </c>
      <c r="AB77" s="66">
        <f>+Q77*Notes!$F103</f>
        <v>0.8094423166808098</v>
      </c>
      <c r="AC77" s="66">
        <f>+R77*Notes!$F103</f>
        <v>0.5995869012450442</v>
      </c>
      <c r="AD77" s="66">
        <f>+S77*Notes!$F103</f>
        <v>24.88189911869942</v>
      </c>
      <c r="AE77" s="66">
        <f>+T77*Notes!$F103</f>
        <v>11.612822082943111</v>
      </c>
      <c r="AF77" s="66">
        <f>+U77*Notes!$F103</f>
        <v>0.05534307786721126</v>
      </c>
      <c r="AG77" s="66">
        <f>+V77*Notes!$F103</f>
        <v>0</v>
      </c>
    </row>
    <row r="78" spans="1:33" ht="15">
      <c r="A78" s="11">
        <v>1667</v>
      </c>
      <c r="B78" s="66">
        <f>+(207.4+245.35)/2</f>
        <v>226.375</v>
      </c>
      <c r="C78" s="66">
        <v>2.7</v>
      </c>
      <c r="D78" s="66">
        <v>160</v>
      </c>
      <c r="E78" s="66">
        <v>240</v>
      </c>
      <c r="F78" s="66">
        <v>100</v>
      </c>
      <c r="G78" s="71">
        <v>140</v>
      </c>
      <c r="H78" s="66">
        <v>66.35</v>
      </c>
      <c r="I78" s="66">
        <v>33</v>
      </c>
      <c r="J78" s="65">
        <v>53</v>
      </c>
      <c r="K78" s="66"/>
      <c r="L78" s="65"/>
      <c r="M78" s="66">
        <f t="shared" si="2"/>
        <v>2.9688524590163934</v>
      </c>
      <c r="N78" s="66">
        <f t="shared" si="3"/>
        <v>3.5526315789473686</v>
      </c>
      <c r="O78" s="66">
        <f t="shared" si="4"/>
        <v>1.094134549828597</v>
      </c>
      <c r="P78" s="66">
        <f t="shared" si="5"/>
        <v>1.6412018247428957</v>
      </c>
      <c r="Q78" s="66">
        <f t="shared" si="6"/>
        <v>1.3235496542888303</v>
      </c>
      <c r="R78" s="66">
        <f t="shared" si="6"/>
        <v>1.8529695160043624</v>
      </c>
      <c r="S78" s="66">
        <f t="shared" si="7"/>
        <v>111.53134980669019</v>
      </c>
      <c r="T78" s="66">
        <f t="shared" si="8"/>
        <v>55.47150781643974</v>
      </c>
      <c r="U78" s="25">
        <f t="shared" si="10"/>
        <v>0.23544777279734166</v>
      </c>
      <c r="V78" s="66"/>
      <c r="W78" s="66"/>
      <c r="X78" s="66">
        <f>+M78*Notes!$F104</f>
        <v>0.6723771704918032</v>
      </c>
      <c r="Y78" s="66">
        <f>+N78*Notes!$F104</f>
        <v>0.8045897874102705</v>
      </c>
      <c r="Z78" s="66">
        <f>+O78*Notes!$F104</f>
        <v>0.24779644758595015</v>
      </c>
      <c r="AA78" s="66">
        <f>+P78*Notes!$F104</f>
        <v>0.37169467137892526</v>
      </c>
      <c r="AB78" s="66">
        <f>+Q78*Notes!$F104</f>
        <v>0.29975372095485264</v>
      </c>
      <c r="AC78" s="66">
        <f>+R78*Notes!$F104</f>
        <v>0.41965520933679373</v>
      </c>
      <c r="AD78" s="66">
        <f>+S78*Notes!$F104</f>
        <v>25.25929949007944</v>
      </c>
      <c r="AE78" s="66">
        <f>+T78*Notes!$F104</f>
        <v>12.56302762882625</v>
      </c>
      <c r="AF78" s="66">
        <f>+U78*Notes!$F104</f>
        <v>0.05332353475205128</v>
      </c>
      <c r="AG78" s="66">
        <f>+V78*Notes!$F104</f>
        <v>0</v>
      </c>
    </row>
    <row r="79" spans="1:33" ht="15">
      <c r="A79" s="11">
        <v>1668</v>
      </c>
      <c r="B79" s="66">
        <f>+(296.3+259.25)/2</f>
        <v>277.775</v>
      </c>
      <c r="C79" s="66">
        <v>2.72</v>
      </c>
      <c r="D79" s="66">
        <v>200</v>
      </c>
      <c r="E79" s="66">
        <v>400</v>
      </c>
      <c r="F79" s="66">
        <v>190</v>
      </c>
      <c r="G79" s="71">
        <v>200</v>
      </c>
      <c r="H79" s="66">
        <v>80</v>
      </c>
      <c r="I79" s="66">
        <v>33</v>
      </c>
      <c r="J79" s="65">
        <v>52.5</v>
      </c>
      <c r="K79" s="66">
        <v>26</v>
      </c>
      <c r="L79" s="65"/>
      <c r="M79" s="66">
        <f t="shared" si="2"/>
        <v>3.642950819672131</v>
      </c>
      <c r="N79" s="66">
        <f t="shared" si="3"/>
        <v>3.5789473684210527</v>
      </c>
      <c r="O79" s="66">
        <f t="shared" si="4"/>
        <v>1.3676681872857464</v>
      </c>
      <c r="P79" s="66">
        <f t="shared" si="5"/>
        <v>2.7353363745714927</v>
      </c>
      <c r="Q79" s="66">
        <f t="shared" si="6"/>
        <v>2.5147443431487777</v>
      </c>
      <c r="R79" s="66">
        <f t="shared" si="6"/>
        <v>2.6470993085776606</v>
      </c>
      <c r="S79" s="66">
        <f t="shared" si="7"/>
        <v>134.47638258530847</v>
      </c>
      <c r="T79" s="66">
        <f t="shared" si="8"/>
        <v>55.47150781643974</v>
      </c>
      <c r="U79" s="25">
        <f t="shared" si="10"/>
        <v>0.23322656739359315</v>
      </c>
      <c r="V79" s="66">
        <v>26</v>
      </c>
      <c r="W79" s="66"/>
      <c r="X79" s="66">
        <f>+M79*Notes!$F105</f>
        <v>0.825213793442623</v>
      </c>
      <c r="Y79" s="66">
        <f>+N79*Notes!$F105</f>
        <v>0.8107155107551076</v>
      </c>
      <c r="Z79" s="66">
        <f>+O79*Notes!$F105</f>
        <v>0.30980891833792124</v>
      </c>
      <c r="AA79" s="66">
        <f>+P79*Notes!$F105</f>
        <v>0.6196178366758425</v>
      </c>
      <c r="AB79" s="66">
        <f>+Q79*Notes!$F105</f>
        <v>0.5696485683369589</v>
      </c>
      <c r="AC79" s="66">
        <f>+R79*Notes!$F105</f>
        <v>0.5996300719336408</v>
      </c>
      <c r="AD79" s="66">
        <f>+S79*Notes!$F105</f>
        <v>30.46205433310007</v>
      </c>
      <c r="AE79" s="66">
        <f>+T79*Notes!$F105</f>
        <v>12.565597412403777</v>
      </c>
      <c r="AF79" s="66">
        <f>+U79*Notes!$F105</f>
        <v>0.05283128703554398</v>
      </c>
      <c r="AG79" s="66">
        <f>+V79*Notes!$F105</f>
        <v>5.889609739897399</v>
      </c>
    </row>
    <row r="80" spans="1:33" ht="15">
      <c r="A80" s="11">
        <v>1669</v>
      </c>
      <c r="B80" s="66">
        <f>+(296.3+333.35)/2</f>
        <v>314.82500000000005</v>
      </c>
      <c r="C80" s="66">
        <v>3.51</v>
      </c>
      <c r="D80" s="66">
        <v>200</v>
      </c>
      <c r="E80" s="66">
        <f>+(350+320)/2</f>
        <v>335</v>
      </c>
      <c r="F80" s="66">
        <v>220</v>
      </c>
      <c r="G80" s="71">
        <v>210</v>
      </c>
      <c r="H80" s="66">
        <v>82.5</v>
      </c>
      <c r="I80" s="66">
        <v>30</v>
      </c>
      <c r="J80" s="65">
        <v>55</v>
      </c>
      <c r="K80" s="66"/>
      <c r="L80" s="65"/>
      <c r="M80" s="66">
        <f t="shared" si="2"/>
        <v>4.128852459016394</v>
      </c>
      <c r="N80" s="66">
        <f t="shared" si="3"/>
        <v>4.618421052631579</v>
      </c>
      <c r="O80" s="66">
        <f t="shared" si="4"/>
        <v>1.3676681872857464</v>
      </c>
      <c r="P80" s="66">
        <f t="shared" si="5"/>
        <v>2.290844213703625</v>
      </c>
      <c r="Q80" s="66">
        <f t="shared" si="6"/>
        <v>2.9118092394354265</v>
      </c>
      <c r="R80" s="66">
        <f t="shared" si="6"/>
        <v>2.7794542740065435</v>
      </c>
      <c r="S80" s="66">
        <f t="shared" si="7"/>
        <v>138.67876954109934</v>
      </c>
      <c r="T80" s="66">
        <f t="shared" si="8"/>
        <v>50.42864346949067</v>
      </c>
      <c r="U80" s="25">
        <f t="shared" si="10"/>
        <v>0.24433259441233568</v>
      </c>
      <c r="V80" s="66"/>
      <c r="W80" s="66"/>
      <c r="X80" s="66">
        <f>+M80*Notes!$F106</f>
        <v>0.9352145737704919</v>
      </c>
      <c r="Y80" s="66">
        <f>+N80*Notes!$F106</f>
        <v>1.0461053571428571</v>
      </c>
      <c r="Z80" s="66">
        <f>+O80*Notes!$F106</f>
        <v>0.3097866134787022</v>
      </c>
      <c r="AA80" s="66">
        <f>+P80*Notes!$F106</f>
        <v>0.518892577576826</v>
      </c>
      <c r="AB80" s="66">
        <f>+Q80*Notes!$F106</f>
        <v>0.6595455913695486</v>
      </c>
      <c r="AC80" s="66">
        <f>+R80*Notes!$F106</f>
        <v>0.6295662463072964</v>
      </c>
      <c r="AD80" s="66">
        <f>+S80*Notes!$F106</f>
        <v>31.41173186369858</v>
      </c>
      <c r="AE80" s="66">
        <f>+T80*Notes!$F106</f>
        <v>11.422447950435847</v>
      </c>
      <c r="AF80" s="66">
        <f>+U80*Notes!$F106</f>
        <v>0.05534307786721126</v>
      </c>
      <c r="AG80" s="66">
        <f>+V80*Notes!$F106</f>
        <v>0</v>
      </c>
    </row>
    <row r="81" spans="1:33" ht="15">
      <c r="A81" s="11">
        <v>1670</v>
      </c>
      <c r="B81" s="66">
        <f>+(370.35*2)/2</f>
        <v>370.35</v>
      </c>
      <c r="C81" s="66">
        <v>3.7</v>
      </c>
      <c r="D81" s="66">
        <v>240</v>
      </c>
      <c r="E81" s="66">
        <f>+(340+350)/2</f>
        <v>345</v>
      </c>
      <c r="F81" s="66">
        <v>180</v>
      </c>
      <c r="G81" s="71">
        <v>170</v>
      </c>
      <c r="H81" s="66">
        <v>76</v>
      </c>
      <c r="I81" s="66">
        <v>30</v>
      </c>
      <c r="J81" s="65">
        <v>53</v>
      </c>
      <c r="K81" s="66">
        <v>26.5</v>
      </c>
      <c r="L81" s="65"/>
      <c r="M81" s="66">
        <f aca="true" t="shared" si="11" ref="M81:M121">+B81/(0.7625*100)</f>
        <v>4.857049180327869</v>
      </c>
      <c r="N81" s="66">
        <f aca="true" t="shared" si="12" ref="N81:N121">C81/0.76</f>
        <v>4.868421052631579</v>
      </c>
      <c r="O81" s="66">
        <f aca="true" t="shared" si="13" ref="O81:O121">+D81/146.2343</f>
        <v>1.6412018247428957</v>
      </c>
      <c r="P81" s="66">
        <f aca="true" t="shared" si="14" ref="P81:P121">+E81/146.2343</f>
        <v>2.3592276230679126</v>
      </c>
      <c r="Q81" s="66">
        <f aca="true" t="shared" si="15" ref="Q81:R121">+F81/75.5544</f>
        <v>2.3823893777198943</v>
      </c>
      <c r="R81" s="66">
        <f t="shared" si="15"/>
        <v>2.2500344122910114</v>
      </c>
      <c r="S81" s="66">
        <f aca="true" t="shared" si="16" ref="S81:S121">+H81/0.5949</f>
        <v>127.75256345604303</v>
      </c>
      <c r="T81" s="66">
        <f aca="true" t="shared" si="17" ref="T81:T121">I81/0.5949</f>
        <v>50.42864346949067</v>
      </c>
      <c r="U81" s="25">
        <f t="shared" si="10"/>
        <v>0.23544777279734166</v>
      </c>
      <c r="V81" s="66">
        <v>26.5</v>
      </c>
      <c r="W81" s="66"/>
      <c r="X81" s="66">
        <f>+M81*Notes!$F107</f>
        <v>1.1002157442622948</v>
      </c>
      <c r="Y81" s="66">
        <f>+N81*Notes!$F107</f>
        <v>1.1027916936681514</v>
      </c>
      <c r="Z81" s="66">
        <f>+O81*Notes!$F107</f>
        <v>0.3717640114511362</v>
      </c>
      <c r="AA81" s="66">
        <f>+P81*Notes!$F107</f>
        <v>0.5344107664610083</v>
      </c>
      <c r="AB81" s="66">
        <f>+Q81*Notes!$F107</f>
        <v>0.5396573526467241</v>
      </c>
      <c r="AC81" s="66">
        <f>+R81*Notes!$F107</f>
        <v>0.509676388610795</v>
      </c>
      <c r="AD81" s="66">
        <f>+S81*Notes!$F107</f>
        <v>28.93843081793099</v>
      </c>
      <c r="AE81" s="66">
        <f>+T81*Notes!$F107</f>
        <v>11.423064796551706</v>
      </c>
      <c r="AF81" s="66">
        <f>+U81*Notes!$F107</f>
        <v>0.05333348231932883</v>
      </c>
      <c r="AG81" s="66">
        <f>+V81*Notes!$F107</f>
        <v>6.0027634352639385</v>
      </c>
    </row>
    <row r="82" spans="1:33" ht="15">
      <c r="A82" s="11">
        <v>1671</v>
      </c>
      <c r="B82" s="66">
        <f>+(370.35+283.35)/2</f>
        <v>326.85</v>
      </c>
      <c r="C82" s="66">
        <v>2.91</v>
      </c>
      <c r="D82" s="66">
        <v>240</v>
      </c>
      <c r="E82" s="66">
        <f>+(330+340)/2</f>
        <v>335</v>
      </c>
      <c r="F82" s="66">
        <v>160</v>
      </c>
      <c r="G82" s="71">
        <v>200</v>
      </c>
      <c r="H82" s="66">
        <v>80</v>
      </c>
      <c r="I82" s="66">
        <v>30</v>
      </c>
      <c r="J82" s="65">
        <v>56</v>
      </c>
      <c r="K82" s="66"/>
      <c r="L82" s="65"/>
      <c r="M82" s="66">
        <f t="shared" si="11"/>
        <v>4.2865573770491805</v>
      </c>
      <c r="N82" s="66">
        <f t="shared" si="12"/>
        <v>3.8289473684210527</v>
      </c>
      <c r="O82" s="66">
        <f t="shared" si="13"/>
        <v>1.6412018247428957</v>
      </c>
      <c r="P82" s="66">
        <f t="shared" si="14"/>
        <v>2.290844213703625</v>
      </c>
      <c r="Q82" s="66">
        <f t="shared" si="15"/>
        <v>2.1176794468621285</v>
      </c>
      <c r="R82" s="66">
        <f t="shared" si="15"/>
        <v>2.6470993085776606</v>
      </c>
      <c r="S82" s="66">
        <f t="shared" si="16"/>
        <v>134.47638258530847</v>
      </c>
      <c r="T82" s="66">
        <f t="shared" si="17"/>
        <v>50.42864346949067</v>
      </c>
      <c r="U82" s="25">
        <f t="shared" si="10"/>
        <v>0.2487750052198327</v>
      </c>
      <c r="V82" s="66"/>
      <c r="W82" s="66"/>
      <c r="X82" s="66">
        <f>+M82*Notes!$F108</f>
        <v>0.9709804229508195</v>
      </c>
      <c r="Y82" s="66">
        <f>+N82*Notes!$F108</f>
        <v>0.86732373049564</v>
      </c>
      <c r="Z82" s="66">
        <f>+O82*Notes!$F108</f>
        <v>0.37176099647440464</v>
      </c>
      <c r="AA82" s="66">
        <f>+P82*Notes!$F108</f>
        <v>0.5189163909121898</v>
      </c>
      <c r="AB82" s="66">
        <f>+Q82*Notes!$F108</f>
        <v>0.47969153428290984</v>
      </c>
      <c r="AC82" s="66">
        <f>+R82*Notes!$F108</f>
        <v>0.5996144178536373</v>
      </c>
      <c r="AD82" s="66">
        <f>+S82*Notes!$F108</f>
        <v>30.461259083732298</v>
      </c>
      <c r="AE82" s="66">
        <f>+T82*Notes!$F108</f>
        <v>11.422972156399611</v>
      </c>
      <c r="AF82" s="66">
        <f>+U82*Notes!$F108</f>
        <v>0.0563519016638545</v>
      </c>
      <c r="AG82" s="66">
        <f>+V82*Notes!$F108</f>
        <v>0</v>
      </c>
    </row>
    <row r="83" spans="1:33" ht="15">
      <c r="A83" s="11">
        <v>1672</v>
      </c>
      <c r="B83" s="66">
        <f>+(300+283.35)/2</f>
        <v>291.675</v>
      </c>
      <c r="C83" s="66">
        <v>2.39</v>
      </c>
      <c r="D83" s="66">
        <v>240</v>
      </c>
      <c r="E83" s="66">
        <f>+(325+340)/2</f>
        <v>332.5</v>
      </c>
      <c r="F83" s="66">
        <v>240</v>
      </c>
      <c r="G83" s="71">
        <v>240</v>
      </c>
      <c r="H83" s="66">
        <v>79</v>
      </c>
      <c r="I83" s="66">
        <v>30</v>
      </c>
      <c r="J83" s="65">
        <v>54</v>
      </c>
      <c r="K83" s="66"/>
      <c r="L83" s="65"/>
      <c r="M83" s="66">
        <f t="shared" si="11"/>
        <v>3.8252459016393443</v>
      </c>
      <c r="N83" s="66">
        <f t="shared" si="12"/>
        <v>3.1447368421052633</v>
      </c>
      <c r="O83" s="66">
        <f t="shared" si="13"/>
        <v>1.6412018247428957</v>
      </c>
      <c r="P83" s="66">
        <f t="shared" si="14"/>
        <v>2.273748361362553</v>
      </c>
      <c r="Q83" s="66">
        <f t="shared" si="15"/>
        <v>3.1765191702931928</v>
      </c>
      <c r="R83" s="66">
        <f t="shared" si="15"/>
        <v>3.1765191702931928</v>
      </c>
      <c r="S83" s="66">
        <f t="shared" si="16"/>
        <v>132.7954278029921</v>
      </c>
      <c r="T83" s="66">
        <f t="shared" si="17"/>
        <v>50.42864346949067</v>
      </c>
      <c r="U83" s="25">
        <f t="shared" si="10"/>
        <v>0.23989018360483866</v>
      </c>
      <c r="V83" s="66"/>
      <c r="W83" s="66"/>
      <c r="X83" s="66">
        <f>+M83*Notes!$F109</f>
        <v>0.8664900786885247</v>
      </c>
      <c r="Y83" s="66">
        <f>+N83*Notes!$F109</f>
        <v>0.7123419889431731</v>
      </c>
      <c r="Z83" s="66">
        <f>+O83*Notes!$F109</f>
        <v>0.37176305388779696</v>
      </c>
      <c r="AA83" s="66">
        <f>+P83*Notes!$F109</f>
        <v>0.515046730907052</v>
      </c>
      <c r="AB83" s="66">
        <f>+Q83*Notes!$F109</f>
        <v>0.7195412835141866</v>
      </c>
      <c r="AC83" s="66">
        <f>+R83*Notes!$F109</f>
        <v>0.7195412835141866</v>
      </c>
      <c r="AD83" s="66">
        <f>+S83*Notes!$F109</f>
        <v>30.080659817759262</v>
      </c>
      <c r="AE83" s="66">
        <f>+T83*Notes!$F109</f>
        <v>11.423035373832633</v>
      </c>
      <c r="AF83" s="66">
        <f>+U83*Notes!$F109</f>
        <v>0.05433963447402948</v>
      </c>
      <c r="AG83" s="66">
        <f>+V83*Notes!$F109</f>
        <v>0</v>
      </c>
    </row>
    <row r="84" spans="1:33" ht="15">
      <c r="A84" s="11">
        <v>1673</v>
      </c>
      <c r="B84" s="66">
        <f>+(195.25+200)/2</f>
        <v>197.625</v>
      </c>
      <c r="C84" s="66">
        <v>2</v>
      </c>
      <c r="D84" s="66">
        <v>200</v>
      </c>
      <c r="E84" s="66">
        <v>320</v>
      </c>
      <c r="F84" s="66">
        <v>260</v>
      </c>
      <c r="G84" s="71">
        <v>260</v>
      </c>
      <c r="H84" s="66">
        <v>80</v>
      </c>
      <c r="I84" s="66">
        <v>30</v>
      </c>
      <c r="J84" s="65">
        <v>53</v>
      </c>
      <c r="K84" s="66"/>
      <c r="L84" s="65"/>
      <c r="M84" s="66">
        <f t="shared" si="11"/>
        <v>2.591803278688525</v>
      </c>
      <c r="N84" s="66">
        <f t="shared" si="12"/>
        <v>2.6315789473684212</v>
      </c>
      <c r="O84" s="66">
        <f t="shared" si="13"/>
        <v>1.3676681872857464</v>
      </c>
      <c r="P84" s="66">
        <f t="shared" si="14"/>
        <v>2.188269099657194</v>
      </c>
      <c r="Q84" s="66">
        <f t="shared" si="15"/>
        <v>3.4412291011509586</v>
      </c>
      <c r="R84" s="66">
        <f t="shared" si="15"/>
        <v>3.4412291011509586</v>
      </c>
      <c r="S84" s="66">
        <f t="shared" si="16"/>
        <v>134.47638258530847</v>
      </c>
      <c r="T84" s="66">
        <f t="shared" si="17"/>
        <v>50.42864346949067</v>
      </c>
      <c r="U84" s="25">
        <f t="shared" si="10"/>
        <v>0.23544777279734166</v>
      </c>
      <c r="V84" s="66"/>
      <c r="W84" s="66"/>
      <c r="X84" s="66">
        <f>+M84*Notes!$F110</f>
        <v>0.5714218229508196</v>
      </c>
      <c r="Y84" s="66">
        <f>+N84*Notes!$F110</f>
        <v>0.5801912713472485</v>
      </c>
      <c r="Z84" s="66">
        <f>+O84*Notes!$F110</f>
        <v>0.30153347485775145</v>
      </c>
      <c r="AA84" s="66">
        <f>+P84*Notes!$F110</f>
        <v>0.4824535597724023</v>
      </c>
      <c r="AB84" s="66">
        <f>+Q84*Notes!$F110</f>
        <v>0.758697013133691</v>
      </c>
      <c r="AC84" s="66">
        <f>+R84*Notes!$F110</f>
        <v>0.758697013133691</v>
      </c>
      <c r="AD84" s="66">
        <f>+S84*Notes!$F110</f>
        <v>29.648368883772658</v>
      </c>
      <c r="AE84" s="66">
        <f>+T84*Notes!$F110</f>
        <v>11.118138331414746</v>
      </c>
      <c r="AF84" s="66">
        <f>+U84*Notes!$F110</f>
        <v>0.05190980220136374</v>
      </c>
      <c r="AG84" s="66">
        <f>+V84*Notes!$F110</f>
        <v>0</v>
      </c>
    </row>
    <row r="85" spans="1:33" ht="15">
      <c r="A85" s="11">
        <v>1674</v>
      </c>
      <c r="B85" s="66">
        <f>+(200+188.35)/2</f>
        <v>194.175</v>
      </c>
      <c r="C85" s="66">
        <v>2.02</v>
      </c>
      <c r="D85" s="66">
        <v>200</v>
      </c>
      <c r="E85" s="66">
        <f>+(285+320)/2</f>
        <v>302.5</v>
      </c>
      <c r="F85" s="66">
        <v>240</v>
      </c>
      <c r="G85" s="71">
        <v>240</v>
      </c>
      <c r="H85" s="66">
        <v>77.5</v>
      </c>
      <c r="I85" s="66">
        <v>30</v>
      </c>
      <c r="J85" s="65">
        <v>61</v>
      </c>
      <c r="K85" s="66">
        <v>25.25</v>
      </c>
      <c r="L85" s="65"/>
      <c r="M85" s="66">
        <f t="shared" si="11"/>
        <v>2.5465573770491803</v>
      </c>
      <c r="N85" s="66">
        <f t="shared" si="12"/>
        <v>2.6578947368421053</v>
      </c>
      <c r="O85" s="66">
        <f t="shared" si="13"/>
        <v>1.3676681872857464</v>
      </c>
      <c r="P85" s="66">
        <f t="shared" si="14"/>
        <v>2.0685981332696914</v>
      </c>
      <c r="Q85" s="66">
        <f t="shared" si="15"/>
        <v>3.1765191702931928</v>
      </c>
      <c r="R85" s="66">
        <f t="shared" si="15"/>
        <v>3.1765191702931928</v>
      </c>
      <c r="S85" s="66">
        <f t="shared" si="16"/>
        <v>130.27399562951757</v>
      </c>
      <c r="T85" s="66">
        <f t="shared" si="17"/>
        <v>50.42864346949067</v>
      </c>
      <c r="U85" s="25">
        <f t="shared" si="10"/>
        <v>0.27098705925731775</v>
      </c>
      <c r="V85" s="66">
        <v>25.25</v>
      </c>
      <c r="W85" s="66"/>
      <c r="X85" s="66">
        <f>+M85*Notes!$F111</f>
        <v>0.5478205213114753</v>
      </c>
      <c r="Y85" s="66">
        <f>+N85*Notes!$F111</f>
        <v>0.5717716370542036</v>
      </c>
      <c r="Z85" s="66">
        <f>+O85*Notes!$F111</f>
        <v>0.29421551860267725</v>
      </c>
      <c r="AA85" s="66">
        <f>+P85*Notes!$F111</f>
        <v>0.44500097188654936</v>
      </c>
      <c r="AB85" s="66">
        <f>+Q85*Notes!$F111</f>
        <v>0.6833391634954334</v>
      </c>
      <c r="AC85" s="66">
        <f>+R85*Notes!$F111</f>
        <v>0.6833391634954334</v>
      </c>
      <c r="AD85" s="66">
        <f>+S85*Notes!$F111</f>
        <v>28.02480275617717</v>
      </c>
      <c r="AE85" s="66">
        <f>+T85*Notes!$F111</f>
        <v>10.848310744326648</v>
      </c>
      <c r="AF85" s="66">
        <f>+U85*Notes!$F111</f>
        <v>0.05829527871978535</v>
      </c>
      <c r="AG85" s="66">
        <f>+V85*Notes!$F111</f>
        <v>5.431830552014935</v>
      </c>
    </row>
    <row r="86" spans="1:33" ht="15">
      <c r="A86" s="11">
        <v>1675</v>
      </c>
      <c r="B86" s="66">
        <f>+(216.65*2)/2</f>
        <v>216.65</v>
      </c>
      <c r="C86" s="66">
        <v>3.08</v>
      </c>
      <c r="D86" s="66">
        <v>280</v>
      </c>
      <c r="E86" s="66">
        <f>+(420+480)/2</f>
        <v>450</v>
      </c>
      <c r="F86" s="66">
        <v>240</v>
      </c>
      <c r="G86" s="71">
        <v>245</v>
      </c>
      <c r="H86" s="66">
        <v>77.5</v>
      </c>
      <c r="I86" s="66">
        <v>30</v>
      </c>
      <c r="J86" s="65">
        <v>60</v>
      </c>
      <c r="K86" s="66"/>
      <c r="L86" s="65"/>
      <c r="M86" s="66">
        <f t="shared" si="11"/>
        <v>2.841311475409836</v>
      </c>
      <c r="N86" s="66">
        <f t="shared" si="12"/>
        <v>4.052631578947368</v>
      </c>
      <c r="O86" s="66">
        <f t="shared" si="13"/>
        <v>1.9147354622000448</v>
      </c>
      <c r="P86" s="66">
        <f t="shared" si="14"/>
        <v>3.0772534213929292</v>
      </c>
      <c r="Q86" s="66">
        <f t="shared" si="15"/>
        <v>3.1765191702931928</v>
      </c>
      <c r="R86" s="66">
        <f t="shared" si="15"/>
        <v>3.242696653007634</v>
      </c>
      <c r="S86" s="66">
        <f t="shared" si="16"/>
        <v>130.27399562951757</v>
      </c>
      <c r="T86" s="66">
        <f t="shared" si="17"/>
        <v>50.42864346949067</v>
      </c>
      <c r="U86" s="25">
        <f t="shared" si="10"/>
        <v>0.26654464844982073</v>
      </c>
      <c r="V86" s="66"/>
      <c r="W86" s="66"/>
      <c r="X86" s="66">
        <f>+M86*Notes!$F112</f>
        <v>0.6007415016393441</v>
      </c>
      <c r="Y86" s="66">
        <f>+N86*Notes!$F112</f>
        <v>0.8568521970920838</v>
      </c>
      <c r="Z86" s="66">
        <f>+O86*Notes!$F112</f>
        <v>0.4048345514946554</v>
      </c>
      <c r="AA86" s="66">
        <f>+P86*Notes!$F112</f>
        <v>0.6506269577592676</v>
      </c>
      <c r="AB86" s="66">
        <f>+Q86*Notes!$F112</f>
        <v>0.6716148204317671</v>
      </c>
      <c r="AC86" s="66">
        <f>+R86*Notes!$F112</f>
        <v>0.6856067958574289</v>
      </c>
      <c r="AD86" s="66">
        <f>+S86*Notes!$F112</f>
        <v>27.543969197444373</v>
      </c>
      <c r="AE86" s="66">
        <f>+T86*Notes!$F112</f>
        <v>10.662181624817176</v>
      </c>
      <c r="AF86" s="66">
        <f>+U86*Notes!$F112</f>
        <v>0.0563558179909085</v>
      </c>
      <c r="AG86" s="66">
        <f>+V86*Notes!$F112</f>
        <v>0</v>
      </c>
    </row>
    <row r="87" spans="1:33" ht="15">
      <c r="A87" s="11">
        <v>1676</v>
      </c>
      <c r="B87" s="66">
        <f>+(400*2)/2</f>
        <v>400</v>
      </c>
      <c r="C87" s="66">
        <v>3.33</v>
      </c>
      <c r="D87" s="66">
        <v>360</v>
      </c>
      <c r="E87" s="66">
        <v>300</v>
      </c>
      <c r="F87" s="66">
        <v>245</v>
      </c>
      <c r="G87" s="71">
        <v>240</v>
      </c>
      <c r="H87" s="66">
        <v>74.5</v>
      </c>
      <c r="I87" s="66">
        <v>30</v>
      </c>
      <c r="J87" s="65">
        <v>58</v>
      </c>
      <c r="K87" s="66"/>
      <c r="L87" s="65"/>
      <c r="M87" s="66">
        <f t="shared" si="11"/>
        <v>5.245901639344262</v>
      </c>
      <c r="N87" s="66">
        <f t="shared" si="12"/>
        <v>4.381578947368421</v>
      </c>
      <c r="O87" s="66">
        <f t="shared" si="13"/>
        <v>2.4618027371143434</v>
      </c>
      <c r="P87" s="66">
        <f t="shared" si="14"/>
        <v>2.0515022809286196</v>
      </c>
      <c r="Q87" s="66">
        <f t="shared" si="15"/>
        <v>3.242696653007634</v>
      </c>
      <c r="R87" s="66">
        <f t="shared" si="15"/>
        <v>3.1765191702931928</v>
      </c>
      <c r="S87" s="66">
        <f t="shared" si="16"/>
        <v>125.2311312825685</v>
      </c>
      <c r="T87" s="66">
        <f t="shared" si="17"/>
        <v>50.42864346949067</v>
      </c>
      <c r="U87" s="25">
        <f t="shared" si="10"/>
        <v>0.2576598268348267</v>
      </c>
      <c r="V87" s="66"/>
      <c r="W87" s="66"/>
      <c r="X87" s="66">
        <f>+M87*Notes!$F113</f>
        <v>1.0451113836065573</v>
      </c>
      <c r="Y87" s="66">
        <f>+N87*Notes!$F113</f>
        <v>0.872917250625</v>
      </c>
      <c r="Z87" s="66">
        <f>+O87*Notes!$F113</f>
        <v>0.4904510685933465</v>
      </c>
      <c r="AA87" s="66">
        <f>+P87*Notes!$F113</f>
        <v>0.40870922382778874</v>
      </c>
      <c r="AB87" s="66">
        <f>+Q87*Notes!$F113</f>
        <v>0.6460241572628463</v>
      </c>
      <c r="AC87" s="66">
        <f>+R87*Notes!$F113</f>
        <v>0.6328399907880944</v>
      </c>
      <c r="AD87" s="66">
        <f>+S87*Notes!$F113</f>
        <v>24.94909166876786</v>
      </c>
      <c r="AE87" s="66">
        <f>+T87*Notes!$F113</f>
        <v>10.04661409480585</v>
      </c>
      <c r="AF87" s="66">
        <f>+U87*Notes!$F113</f>
        <v>0.05133211345472961</v>
      </c>
      <c r="AG87" s="66">
        <f>+V87*Notes!$F113</f>
        <v>0</v>
      </c>
    </row>
    <row r="88" spans="1:33" ht="15">
      <c r="A88" s="11">
        <v>1677</v>
      </c>
      <c r="B88" s="66">
        <f>+(266.65+270.3)/2</f>
        <v>268.475</v>
      </c>
      <c r="C88" s="66">
        <v>3.85</v>
      </c>
      <c r="D88" s="66">
        <v>280</v>
      </c>
      <c r="E88" s="66">
        <v>400</v>
      </c>
      <c r="F88" s="66">
        <v>240</v>
      </c>
      <c r="G88" s="71">
        <v>240</v>
      </c>
      <c r="H88" s="66">
        <v>80</v>
      </c>
      <c r="I88" s="66">
        <v>30</v>
      </c>
      <c r="J88" s="65">
        <v>67</v>
      </c>
      <c r="K88" s="66"/>
      <c r="L88" s="65"/>
      <c r="M88" s="66">
        <f t="shared" si="11"/>
        <v>3.5209836065573774</v>
      </c>
      <c r="N88" s="66">
        <f t="shared" si="12"/>
        <v>5.065789473684211</v>
      </c>
      <c r="O88" s="66">
        <f t="shared" si="13"/>
        <v>1.9147354622000448</v>
      </c>
      <c r="P88" s="66">
        <f t="shared" si="14"/>
        <v>2.7353363745714927</v>
      </c>
      <c r="Q88" s="66">
        <f t="shared" si="15"/>
        <v>3.1765191702931928</v>
      </c>
      <c r="R88" s="66">
        <f t="shared" si="15"/>
        <v>3.1765191702931928</v>
      </c>
      <c r="S88" s="66">
        <f t="shared" si="16"/>
        <v>134.47638258530847</v>
      </c>
      <c r="T88" s="66">
        <f t="shared" si="17"/>
        <v>50.42864346949067</v>
      </c>
      <c r="U88" s="25">
        <f t="shared" si="10"/>
        <v>0.2976415241022998</v>
      </c>
      <c r="V88" s="66"/>
      <c r="W88" s="66"/>
      <c r="X88" s="66">
        <f>+M88*Notes!$F114</f>
        <v>0.6978499409836064</v>
      </c>
      <c r="Y88" s="66">
        <f>+N88*Notes!$F114</f>
        <v>1.0040265108483097</v>
      </c>
      <c r="Z88" s="66">
        <f>+O88*Notes!$F114</f>
        <v>0.37949566899630643</v>
      </c>
      <c r="AA88" s="66">
        <f>+P88*Notes!$F114</f>
        <v>0.5421366699947234</v>
      </c>
      <c r="AB88" s="66">
        <f>+Q88*Notes!$F114</f>
        <v>0.6295779711652217</v>
      </c>
      <c r="AC88" s="66">
        <f>+R88*Notes!$F114</f>
        <v>0.6295779711652217</v>
      </c>
      <c r="AD88" s="66">
        <f>+S88*Notes!$F114</f>
        <v>26.65287491713209</v>
      </c>
      <c r="AE88" s="66">
        <f>+T88*Notes!$F114</f>
        <v>9.994828093924532</v>
      </c>
      <c r="AF88" s="66">
        <f>+U88*Notes!$F114</f>
        <v>0.05899178844293089</v>
      </c>
      <c r="AG88" s="66">
        <f>+V88*Notes!$F114</f>
        <v>0</v>
      </c>
    </row>
    <row r="89" spans="1:33" ht="15">
      <c r="A89" s="11">
        <v>1678</v>
      </c>
      <c r="B89" s="66">
        <f>+(500*2)/2</f>
        <v>500</v>
      </c>
      <c r="C89" s="66">
        <v>4.33</v>
      </c>
      <c r="D89" s="66">
        <v>400</v>
      </c>
      <c r="E89" s="66">
        <v>400</v>
      </c>
      <c r="F89" s="66">
        <v>240</v>
      </c>
      <c r="G89" s="71">
        <v>270</v>
      </c>
      <c r="H89" s="66">
        <v>84.5</v>
      </c>
      <c r="I89" s="66">
        <v>29.75</v>
      </c>
      <c r="J89" s="65">
        <v>66.33</v>
      </c>
      <c r="K89" s="66">
        <v>24.37</v>
      </c>
      <c r="L89" s="65"/>
      <c r="M89" s="66">
        <f t="shared" si="11"/>
        <v>6.557377049180328</v>
      </c>
      <c r="N89" s="66">
        <f t="shared" si="12"/>
        <v>5.697368421052632</v>
      </c>
      <c r="O89" s="66">
        <f t="shared" si="13"/>
        <v>2.7353363745714927</v>
      </c>
      <c r="P89" s="66">
        <f t="shared" si="14"/>
        <v>2.7353363745714927</v>
      </c>
      <c r="Q89" s="66">
        <f t="shared" si="15"/>
        <v>3.1765191702931928</v>
      </c>
      <c r="R89" s="66">
        <f t="shared" si="15"/>
        <v>3.573584066579842</v>
      </c>
      <c r="S89" s="66">
        <f t="shared" si="16"/>
        <v>142.04067910573207</v>
      </c>
      <c r="T89" s="66">
        <f t="shared" si="17"/>
        <v>50.008404773911586</v>
      </c>
      <c r="U89" s="25">
        <f t="shared" si="10"/>
        <v>0.29466510886127684</v>
      </c>
      <c r="V89" s="66">
        <v>24.37</v>
      </c>
      <c r="W89" s="66"/>
      <c r="X89" s="66">
        <f>+M89*Notes!$F115</f>
        <v>1.2996311475409836</v>
      </c>
      <c r="Y89" s="66">
        <f>+N89*Notes!$F115</f>
        <v>1.1291828125</v>
      </c>
      <c r="Z89" s="66">
        <f>+O89*Notes!$F115</f>
        <v>0.5421265735877288</v>
      </c>
      <c r="AA89" s="66">
        <f>+P89*Notes!$F115</f>
        <v>0.5421265735877288</v>
      </c>
      <c r="AB89" s="66">
        <f>+Q89*Notes!$F115</f>
        <v>0.6295662463072965</v>
      </c>
      <c r="AC89" s="66">
        <f>+R89*Notes!$F115</f>
        <v>0.7082620270957085</v>
      </c>
      <c r="AD89" s="66">
        <f>+S89*Notes!$F115</f>
        <v>28.151574844511686</v>
      </c>
      <c r="AE89" s="66">
        <f>+T89*Notes!$F115</f>
        <v>9.91135327365944</v>
      </c>
      <c r="AF89" s="66">
        <f>+U89*Notes!$F115</f>
        <v>0.058400782919374686</v>
      </c>
      <c r="AG89" s="66">
        <f>+V89*Notes!$F115</f>
        <v>4.8299816875</v>
      </c>
    </row>
    <row r="90" spans="1:33" ht="15">
      <c r="A90" s="11">
        <v>1679</v>
      </c>
      <c r="B90" s="66">
        <f>+(366.65+300)/2</f>
        <v>333.325</v>
      </c>
      <c r="C90" s="66">
        <v>3</v>
      </c>
      <c r="D90" s="66">
        <v>320</v>
      </c>
      <c r="E90" s="66">
        <f>+(420+440)/2</f>
        <v>430</v>
      </c>
      <c r="F90" s="66">
        <v>310</v>
      </c>
      <c r="G90" s="71">
        <v>250</v>
      </c>
      <c r="H90" s="66">
        <v>80</v>
      </c>
      <c r="I90" s="66">
        <v>30</v>
      </c>
      <c r="J90" s="65"/>
      <c r="K90" s="66"/>
      <c r="L90" s="65"/>
      <c r="M90" s="66">
        <f t="shared" si="11"/>
        <v>4.371475409836066</v>
      </c>
      <c r="N90" s="66">
        <f t="shared" si="12"/>
        <v>3.9473684210526314</v>
      </c>
      <c r="O90" s="66">
        <f t="shared" si="13"/>
        <v>2.188269099657194</v>
      </c>
      <c r="P90" s="66">
        <f t="shared" si="14"/>
        <v>2.940486602664355</v>
      </c>
      <c r="Q90" s="66">
        <f t="shared" si="15"/>
        <v>4.103003928295374</v>
      </c>
      <c r="R90" s="66">
        <f t="shared" si="15"/>
        <v>3.3088741357220757</v>
      </c>
      <c r="S90" s="66">
        <f t="shared" si="16"/>
        <v>134.47638258530847</v>
      </c>
      <c r="T90" s="66">
        <f t="shared" si="17"/>
        <v>50.42864346949067</v>
      </c>
      <c r="U90" s="25">
        <f t="shared" si="10"/>
        <v>0</v>
      </c>
      <c r="V90" s="66"/>
      <c r="W90" s="66"/>
      <c r="X90" s="66">
        <f>+M90*Notes!$F116</f>
        <v>0.8663861081967213</v>
      </c>
      <c r="Y90" s="66">
        <f>+N90*Notes!$F116</f>
        <v>0.7823320145503637</v>
      </c>
      <c r="Z90" s="66">
        <f>+O90*Notes!$F116</f>
        <v>0.4336947531886579</v>
      </c>
      <c r="AA90" s="66">
        <f>+P90*Notes!$F116</f>
        <v>0.5827773245972591</v>
      </c>
      <c r="AB90" s="66">
        <f>+Q90*Notes!$F116</f>
        <v>0.8131775366626153</v>
      </c>
      <c r="AC90" s="66">
        <f>+R90*Notes!$F116</f>
        <v>0.655788336018238</v>
      </c>
      <c r="AD90" s="66">
        <f>+S90*Notes!$F116</f>
        <v>26.651978755343823</v>
      </c>
      <c r="AE90" s="66">
        <f>+T90*Notes!$F116</f>
        <v>9.994492033253932</v>
      </c>
      <c r="AF90" s="66">
        <f>+U90*Notes!$F116</f>
        <v>0</v>
      </c>
      <c r="AG90" s="66">
        <f>+V90*Notes!$F116</f>
        <v>0</v>
      </c>
    </row>
    <row r="91" spans="1:33" ht="15">
      <c r="A91" s="11">
        <v>1680</v>
      </c>
      <c r="B91" s="66">
        <f>+(300*2)/2</f>
        <v>300</v>
      </c>
      <c r="C91" s="66">
        <v>2.87</v>
      </c>
      <c r="D91" s="66">
        <v>375</v>
      </c>
      <c r="E91" s="66">
        <v>400</v>
      </c>
      <c r="F91" s="66">
        <v>180</v>
      </c>
      <c r="G91" s="71">
        <v>210</v>
      </c>
      <c r="H91" s="66">
        <v>74.5</v>
      </c>
      <c r="I91" s="66">
        <v>27</v>
      </c>
      <c r="J91" s="65">
        <v>65.83</v>
      </c>
      <c r="K91" s="66"/>
      <c r="L91" s="65"/>
      <c r="M91" s="66">
        <f t="shared" si="11"/>
        <v>3.9344262295081966</v>
      </c>
      <c r="N91" s="66">
        <f t="shared" si="12"/>
        <v>3.7763157894736845</v>
      </c>
      <c r="O91" s="66">
        <f t="shared" si="13"/>
        <v>2.564377851160774</v>
      </c>
      <c r="P91" s="66">
        <f t="shared" si="14"/>
        <v>2.7353363745714927</v>
      </c>
      <c r="Q91" s="66">
        <f t="shared" si="15"/>
        <v>2.3823893777198943</v>
      </c>
      <c r="R91" s="66">
        <f t="shared" si="15"/>
        <v>2.7794542740065435</v>
      </c>
      <c r="S91" s="66">
        <f t="shared" si="16"/>
        <v>125.2311312825685</v>
      </c>
      <c r="T91" s="66">
        <f t="shared" si="17"/>
        <v>45.38577912254161</v>
      </c>
      <c r="U91" s="25">
        <f t="shared" si="10"/>
        <v>0.2924439034575283</v>
      </c>
      <c r="V91" s="66"/>
      <c r="W91" s="66"/>
      <c r="X91" s="66">
        <f>+M91*Notes!$F117</f>
        <v>0.7797786885245902</v>
      </c>
      <c r="Y91" s="66">
        <f>+N91*Notes!$F117</f>
        <v>0.7484421875</v>
      </c>
      <c r="Z91" s="66">
        <f>+O91*Notes!$F117</f>
        <v>0.5082436627384957</v>
      </c>
      <c r="AA91" s="66">
        <f>+P91*Notes!$F117</f>
        <v>0.5421265735877288</v>
      </c>
      <c r="AB91" s="66">
        <f>+Q91*Notes!$F117</f>
        <v>0.4721746847304723</v>
      </c>
      <c r="AC91" s="66">
        <f>+R91*Notes!$F117</f>
        <v>0.5508704655188844</v>
      </c>
      <c r="AD91" s="66">
        <f>+S91*Notes!$F117</f>
        <v>24.82002752563456</v>
      </c>
      <c r="AE91" s="66">
        <f>+T91*Notes!$F117</f>
        <v>8.99517776096823</v>
      </c>
      <c r="AF91" s="66">
        <f>+U91*Notes!$F117</f>
        <v>0.0579605538908855</v>
      </c>
      <c r="AG91" s="66">
        <f>+V91*Notes!$F117</f>
        <v>0</v>
      </c>
    </row>
    <row r="92" spans="1:33" ht="15">
      <c r="A92" s="11">
        <v>1681</v>
      </c>
      <c r="B92" s="66">
        <f>+(275+300)/2</f>
        <v>287.5</v>
      </c>
      <c r="C92" s="66">
        <v>2.68</v>
      </c>
      <c r="D92" s="66">
        <v>370</v>
      </c>
      <c r="E92" s="66">
        <f>+(380+330)/2</f>
        <v>355</v>
      </c>
      <c r="F92" s="66">
        <v>242.5</v>
      </c>
      <c r="G92" s="71">
        <v>242</v>
      </c>
      <c r="H92" s="66">
        <v>77</v>
      </c>
      <c r="I92" s="66">
        <v>27</v>
      </c>
      <c r="J92" s="65">
        <v>65</v>
      </c>
      <c r="K92" s="66"/>
      <c r="L92" s="65"/>
      <c r="M92" s="66">
        <f t="shared" si="11"/>
        <v>3.7704918032786887</v>
      </c>
      <c r="N92" s="66">
        <f t="shared" si="12"/>
        <v>3.5263157894736845</v>
      </c>
      <c r="O92" s="66">
        <f t="shared" si="13"/>
        <v>2.5301861464786306</v>
      </c>
      <c r="P92" s="66">
        <f t="shared" si="14"/>
        <v>2.4276110324322</v>
      </c>
      <c r="Q92" s="66">
        <f t="shared" si="15"/>
        <v>3.2096079116504135</v>
      </c>
      <c r="R92" s="66">
        <f t="shared" si="15"/>
        <v>3.2029901633789692</v>
      </c>
      <c r="S92" s="66">
        <f t="shared" si="16"/>
        <v>129.4335182383594</v>
      </c>
      <c r="T92" s="66">
        <f t="shared" si="17"/>
        <v>45.38577912254161</v>
      </c>
      <c r="U92" s="25">
        <f t="shared" si="10"/>
        <v>0.2887567024873058</v>
      </c>
      <c r="V92" s="66"/>
      <c r="W92" s="66"/>
      <c r="X92" s="66">
        <f>+M92*Notes!$F118</f>
        <v>0.7473398950819672</v>
      </c>
      <c r="Y92" s="66">
        <f>+N92*Notes!$F118</f>
        <v>0.6989423686956522</v>
      </c>
      <c r="Z92" s="66">
        <f>+O92*Notes!$F118</f>
        <v>0.5015019652351234</v>
      </c>
      <c r="AA92" s="66">
        <f>+P92*Notes!$F118</f>
        <v>0.48117080448234817</v>
      </c>
      <c r="AB92" s="66">
        <f>+Q92*Notes!$F118</f>
        <v>0.6361684801598756</v>
      </c>
      <c r="AC92" s="66">
        <f>+R92*Notes!$F118</f>
        <v>0.6348567925719171</v>
      </c>
      <c r="AD92" s="66">
        <f>+S92*Notes!$F118</f>
        <v>25.65469890591769</v>
      </c>
      <c r="AE92" s="66">
        <f>+T92*Notes!$F118</f>
        <v>8.995803512464645</v>
      </c>
      <c r="AF92" s="66">
        <f>+U92*Notes!$F118</f>
        <v>0.05723375490524241</v>
      </c>
      <c r="AG92" s="66">
        <f>+V92*Notes!$F118</f>
        <v>0</v>
      </c>
    </row>
    <row r="93" spans="1:33" ht="15">
      <c r="A93" s="11">
        <v>1682</v>
      </c>
      <c r="B93" s="66">
        <f>+(237.5+331.75)/2</f>
        <v>284.625</v>
      </c>
      <c r="C93" s="66">
        <v>3.32</v>
      </c>
      <c r="D93" s="66">
        <v>240</v>
      </c>
      <c r="E93" s="66">
        <v>320</v>
      </c>
      <c r="F93" s="66">
        <v>240</v>
      </c>
      <c r="G93" s="71">
        <v>210</v>
      </c>
      <c r="H93" s="66">
        <v>80</v>
      </c>
      <c r="I93" s="66">
        <v>27</v>
      </c>
      <c r="J93" s="65">
        <v>50</v>
      </c>
      <c r="K93" s="66">
        <v>30</v>
      </c>
      <c r="L93" s="65"/>
      <c r="M93" s="66">
        <f t="shared" si="11"/>
        <v>3.732786885245902</v>
      </c>
      <c r="N93" s="66">
        <f t="shared" si="12"/>
        <v>4.368421052631579</v>
      </c>
      <c r="O93" s="66">
        <f t="shared" si="13"/>
        <v>1.6412018247428957</v>
      </c>
      <c r="P93" s="66">
        <f t="shared" si="14"/>
        <v>2.188269099657194</v>
      </c>
      <c r="Q93" s="66">
        <f t="shared" si="15"/>
        <v>3.1765191702931928</v>
      </c>
      <c r="R93" s="66">
        <f t="shared" si="15"/>
        <v>2.7794542740065435</v>
      </c>
      <c r="S93" s="66">
        <f t="shared" si="16"/>
        <v>134.47638258530847</v>
      </c>
      <c r="T93" s="66">
        <f t="shared" si="17"/>
        <v>45.38577912254161</v>
      </c>
      <c r="U93" s="25">
        <f t="shared" si="10"/>
        <v>0.22212054037485063</v>
      </c>
      <c r="V93" s="66">
        <v>30</v>
      </c>
      <c r="W93" s="66"/>
      <c r="X93" s="66">
        <f>+M93*Notes!$F119</f>
        <v>0.739854019672131</v>
      </c>
      <c r="Y93" s="66">
        <f>+N93*Notes!$F119</f>
        <v>0.865839378129117</v>
      </c>
      <c r="Z93" s="66">
        <f>+O93*Notes!$F119</f>
        <v>0.32529308649488503</v>
      </c>
      <c r="AA93" s="66">
        <f>+P93*Notes!$F119</f>
        <v>0.4337241153265134</v>
      </c>
      <c r="AB93" s="66">
        <f>+Q93*Notes!$F119</f>
        <v>0.6295994250291044</v>
      </c>
      <c r="AC93" s="66">
        <f>+R93*Notes!$F119</f>
        <v>0.5508994969004664</v>
      </c>
      <c r="AD93" s="66">
        <f>+S93*Notes!$F119</f>
        <v>26.653783155947202</v>
      </c>
      <c r="AE93" s="66">
        <f>+T93*Notes!$F119</f>
        <v>8.99565181513218</v>
      </c>
      <c r="AF93" s="66">
        <f>+U93*Notes!$F119</f>
        <v>0.04402522289649902</v>
      </c>
      <c r="AG93" s="66">
        <f>+V93*Notes!$F119</f>
        <v>5.946125849802371</v>
      </c>
    </row>
    <row r="94" spans="1:33" ht="15">
      <c r="A94" s="11">
        <v>1683</v>
      </c>
      <c r="B94" s="66">
        <f>+(333.35+275)/2</f>
        <v>304.175</v>
      </c>
      <c r="C94" s="66">
        <v>2.75</v>
      </c>
      <c r="D94" s="66">
        <v>170</v>
      </c>
      <c r="E94" s="66">
        <f>+(280+320)/2</f>
        <v>300</v>
      </c>
      <c r="F94" s="66">
        <v>190</v>
      </c>
      <c r="G94" s="71">
        <v>220</v>
      </c>
      <c r="H94" s="66">
        <v>70</v>
      </c>
      <c r="I94" s="66">
        <v>27</v>
      </c>
      <c r="J94" s="65">
        <v>61</v>
      </c>
      <c r="K94" s="66"/>
      <c r="L94" s="65"/>
      <c r="M94" s="66">
        <f t="shared" si="11"/>
        <v>3.9891803278688527</v>
      </c>
      <c r="N94" s="66">
        <f t="shared" si="12"/>
        <v>3.6184210526315788</v>
      </c>
      <c r="O94" s="66">
        <f t="shared" si="13"/>
        <v>1.1625179591928845</v>
      </c>
      <c r="P94" s="66">
        <f t="shared" si="14"/>
        <v>2.0515022809286196</v>
      </c>
      <c r="Q94" s="66">
        <f t="shared" si="15"/>
        <v>2.5147443431487777</v>
      </c>
      <c r="R94" s="66">
        <f t="shared" si="15"/>
        <v>2.9118092394354265</v>
      </c>
      <c r="S94" s="66">
        <f t="shared" si="16"/>
        <v>117.6668347621449</v>
      </c>
      <c r="T94" s="66">
        <f t="shared" si="17"/>
        <v>45.38577912254161</v>
      </c>
      <c r="U94" s="25">
        <f t="shared" si="10"/>
        <v>0.27098705925731775</v>
      </c>
      <c r="V94" s="66"/>
      <c r="W94" s="66"/>
      <c r="X94" s="66">
        <f>+M94*Notes!$F120</f>
        <v>0.7905916196721311</v>
      </c>
      <c r="Y94" s="66">
        <f>+N94*Notes!$F120</f>
        <v>0.717113072244596</v>
      </c>
      <c r="Z94" s="66">
        <f>+O94*Notes!$F120</f>
        <v>0.23039243170720317</v>
      </c>
      <c r="AA94" s="66">
        <f>+P94*Notes!$F120</f>
        <v>0.4065748794832997</v>
      </c>
      <c r="AB94" s="66">
        <f>+Q94*Notes!$F120</f>
        <v>0.49838203337712916</v>
      </c>
      <c r="AC94" s="66">
        <f>+R94*Notes!$F120</f>
        <v>0.5770739333840442</v>
      </c>
      <c r="AD94" s="66">
        <f>+S94*Notes!$F120</f>
        <v>23.319681195258184</v>
      </c>
      <c r="AE94" s="66">
        <f>+T94*Notes!$F120</f>
        <v>8.994734175313871</v>
      </c>
      <c r="AF94" s="66">
        <f>+U94*Notes!$F120</f>
        <v>0.05370529293743021</v>
      </c>
      <c r="AG94" s="66">
        <f>+V94*Notes!$F120</f>
        <v>0</v>
      </c>
    </row>
    <row r="95" spans="1:33" ht="15">
      <c r="A95" s="11">
        <v>1684</v>
      </c>
      <c r="B95" s="66">
        <f>+(275*2)/2</f>
        <v>275</v>
      </c>
      <c r="C95" s="66">
        <v>3.04</v>
      </c>
      <c r="D95" s="66">
        <v>180</v>
      </c>
      <c r="E95" s="66">
        <f>+(320+360)/2</f>
        <v>340</v>
      </c>
      <c r="F95" s="66">
        <v>240</v>
      </c>
      <c r="G95" s="71">
        <v>270</v>
      </c>
      <c r="H95" s="66">
        <v>75</v>
      </c>
      <c r="I95" s="66">
        <v>27</v>
      </c>
      <c r="J95" s="65">
        <v>65</v>
      </c>
      <c r="K95" s="66"/>
      <c r="L95" s="65"/>
      <c r="M95" s="66">
        <f t="shared" si="11"/>
        <v>3.6065573770491803</v>
      </c>
      <c r="N95" s="66">
        <f t="shared" si="12"/>
        <v>4</v>
      </c>
      <c r="O95" s="66">
        <f t="shared" si="13"/>
        <v>1.2309013685571717</v>
      </c>
      <c r="P95" s="66">
        <f t="shared" si="14"/>
        <v>2.325035918385769</v>
      </c>
      <c r="Q95" s="66">
        <f t="shared" si="15"/>
        <v>3.1765191702931928</v>
      </c>
      <c r="R95" s="66">
        <f t="shared" si="15"/>
        <v>3.573584066579842</v>
      </c>
      <c r="S95" s="66">
        <f t="shared" si="16"/>
        <v>126.07160867372669</v>
      </c>
      <c r="T95" s="66">
        <f t="shared" si="17"/>
        <v>45.38577912254161</v>
      </c>
      <c r="U95" s="25">
        <f t="shared" si="10"/>
        <v>0.2887567024873058</v>
      </c>
      <c r="V95" s="66"/>
      <c r="W95" s="66"/>
      <c r="X95" s="66">
        <f>+M95*Notes!$F121</f>
        <v>0.7146931606557376</v>
      </c>
      <c r="Y95" s="66">
        <f>+N95*Notes!$F121</f>
        <v>0.7926596872727272</v>
      </c>
      <c r="Z95" s="66">
        <f>+O95*Notes!$F121</f>
        <v>0.2439214734660249</v>
      </c>
      <c r="AA95" s="66">
        <f>+P95*Notes!$F121</f>
        <v>0.4607405609913804</v>
      </c>
      <c r="AB95" s="66">
        <f>+Q95*Notes!$F121</f>
        <v>0.6294746730351063</v>
      </c>
      <c r="AC95" s="66">
        <f>+R95*Notes!$F121</f>
        <v>0.7081590071644945</v>
      </c>
      <c r="AD95" s="66">
        <f>+S95*Notes!$F121</f>
        <v>24.98297047632146</v>
      </c>
      <c r="AE95" s="66">
        <f>+T95*Notes!$F121</f>
        <v>8.993869371475725</v>
      </c>
      <c r="AF95" s="66">
        <f>+U95*Notes!$F121</f>
        <v>0.05722144937287293</v>
      </c>
      <c r="AG95" s="66">
        <f>+V95*Notes!$F121</f>
        <v>0</v>
      </c>
    </row>
    <row r="96" spans="1:33" ht="15">
      <c r="A96" s="11">
        <v>1685</v>
      </c>
      <c r="B96" s="66">
        <f>+(333.35*2)/2</f>
        <v>333.35</v>
      </c>
      <c r="C96" s="66">
        <v>3.66</v>
      </c>
      <c r="D96" s="66">
        <v>215</v>
      </c>
      <c r="E96" s="66">
        <v>400</v>
      </c>
      <c r="F96" s="66">
        <v>300</v>
      </c>
      <c r="G96" s="71">
        <v>300</v>
      </c>
      <c r="H96" s="66">
        <v>86.5</v>
      </c>
      <c r="I96" s="66">
        <v>30</v>
      </c>
      <c r="J96" s="65">
        <v>65</v>
      </c>
      <c r="K96" s="66"/>
      <c r="L96" s="65"/>
      <c r="M96" s="66">
        <f t="shared" si="11"/>
        <v>4.371803278688525</v>
      </c>
      <c r="N96" s="66">
        <f t="shared" si="12"/>
        <v>4.815789473684211</v>
      </c>
      <c r="O96" s="66">
        <f t="shared" si="13"/>
        <v>1.4702433013321774</v>
      </c>
      <c r="P96" s="66">
        <f t="shared" si="14"/>
        <v>2.7353363745714927</v>
      </c>
      <c r="Q96" s="66">
        <f t="shared" si="15"/>
        <v>3.9706489628664907</v>
      </c>
      <c r="R96" s="66">
        <f t="shared" si="15"/>
        <v>3.9706489628664907</v>
      </c>
      <c r="S96" s="66">
        <f t="shared" si="16"/>
        <v>145.40258867036476</v>
      </c>
      <c r="T96" s="66">
        <f t="shared" si="17"/>
        <v>50.42864346949067</v>
      </c>
      <c r="U96" s="25">
        <f t="shared" si="10"/>
        <v>0.2887567024873058</v>
      </c>
      <c r="V96" s="66"/>
      <c r="W96" s="66"/>
      <c r="X96" s="66">
        <f>+M96*Notes!$F122</f>
        <v>0.8664900786885245</v>
      </c>
      <c r="Y96" s="66">
        <f>+N96*Notes!$F122</f>
        <v>0.9544880073496324</v>
      </c>
      <c r="Z96" s="66">
        <f>+O96*Notes!$F122</f>
        <v>0.2914017746573356</v>
      </c>
      <c r="AA96" s="66">
        <f>+P96*Notes!$F122</f>
        <v>0.5421428365717871</v>
      </c>
      <c r="AB96" s="66">
        <f>+Q96*Notes!$F122</f>
        <v>0.7869814154379793</v>
      </c>
      <c r="AC96" s="66">
        <f>+R96*Notes!$F122</f>
        <v>0.7869814154379793</v>
      </c>
      <c r="AD96" s="66">
        <f>+S96*Notes!$F122</f>
        <v>28.818748801591685</v>
      </c>
      <c r="AE96" s="66">
        <f>+T96*Notes!$F122</f>
        <v>9.99494178089885</v>
      </c>
      <c r="AF96" s="66">
        <f>+U96*Notes!$F122</f>
        <v>0.05723149051096419</v>
      </c>
      <c r="AG96" s="66">
        <f>+V96*Notes!$F122</f>
        <v>0</v>
      </c>
    </row>
    <row r="97" spans="1:33" ht="15">
      <c r="A97" s="11">
        <v>1686</v>
      </c>
      <c r="B97" s="66">
        <f>+(400*2)/2</f>
        <v>400</v>
      </c>
      <c r="C97" s="66">
        <v>3.66</v>
      </c>
      <c r="D97" s="66">
        <v>332</v>
      </c>
      <c r="E97" s="66">
        <v>510</v>
      </c>
      <c r="F97" s="66">
        <v>300</v>
      </c>
      <c r="G97" s="71">
        <v>270</v>
      </c>
      <c r="H97" s="66">
        <v>90</v>
      </c>
      <c r="I97" s="66">
        <v>27</v>
      </c>
      <c r="J97" s="65">
        <v>58</v>
      </c>
      <c r="K97" s="66"/>
      <c r="L97" s="65"/>
      <c r="M97" s="66">
        <f t="shared" si="11"/>
        <v>5.245901639344262</v>
      </c>
      <c r="N97" s="66">
        <f t="shared" si="12"/>
        <v>4.815789473684211</v>
      </c>
      <c r="O97" s="66">
        <f t="shared" si="13"/>
        <v>2.270329190894339</v>
      </c>
      <c r="P97" s="66">
        <f t="shared" si="14"/>
        <v>3.487553877578653</v>
      </c>
      <c r="Q97" s="66">
        <f t="shared" si="15"/>
        <v>3.9706489628664907</v>
      </c>
      <c r="R97" s="66">
        <f t="shared" si="15"/>
        <v>3.573584066579842</v>
      </c>
      <c r="S97" s="66">
        <f t="shared" si="16"/>
        <v>151.285930408472</v>
      </c>
      <c r="T97" s="66">
        <f t="shared" si="17"/>
        <v>45.38577912254161</v>
      </c>
      <c r="U97" s="25">
        <f t="shared" si="10"/>
        <v>0.2576598268348267</v>
      </c>
      <c r="V97" s="66"/>
      <c r="W97" s="66"/>
      <c r="X97" s="66">
        <f>+M97*Notes!$F123</f>
        <v>1.0397049180327869</v>
      </c>
      <c r="Y97" s="66">
        <f>+N97*Notes!$F123</f>
        <v>0.954459375</v>
      </c>
      <c r="Z97" s="66">
        <f>+O97*Notes!$F123</f>
        <v>0.4499650560778149</v>
      </c>
      <c r="AA97" s="66">
        <f>+P97*Notes!$F123</f>
        <v>0.6912113813243541</v>
      </c>
      <c r="AB97" s="66">
        <f>+Q97*Notes!$F123</f>
        <v>0.7869578078841205</v>
      </c>
      <c r="AC97" s="66">
        <f>+R97*Notes!$F123</f>
        <v>0.7082620270957085</v>
      </c>
      <c r="AD97" s="66">
        <f>+S97*Notes!$F123</f>
        <v>29.9839258698941</v>
      </c>
      <c r="AE97" s="66">
        <f>+T97*Notes!$F123</f>
        <v>8.99517776096823</v>
      </c>
      <c r="AF97" s="66">
        <f>+U97*Notes!$F123</f>
        <v>0.05106656730474493</v>
      </c>
      <c r="AG97" s="66">
        <f>+V97*Notes!$F123</f>
        <v>0</v>
      </c>
    </row>
    <row r="98" spans="1:33" ht="15">
      <c r="A98" s="11">
        <v>1687</v>
      </c>
      <c r="B98" s="66">
        <f>+(333.35+300)/2</f>
        <v>316.675</v>
      </c>
      <c r="C98" s="66">
        <v>2.87</v>
      </c>
      <c r="D98" s="66">
        <v>242</v>
      </c>
      <c r="E98" s="66">
        <v>400</v>
      </c>
      <c r="F98" s="66">
        <v>240</v>
      </c>
      <c r="G98" s="71">
        <v>210</v>
      </c>
      <c r="H98" s="66">
        <v>80</v>
      </c>
      <c r="I98" s="66">
        <v>29.5</v>
      </c>
      <c r="J98" s="65">
        <v>58</v>
      </c>
      <c r="K98" s="66"/>
      <c r="L98" s="65"/>
      <c r="M98" s="66">
        <f t="shared" si="11"/>
        <v>4.153114754098361</v>
      </c>
      <c r="N98" s="66">
        <f t="shared" si="12"/>
        <v>3.7763157894736845</v>
      </c>
      <c r="O98" s="66">
        <f t="shared" si="13"/>
        <v>1.654878506615753</v>
      </c>
      <c r="P98" s="66">
        <f t="shared" si="14"/>
        <v>2.7353363745714927</v>
      </c>
      <c r="Q98" s="66">
        <f t="shared" si="15"/>
        <v>3.1765191702931928</v>
      </c>
      <c r="R98" s="66">
        <f t="shared" si="15"/>
        <v>2.7794542740065435</v>
      </c>
      <c r="S98" s="66">
        <f t="shared" si="16"/>
        <v>134.47638258530847</v>
      </c>
      <c r="T98" s="66">
        <f t="shared" si="17"/>
        <v>49.58816607833249</v>
      </c>
      <c r="U98" s="25">
        <f t="shared" si="10"/>
        <v>0.2576598268348267</v>
      </c>
      <c r="V98" s="66"/>
      <c r="W98" s="66"/>
      <c r="X98" s="66">
        <f>+M98*Notes!$F124</f>
        <v>0.8231343836065574</v>
      </c>
      <c r="Y98" s="66">
        <f>+N98*Notes!$F124</f>
        <v>0.7484540046972449</v>
      </c>
      <c r="Z98" s="66">
        <f>+O98*Notes!$F124</f>
        <v>0.3279917556197236</v>
      </c>
      <c r="AA98" s="66">
        <f>+P98*Notes!$F124</f>
        <v>0.5421351332557416</v>
      </c>
      <c r="AB98" s="66">
        <f>+Q98*Notes!$F124</f>
        <v>0.6295761865653893</v>
      </c>
      <c r="AC98" s="66">
        <f>+R98*Notes!$F124</f>
        <v>0.5508791632447156</v>
      </c>
      <c r="AD98" s="66">
        <f>+S98*Notes!$F124</f>
        <v>26.65279936697263</v>
      </c>
      <c r="AE98" s="66">
        <f>+T98*Notes!$F124</f>
        <v>9.828219766571156</v>
      </c>
      <c r="AF98" s="66">
        <f>+U98*Notes!$F124</f>
        <v>0.051067373597747295</v>
      </c>
      <c r="AG98" s="66">
        <f>+V98*Notes!$F124</f>
        <v>0</v>
      </c>
    </row>
    <row r="99" spans="1:33" ht="15">
      <c r="A99" s="11">
        <v>1688</v>
      </c>
      <c r="B99" s="66">
        <f>+(275*2)/2</f>
        <v>275</v>
      </c>
      <c r="C99" s="66">
        <v>3.04</v>
      </c>
      <c r="D99" s="66">
        <v>156</v>
      </c>
      <c r="E99" s="66">
        <v>320</v>
      </c>
      <c r="F99" s="66">
        <v>180</v>
      </c>
      <c r="G99" s="71">
        <v>170</v>
      </c>
      <c r="H99" s="66">
        <v>75</v>
      </c>
      <c r="I99" s="66">
        <v>30</v>
      </c>
      <c r="J99" s="65">
        <v>64</v>
      </c>
      <c r="K99" s="66">
        <v>30</v>
      </c>
      <c r="L99" s="65"/>
      <c r="M99" s="66">
        <f t="shared" si="11"/>
        <v>3.6065573770491803</v>
      </c>
      <c r="N99" s="66">
        <f t="shared" si="12"/>
        <v>4</v>
      </c>
      <c r="O99" s="66">
        <f t="shared" si="13"/>
        <v>1.0667811860828822</v>
      </c>
      <c r="P99" s="66">
        <f t="shared" si="14"/>
        <v>2.188269099657194</v>
      </c>
      <c r="Q99" s="66">
        <f t="shared" si="15"/>
        <v>2.3823893777198943</v>
      </c>
      <c r="R99" s="66">
        <f t="shared" si="15"/>
        <v>2.2500344122910114</v>
      </c>
      <c r="S99" s="66">
        <f t="shared" si="16"/>
        <v>126.07160867372669</v>
      </c>
      <c r="T99" s="66">
        <f t="shared" si="17"/>
        <v>50.42864346949067</v>
      </c>
      <c r="U99" s="25">
        <f t="shared" si="10"/>
        <v>0.28431429167980876</v>
      </c>
      <c r="V99" s="66">
        <v>30</v>
      </c>
      <c r="W99" s="66"/>
      <c r="X99" s="66">
        <f>+M99*Notes!$F125</f>
        <v>0.7146931606557376</v>
      </c>
      <c r="Y99" s="66">
        <f>+N99*Notes!$F125</f>
        <v>0.7926596872727272</v>
      </c>
      <c r="Z99" s="66">
        <f>+O99*Notes!$F125</f>
        <v>0.2113986103372216</v>
      </c>
      <c r="AA99" s="66">
        <f>+P99*Notes!$F125</f>
        <v>0.43363817505071095</v>
      </c>
      <c r="AB99" s="66">
        <f>+Q99*Notes!$F125</f>
        <v>0.47210600477632964</v>
      </c>
      <c r="AC99" s="66">
        <f>+R99*Notes!$F125</f>
        <v>0.4458778933998669</v>
      </c>
      <c r="AD99" s="66">
        <f>+S99*Notes!$F125</f>
        <v>24.98297047632146</v>
      </c>
      <c r="AE99" s="66">
        <f>+T99*Notes!$F125</f>
        <v>9.993188190528583</v>
      </c>
      <c r="AF99" s="66">
        <f>+U99*Notes!$F125</f>
        <v>0.05634111938252104</v>
      </c>
      <c r="AG99" s="66">
        <f>+V99*Notes!$F125</f>
        <v>5.944947654545453</v>
      </c>
    </row>
    <row r="100" spans="1:33" ht="15">
      <c r="A100" s="11">
        <v>1689</v>
      </c>
      <c r="B100" s="66">
        <f>+(333.35+300)/2</f>
        <v>316.675</v>
      </c>
      <c r="C100" s="66">
        <v>3.16</v>
      </c>
      <c r="D100" s="66">
        <v>198</v>
      </c>
      <c r="E100" s="66">
        <v>320</v>
      </c>
      <c r="F100" s="66">
        <v>170</v>
      </c>
      <c r="G100" s="71">
        <v>180</v>
      </c>
      <c r="H100" s="66">
        <v>80</v>
      </c>
      <c r="I100" s="66">
        <v>30</v>
      </c>
      <c r="J100" s="65">
        <v>62</v>
      </c>
      <c r="K100" s="66">
        <v>30</v>
      </c>
      <c r="L100" s="65"/>
      <c r="M100" s="66">
        <f t="shared" si="11"/>
        <v>4.153114754098361</v>
      </c>
      <c r="N100" s="66">
        <f t="shared" si="12"/>
        <v>4.157894736842105</v>
      </c>
      <c r="O100" s="66">
        <f t="shared" si="13"/>
        <v>1.3539915054128888</v>
      </c>
      <c r="P100" s="66">
        <f t="shared" si="14"/>
        <v>2.188269099657194</v>
      </c>
      <c r="Q100" s="66">
        <f t="shared" si="15"/>
        <v>2.2500344122910114</v>
      </c>
      <c r="R100" s="66">
        <f t="shared" si="15"/>
        <v>2.3823893777198943</v>
      </c>
      <c r="S100" s="66">
        <f t="shared" si="16"/>
        <v>134.47638258530847</v>
      </c>
      <c r="T100" s="66">
        <f t="shared" si="17"/>
        <v>50.42864346949067</v>
      </c>
      <c r="U100" s="25">
        <f t="shared" si="10"/>
        <v>0.2754294700648148</v>
      </c>
      <c r="V100" s="66">
        <v>30</v>
      </c>
      <c r="W100" s="66"/>
      <c r="X100" s="66">
        <f>+M100*Notes!$F126</f>
        <v>0.8231343836065574</v>
      </c>
      <c r="Y100" s="66">
        <f>+N100*Notes!$F126</f>
        <v>0.8240817612694403</v>
      </c>
      <c r="Z100" s="66">
        <f>+O100*Notes!$F126</f>
        <v>0.26835689096159204</v>
      </c>
      <c r="AA100" s="66">
        <f>+P100*Notes!$F126</f>
        <v>0.43370810660459325</v>
      </c>
      <c r="AB100" s="66">
        <f>+Q100*Notes!$F126</f>
        <v>0.44594979881715074</v>
      </c>
      <c r="AC100" s="66">
        <f>+R100*Notes!$F126</f>
        <v>0.47218213992404195</v>
      </c>
      <c r="AD100" s="66">
        <f>+S100*Notes!$F126</f>
        <v>26.65279936697263</v>
      </c>
      <c r="AE100" s="66">
        <f>+T100*Notes!$F126</f>
        <v>9.994799762614736</v>
      </c>
      <c r="AF100" s="66">
        <f>+U100*Notes!$F126</f>
        <v>0.05458926143207471</v>
      </c>
      <c r="AG100" s="66">
        <f>+V100*Notes!$F126</f>
        <v>5.945906378779506</v>
      </c>
    </row>
    <row r="101" spans="1:33" ht="15">
      <c r="A101" s="11">
        <v>1690</v>
      </c>
      <c r="B101" s="66">
        <f>+(333.35*2)/2</f>
        <v>333.35</v>
      </c>
      <c r="C101" s="66">
        <v>3.47</v>
      </c>
      <c r="D101" s="66">
        <v>188</v>
      </c>
      <c r="E101" s="66">
        <v>440</v>
      </c>
      <c r="F101" s="66">
        <v>180</v>
      </c>
      <c r="G101" s="71">
        <v>240</v>
      </c>
      <c r="H101" s="66">
        <v>82.35</v>
      </c>
      <c r="I101" s="66">
        <v>30</v>
      </c>
      <c r="J101" s="65">
        <v>62</v>
      </c>
      <c r="K101" s="66">
        <v>30</v>
      </c>
      <c r="L101" s="65"/>
      <c r="M101" s="66">
        <f t="shared" si="11"/>
        <v>4.371803278688525</v>
      </c>
      <c r="N101" s="66">
        <f t="shared" si="12"/>
        <v>4.565789473684211</v>
      </c>
      <c r="O101" s="66">
        <f t="shared" si="13"/>
        <v>1.2856080960486016</v>
      </c>
      <c r="P101" s="66">
        <f t="shared" si="14"/>
        <v>3.008870012028642</v>
      </c>
      <c r="Q101" s="66">
        <f t="shared" si="15"/>
        <v>2.3823893777198943</v>
      </c>
      <c r="R101" s="66">
        <f t="shared" si="15"/>
        <v>3.1765191702931928</v>
      </c>
      <c r="S101" s="66">
        <f t="shared" si="16"/>
        <v>138.4266263237519</v>
      </c>
      <c r="T101" s="66">
        <f t="shared" si="17"/>
        <v>50.42864346949067</v>
      </c>
      <c r="U101" s="25">
        <f t="shared" si="10"/>
        <v>0.2754294700648148</v>
      </c>
      <c r="V101" s="66">
        <v>30</v>
      </c>
      <c r="W101" s="66"/>
      <c r="X101" s="66">
        <f>+M101*Notes!$F127</f>
        <v>0.8664900786885245</v>
      </c>
      <c r="Y101" s="66">
        <f>+N101*Notes!$F127</f>
        <v>0.9049380834708263</v>
      </c>
      <c r="Z101" s="66">
        <f>+O101*Notes!$F127</f>
        <v>0.25480713318873993</v>
      </c>
      <c r="AA101" s="66">
        <f>+P101*Notes!$F127</f>
        <v>0.5963571202289658</v>
      </c>
      <c r="AB101" s="66">
        <f>+Q101*Notes!$F127</f>
        <v>0.47218884926278754</v>
      </c>
      <c r="AC101" s="66">
        <f>+R101*Notes!$F127</f>
        <v>0.6295851323503834</v>
      </c>
      <c r="AD101" s="66">
        <f>+S101*Notes!$F127</f>
        <v>27.436115188567346</v>
      </c>
      <c r="AE101" s="66">
        <f>+T101*Notes!$F127</f>
        <v>9.99494178089885</v>
      </c>
      <c r="AF101" s="66">
        <f>+U101*Notes!$F127</f>
        <v>0.054590037102765845</v>
      </c>
      <c r="AG101" s="66">
        <f>+V101*Notes!$F127</f>
        <v>5.945990865456726</v>
      </c>
    </row>
    <row r="102" spans="1:33" ht="15">
      <c r="A102" s="11">
        <v>1691</v>
      </c>
      <c r="B102" s="66">
        <f>+(361.75+333.35)/2</f>
        <v>347.55</v>
      </c>
      <c r="C102" s="66">
        <v>3.33</v>
      </c>
      <c r="D102" s="66">
        <v>235</v>
      </c>
      <c r="E102" s="66">
        <v>400</v>
      </c>
      <c r="F102" s="66">
        <v>300</v>
      </c>
      <c r="G102" s="71">
        <v>270</v>
      </c>
      <c r="H102" s="66">
        <v>103</v>
      </c>
      <c r="I102" s="66">
        <v>30</v>
      </c>
      <c r="J102" s="65">
        <v>61</v>
      </c>
      <c r="K102" s="66">
        <v>30</v>
      </c>
      <c r="L102" s="65"/>
      <c r="M102" s="66">
        <f t="shared" si="11"/>
        <v>4.558032786885246</v>
      </c>
      <c r="N102" s="66">
        <f t="shared" si="12"/>
        <v>4.381578947368421</v>
      </c>
      <c r="O102" s="66">
        <f t="shared" si="13"/>
        <v>1.6070101200607518</v>
      </c>
      <c r="P102" s="66">
        <f t="shared" si="14"/>
        <v>2.7353363745714927</v>
      </c>
      <c r="Q102" s="66">
        <f t="shared" si="15"/>
        <v>3.9706489628664907</v>
      </c>
      <c r="R102" s="66">
        <f t="shared" si="15"/>
        <v>3.573584066579842</v>
      </c>
      <c r="S102" s="66">
        <f t="shared" si="16"/>
        <v>173.13834257858463</v>
      </c>
      <c r="T102" s="66">
        <f t="shared" si="17"/>
        <v>50.42864346949067</v>
      </c>
      <c r="U102" s="25">
        <f t="shared" si="10"/>
        <v>0.27098705925731775</v>
      </c>
      <c r="V102" s="66">
        <v>30</v>
      </c>
      <c r="W102" s="66"/>
      <c r="X102" s="66">
        <f>+M102*Notes!$F128</f>
        <v>0.9032956327868851</v>
      </c>
      <c r="Y102" s="66">
        <f>+N102*Notes!$F128</f>
        <v>0.868326603366422</v>
      </c>
      <c r="Z102" s="66">
        <f>+O102*Notes!$F128</f>
        <v>0.31847186959073337</v>
      </c>
      <c r="AA102" s="66">
        <f>+P102*Notes!$F128</f>
        <v>0.5420797780267802</v>
      </c>
      <c r="AB102" s="66">
        <f>+Q102*Notes!$F128</f>
        <v>0.7868898788545231</v>
      </c>
      <c r="AC102" s="66">
        <f>+R102*Notes!$F128</f>
        <v>0.7082008909690709</v>
      </c>
      <c r="AD102" s="66">
        <f>+S102*Notes!$F128</f>
        <v>34.31197536998597</v>
      </c>
      <c r="AE102" s="66">
        <f>+T102*Notes!$F128</f>
        <v>9.993779233976499</v>
      </c>
      <c r="AF102" s="66">
        <f>+U102*Notes!$F128</f>
        <v>0.05370330548591085</v>
      </c>
      <c r="AG102" s="66">
        <f>+V102*Notes!$F128</f>
        <v>5.9452992662926185</v>
      </c>
    </row>
    <row r="103" spans="1:33" ht="15">
      <c r="A103" s="11">
        <v>1692</v>
      </c>
      <c r="B103" s="66">
        <f>+(333.35*2)/2</f>
        <v>333.35</v>
      </c>
      <c r="C103" s="66">
        <v>3.33</v>
      </c>
      <c r="D103" s="66">
        <v>200</v>
      </c>
      <c r="E103" s="66">
        <v>400</v>
      </c>
      <c r="F103" s="66">
        <v>240</v>
      </c>
      <c r="G103" s="71">
        <v>240</v>
      </c>
      <c r="H103" s="66">
        <v>103</v>
      </c>
      <c r="I103" s="66">
        <v>30</v>
      </c>
      <c r="J103" s="65">
        <v>61</v>
      </c>
      <c r="K103" s="66">
        <v>30</v>
      </c>
      <c r="L103" s="65"/>
      <c r="M103" s="66">
        <f t="shared" si="11"/>
        <v>4.371803278688525</v>
      </c>
      <c r="N103" s="66">
        <f t="shared" si="12"/>
        <v>4.381578947368421</v>
      </c>
      <c r="O103" s="66">
        <f t="shared" si="13"/>
        <v>1.3676681872857464</v>
      </c>
      <c r="P103" s="66">
        <f t="shared" si="14"/>
        <v>2.7353363745714927</v>
      </c>
      <c r="Q103" s="66">
        <f t="shared" si="15"/>
        <v>3.1765191702931928</v>
      </c>
      <c r="R103" s="66">
        <f t="shared" si="15"/>
        <v>3.1765191702931928</v>
      </c>
      <c r="S103" s="66">
        <f t="shared" si="16"/>
        <v>173.13834257858463</v>
      </c>
      <c r="T103" s="66">
        <f t="shared" si="17"/>
        <v>50.42864346949067</v>
      </c>
      <c r="U103" s="25">
        <f t="shared" si="10"/>
        <v>0.27098705925731775</v>
      </c>
      <c r="V103" s="66">
        <v>30</v>
      </c>
      <c r="W103" s="66"/>
      <c r="X103" s="66">
        <f>+M103*Notes!$F129</f>
        <v>0.8664900786885245</v>
      </c>
      <c r="Y103" s="66">
        <f>+N103*Notes!$F129</f>
        <v>0.8684276132443377</v>
      </c>
      <c r="Z103" s="66">
        <f>+O103*Notes!$F129</f>
        <v>0.27107141828589354</v>
      </c>
      <c r="AA103" s="66">
        <f>+P103*Notes!$F129</f>
        <v>0.5421428365717871</v>
      </c>
      <c r="AB103" s="66">
        <f>+Q103*Notes!$F129</f>
        <v>0.6295851323503834</v>
      </c>
      <c r="AC103" s="66">
        <f>+R103*Notes!$F129</f>
        <v>0.6295851323503834</v>
      </c>
      <c r="AD103" s="66">
        <f>+S103*Notes!$F129</f>
        <v>34.315966781086054</v>
      </c>
      <c r="AE103" s="66">
        <f>+T103*Notes!$F129</f>
        <v>9.99494178089885</v>
      </c>
      <c r="AF103" s="66">
        <f>+U103*Notes!$F129</f>
        <v>0.053709552633366395</v>
      </c>
      <c r="AG103" s="66">
        <f>+V103*Notes!$F129</f>
        <v>5.945990865456726</v>
      </c>
    </row>
    <row r="104" spans="1:33" ht="15">
      <c r="A104" s="11">
        <v>1693</v>
      </c>
      <c r="B104" s="66">
        <f>+(333.35*2)/2</f>
        <v>333.35</v>
      </c>
      <c r="C104" s="66">
        <v>3.66</v>
      </c>
      <c r="D104" s="66">
        <v>296</v>
      </c>
      <c r="E104" s="66">
        <v>400</v>
      </c>
      <c r="F104" s="66">
        <v>240</v>
      </c>
      <c r="G104" s="71">
        <v>240</v>
      </c>
      <c r="H104" s="66">
        <v>81.4</v>
      </c>
      <c r="I104" s="66">
        <v>30</v>
      </c>
      <c r="J104" s="65"/>
      <c r="K104" s="66">
        <v>30</v>
      </c>
      <c r="L104" s="65"/>
      <c r="M104" s="66">
        <f t="shared" si="11"/>
        <v>4.371803278688525</v>
      </c>
      <c r="N104" s="66">
        <f t="shared" si="12"/>
        <v>4.815789473684211</v>
      </c>
      <c r="O104" s="66">
        <f t="shared" si="13"/>
        <v>2.0241489171829046</v>
      </c>
      <c r="P104" s="66">
        <f t="shared" si="14"/>
        <v>2.7353363745714927</v>
      </c>
      <c r="Q104" s="66">
        <f t="shared" si="15"/>
        <v>3.1765191702931928</v>
      </c>
      <c r="R104" s="66">
        <f t="shared" si="15"/>
        <v>3.1765191702931928</v>
      </c>
      <c r="S104" s="66">
        <f t="shared" si="16"/>
        <v>136.82971928055136</v>
      </c>
      <c r="T104" s="66">
        <f t="shared" si="17"/>
        <v>50.42864346949067</v>
      </c>
      <c r="U104" s="25">
        <f t="shared" si="10"/>
        <v>0</v>
      </c>
      <c r="V104" s="66">
        <v>30</v>
      </c>
      <c r="W104" s="66"/>
      <c r="X104" s="66">
        <f>+M104*Notes!$F130</f>
        <v>0.8664900786885245</v>
      </c>
      <c r="Y104" s="66">
        <f>+N104*Notes!$F130</f>
        <v>0.9544880073496324</v>
      </c>
      <c r="Z104" s="66">
        <f>+O104*Notes!$F130</f>
        <v>0.40118569906312246</v>
      </c>
      <c r="AA104" s="66">
        <f>+P104*Notes!$F130</f>
        <v>0.5421428365717871</v>
      </c>
      <c r="AB104" s="66">
        <f>+Q104*Notes!$F130</f>
        <v>0.6295851323503834</v>
      </c>
      <c r="AC104" s="66">
        <f>+R104*Notes!$F130</f>
        <v>0.6295851323503834</v>
      </c>
      <c r="AD104" s="66">
        <f>+S104*Notes!$F130</f>
        <v>27.11960869883888</v>
      </c>
      <c r="AE104" s="66">
        <f>+T104*Notes!$F130</f>
        <v>9.99494178089885</v>
      </c>
      <c r="AF104" s="66">
        <f>+U104*Notes!$F130</f>
        <v>0</v>
      </c>
      <c r="AG104" s="66">
        <f>+V104*Notes!$F130</f>
        <v>5.945990865456726</v>
      </c>
    </row>
    <row r="105" spans="1:33" ht="15">
      <c r="A105" s="11">
        <v>1694</v>
      </c>
      <c r="B105" s="66">
        <f>+(400*2)/2</f>
        <v>400</v>
      </c>
      <c r="C105" s="66">
        <v>4</v>
      </c>
      <c r="D105" s="66">
        <v>300</v>
      </c>
      <c r="E105" s="66">
        <v>480</v>
      </c>
      <c r="F105" s="66">
        <v>270</v>
      </c>
      <c r="G105" s="71">
        <v>330</v>
      </c>
      <c r="H105" s="66">
        <v>97</v>
      </c>
      <c r="I105" s="66">
        <v>30</v>
      </c>
      <c r="J105" s="65">
        <v>61</v>
      </c>
      <c r="K105" s="66"/>
      <c r="L105" s="65"/>
      <c r="M105" s="66">
        <f t="shared" si="11"/>
        <v>5.245901639344262</v>
      </c>
      <c r="N105" s="66">
        <f t="shared" si="12"/>
        <v>5.2631578947368425</v>
      </c>
      <c r="O105" s="66">
        <f t="shared" si="13"/>
        <v>2.0515022809286196</v>
      </c>
      <c r="P105" s="66">
        <f t="shared" si="14"/>
        <v>3.2824036494857913</v>
      </c>
      <c r="Q105" s="66">
        <f t="shared" si="15"/>
        <v>3.573584066579842</v>
      </c>
      <c r="R105" s="66">
        <f t="shared" si="15"/>
        <v>4.36771385915314</v>
      </c>
      <c r="S105" s="66">
        <f t="shared" si="16"/>
        <v>163.0526138846865</v>
      </c>
      <c r="T105" s="66">
        <f t="shared" si="17"/>
        <v>50.42864346949067</v>
      </c>
      <c r="U105" s="25">
        <f t="shared" si="10"/>
        <v>0.27098705925731775</v>
      </c>
      <c r="V105" s="66"/>
      <c r="W105" s="66"/>
      <c r="X105" s="66">
        <f>+M105*Notes!$F131</f>
        <v>1.0397049180327869</v>
      </c>
      <c r="Y105" s="66">
        <f>+N105*Notes!$F131</f>
        <v>1.043125</v>
      </c>
      <c r="Z105" s="66">
        <f>+O105*Notes!$F131</f>
        <v>0.4065949301907966</v>
      </c>
      <c r="AA105" s="66">
        <f>+P105*Notes!$F131</f>
        <v>0.6505518883052746</v>
      </c>
      <c r="AB105" s="66">
        <f>+Q105*Notes!$F131</f>
        <v>0.7082620270957085</v>
      </c>
      <c r="AC105" s="66">
        <f>+R105*Notes!$F131</f>
        <v>0.8656535886725326</v>
      </c>
      <c r="AD105" s="66">
        <f>+S105*Notes!$F131</f>
        <v>32.316008993108085</v>
      </c>
      <c r="AE105" s="66">
        <f>+T105*Notes!$F131</f>
        <v>9.994641956631368</v>
      </c>
      <c r="AF105" s="66">
        <f>+U105*Notes!$F131</f>
        <v>0.05370794147568002</v>
      </c>
      <c r="AG105" s="66">
        <f>+V105*Notes!$F131</f>
        <v>0</v>
      </c>
    </row>
    <row r="106" spans="1:33" ht="15">
      <c r="A106" s="11">
        <v>1695</v>
      </c>
      <c r="B106" s="66">
        <f>+(400+466.65)/2</f>
        <v>433.325</v>
      </c>
      <c r="C106" s="66">
        <v>4.83</v>
      </c>
      <c r="D106" s="66">
        <v>400</v>
      </c>
      <c r="E106" s="66">
        <f>+(480+560)/2</f>
        <v>520</v>
      </c>
      <c r="F106" s="66">
        <v>360</v>
      </c>
      <c r="G106" s="71">
        <v>360</v>
      </c>
      <c r="H106" s="66">
        <v>87.5</v>
      </c>
      <c r="I106" s="66">
        <v>30</v>
      </c>
      <c r="J106" s="65">
        <v>59</v>
      </c>
      <c r="K106" s="66">
        <v>30</v>
      </c>
      <c r="L106" s="65"/>
      <c r="M106" s="66">
        <f t="shared" si="11"/>
        <v>5.682950819672131</v>
      </c>
      <c r="N106" s="66">
        <f t="shared" si="12"/>
        <v>6.355263157894737</v>
      </c>
      <c r="O106" s="66">
        <f t="shared" si="13"/>
        <v>2.7353363745714927</v>
      </c>
      <c r="P106" s="66">
        <f t="shared" si="14"/>
        <v>3.5559372869429406</v>
      </c>
      <c r="Q106" s="66">
        <f t="shared" si="15"/>
        <v>4.764778755439789</v>
      </c>
      <c r="R106" s="66">
        <f t="shared" si="15"/>
        <v>4.764778755439789</v>
      </c>
      <c r="S106" s="66">
        <f t="shared" si="16"/>
        <v>147.0835434526811</v>
      </c>
      <c r="T106" s="66">
        <f t="shared" si="17"/>
        <v>50.42864346949067</v>
      </c>
      <c r="U106" s="25">
        <f t="shared" si="10"/>
        <v>0.2621022376423237</v>
      </c>
      <c r="V106" s="66">
        <v>30</v>
      </c>
      <c r="W106" s="66"/>
      <c r="X106" s="66">
        <f>+M106*Notes!$F132</f>
        <v>1.126312337704918</v>
      </c>
      <c r="Y106" s="66">
        <f>+N106*Notes!$F132</f>
        <v>1.25955890368084</v>
      </c>
      <c r="Z106" s="66">
        <f>+O106*Notes!$F132</f>
        <v>0.5421203181608137</v>
      </c>
      <c r="AA106" s="66">
        <f>+P106*Notes!$F132</f>
        <v>0.7047564136090579</v>
      </c>
      <c r="AB106" s="66">
        <f>+Q106*Notes!$F132</f>
        <v>0.9443384729125172</v>
      </c>
      <c r="AC106" s="66">
        <f>+R106*Notes!$F132</f>
        <v>0.9443384729125172</v>
      </c>
      <c r="AD106" s="66">
        <f>+S106*Notes!$F132</f>
        <v>29.150702675563494</v>
      </c>
      <c r="AE106" s="66">
        <f>+T106*Notes!$F132</f>
        <v>9.99452663162177</v>
      </c>
      <c r="AF106" s="66">
        <f>+U106*Notes!$F132</f>
        <v>0.05194642596144219</v>
      </c>
      <c r="AG106" s="66">
        <f>+V106*Notes!$F132</f>
        <v>5.945743893151791</v>
      </c>
    </row>
    <row r="107" spans="1:33" ht="15">
      <c r="A107" s="11">
        <v>1696</v>
      </c>
      <c r="B107" s="66">
        <f>+(500*2)/2</f>
        <v>500</v>
      </c>
      <c r="C107" s="66">
        <v>4.83</v>
      </c>
      <c r="D107" s="66">
        <v>360</v>
      </c>
      <c r="E107" s="66">
        <v>640</v>
      </c>
      <c r="F107" s="66">
        <v>360</v>
      </c>
      <c r="G107" s="71">
        <v>330</v>
      </c>
      <c r="H107" s="66">
        <v>89</v>
      </c>
      <c r="I107" s="66">
        <v>30</v>
      </c>
      <c r="J107" s="65">
        <v>59</v>
      </c>
      <c r="K107" s="66">
        <v>30</v>
      </c>
      <c r="L107" s="65"/>
      <c r="M107" s="66">
        <f t="shared" si="11"/>
        <v>6.557377049180328</v>
      </c>
      <c r="N107" s="66">
        <f t="shared" si="12"/>
        <v>6.355263157894737</v>
      </c>
      <c r="O107" s="66">
        <f t="shared" si="13"/>
        <v>2.4618027371143434</v>
      </c>
      <c r="P107" s="66">
        <f t="shared" si="14"/>
        <v>4.376538199314388</v>
      </c>
      <c r="Q107" s="66">
        <f t="shared" si="15"/>
        <v>4.764778755439789</v>
      </c>
      <c r="R107" s="66">
        <f t="shared" si="15"/>
        <v>4.36771385915314</v>
      </c>
      <c r="S107" s="66">
        <f t="shared" si="16"/>
        <v>149.60497562615566</v>
      </c>
      <c r="T107" s="66">
        <f t="shared" si="17"/>
        <v>50.42864346949067</v>
      </c>
      <c r="U107" s="25">
        <f t="shared" si="10"/>
        <v>0.2621022376423237</v>
      </c>
      <c r="V107" s="66">
        <v>30</v>
      </c>
      <c r="W107" s="66"/>
      <c r="X107" s="66">
        <f>+M107*Notes!$F133</f>
        <v>1.2996311475409836</v>
      </c>
      <c r="Y107" s="66">
        <f>+N107*Notes!$F133</f>
        <v>1.2595734375</v>
      </c>
      <c r="Z107" s="66">
        <f>+O107*Notes!$F133</f>
        <v>0.4879139162289559</v>
      </c>
      <c r="AA107" s="66">
        <f>+P107*Notes!$F133</f>
        <v>0.867402517740366</v>
      </c>
      <c r="AB107" s="66">
        <f>+Q107*Notes!$F133</f>
        <v>0.9443493694609446</v>
      </c>
      <c r="AC107" s="66">
        <f>+R107*Notes!$F133</f>
        <v>0.8656535886725326</v>
      </c>
      <c r="AD107" s="66">
        <f>+S107*Notes!$F133</f>
        <v>29.65077113800639</v>
      </c>
      <c r="AE107" s="66">
        <f>+T107*Notes!$F133</f>
        <v>9.994641956631368</v>
      </c>
      <c r="AF107" s="66">
        <f>+U107*Notes!$F133</f>
        <v>0.0519470253617233</v>
      </c>
      <c r="AG107" s="66">
        <f>+V107*Notes!$F133</f>
        <v>5.9458125</v>
      </c>
    </row>
    <row r="108" spans="1:33" ht="15">
      <c r="A108" s="11">
        <v>1697</v>
      </c>
      <c r="B108" s="66">
        <f>+(466.65*2)/2</f>
        <v>466.65</v>
      </c>
      <c r="C108" s="66">
        <v>4.33</v>
      </c>
      <c r="D108" s="66">
        <v>360</v>
      </c>
      <c r="E108" s="66">
        <v>540</v>
      </c>
      <c r="F108" s="66">
        <v>300</v>
      </c>
      <c r="G108" s="71">
        <v>300</v>
      </c>
      <c r="H108" s="66">
        <v>91</v>
      </c>
      <c r="I108" s="66">
        <v>30</v>
      </c>
      <c r="J108" s="65">
        <v>62</v>
      </c>
      <c r="K108" s="66">
        <v>30</v>
      </c>
      <c r="L108" s="65"/>
      <c r="M108" s="66">
        <f t="shared" si="11"/>
        <v>6.12</v>
      </c>
      <c r="N108" s="66">
        <f t="shared" si="12"/>
        <v>5.697368421052632</v>
      </c>
      <c r="O108" s="66">
        <f t="shared" si="13"/>
        <v>2.4618027371143434</v>
      </c>
      <c r="P108" s="66">
        <f t="shared" si="14"/>
        <v>3.692704105671515</v>
      </c>
      <c r="Q108" s="66">
        <f t="shared" si="15"/>
        <v>3.9706489628664907</v>
      </c>
      <c r="R108" s="66">
        <f t="shared" si="15"/>
        <v>3.9706489628664907</v>
      </c>
      <c r="S108" s="66">
        <f t="shared" si="16"/>
        <v>152.96688519078836</v>
      </c>
      <c r="T108" s="66">
        <f t="shared" si="17"/>
        <v>50.42864346949067</v>
      </c>
      <c r="U108" s="25">
        <f t="shared" si="10"/>
        <v>0.2754294700648148</v>
      </c>
      <c r="V108" s="66">
        <v>30</v>
      </c>
      <c r="W108" s="66"/>
      <c r="X108" s="66">
        <f>+M108*Notes!$F134</f>
        <v>1.2129197573770492</v>
      </c>
      <c r="Y108" s="66">
        <f>+N108*Notes!$F134</f>
        <v>1.129158614861245</v>
      </c>
      <c r="Z108" s="66">
        <f>+O108*Notes!$F134</f>
        <v>0.4879034605573341</v>
      </c>
      <c r="AA108" s="66">
        <f>+P108*Notes!$F134</f>
        <v>0.7318551908360011</v>
      </c>
      <c r="AB108" s="66">
        <f>+Q108*Notes!$F134</f>
        <v>0.7869409439002378</v>
      </c>
      <c r="AC108" s="66">
        <f>+R108*Notes!$F134</f>
        <v>0.7869409439002378</v>
      </c>
      <c r="AD108" s="66">
        <f>+S108*Notes!$F134</f>
        <v>30.31643092685195</v>
      </c>
      <c r="AE108" s="66">
        <f>+T108*Notes!$F134</f>
        <v>9.994427778083061</v>
      </c>
      <c r="AF108" s="66">
        <f>+U108*Notes!$F134</f>
        <v>0.05458722973946149</v>
      </c>
      <c r="AG108" s="66">
        <f>+V108*Notes!$F134</f>
        <v>5.945685085181613</v>
      </c>
    </row>
    <row r="109" spans="1:33" ht="15">
      <c r="A109" s="11">
        <v>1698</v>
      </c>
      <c r="B109" s="66">
        <f>+(400*2)/2</f>
        <v>400</v>
      </c>
      <c r="C109" s="66">
        <v>4</v>
      </c>
      <c r="D109" s="66">
        <v>300</v>
      </c>
      <c r="E109" s="66">
        <f>+(405+440)/2</f>
        <v>422.5</v>
      </c>
      <c r="F109" s="66">
        <v>290</v>
      </c>
      <c r="G109" s="71">
        <v>290</v>
      </c>
      <c r="H109" s="66">
        <v>90</v>
      </c>
      <c r="I109" s="66">
        <v>30</v>
      </c>
      <c r="J109" s="65">
        <v>62</v>
      </c>
      <c r="K109" s="66"/>
      <c r="L109" s="65"/>
      <c r="M109" s="66">
        <f t="shared" si="11"/>
        <v>5.245901639344262</v>
      </c>
      <c r="N109" s="66">
        <f t="shared" si="12"/>
        <v>5.2631578947368425</v>
      </c>
      <c r="O109" s="66">
        <f t="shared" si="13"/>
        <v>2.0515022809286196</v>
      </c>
      <c r="P109" s="66">
        <f t="shared" si="14"/>
        <v>2.889199045641139</v>
      </c>
      <c r="Q109" s="66">
        <f t="shared" si="15"/>
        <v>3.838293997437608</v>
      </c>
      <c r="R109" s="66">
        <f t="shared" si="15"/>
        <v>3.838293997437608</v>
      </c>
      <c r="S109" s="66">
        <f t="shared" si="16"/>
        <v>151.285930408472</v>
      </c>
      <c r="T109" s="66">
        <f t="shared" si="17"/>
        <v>50.42864346949067</v>
      </c>
      <c r="U109" s="25">
        <f t="shared" si="10"/>
        <v>0.2754294700648148</v>
      </c>
      <c r="V109" s="66"/>
      <c r="W109" s="66"/>
      <c r="X109" s="66">
        <f>+M109*Notes!$F135</f>
        <v>1.0397049180327869</v>
      </c>
      <c r="Y109" s="66">
        <f>+N109*Notes!$F135</f>
        <v>1.043125</v>
      </c>
      <c r="Z109" s="66">
        <f>+O109*Notes!$F135</f>
        <v>0.4065949301907966</v>
      </c>
      <c r="AA109" s="66">
        <f>+P109*Notes!$F135</f>
        <v>0.5726211933520385</v>
      </c>
      <c r="AB109" s="66">
        <f>+Q109*Notes!$F135</f>
        <v>0.7607258809546499</v>
      </c>
      <c r="AC109" s="66">
        <f>+R109*Notes!$F135</f>
        <v>0.7607258809546499</v>
      </c>
      <c r="AD109" s="66">
        <f>+S109*Notes!$F135</f>
        <v>29.9839258698941</v>
      </c>
      <c r="AE109" s="66">
        <f>+T109*Notes!$F135</f>
        <v>9.994641956631368</v>
      </c>
      <c r="AF109" s="66">
        <f>+U109*Notes!$F135</f>
        <v>0.054588399532658385</v>
      </c>
      <c r="AG109" s="66">
        <f>+V109*Notes!$F135</f>
        <v>0</v>
      </c>
    </row>
    <row r="110" spans="1:33" ht="15">
      <c r="A110" s="11">
        <v>1699</v>
      </c>
      <c r="B110" s="66">
        <f>+(400*2)/2</f>
        <v>400</v>
      </c>
      <c r="C110" s="66">
        <v>3.66</v>
      </c>
      <c r="D110" s="66">
        <v>200</v>
      </c>
      <c r="E110" s="66">
        <v>560</v>
      </c>
      <c r="F110" s="66">
        <v>300</v>
      </c>
      <c r="G110" s="71">
        <v>250</v>
      </c>
      <c r="H110" s="66">
        <v>95.65</v>
      </c>
      <c r="I110" s="66">
        <v>30</v>
      </c>
      <c r="J110" s="65">
        <v>62</v>
      </c>
      <c r="K110" s="66">
        <v>30</v>
      </c>
      <c r="L110" s="65"/>
      <c r="M110" s="66">
        <f t="shared" si="11"/>
        <v>5.245901639344262</v>
      </c>
      <c r="N110" s="66">
        <f t="shared" si="12"/>
        <v>4.815789473684211</v>
      </c>
      <c r="O110" s="66">
        <f t="shared" si="13"/>
        <v>1.3676681872857464</v>
      </c>
      <c r="P110" s="66">
        <f t="shared" si="14"/>
        <v>3.8294709244000895</v>
      </c>
      <c r="Q110" s="66">
        <f t="shared" si="15"/>
        <v>3.9706489628664907</v>
      </c>
      <c r="R110" s="66">
        <f t="shared" si="15"/>
        <v>3.3088741357220757</v>
      </c>
      <c r="S110" s="66">
        <f t="shared" si="16"/>
        <v>160.78332492855944</v>
      </c>
      <c r="T110" s="66">
        <f t="shared" si="17"/>
        <v>50.42864346949067</v>
      </c>
      <c r="U110" s="25">
        <f t="shared" si="10"/>
        <v>0.2754294700648148</v>
      </c>
      <c r="V110" s="66">
        <v>30</v>
      </c>
      <c r="W110" s="66"/>
      <c r="X110" s="66">
        <f>+M110*Notes!$F136</f>
        <v>1.0397049180327869</v>
      </c>
      <c r="Y110" s="66">
        <f>+N110*Notes!$F136</f>
        <v>0.954459375</v>
      </c>
      <c r="Z110" s="66">
        <f>+O110*Notes!$F136</f>
        <v>0.2710632867938644</v>
      </c>
      <c r="AA110" s="66">
        <f>+P110*Notes!$F136</f>
        <v>0.7589772030228202</v>
      </c>
      <c r="AB110" s="66">
        <f>+Q110*Notes!$F136</f>
        <v>0.7869578078841205</v>
      </c>
      <c r="AC110" s="66">
        <f>+R110*Notes!$F136</f>
        <v>0.6557981732367671</v>
      </c>
      <c r="AD110" s="66">
        <f>+S110*Notes!$F136</f>
        <v>31.866250105059677</v>
      </c>
      <c r="AE110" s="66">
        <f>+T110*Notes!$F136</f>
        <v>9.994641956631368</v>
      </c>
      <c r="AF110" s="66">
        <f>+U110*Notes!$F136</f>
        <v>0.054588399532658385</v>
      </c>
      <c r="AG110" s="66">
        <f>+V110*Notes!$F136</f>
        <v>5.9458125</v>
      </c>
    </row>
    <row r="111" spans="1:33" ht="15">
      <c r="A111" s="11" t="s">
        <v>163</v>
      </c>
      <c r="B111" s="66">
        <f>+(333.35*2)/2</f>
        <v>333.35</v>
      </c>
      <c r="C111" s="66">
        <v>3.33</v>
      </c>
      <c r="D111" s="66">
        <v>240</v>
      </c>
      <c r="E111" s="66">
        <f>+(360+400)/2</f>
        <v>380</v>
      </c>
      <c r="F111" s="66">
        <v>200</v>
      </c>
      <c r="G111" s="71">
        <v>220</v>
      </c>
      <c r="H111" s="66">
        <v>96.15</v>
      </c>
      <c r="I111" s="66">
        <v>30</v>
      </c>
      <c r="J111" s="65">
        <v>61</v>
      </c>
      <c r="K111" s="66">
        <v>30</v>
      </c>
      <c r="L111" s="65"/>
      <c r="M111" s="66">
        <f t="shared" si="11"/>
        <v>4.371803278688525</v>
      </c>
      <c r="N111" s="66">
        <f t="shared" si="12"/>
        <v>4.381578947368421</v>
      </c>
      <c r="O111" s="66">
        <f t="shared" si="13"/>
        <v>1.6412018247428957</v>
      </c>
      <c r="P111" s="66">
        <f t="shared" si="14"/>
        <v>2.598569555842918</v>
      </c>
      <c r="Q111" s="66">
        <f t="shared" si="15"/>
        <v>2.6470993085776606</v>
      </c>
      <c r="R111" s="66">
        <f t="shared" si="15"/>
        <v>2.9118092394354265</v>
      </c>
      <c r="S111" s="66">
        <f t="shared" si="16"/>
        <v>161.6238023197176</v>
      </c>
      <c r="T111" s="66">
        <f t="shared" si="17"/>
        <v>50.42864346949067</v>
      </c>
      <c r="U111" s="25">
        <f t="shared" si="10"/>
        <v>0.27098705925731775</v>
      </c>
      <c r="V111" s="66">
        <v>30</v>
      </c>
      <c r="W111" s="66"/>
      <c r="X111" s="66">
        <f>+M111*Notes!$F137</f>
        <v>0.8664900786885245</v>
      </c>
      <c r="Y111" s="66">
        <f>+N111*Notes!$F137</f>
        <v>0.8684276132443377</v>
      </c>
      <c r="Z111" s="66">
        <f>+O111*Notes!$F137</f>
        <v>0.32528570194307227</v>
      </c>
      <c r="AA111" s="66">
        <f>+P111*Notes!$F137</f>
        <v>0.5150356947431978</v>
      </c>
      <c r="AB111" s="66">
        <f>+Q111*Notes!$F137</f>
        <v>0.5246542769586529</v>
      </c>
      <c r="AC111" s="66">
        <f>+R111*Notes!$F137</f>
        <v>0.5771197046545181</v>
      </c>
      <c r="AD111" s="66">
        <f>+S111*Notes!$F137</f>
        <v>32.03378840778082</v>
      </c>
      <c r="AE111" s="66">
        <f>+T111*Notes!$F137</f>
        <v>9.99494178089885</v>
      </c>
      <c r="AF111" s="66">
        <f>+U111*Notes!$F137</f>
        <v>0.053709552633366395</v>
      </c>
      <c r="AG111" s="66">
        <f>+V111*Notes!$F137</f>
        <v>5.945990865456726</v>
      </c>
    </row>
    <row r="112" spans="1:33" ht="15">
      <c r="A112" s="12">
        <v>1701</v>
      </c>
      <c r="B112" s="66">
        <f>+(333.35+400)/2</f>
        <v>366.675</v>
      </c>
      <c r="C112" s="66"/>
      <c r="D112" s="66">
        <v>240</v>
      </c>
      <c r="E112" s="66">
        <f>+(360+400)/2</f>
        <v>380</v>
      </c>
      <c r="F112" s="66">
        <v>240</v>
      </c>
      <c r="G112" s="66"/>
      <c r="H112" s="66">
        <v>100</v>
      </c>
      <c r="I112" s="66">
        <v>30</v>
      </c>
      <c r="J112" s="66"/>
      <c r="K112" s="66"/>
      <c r="L112" s="66"/>
      <c r="M112" s="66">
        <f t="shared" si="11"/>
        <v>4.808852459016394</v>
      </c>
      <c r="N112" s="66">
        <f t="shared" si="12"/>
        <v>0</v>
      </c>
      <c r="O112" s="66">
        <f t="shared" si="13"/>
        <v>1.6412018247428957</v>
      </c>
      <c r="P112" s="66">
        <f t="shared" si="14"/>
        <v>2.598569555842918</v>
      </c>
      <c r="Q112" s="66">
        <f t="shared" si="15"/>
        <v>3.1765191702931928</v>
      </c>
      <c r="R112" s="66"/>
      <c r="S112" s="66">
        <f t="shared" si="16"/>
        <v>168.09547823163558</v>
      </c>
      <c r="T112" s="66">
        <f t="shared" si="17"/>
        <v>50.42864346949067</v>
      </c>
      <c r="U112" s="25">
        <f t="shared" si="10"/>
        <v>0</v>
      </c>
      <c r="V112" s="66"/>
      <c r="W112" s="66"/>
      <c r="X112" s="66">
        <f>+M112*Notes!$F138</f>
        <v>0.9530974983606558</v>
      </c>
      <c r="Y112" s="66">
        <f>+N112*Notes!$F138</f>
        <v>0</v>
      </c>
      <c r="Z112" s="66">
        <f>+O112*Notes!$F138</f>
        <v>0.3252803796328876</v>
      </c>
      <c r="AA112" s="66">
        <f>+P112*Notes!$F138</f>
        <v>0.5150272677520719</v>
      </c>
      <c r="AB112" s="66">
        <f>+Q112*Notes!$F138</f>
        <v>0.6295748311064553</v>
      </c>
      <c r="AC112" s="66"/>
      <c r="AD112" s="66">
        <f>+S112*Notes!$F138</f>
        <v>33.31592748035354</v>
      </c>
      <c r="AE112" s="66">
        <f>+T112*Notes!$F138</f>
        <v>9.994778244106062</v>
      </c>
      <c r="AF112" s="66"/>
      <c r="AG112" s="66"/>
    </row>
    <row r="113" spans="1:33" ht="15">
      <c r="A113" s="12">
        <v>1702</v>
      </c>
      <c r="B113" s="66">
        <f>+(333.35+400)/2</f>
        <v>366.675</v>
      </c>
      <c r="C113" s="66"/>
      <c r="D113" s="66">
        <v>280</v>
      </c>
      <c r="E113" s="66">
        <f>+(360+480)/2</f>
        <v>420</v>
      </c>
      <c r="F113" s="66">
        <v>240</v>
      </c>
      <c r="G113" s="66"/>
      <c r="H113" s="66">
        <v>98</v>
      </c>
      <c r="I113" s="66">
        <v>30</v>
      </c>
      <c r="J113" s="66"/>
      <c r="K113" s="66"/>
      <c r="L113" s="66"/>
      <c r="M113" s="66">
        <f t="shared" si="11"/>
        <v>4.808852459016394</v>
      </c>
      <c r="N113" s="66">
        <f t="shared" si="12"/>
        <v>0</v>
      </c>
      <c r="O113" s="66">
        <f t="shared" si="13"/>
        <v>1.9147354622000448</v>
      </c>
      <c r="P113" s="66">
        <f t="shared" si="14"/>
        <v>2.872103193300067</v>
      </c>
      <c r="Q113" s="66">
        <f t="shared" si="15"/>
        <v>3.1765191702931928</v>
      </c>
      <c r="R113" s="66"/>
      <c r="S113" s="66">
        <f t="shared" si="16"/>
        <v>164.73356866700286</v>
      </c>
      <c r="T113" s="66">
        <f t="shared" si="17"/>
        <v>50.42864346949067</v>
      </c>
      <c r="U113" s="25"/>
      <c r="V113" s="66"/>
      <c r="W113" s="66"/>
      <c r="X113" s="66">
        <f>+M113*Notes!$F139</f>
        <v>0.9530974983606558</v>
      </c>
      <c r="Y113" s="66">
        <f>+N113*Notes!$F139</f>
        <v>0</v>
      </c>
      <c r="Z113" s="66">
        <f>+O113*Notes!$F139</f>
        <v>0.3794937762383688</v>
      </c>
      <c r="AA113" s="66">
        <f>+P113*Notes!$F139</f>
        <v>0.5692406643575532</v>
      </c>
      <c r="AB113" s="66">
        <f>+Q113*Notes!$F139</f>
        <v>0.6295748311064553</v>
      </c>
      <c r="AC113" s="66"/>
      <c r="AD113" s="66">
        <f>+S113*Notes!$F139</f>
        <v>32.64960893074647</v>
      </c>
      <c r="AE113" s="66">
        <f>+T113*Notes!$F139</f>
        <v>9.994778244106062</v>
      </c>
      <c r="AF113" s="66"/>
      <c r="AG113" s="66"/>
    </row>
    <row r="114" spans="1:33" ht="15">
      <c r="A114" s="12">
        <v>1703</v>
      </c>
      <c r="B114" s="66">
        <f>+(400*2)/2</f>
        <v>400</v>
      </c>
      <c r="C114" s="66"/>
      <c r="D114" s="66">
        <v>280</v>
      </c>
      <c r="E114" s="66">
        <v>480</v>
      </c>
      <c r="F114" s="66">
        <v>280</v>
      </c>
      <c r="G114" s="66"/>
      <c r="H114" s="66">
        <v>90.35</v>
      </c>
      <c r="I114" s="66">
        <v>30</v>
      </c>
      <c r="J114" s="66"/>
      <c r="K114" s="66"/>
      <c r="L114" s="66"/>
      <c r="M114" s="66">
        <f t="shared" si="11"/>
        <v>5.245901639344262</v>
      </c>
      <c r="N114" s="66">
        <f t="shared" si="12"/>
        <v>0</v>
      </c>
      <c r="O114" s="66">
        <f t="shared" si="13"/>
        <v>1.9147354622000448</v>
      </c>
      <c r="P114" s="66">
        <f t="shared" si="14"/>
        <v>3.2824036494857913</v>
      </c>
      <c r="Q114" s="66">
        <f t="shared" si="15"/>
        <v>3.705939032008725</v>
      </c>
      <c r="R114" s="66"/>
      <c r="S114" s="66">
        <f t="shared" si="16"/>
        <v>151.87426458228273</v>
      </c>
      <c r="T114" s="66">
        <f t="shared" si="17"/>
        <v>50.42864346949067</v>
      </c>
      <c r="U114" s="25"/>
      <c r="V114" s="66"/>
      <c r="W114" s="66"/>
      <c r="X114" s="66">
        <f>+M114*Notes!$F140</f>
        <v>1.0397049180327869</v>
      </c>
      <c r="Y114" s="66">
        <f>+N114*Notes!$F140</f>
        <v>0</v>
      </c>
      <c r="Z114" s="66">
        <f>+O114*Notes!$F140</f>
        <v>0.3794886015114101</v>
      </c>
      <c r="AA114" s="66">
        <f>+P114*Notes!$F140</f>
        <v>0.6505518883052746</v>
      </c>
      <c r="AB114" s="66">
        <f>+Q114*Notes!$F140</f>
        <v>0.7344939540251793</v>
      </c>
      <c r="AC114" s="66"/>
      <c r="AD114" s="66">
        <f>+S114*Notes!$F140</f>
        <v>30.1005300260548</v>
      </c>
      <c r="AE114" s="66">
        <f>+T114*Notes!$F140</f>
        <v>9.994641956631368</v>
      </c>
      <c r="AF114" s="66"/>
      <c r="AG114" s="66"/>
    </row>
    <row r="115" spans="1:33" ht="15">
      <c r="A115" s="12">
        <v>1704</v>
      </c>
      <c r="B115" s="66">
        <f>+(333.35*2)/2</f>
        <v>333.35</v>
      </c>
      <c r="C115" s="66"/>
      <c r="D115" s="66">
        <v>210</v>
      </c>
      <c r="E115" s="66">
        <f>+(360+400)/2</f>
        <v>380</v>
      </c>
      <c r="F115" s="66">
        <f>+(243+300)/2</f>
        <v>271.5</v>
      </c>
      <c r="G115" s="66"/>
      <c r="H115" s="66">
        <v>90.35</v>
      </c>
      <c r="I115" s="66">
        <v>30</v>
      </c>
      <c r="J115" s="66"/>
      <c r="K115" s="66"/>
      <c r="L115" s="66"/>
      <c r="M115" s="66">
        <f t="shared" si="11"/>
        <v>4.371803278688525</v>
      </c>
      <c r="N115" s="66">
        <f t="shared" si="12"/>
        <v>0</v>
      </c>
      <c r="O115" s="66">
        <f t="shared" si="13"/>
        <v>1.4360515966500336</v>
      </c>
      <c r="P115" s="66">
        <f t="shared" si="14"/>
        <v>2.598569555842918</v>
      </c>
      <c r="Q115" s="66">
        <f t="shared" si="15"/>
        <v>3.593437311394174</v>
      </c>
      <c r="R115" s="66"/>
      <c r="S115" s="66">
        <f t="shared" si="16"/>
        <v>151.87426458228273</v>
      </c>
      <c r="T115" s="66">
        <f t="shared" si="17"/>
        <v>50.42864346949067</v>
      </c>
      <c r="U115" s="25"/>
      <c r="V115" s="66"/>
      <c r="W115" s="66"/>
      <c r="X115" s="66">
        <f>+M115*Notes!$F141</f>
        <v>0.8664900786885245</v>
      </c>
      <c r="Y115" s="66">
        <f>+N115*Notes!$F141</f>
        <v>0</v>
      </c>
      <c r="Z115" s="66">
        <f>+O115*Notes!$F141</f>
        <v>0.2846249892001882</v>
      </c>
      <c r="AA115" s="66">
        <f>+P115*Notes!$F141</f>
        <v>0.5150356947431978</v>
      </c>
      <c r="AB115" s="66">
        <f>+Q115*Notes!$F141</f>
        <v>0.7122181809713712</v>
      </c>
      <c r="AC115" s="66"/>
      <c r="AD115" s="66">
        <f>+S115*Notes!$F141</f>
        <v>30.101432996807038</v>
      </c>
      <c r="AE115" s="66">
        <f>+T115*Notes!$F141</f>
        <v>9.99494178089885</v>
      </c>
      <c r="AF115" s="66"/>
      <c r="AG115" s="66"/>
    </row>
    <row r="116" spans="1:33" ht="15">
      <c r="A116" s="12">
        <v>1705</v>
      </c>
      <c r="B116" s="66">
        <f>+(333.35*2)/2</f>
        <v>333.35</v>
      </c>
      <c r="C116" s="66"/>
      <c r="D116" s="66">
        <v>256.75</v>
      </c>
      <c r="E116" s="66">
        <f>+(360+360)/2</f>
        <v>360</v>
      </c>
      <c r="F116" s="66">
        <v>290</v>
      </c>
      <c r="G116" s="66"/>
      <c r="H116" s="66">
        <v>86.5</v>
      </c>
      <c r="I116" s="66">
        <v>30</v>
      </c>
      <c r="J116" s="66"/>
      <c r="K116" s="66"/>
      <c r="L116" s="66"/>
      <c r="M116" s="66">
        <f t="shared" si="11"/>
        <v>4.371803278688525</v>
      </c>
      <c r="N116" s="66">
        <f t="shared" si="12"/>
        <v>0</v>
      </c>
      <c r="O116" s="66">
        <f t="shared" si="13"/>
        <v>1.7557440354280769</v>
      </c>
      <c r="P116" s="66">
        <f t="shared" si="14"/>
        <v>2.4618027371143434</v>
      </c>
      <c r="Q116" s="66">
        <f t="shared" si="15"/>
        <v>3.838293997437608</v>
      </c>
      <c r="R116" s="66"/>
      <c r="S116" s="66">
        <f t="shared" si="16"/>
        <v>145.40258867036476</v>
      </c>
      <c r="T116" s="66">
        <f t="shared" si="17"/>
        <v>50.42864346949067</v>
      </c>
      <c r="U116" s="25"/>
      <c r="V116" s="66"/>
      <c r="W116" s="66"/>
      <c r="X116" s="66">
        <f>+M116*Notes!$F142</f>
        <v>0.8664900786885245</v>
      </c>
      <c r="Y116" s="66">
        <f>+N116*Notes!$F142</f>
        <v>0</v>
      </c>
      <c r="Z116" s="66">
        <f>+O116*Notes!$F142</f>
        <v>0.3479879332245159</v>
      </c>
      <c r="AA116" s="66">
        <f>+P116*Notes!$F142</f>
        <v>0.4879285529146084</v>
      </c>
      <c r="AB116" s="66">
        <f>+Q116*Notes!$F142</f>
        <v>0.7607487015900466</v>
      </c>
      <c r="AC116" s="66"/>
      <c r="AD116" s="66">
        <f>+S116*Notes!$F142</f>
        <v>28.818748801591685</v>
      </c>
      <c r="AE116" s="66">
        <f>+T116*Notes!$F142</f>
        <v>9.99494178089885</v>
      </c>
      <c r="AF116" s="66"/>
      <c r="AG116" s="66"/>
    </row>
    <row r="117" spans="1:33" ht="15">
      <c r="A117" s="12">
        <v>1706</v>
      </c>
      <c r="B117" s="66">
        <f>+(333.35*2)/2</f>
        <v>333.35</v>
      </c>
      <c r="C117" s="66"/>
      <c r="D117" s="66">
        <v>180</v>
      </c>
      <c r="E117" s="66">
        <v>400</v>
      </c>
      <c r="F117" s="66">
        <v>240</v>
      </c>
      <c r="G117" s="66"/>
      <c r="H117" s="66">
        <v>87.75</v>
      </c>
      <c r="I117" s="66">
        <v>30</v>
      </c>
      <c r="J117" s="66"/>
      <c r="K117" s="66"/>
      <c r="L117" s="66"/>
      <c r="M117" s="66">
        <f t="shared" si="11"/>
        <v>4.371803278688525</v>
      </c>
      <c r="N117" s="66">
        <f t="shared" si="12"/>
        <v>0</v>
      </c>
      <c r="O117" s="66">
        <f t="shared" si="13"/>
        <v>1.2309013685571717</v>
      </c>
      <c r="P117" s="66">
        <f t="shared" si="14"/>
        <v>2.7353363745714927</v>
      </c>
      <c r="Q117" s="66">
        <f t="shared" si="15"/>
        <v>3.1765191702931928</v>
      </c>
      <c r="R117" s="66"/>
      <c r="S117" s="66">
        <f t="shared" si="16"/>
        <v>147.50378214826023</v>
      </c>
      <c r="T117" s="66">
        <f t="shared" si="17"/>
        <v>50.42864346949067</v>
      </c>
      <c r="U117" s="66"/>
      <c r="V117" s="66"/>
      <c r="W117" s="66"/>
      <c r="X117" s="66">
        <f>+M117*Notes!$F143</f>
        <v>0.8664900786885245</v>
      </c>
      <c r="Y117" s="66">
        <f>+N117*Notes!$F143</f>
        <v>0</v>
      </c>
      <c r="Z117" s="66">
        <f>+O117*Notes!$F143</f>
        <v>0.2439642764573042</v>
      </c>
      <c r="AA117" s="66">
        <f>+P117*Notes!$F143</f>
        <v>0.5421428365717871</v>
      </c>
      <c r="AB117" s="66">
        <f>+Q117*Notes!$F143</f>
        <v>0.6295851323503834</v>
      </c>
      <c r="AC117" s="66"/>
      <c r="AD117" s="66">
        <f>+S117*Notes!$F143</f>
        <v>29.235204709129142</v>
      </c>
      <c r="AE117" s="66">
        <f>+T117*Notes!$F143</f>
        <v>9.99494178089885</v>
      </c>
      <c r="AF117" s="66"/>
      <c r="AG117" s="66"/>
    </row>
    <row r="118" spans="1:33" ht="15">
      <c r="A118" s="12">
        <v>1707</v>
      </c>
      <c r="B118" s="66">
        <f>+(400*2)/2</f>
        <v>400</v>
      </c>
      <c r="C118" s="66"/>
      <c r="D118" s="66">
        <v>240</v>
      </c>
      <c r="E118" s="66">
        <v>440</v>
      </c>
      <c r="F118" s="66">
        <v>240</v>
      </c>
      <c r="G118" s="66"/>
      <c r="H118" s="66">
        <v>84</v>
      </c>
      <c r="I118" s="66">
        <v>30</v>
      </c>
      <c r="J118" s="66"/>
      <c r="K118" s="66"/>
      <c r="L118" s="66"/>
      <c r="M118" s="66">
        <f t="shared" si="11"/>
        <v>5.245901639344262</v>
      </c>
      <c r="N118" s="66">
        <f t="shared" si="12"/>
        <v>0</v>
      </c>
      <c r="O118" s="66">
        <f t="shared" si="13"/>
        <v>1.6412018247428957</v>
      </c>
      <c r="P118" s="66">
        <f t="shared" si="14"/>
        <v>3.008870012028642</v>
      </c>
      <c r="Q118" s="66">
        <f t="shared" si="15"/>
        <v>3.1765191702931928</v>
      </c>
      <c r="R118" s="66"/>
      <c r="S118" s="66">
        <f t="shared" si="16"/>
        <v>141.2002017145739</v>
      </c>
      <c r="T118" s="66">
        <f t="shared" si="17"/>
        <v>50.42864346949067</v>
      </c>
      <c r="U118" s="66"/>
      <c r="V118" s="66"/>
      <c r="W118" s="66"/>
      <c r="X118" s="66">
        <f>+M118*Notes!$F144</f>
        <v>1.0397049180327869</v>
      </c>
      <c r="Y118" s="66">
        <f>+N118*Notes!$F144</f>
        <v>0</v>
      </c>
      <c r="Z118" s="66">
        <f>+O118*Notes!$F144</f>
        <v>0.3252759441526373</v>
      </c>
      <c r="AA118" s="66">
        <f>+P118*Notes!$F144</f>
        <v>0.5963392309465017</v>
      </c>
      <c r="AB118" s="66">
        <f>+Q118*Notes!$F144</f>
        <v>0.6295662463072965</v>
      </c>
      <c r="AC118" s="66"/>
      <c r="AD118" s="66">
        <f>+S118*Notes!$F144</f>
        <v>27.98499747856783</v>
      </c>
      <c r="AE118" s="66">
        <f>+T118*Notes!$F144</f>
        <v>9.994641956631368</v>
      </c>
      <c r="AF118" s="66"/>
      <c r="AG118" s="66"/>
    </row>
    <row r="119" spans="1:33" ht="15">
      <c r="A119" s="12">
        <v>1708</v>
      </c>
      <c r="B119" s="66">
        <f>+(400+565)/2</f>
        <v>482.5</v>
      </c>
      <c r="C119" s="66"/>
      <c r="D119" s="66">
        <v>300</v>
      </c>
      <c r="E119" s="66">
        <v>562</v>
      </c>
      <c r="F119" s="66">
        <v>180</v>
      </c>
      <c r="G119" s="66"/>
      <c r="H119" s="66">
        <v>86.5</v>
      </c>
      <c r="I119" s="66">
        <v>30</v>
      </c>
      <c r="J119" s="66"/>
      <c r="K119" s="66"/>
      <c r="L119" s="66"/>
      <c r="M119" s="66">
        <f t="shared" si="11"/>
        <v>6.327868852459017</v>
      </c>
      <c r="N119" s="66">
        <f t="shared" si="12"/>
        <v>0</v>
      </c>
      <c r="O119" s="66">
        <f t="shared" si="13"/>
        <v>2.0515022809286196</v>
      </c>
      <c r="P119" s="66">
        <f t="shared" si="14"/>
        <v>3.843147606272947</v>
      </c>
      <c r="Q119" s="66">
        <f t="shared" si="15"/>
        <v>2.3823893777198943</v>
      </c>
      <c r="R119" s="66"/>
      <c r="S119" s="66">
        <f t="shared" si="16"/>
        <v>145.40258867036476</v>
      </c>
      <c r="T119" s="66">
        <f t="shared" si="17"/>
        <v>50.42864346949067</v>
      </c>
      <c r="U119" s="66"/>
      <c r="V119" s="66"/>
      <c r="W119" s="66"/>
      <c r="X119" s="66">
        <f>+M119*Notes!$F145</f>
        <v>1.2540920721311477</v>
      </c>
      <c r="Y119" s="66">
        <f>+N119*Notes!$F145</f>
        <v>0</v>
      </c>
      <c r="Z119" s="66">
        <f>+O119*Notes!$F145</f>
        <v>0.40657807651493383</v>
      </c>
      <c r="AA119" s="66">
        <f>+P119*Notes!$F145</f>
        <v>0.761656263337976</v>
      </c>
      <c r="AB119" s="66">
        <f>+Q119*Notes!$F145</f>
        <v>0.47215511272281513</v>
      </c>
      <c r="AC119" s="66"/>
      <c r="AD119" s="66">
        <f>+S119*Notes!$F145</f>
        <v>28.81668978458521</v>
      </c>
      <c r="AE119" s="66">
        <f>+T119*Notes!$F145</f>
        <v>9.994227670954409</v>
      </c>
      <c r="AF119" s="66"/>
      <c r="AG119" s="66"/>
    </row>
    <row r="120" spans="1:33" ht="15">
      <c r="A120" s="12">
        <v>1709</v>
      </c>
      <c r="B120" s="66">
        <f>+(560+640)/2</f>
        <v>600</v>
      </c>
      <c r="C120" s="66"/>
      <c r="D120" s="66">
        <v>440</v>
      </c>
      <c r="E120" s="66">
        <v>520</v>
      </c>
      <c r="F120" s="66">
        <v>220</v>
      </c>
      <c r="G120" s="66"/>
      <c r="H120" s="66">
        <v>86.5</v>
      </c>
      <c r="I120" s="66">
        <v>30</v>
      </c>
      <c r="J120" s="66"/>
      <c r="K120" s="66"/>
      <c r="L120" s="66"/>
      <c r="M120" s="66">
        <f t="shared" si="11"/>
        <v>7.868852459016393</v>
      </c>
      <c r="N120" s="66">
        <f t="shared" si="12"/>
        <v>0</v>
      </c>
      <c r="O120" s="66">
        <f t="shared" si="13"/>
        <v>3.008870012028642</v>
      </c>
      <c r="P120" s="66">
        <f t="shared" si="14"/>
        <v>3.5559372869429406</v>
      </c>
      <c r="Q120" s="66">
        <f t="shared" si="15"/>
        <v>2.9118092394354265</v>
      </c>
      <c r="R120" s="66"/>
      <c r="S120" s="66">
        <f t="shared" si="16"/>
        <v>145.40258867036476</v>
      </c>
      <c r="T120" s="66">
        <f t="shared" si="17"/>
        <v>50.42864346949067</v>
      </c>
      <c r="U120" s="66"/>
      <c r="V120" s="66"/>
      <c r="W120" s="66"/>
      <c r="X120" s="66">
        <f>+M120*Notes!$F146</f>
        <v>1.5595573770491804</v>
      </c>
      <c r="Y120" s="66">
        <f>+N120*Notes!$F146</f>
        <v>0</v>
      </c>
      <c r="Z120" s="66">
        <f>+O120*Notes!$F146</f>
        <v>0.5963392309465017</v>
      </c>
      <c r="AA120" s="66">
        <f>+P120*Notes!$F146</f>
        <v>0.7047645456640474</v>
      </c>
      <c r="AB120" s="66">
        <f>+Q120*Notes!$F146</f>
        <v>0.577102392448355</v>
      </c>
      <c r="AC120" s="66"/>
      <c r="AD120" s="66">
        <f>+S120*Notes!$F146</f>
        <v>28.817884308287105</v>
      </c>
      <c r="AE120" s="66">
        <f>+T120*Notes!$F146</f>
        <v>9.994641956631368</v>
      </c>
      <c r="AF120" s="66"/>
      <c r="AG120" s="66"/>
    </row>
    <row r="121" spans="1:33" ht="15">
      <c r="A121" s="12">
        <v>1710</v>
      </c>
      <c r="B121" s="66">
        <f>+(731+720)/2</f>
        <v>725.5</v>
      </c>
      <c r="C121" s="66"/>
      <c r="D121" s="66">
        <v>480</v>
      </c>
      <c r="E121" s="66">
        <v>720</v>
      </c>
      <c r="F121" s="66">
        <v>330</v>
      </c>
      <c r="G121" s="66"/>
      <c r="H121" s="66">
        <v>86.5</v>
      </c>
      <c r="I121" s="66">
        <v>30</v>
      </c>
      <c r="J121" s="66"/>
      <c r="K121" s="66"/>
      <c r="L121" s="66"/>
      <c r="M121" s="66">
        <f t="shared" si="11"/>
        <v>9.514754098360656</v>
      </c>
      <c r="N121" s="66">
        <f t="shared" si="12"/>
        <v>0</v>
      </c>
      <c r="O121" s="66">
        <f t="shared" si="13"/>
        <v>3.2824036494857913</v>
      </c>
      <c r="P121" s="66">
        <f t="shared" si="14"/>
        <v>4.923605474228687</v>
      </c>
      <c r="Q121" s="66">
        <f t="shared" si="15"/>
        <v>4.36771385915314</v>
      </c>
      <c r="R121" s="66"/>
      <c r="S121" s="66">
        <f t="shared" si="16"/>
        <v>145.40258867036476</v>
      </c>
      <c r="T121" s="66">
        <f t="shared" si="17"/>
        <v>50.42864346949067</v>
      </c>
      <c r="U121" s="66"/>
      <c r="V121" s="66"/>
      <c r="W121" s="66"/>
      <c r="X121" s="66">
        <f>+M121*Notes!$F147</f>
        <v>1.8857128098360656</v>
      </c>
      <c r="Y121" s="66">
        <f>+N121*Notes!$F147</f>
        <v>0</v>
      </c>
      <c r="Z121" s="66">
        <f>+O121*Notes!$F147</f>
        <v>0.6505339544144872</v>
      </c>
      <c r="AA121" s="66">
        <f>+P121*Notes!$F147</f>
        <v>0.9758009316217309</v>
      </c>
      <c r="AB121" s="66">
        <f>+Q121*Notes!$F147</f>
        <v>0.8656297250312184</v>
      </c>
      <c r="AC121" s="66"/>
      <c r="AD121" s="66">
        <f>+S121*Notes!$F147</f>
        <v>28.817089880049796</v>
      </c>
      <c r="AE121" s="66">
        <f>+T121*Notes!$F147</f>
        <v>9.994366432387213</v>
      </c>
      <c r="AF121" s="66"/>
      <c r="AG121" s="66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/>
    </row>
    <row r="277" ht="15">
      <c r="A277" s="12"/>
    </row>
    <row r="278" ht="15">
      <c r="A278" s="12"/>
    </row>
    <row r="279" ht="15">
      <c r="A279" s="12"/>
    </row>
    <row r="280" ht="15">
      <c r="A280" s="12"/>
    </row>
    <row r="281" ht="15">
      <c r="A281" s="12"/>
    </row>
    <row r="282" ht="15">
      <c r="A282" s="12"/>
    </row>
    <row r="283" ht="15">
      <c r="A283" s="12"/>
    </row>
    <row r="284" ht="15">
      <c r="A284" s="12"/>
    </row>
    <row r="285" ht="15">
      <c r="A285" s="12"/>
    </row>
    <row r="286" ht="15">
      <c r="A286" s="12"/>
    </row>
    <row r="287" ht="15">
      <c r="A287" s="12"/>
    </row>
    <row r="288" ht="15">
      <c r="A288" s="12"/>
    </row>
    <row r="289" ht="15">
      <c r="A289" s="12"/>
    </row>
    <row r="290" ht="15">
      <c r="A290" s="12"/>
    </row>
    <row r="291" ht="15">
      <c r="A291" s="12"/>
    </row>
    <row r="292" ht="15">
      <c r="A292" s="12"/>
    </row>
    <row r="293" ht="15">
      <c r="A293" s="12"/>
    </row>
    <row r="294" ht="15">
      <c r="A294" s="12"/>
    </row>
    <row r="295" ht="15">
      <c r="A295" s="12"/>
    </row>
    <row r="296" ht="15">
      <c r="A296" s="12"/>
    </row>
    <row r="297" ht="15">
      <c r="A297" s="12"/>
    </row>
    <row r="298" ht="15">
      <c r="A298" s="12"/>
    </row>
    <row r="299" ht="15">
      <c r="A299" s="12"/>
    </row>
    <row r="300" ht="15">
      <c r="A300" s="12"/>
    </row>
    <row r="301" ht="15">
      <c r="A301" s="12"/>
    </row>
    <row r="302" ht="15">
      <c r="A302" s="12"/>
    </row>
    <row r="303" ht="15">
      <c r="A303" s="12"/>
    </row>
    <row r="304" ht="15">
      <c r="A304" s="12"/>
    </row>
    <row r="305" ht="15">
      <c r="A305" s="12"/>
    </row>
    <row r="306" ht="15">
      <c r="A306" s="12"/>
    </row>
    <row r="307" ht="15">
      <c r="A307" s="12"/>
    </row>
    <row r="308" ht="15">
      <c r="A308" s="12"/>
    </row>
    <row r="309" ht="15">
      <c r="A309" s="12"/>
    </row>
    <row r="310" ht="15">
      <c r="A310" s="12"/>
    </row>
    <row r="311" ht="15">
      <c r="A311" s="12"/>
    </row>
  </sheetData>
  <printOptions gridLines="1"/>
  <pageMargins left="0.75" right="0.75" top="0.43" bottom="0.47" header="0.28" footer="0.32"/>
  <pageSetup horizontalDpi="600" verticalDpi="600" orientation="portrait"/>
  <ignoredErrors>
    <ignoredError sqref="A10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92"/>
  <sheetViews>
    <sheetView showZeros="0" workbookViewId="0" topLeftCell="A1">
      <pane xSplit="7840" ySplit="2140" topLeftCell="G1" activePane="bottomRight" state="split"/>
      <selection pane="topLeft" activeCell="A1" sqref="A1"/>
      <selection pane="topRight" activeCell="G1" sqref="G1:G16384"/>
      <selection pane="bottomLeft" activeCell="D5" sqref="D5:F6"/>
      <selection pane="bottomRight" activeCell="L12" sqref="L12"/>
    </sheetView>
  </sheetViews>
  <sheetFormatPr defaultColWidth="11.421875" defaultRowHeight="12.75"/>
  <cols>
    <col min="1" max="1" width="15.8515625" style="4" customWidth="1"/>
    <col min="2" max="2" width="17.00390625" style="3" customWidth="1"/>
    <col min="3" max="3" width="12.7109375" style="3" customWidth="1"/>
    <col min="4" max="4" width="13.28125" style="4" customWidth="1"/>
    <col min="5" max="5" width="17.421875" style="3" customWidth="1"/>
    <col min="6" max="6" width="12.7109375" style="3" customWidth="1"/>
    <col min="7" max="7" width="7.00390625" style="3" customWidth="1"/>
    <col min="8" max="21" width="12.7109375" style="3" customWidth="1"/>
    <col min="22" max="22" width="3.140625" style="3" customWidth="1"/>
    <col min="23" max="23" width="8.8515625" style="3" customWidth="1"/>
    <col min="24" max="24" width="3.140625" style="3" customWidth="1"/>
    <col min="25" max="25" width="8.8515625" style="3" customWidth="1"/>
    <col min="26" max="26" width="3.140625" style="3" customWidth="1"/>
    <col min="27" max="27" width="8.8515625" style="3" customWidth="1"/>
    <col min="28" max="28" width="3.140625" style="3" customWidth="1"/>
    <col min="29" max="29" width="8.8515625" style="3" customWidth="1"/>
    <col min="30" max="30" width="3.140625" style="3" customWidth="1"/>
    <col min="31" max="31" width="8.8515625" style="3" customWidth="1"/>
    <col min="32" max="32" width="3.140625" style="3" customWidth="1"/>
    <col min="33" max="33" width="8.8515625" style="3" customWidth="1"/>
    <col min="34" max="34" width="3.140625" style="3" customWidth="1"/>
    <col min="35" max="35" width="8.8515625" style="3" customWidth="1"/>
    <col min="36" max="36" width="3.140625" style="3" customWidth="1"/>
    <col min="37" max="37" width="8.8515625" style="3" customWidth="1"/>
    <col min="38" max="38" width="3.140625" style="3" customWidth="1"/>
    <col min="39" max="39" width="8.8515625" style="3" customWidth="1"/>
    <col min="40" max="40" width="3.140625" style="3" customWidth="1"/>
    <col min="41" max="41" width="9.7109375" style="3" customWidth="1"/>
    <col min="42" max="42" width="3.140625" style="3" customWidth="1"/>
    <col min="43" max="43" width="10.421875" style="3" customWidth="1"/>
    <col min="44" max="44" width="3.140625" style="3" customWidth="1"/>
    <col min="45" max="45" width="10.7109375" style="3" customWidth="1"/>
    <col min="46" max="46" width="3.140625" style="3" customWidth="1"/>
    <col min="47" max="47" width="10.28125" style="3" customWidth="1"/>
    <col min="48" max="48" width="3.140625" style="3" customWidth="1"/>
    <col min="49" max="49" width="8.8515625" style="3" customWidth="1"/>
    <col min="50" max="50" width="3.140625" style="3" customWidth="1"/>
    <col min="51" max="51" width="8.8515625" style="3" customWidth="1"/>
    <col min="52" max="52" width="3.140625" style="3" customWidth="1"/>
    <col min="53" max="16384" width="8.8515625" style="3" customWidth="1"/>
  </cols>
  <sheetData>
    <row r="1" spans="1:6" ht="15">
      <c r="A1" s="15" t="s">
        <v>33</v>
      </c>
      <c r="B1" s="17"/>
      <c r="C1" s="2" t="s">
        <v>56</v>
      </c>
      <c r="D1" s="60"/>
      <c r="E1" s="2"/>
      <c r="F1" s="2"/>
    </row>
    <row r="2" spans="1:6" ht="15">
      <c r="A2" s="16" t="s">
        <v>34</v>
      </c>
      <c r="B2" s="18"/>
      <c r="C2" s="8"/>
      <c r="E2" s="8"/>
      <c r="F2" s="8"/>
    </row>
    <row r="3" spans="1:2" ht="15">
      <c r="A3" s="15" t="s">
        <v>35</v>
      </c>
      <c r="B3" s="17"/>
    </row>
    <row r="4" spans="1:2" ht="15">
      <c r="A4" s="16" t="s">
        <v>200</v>
      </c>
      <c r="B4" s="18"/>
    </row>
    <row r="5" spans="1:12" ht="15">
      <c r="A5" s="19"/>
      <c r="B5" s="20"/>
      <c r="D5" s="62" t="s">
        <v>183</v>
      </c>
      <c r="E5" s="62" t="s">
        <v>190</v>
      </c>
      <c r="F5" s="62" t="s">
        <v>192</v>
      </c>
      <c r="J5" s="62" t="s">
        <v>183</v>
      </c>
      <c r="K5" s="62" t="s">
        <v>190</v>
      </c>
      <c r="L5" s="62" t="s">
        <v>192</v>
      </c>
    </row>
    <row r="6" spans="1:12" ht="15">
      <c r="A6" s="19"/>
      <c r="B6" s="28" t="s">
        <v>58</v>
      </c>
      <c r="D6" s="4" t="s">
        <v>187</v>
      </c>
      <c r="E6" s="4" t="s">
        <v>187</v>
      </c>
      <c r="F6" s="4" t="s">
        <v>187</v>
      </c>
      <c r="H6" s="23" t="s">
        <v>3</v>
      </c>
      <c r="J6" s="4" t="s">
        <v>187</v>
      </c>
      <c r="K6" s="4" t="s">
        <v>187</v>
      </c>
      <c r="L6" s="4" t="s">
        <v>187</v>
      </c>
    </row>
    <row r="7" spans="1:41" ht="15">
      <c r="A7" s="26" t="s">
        <v>175</v>
      </c>
      <c r="B7" s="27" t="s">
        <v>14</v>
      </c>
      <c r="C7" s="27" t="s">
        <v>13</v>
      </c>
      <c r="E7" s="63" t="s">
        <v>188</v>
      </c>
      <c r="F7" s="63" t="s">
        <v>188</v>
      </c>
      <c r="H7" s="27" t="s">
        <v>14</v>
      </c>
      <c r="I7" s="27" t="s">
        <v>13</v>
      </c>
      <c r="J7" s="4"/>
      <c r="K7" s="63" t="s">
        <v>188</v>
      </c>
      <c r="L7" s="63" t="s">
        <v>188</v>
      </c>
      <c r="AE7" s="5"/>
      <c r="AI7" s="5"/>
      <c r="AO7" s="5"/>
    </row>
    <row r="8" spans="1:53" ht="15" customHeight="1">
      <c r="A8" s="25" t="s">
        <v>174</v>
      </c>
      <c r="B8" s="9" t="s">
        <v>57</v>
      </c>
      <c r="C8" s="9" t="s">
        <v>15</v>
      </c>
      <c r="D8" s="61" t="s">
        <v>184</v>
      </c>
      <c r="E8" s="59" t="s">
        <v>189</v>
      </c>
      <c r="F8" s="59" t="s">
        <v>191</v>
      </c>
      <c r="G8" s="10"/>
      <c r="H8" s="9" t="s">
        <v>57</v>
      </c>
      <c r="I8" s="9" t="s">
        <v>15</v>
      </c>
      <c r="J8" s="61" t="s">
        <v>184</v>
      </c>
      <c r="K8" s="59" t="s">
        <v>189</v>
      </c>
      <c r="L8" s="59" t="s">
        <v>191</v>
      </c>
      <c r="M8" s="10"/>
      <c r="N8" s="10"/>
      <c r="O8" s="10"/>
      <c r="P8" s="10"/>
      <c r="Q8" s="10"/>
      <c r="S8" s="10"/>
      <c r="U8" s="10"/>
      <c r="W8" s="6"/>
      <c r="Y8" s="6"/>
      <c r="AA8" s="6"/>
      <c r="AC8" s="6"/>
      <c r="AE8" s="6"/>
      <c r="AG8" s="6"/>
      <c r="AI8" s="6"/>
      <c r="AK8" s="6"/>
      <c r="AM8" s="6"/>
      <c r="AO8" s="6"/>
      <c r="AQ8" s="6"/>
      <c r="AS8" s="6"/>
      <c r="AU8" s="6"/>
      <c r="AW8" s="6"/>
      <c r="AY8" s="6"/>
      <c r="BA8" s="6" t="s">
        <v>5</v>
      </c>
    </row>
    <row r="9" spans="1:53" ht="15" customHeight="1">
      <c r="A9" s="14" t="s">
        <v>28</v>
      </c>
      <c r="B9" s="9" t="s">
        <v>6</v>
      </c>
      <c r="C9" s="9" t="s">
        <v>6</v>
      </c>
      <c r="D9" s="61" t="s">
        <v>185</v>
      </c>
      <c r="E9" s="61" t="s">
        <v>185</v>
      </c>
      <c r="F9" s="61" t="s">
        <v>185</v>
      </c>
      <c r="G9" s="10"/>
      <c r="H9" s="9" t="s">
        <v>6</v>
      </c>
      <c r="I9" s="9" t="s">
        <v>6</v>
      </c>
      <c r="J9" s="61" t="s">
        <v>185</v>
      </c>
      <c r="K9" s="61" t="s">
        <v>185</v>
      </c>
      <c r="L9" s="61" t="s">
        <v>185</v>
      </c>
      <c r="M9" s="10"/>
      <c r="N9" s="10"/>
      <c r="O9" s="10"/>
      <c r="P9" s="10"/>
      <c r="Q9" s="10"/>
      <c r="S9" s="10"/>
      <c r="U9" s="10"/>
      <c r="W9" s="6"/>
      <c r="Y9" s="6"/>
      <c r="AA9" s="6"/>
      <c r="AC9" s="6"/>
      <c r="AE9" s="6"/>
      <c r="AG9" s="6"/>
      <c r="AI9" s="6"/>
      <c r="AK9" s="6"/>
      <c r="AM9" s="6"/>
      <c r="AO9" s="6"/>
      <c r="AQ9" s="6"/>
      <c r="AS9" s="6"/>
      <c r="AU9" s="6"/>
      <c r="AW9" s="6"/>
      <c r="AY9" s="6"/>
      <c r="BA9" s="6"/>
    </row>
    <row r="10" spans="1:53" ht="15">
      <c r="A10" s="14" t="s">
        <v>27</v>
      </c>
      <c r="B10" s="9" t="s">
        <v>7</v>
      </c>
      <c r="C10" s="9" t="s">
        <v>7</v>
      </c>
      <c r="D10" s="61" t="s">
        <v>186</v>
      </c>
      <c r="E10" s="61" t="s">
        <v>186</v>
      </c>
      <c r="F10" s="61" t="s">
        <v>186</v>
      </c>
      <c r="G10" s="10"/>
      <c r="H10" s="9" t="s">
        <v>7</v>
      </c>
      <c r="I10" s="9" t="s">
        <v>7</v>
      </c>
      <c r="J10" s="61" t="s">
        <v>186</v>
      </c>
      <c r="K10" s="61" t="s">
        <v>186</v>
      </c>
      <c r="L10" s="61" t="s">
        <v>186</v>
      </c>
      <c r="M10" s="10"/>
      <c r="N10" s="10"/>
      <c r="O10" s="10"/>
      <c r="P10" s="10"/>
      <c r="Q10" s="10"/>
      <c r="S10" s="10"/>
      <c r="U10" s="10"/>
      <c r="W10" s="6"/>
      <c r="Y10" s="6"/>
      <c r="AA10" s="7"/>
      <c r="AC10" s="6"/>
      <c r="AE10" s="6"/>
      <c r="AG10" s="6"/>
      <c r="AI10" s="6"/>
      <c r="AK10" s="6"/>
      <c r="AM10" s="6"/>
      <c r="AO10" s="6"/>
      <c r="AQ10" s="6"/>
      <c r="AS10" s="6"/>
      <c r="AU10" s="6"/>
      <c r="AW10" s="6"/>
      <c r="AY10" s="6"/>
      <c r="BA10" s="6"/>
    </row>
    <row r="11" spans="1:53" ht="15">
      <c r="A11" s="58" t="s">
        <v>42</v>
      </c>
      <c r="B11" s="9"/>
      <c r="C11" s="9"/>
      <c r="D11" s="9">
        <v>36.6</v>
      </c>
      <c r="E11" s="9">
        <v>24.25</v>
      </c>
      <c r="F11" s="9"/>
      <c r="G11" s="10"/>
      <c r="H11" s="9"/>
      <c r="I11" s="9"/>
      <c r="J11" s="10"/>
      <c r="K11" s="10"/>
      <c r="L11" s="10"/>
      <c r="M11" s="10"/>
      <c r="N11" s="10"/>
      <c r="O11" s="10"/>
      <c r="P11" s="10"/>
      <c r="Q11" s="10"/>
      <c r="S11" s="10"/>
      <c r="U11" s="10"/>
      <c r="W11" s="6"/>
      <c r="Y11" s="6"/>
      <c r="AA11" s="7"/>
      <c r="AC11" s="6"/>
      <c r="AE11" s="6"/>
      <c r="AG11" s="6"/>
      <c r="AI11" s="6"/>
      <c r="AK11" s="6"/>
      <c r="AM11" s="6"/>
      <c r="AO11" s="6"/>
      <c r="AQ11" s="6"/>
      <c r="AS11" s="6"/>
      <c r="AU11" s="6"/>
      <c r="AW11" s="6"/>
      <c r="AY11" s="6"/>
      <c r="BA11" s="6"/>
    </row>
    <row r="12" spans="1:53" ht="15">
      <c r="A12" s="58" t="s">
        <v>43</v>
      </c>
      <c r="B12" s="9"/>
      <c r="C12" s="9"/>
      <c r="D12" s="9">
        <v>34.5</v>
      </c>
      <c r="E12" s="9">
        <v>25.75</v>
      </c>
      <c r="F12" s="9"/>
      <c r="G12" s="10"/>
      <c r="H12" s="9"/>
      <c r="I12" s="9"/>
      <c r="J12" s="10"/>
      <c r="K12" s="10"/>
      <c r="L12" s="10"/>
      <c r="M12" s="10"/>
      <c r="N12" s="10"/>
      <c r="O12" s="10"/>
      <c r="P12" s="10"/>
      <c r="Q12" s="10"/>
      <c r="S12" s="10"/>
      <c r="U12" s="10"/>
      <c r="W12" s="6"/>
      <c r="Y12" s="6"/>
      <c r="AA12" s="7"/>
      <c r="AC12" s="6"/>
      <c r="AE12" s="6"/>
      <c r="AG12" s="6"/>
      <c r="AI12" s="6"/>
      <c r="AK12" s="6"/>
      <c r="AM12" s="6"/>
      <c r="AO12" s="6"/>
      <c r="AQ12" s="6"/>
      <c r="AS12" s="6"/>
      <c r="AU12" s="6"/>
      <c r="AW12" s="6"/>
      <c r="AY12" s="6"/>
      <c r="BA12" s="6"/>
    </row>
    <row r="13" spans="1:53" ht="15">
      <c r="A13" s="58" t="s">
        <v>44</v>
      </c>
      <c r="B13" s="9"/>
      <c r="C13" s="9"/>
      <c r="D13" s="9">
        <v>35</v>
      </c>
      <c r="E13" s="9">
        <v>23.25</v>
      </c>
      <c r="F13" s="9">
        <v>25</v>
      </c>
      <c r="G13" s="10"/>
      <c r="H13" s="9"/>
      <c r="I13" s="9"/>
      <c r="J13" s="10"/>
      <c r="K13" s="10"/>
      <c r="L13" s="10"/>
      <c r="M13" s="10"/>
      <c r="N13" s="10"/>
      <c r="O13" s="10"/>
      <c r="P13" s="10"/>
      <c r="Q13" s="10"/>
      <c r="S13" s="10"/>
      <c r="U13" s="10"/>
      <c r="W13" s="6"/>
      <c r="Y13" s="6"/>
      <c r="AA13" s="7"/>
      <c r="AC13" s="6"/>
      <c r="AE13" s="6"/>
      <c r="AG13" s="6"/>
      <c r="AI13" s="6"/>
      <c r="AK13" s="6"/>
      <c r="AM13" s="6"/>
      <c r="AO13" s="6"/>
      <c r="AQ13" s="6"/>
      <c r="AS13" s="6"/>
      <c r="AU13" s="6"/>
      <c r="AW13" s="6"/>
      <c r="AY13" s="6"/>
      <c r="BA13" s="6"/>
    </row>
    <row r="14" spans="1:53" ht="15">
      <c r="A14" s="58" t="s">
        <v>45</v>
      </c>
      <c r="B14" s="9"/>
      <c r="C14" s="9"/>
      <c r="D14" s="9">
        <v>37</v>
      </c>
      <c r="E14" s="9">
        <v>24.5</v>
      </c>
      <c r="F14" s="9"/>
      <c r="G14" s="10"/>
      <c r="H14" s="9"/>
      <c r="I14" s="9"/>
      <c r="J14" s="10"/>
      <c r="K14" s="10"/>
      <c r="L14" s="10"/>
      <c r="M14" s="10"/>
      <c r="N14" s="10"/>
      <c r="O14" s="10"/>
      <c r="P14" s="10"/>
      <c r="Q14" s="10"/>
      <c r="S14" s="10"/>
      <c r="U14" s="10"/>
      <c r="W14" s="6"/>
      <c r="Y14" s="6"/>
      <c r="AA14" s="7"/>
      <c r="AC14" s="6"/>
      <c r="AE14" s="6"/>
      <c r="AG14" s="6"/>
      <c r="AI14" s="6"/>
      <c r="AK14" s="6"/>
      <c r="AM14" s="6"/>
      <c r="AO14" s="6"/>
      <c r="AQ14" s="6"/>
      <c r="AS14" s="6"/>
      <c r="AU14" s="6"/>
      <c r="AW14" s="6"/>
      <c r="AY14" s="6"/>
      <c r="BA14" s="6"/>
    </row>
    <row r="15" spans="1:12" ht="15">
      <c r="A15" s="11">
        <v>1605</v>
      </c>
      <c r="B15" s="3">
        <v>360</v>
      </c>
      <c r="C15" s="3">
        <v>72</v>
      </c>
      <c r="D15" s="4">
        <v>38.75</v>
      </c>
      <c r="E15" s="4">
        <v>26</v>
      </c>
      <c r="F15" s="4"/>
      <c r="H15" s="3">
        <f>+B15*Notes!$F42</f>
        <v>98.89551550056244</v>
      </c>
      <c r="I15" s="3">
        <f>+C15*Notes!$F42</f>
        <v>19.779103100112486</v>
      </c>
      <c r="J15" s="3">
        <f>+D15*Notes!$F42</f>
        <v>10.645003404574428</v>
      </c>
      <c r="K15" s="3">
        <f>+E15*Notes!$F42</f>
        <v>7.142453897262842</v>
      </c>
      <c r="L15" s="3">
        <f>+F15*Notes!$F42</f>
        <v>0</v>
      </c>
    </row>
    <row r="16" spans="1:12" ht="15">
      <c r="A16" s="11">
        <v>1606</v>
      </c>
      <c r="B16" s="3">
        <v>360</v>
      </c>
      <c r="C16" s="3">
        <v>72</v>
      </c>
      <c r="D16" s="4">
        <v>44</v>
      </c>
      <c r="E16" s="4">
        <v>25.75</v>
      </c>
      <c r="F16" s="4"/>
      <c r="H16" s="3">
        <f>+B16*Notes!$F43</f>
        <v>97.64711339234952</v>
      </c>
      <c r="I16" s="3">
        <f>+C16*Notes!$F43</f>
        <v>19.529422678469906</v>
      </c>
      <c r="J16" s="3">
        <f>+D16*Notes!$F43</f>
        <v>11.934647192398275</v>
      </c>
      <c r="K16" s="3">
        <f>+E16*Notes!$F43</f>
        <v>6.984481027369445</v>
      </c>
      <c r="L16" s="3">
        <f>+F16*Notes!$F43</f>
        <v>0</v>
      </c>
    </row>
    <row r="17" spans="1:12" ht="15">
      <c r="A17" s="11">
        <v>1607</v>
      </c>
      <c r="B17" s="3">
        <v>360</v>
      </c>
      <c r="C17" s="3">
        <v>72</v>
      </c>
      <c r="D17" s="4">
        <v>40.5</v>
      </c>
      <c r="E17" s="4">
        <v>26.75</v>
      </c>
      <c r="F17" s="4"/>
      <c r="H17" s="3">
        <f>+B17*Notes!$F44</f>
        <v>95.53418306256481</v>
      </c>
      <c r="I17" s="3">
        <f>+C17*Notes!$F44</f>
        <v>19.10683661251296</v>
      </c>
      <c r="J17" s="3">
        <f>+D17*Notes!$F44</f>
        <v>10.747595594538542</v>
      </c>
      <c r="K17" s="3">
        <f>+E17*Notes!$F44</f>
        <v>7.098720547010024</v>
      </c>
      <c r="L17" s="3">
        <f>+F17*Notes!$F44</f>
        <v>0</v>
      </c>
    </row>
    <row r="18" spans="1:12" ht="15">
      <c r="A18" s="11">
        <v>1608</v>
      </c>
      <c r="B18" s="3">
        <v>360</v>
      </c>
      <c r="C18" s="3">
        <v>72</v>
      </c>
      <c r="D18" s="4">
        <v>42.5</v>
      </c>
      <c r="E18" s="4">
        <v>25.75</v>
      </c>
      <c r="F18" s="4"/>
      <c r="H18" s="3">
        <f>+B18*Notes!$F45</f>
        <v>91.2020701827771</v>
      </c>
      <c r="I18" s="3">
        <f>+C18*Notes!$F45</f>
        <v>18.24041403655542</v>
      </c>
      <c r="J18" s="3">
        <f>+D18*Notes!$F45</f>
        <v>10.76691106324452</v>
      </c>
      <c r="K18" s="3">
        <f>+E18*Notes!$F45</f>
        <v>6.5234814089069735</v>
      </c>
      <c r="L18" s="3">
        <f>+F18*Notes!$F45</f>
        <v>0</v>
      </c>
    </row>
    <row r="19" spans="1:12" ht="15">
      <c r="A19" s="11">
        <v>1609</v>
      </c>
      <c r="B19" s="3">
        <v>432</v>
      </c>
      <c r="C19" s="3">
        <v>72</v>
      </c>
      <c r="D19" s="4">
        <v>38</v>
      </c>
      <c r="E19" s="4">
        <v>24.75</v>
      </c>
      <c r="F19" s="4"/>
      <c r="H19" s="3">
        <f>+B19*Notes!$F46</f>
        <v>119.12445428471163</v>
      </c>
      <c r="I19" s="3">
        <f>+C19*Notes!$F46</f>
        <v>19.854075714118608</v>
      </c>
      <c r="J19" s="3">
        <f>+D19*Notes!$F46</f>
        <v>10.478539960229265</v>
      </c>
      <c r="K19" s="3">
        <f>+E19*Notes!$F46</f>
        <v>6.8248385267282705</v>
      </c>
      <c r="L19" s="3">
        <f>+F19*Notes!$F46</f>
        <v>0</v>
      </c>
    </row>
    <row r="20" spans="1:12" ht="15">
      <c r="A20" s="11">
        <v>1610</v>
      </c>
      <c r="B20" s="3">
        <v>432</v>
      </c>
      <c r="C20" s="3">
        <v>72</v>
      </c>
      <c r="D20" s="4">
        <v>39</v>
      </c>
      <c r="E20" s="4">
        <v>24.5</v>
      </c>
      <c r="F20" s="4"/>
      <c r="H20" s="3">
        <f>+B20*Notes!$F47</f>
        <v>118.69976613919621</v>
      </c>
      <c r="I20" s="3">
        <f>+C20*Notes!$F47</f>
        <v>19.783294356532704</v>
      </c>
      <c r="J20" s="3">
        <f>+D20*Notes!$F47</f>
        <v>10.715951109788547</v>
      </c>
      <c r="K20" s="3">
        <f>+E20*Notes!$F47</f>
        <v>6.7318154407646</v>
      </c>
      <c r="L20" s="3">
        <f>+F20*Notes!$F47</f>
        <v>0</v>
      </c>
    </row>
    <row r="21" spans="1:12" ht="15">
      <c r="A21" s="11">
        <v>1611</v>
      </c>
      <c r="B21" s="3">
        <v>432</v>
      </c>
      <c r="C21" s="3">
        <v>72</v>
      </c>
      <c r="D21" s="4">
        <v>39.63636363636363</v>
      </c>
      <c r="E21" s="4">
        <v>24.25</v>
      </c>
      <c r="F21" s="4"/>
      <c r="H21" s="3">
        <f>+B21*Notes!$F48</f>
        <v>114.08615251290492</v>
      </c>
      <c r="I21" s="3">
        <f>+C21*Notes!$F48</f>
        <v>19.01435875215082</v>
      </c>
      <c r="J21" s="3">
        <f>+D21*Notes!$F48</f>
        <v>10.467500525173934</v>
      </c>
      <c r="K21" s="3">
        <f>+E21*Notes!$F48</f>
        <v>6.404141663050797</v>
      </c>
      <c r="L21" s="3">
        <f>+F21*Notes!$F48</f>
        <v>0</v>
      </c>
    </row>
    <row r="22" spans="1:12" ht="15">
      <c r="A22" s="11">
        <v>1612</v>
      </c>
      <c r="B22" s="3">
        <v>432</v>
      </c>
      <c r="C22" s="3">
        <v>72</v>
      </c>
      <c r="D22" s="4">
        <v>41</v>
      </c>
      <c r="E22" s="4">
        <v>23.25</v>
      </c>
      <c r="F22" s="4"/>
      <c r="H22" s="3">
        <f>+B22*Notes!$F49</f>
        <v>118.39361522295367</v>
      </c>
      <c r="I22" s="3">
        <f>+C22*Notes!$F49</f>
        <v>19.73226920382561</v>
      </c>
      <c r="J22" s="3">
        <f>+D22*Notes!$F49</f>
        <v>11.236431074400695</v>
      </c>
      <c r="K22" s="3">
        <f>+E22*Notes!$F49</f>
        <v>6.371878597068687</v>
      </c>
      <c r="L22" s="3">
        <f>+F22*Notes!$F49</f>
        <v>0</v>
      </c>
    </row>
    <row r="23" spans="1:12" ht="15">
      <c r="A23" s="11">
        <v>1613</v>
      </c>
      <c r="B23" s="3">
        <v>432</v>
      </c>
      <c r="C23" s="3">
        <v>72</v>
      </c>
      <c r="D23" s="4">
        <v>39.142857142857146</v>
      </c>
      <c r="E23" s="4">
        <v>24.5</v>
      </c>
      <c r="F23" s="4"/>
      <c r="H23" s="3">
        <f>+B23*Notes!$F50</f>
        <v>113.05588743384465</v>
      </c>
      <c r="I23" s="3">
        <f>+C23*Notes!$F50</f>
        <v>18.842647905640774</v>
      </c>
      <c r="J23" s="3">
        <f>+D23*Notes!$F50</f>
        <v>10.243820488384072</v>
      </c>
      <c r="K23" s="3">
        <f>+E23*Notes!$F50</f>
        <v>6.411734356780541</v>
      </c>
      <c r="L23" s="3">
        <f>+F23*Notes!$F50</f>
        <v>0</v>
      </c>
    </row>
    <row r="24" spans="1:12" ht="15">
      <c r="A24" s="11">
        <v>1614</v>
      </c>
      <c r="B24" s="3">
        <v>432</v>
      </c>
      <c r="C24" s="3">
        <v>72</v>
      </c>
      <c r="D24" s="4">
        <v>38.5</v>
      </c>
      <c r="E24" s="4">
        <v>24.5</v>
      </c>
      <c r="F24" s="4"/>
      <c r="H24" s="3">
        <f>+B24*Notes!$F51</f>
        <v>112.51983345523091</v>
      </c>
      <c r="I24" s="3">
        <f>+C24*Notes!$F51</f>
        <v>18.75330557587182</v>
      </c>
      <c r="J24" s="3">
        <f>+D24*Notes!$F51</f>
        <v>10.02780923154257</v>
      </c>
      <c r="K24" s="3">
        <f>+E24*Notes!$F51</f>
        <v>6.381333147345272</v>
      </c>
      <c r="L24" s="3">
        <f>+F24*Notes!$F51</f>
        <v>0</v>
      </c>
    </row>
    <row r="25" spans="1:12" ht="15">
      <c r="A25" s="11">
        <v>1615</v>
      </c>
      <c r="B25" s="3">
        <v>432</v>
      </c>
      <c r="C25" s="3">
        <v>72</v>
      </c>
      <c r="D25" s="4">
        <v>39.44444444444444</v>
      </c>
      <c r="E25" s="4">
        <v>24</v>
      </c>
      <c r="F25" s="4"/>
      <c r="H25" s="3">
        <f>+B25*Notes!$F52</f>
        <v>113.37258633150819</v>
      </c>
      <c r="I25" s="3">
        <f>+C25*Notes!$F52</f>
        <v>18.895431055251365</v>
      </c>
      <c r="J25" s="3">
        <f>+D25*Notes!$F52</f>
        <v>10.351663618231843</v>
      </c>
      <c r="K25" s="3">
        <f>+E25*Notes!$F52</f>
        <v>6.298477018417122</v>
      </c>
      <c r="L25" s="3">
        <f>+F25*Notes!$F52</f>
        <v>0</v>
      </c>
    </row>
    <row r="26" spans="1:12" ht="15">
      <c r="A26" s="11">
        <v>1616</v>
      </c>
      <c r="B26" s="3">
        <v>432</v>
      </c>
      <c r="C26" s="3">
        <v>72</v>
      </c>
      <c r="D26" s="4">
        <v>46.68</v>
      </c>
      <c r="E26" s="4">
        <v>25.5</v>
      </c>
      <c r="F26" s="4"/>
      <c r="H26" s="3">
        <f>+B26*Notes!$F53</f>
        <v>104.3060532188841</v>
      </c>
      <c r="I26" s="3">
        <f>+C26*Notes!$F53</f>
        <v>17.38434220314735</v>
      </c>
      <c r="J26" s="3">
        <f>+D26*Notes!$F53</f>
        <v>11.270848528373865</v>
      </c>
      <c r="K26" s="3">
        <f>+E26*Notes!$F53</f>
        <v>6.156954530281353</v>
      </c>
      <c r="L26" s="3">
        <f>+F26*Notes!$F53</f>
        <v>0</v>
      </c>
    </row>
    <row r="27" spans="1:12" ht="15">
      <c r="A27" s="11">
        <v>1617</v>
      </c>
      <c r="B27" s="3">
        <v>432</v>
      </c>
      <c r="C27" s="3">
        <v>96</v>
      </c>
      <c r="D27" s="4">
        <v>43.55555555555556</v>
      </c>
      <c r="E27" s="4">
        <v>25.5</v>
      </c>
      <c r="F27" s="4">
        <v>30</v>
      </c>
      <c r="H27" s="3">
        <f>+B27*Notes!$F54</f>
        <v>96.07145443851049</v>
      </c>
      <c r="I27" s="3">
        <f>+C27*Notes!$F54</f>
        <v>21.349212097446774</v>
      </c>
      <c r="J27" s="3">
        <f>+D27*Notes!$F54</f>
        <v>9.686216599767517</v>
      </c>
      <c r="K27" s="3">
        <f>+E27*Notes!$F54</f>
        <v>5.670884463384299</v>
      </c>
      <c r="L27" s="3">
        <f>+F27*Notes!$F54</f>
        <v>6.671628780452117</v>
      </c>
    </row>
    <row r="28" spans="1:12" ht="15">
      <c r="A28" s="11">
        <v>1618</v>
      </c>
      <c r="B28" s="3">
        <v>432</v>
      </c>
      <c r="C28" s="3">
        <v>96</v>
      </c>
      <c r="D28" s="4">
        <v>43.888888888888886</v>
      </c>
      <c r="E28" s="4">
        <v>24.5</v>
      </c>
      <c r="F28" s="4"/>
      <c r="H28" s="3">
        <f>+B28*Notes!$F55</f>
        <v>89.39115322324683</v>
      </c>
      <c r="I28" s="3">
        <f>+C28*Notes!$F55</f>
        <v>19.864700716277074</v>
      </c>
      <c r="J28" s="3">
        <f>+D28*Notes!$F55</f>
        <v>9.081662943205375</v>
      </c>
      <c r="K28" s="3">
        <f>+E28*Notes!$F55</f>
        <v>5.069637161966545</v>
      </c>
      <c r="L28" s="3">
        <f>+F28*Notes!$F55</f>
        <v>0</v>
      </c>
    </row>
    <row r="29" spans="1:12" ht="15">
      <c r="A29" s="11">
        <v>1619</v>
      </c>
      <c r="B29" s="3">
        <v>432</v>
      </c>
      <c r="C29" s="3">
        <v>96</v>
      </c>
      <c r="D29" s="4">
        <v>42</v>
      </c>
      <c r="E29" s="4">
        <v>24.5</v>
      </c>
      <c r="F29" s="4"/>
      <c r="H29" s="3">
        <f>+B29*Notes!$F56</f>
        <v>93.09047638495537</v>
      </c>
      <c r="I29" s="3">
        <f>+C29*Notes!$F56</f>
        <v>20.686772529990083</v>
      </c>
      <c r="J29" s="3">
        <f>+D29*Notes!$F56</f>
        <v>9.05046298187066</v>
      </c>
      <c r="K29" s="3">
        <f>+E29*Notes!$F56</f>
        <v>5.279436739424552</v>
      </c>
      <c r="L29" s="3">
        <f>+F29*Notes!$F56</f>
        <v>0</v>
      </c>
    </row>
    <row r="30" spans="1:12" ht="15">
      <c r="A30" s="11">
        <v>1620</v>
      </c>
      <c r="B30" s="3">
        <v>500</v>
      </c>
      <c r="C30" s="3">
        <v>96</v>
      </c>
      <c r="D30" s="4">
        <v>40</v>
      </c>
      <c r="E30" s="4">
        <v>24.5</v>
      </c>
      <c r="F30" s="4"/>
      <c r="H30" s="3">
        <f>+B30*Notes!$F57</f>
        <v>137.87164786418398</v>
      </c>
      <c r="I30" s="3">
        <f>+C30*Notes!$F57</f>
        <v>26.471356389923326</v>
      </c>
      <c r="J30" s="3">
        <f>+D30*Notes!$F57</f>
        <v>11.029731829134718</v>
      </c>
      <c r="K30" s="3">
        <f>+E30*Notes!$F57</f>
        <v>6.755710745345016</v>
      </c>
      <c r="L30" s="3">
        <f>+F30*Notes!$F57</f>
        <v>0</v>
      </c>
    </row>
    <row r="31" spans="1:12" ht="15">
      <c r="A31" s="11">
        <v>1621</v>
      </c>
      <c r="B31" s="3">
        <v>500</v>
      </c>
      <c r="C31" s="3">
        <v>96</v>
      </c>
      <c r="D31" s="4">
        <v>42.5</v>
      </c>
      <c r="E31" s="4">
        <v>23</v>
      </c>
      <c r="F31" s="4"/>
      <c r="H31" s="3">
        <f>+B31*Notes!$F58</f>
        <v>137.872667570009</v>
      </c>
      <c r="I31" s="3">
        <f>+C31*Notes!$F58</f>
        <v>26.47155217344173</v>
      </c>
      <c r="J31" s="3">
        <f>+D31*Notes!$F58</f>
        <v>11.719176743450767</v>
      </c>
      <c r="K31" s="3">
        <f>+E31*Notes!$F58</f>
        <v>6.342142708220415</v>
      </c>
      <c r="L31" s="3">
        <f>+F31*Notes!$F58</f>
        <v>0</v>
      </c>
    </row>
    <row r="32" spans="1:12" ht="15">
      <c r="A32" s="11">
        <v>1622</v>
      </c>
      <c r="B32" s="3">
        <v>500</v>
      </c>
      <c r="C32" s="3">
        <v>96</v>
      </c>
      <c r="D32" s="4">
        <v>40</v>
      </c>
      <c r="E32" s="4">
        <v>23</v>
      </c>
      <c r="F32" s="4"/>
      <c r="H32" s="3">
        <f>+B32*Notes!$F59</f>
        <v>137.87220181208883</v>
      </c>
      <c r="I32" s="3">
        <f>+C32*Notes!$F59</f>
        <v>26.47146274792106</v>
      </c>
      <c r="J32" s="3">
        <f>+D32*Notes!$F59</f>
        <v>11.029776144967107</v>
      </c>
      <c r="K32" s="3">
        <f>+E32*Notes!$F59</f>
        <v>6.342121283356087</v>
      </c>
      <c r="L32" s="3">
        <f>+F32*Notes!$F59</f>
        <v>0</v>
      </c>
    </row>
    <row r="33" spans="1:12" ht="15">
      <c r="A33" s="11">
        <v>1623</v>
      </c>
      <c r="B33" s="3">
        <v>500</v>
      </c>
      <c r="C33" s="3">
        <v>96</v>
      </c>
      <c r="D33" s="4">
        <v>50</v>
      </c>
      <c r="E33" s="4">
        <v>24</v>
      </c>
      <c r="F33" s="4"/>
      <c r="H33" s="3">
        <f>+B33*Notes!$F60</f>
        <v>137.8684752313841</v>
      </c>
      <c r="I33" s="3">
        <f>+C33*Notes!$F60</f>
        <v>26.470747244425745</v>
      </c>
      <c r="J33" s="3">
        <f>+D33*Notes!$F60</f>
        <v>13.786847523138409</v>
      </c>
      <c r="K33" s="3">
        <f>+E33*Notes!$F60</f>
        <v>6.617686811106436</v>
      </c>
      <c r="L33" s="3">
        <f>+F33*Notes!$F60</f>
        <v>0</v>
      </c>
    </row>
    <row r="34" spans="1:12" ht="15">
      <c r="A34" s="11">
        <v>1624</v>
      </c>
      <c r="B34" s="3">
        <v>500</v>
      </c>
      <c r="C34" s="3">
        <v>96</v>
      </c>
      <c r="D34" s="4">
        <v>40</v>
      </c>
      <c r="E34" s="4"/>
      <c r="F34" s="4"/>
      <c r="H34" s="3">
        <f>+B34*Notes!$F61</f>
        <v>137.7882036441586</v>
      </c>
      <c r="I34" s="3">
        <f>+C34*Notes!$F61</f>
        <v>26.455335099678454</v>
      </c>
      <c r="J34" s="3">
        <f>+D34*Notes!$F61</f>
        <v>11.02305629153269</v>
      </c>
      <c r="K34" s="3">
        <f>+E34*Notes!$F61</f>
        <v>0</v>
      </c>
      <c r="L34" s="3">
        <f>+F34*Notes!$F61</f>
        <v>0</v>
      </c>
    </row>
    <row r="35" spans="1:12" ht="15">
      <c r="A35" s="11">
        <v>1625</v>
      </c>
      <c r="B35" s="3">
        <v>500</v>
      </c>
      <c r="C35" s="3">
        <v>96</v>
      </c>
      <c r="D35" s="4">
        <v>41.666666666666664</v>
      </c>
      <c r="E35" s="4"/>
      <c r="F35" s="4">
        <v>25.875</v>
      </c>
      <c r="H35" s="3">
        <f>+B35*Notes!$F62</f>
        <v>137.87066933301966</v>
      </c>
      <c r="I35" s="3">
        <f>+C35*Notes!$F62</f>
        <v>26.471168511939776</v>
      </c>
      <c r="J35" s="3">
        <f>+D35*Notes!$F62</f>
        <v>11.489222444418305</v>
      </c>
      <c r="K35" s="3">
        <f>+E35*Notes!$F62</f>
        <v>0</v>
      </c>
      <c r="L35" s="3">
        <f>+F35*Notes!$F62</f>
        <v>7.134807137983768</v>
      </c>
    </row>
    <row r="36" spans="1:12" ht="15">
      <c r="A36" s="11">
        <v>1626</v>
      </c>
      <c r="B36" s="3">
        <v>500</v>
      </c>
      <c r="C36" s="3">
        <v>96</v>
      </c>
      <c r="E36" s="4"/>
      <c r="F36" s="4"/>
      <c r="H36" s="3">
        <f>+B36*Notes!$F63</f>
        <v>137.8785907716982</v>
      </c>
      <c r="I36" s="3">
        <f>+C36*Notes!$F63</f>
        <v>26.472689428166056</v>
      </c>
      <c r="J36" s="3">
        <f>+D36*Notes!$F63</f>
        <v>0</v>
      </c>
      <c r="K36" s="3">
        <f>+E36*Notes!$F63</f>
        <v>0</v>
      </c>
      <c r="L36" s="3">
        <f>+F36*Notes!$F63</f>
        <v>0</v>
      </c>
    </row>
    <row r="37" spans="1:12" ht="15">
      <c r="A37" s="11">
        <v>1627</v>
      </c>
      <c r="B37" s="3">
        <v>500</v>
      </c>
      <c r="C37" s="3">
        <v>96</v>
      </c>
      <c r="E37" s="4"/>
      <c r="F37" s="4">
        <v>27</v>
      </c>
      <c r="H37" s="3">
        <f>+B37*Notes!$F64</f>
        <v>137.8684554283</v>
      </c>
      <c r="I37" s="3">
        <f>+C37*Notes!$F64</f>
        <v>26.4707434422336</v>
      </c>
      <c r="J37" s="3">
        <f>+D37*Notes!$F64</f>
        <v>0</v>
      </c>
      <c r="K37" s="3">
        <f>+E37*Notes!$F64</f>
        <v>0</v>
      </c>
      <c r="L37" s="3">
        <f>+F37*Notes!$F64</f>
        <v>7.444896593128201</v>
      </c>
    </row>
    <row r="38" spans="1:12" ht="15">
      <c r="A38" s="11">
        <v>1628</v>
      </c>
      <c r="B38" s="3">
        <v>500</v>
      </c>
      <c r="C38" s="3">
        <v>120</v>
      </c>
      <c r="D38" s="4">
        <v>42</v>
      </c>
      <c r="E38" s="4">
        <v>22.5</v>
      </c>
      <c r="F38" s="4"/>
      <c r="H38" s="3">
        <f>+B38*Notes!$F65</f>
        <v>137.8746607733608</v>
      </c>
      <c r="I38" s="3">
        <f>+C38*Notes!$F65</f>
        <v>33.08991858560659</v>
      </c>
      <c r="J38" s="3">
        <f>+D38*Notes!$F65</f>
        <v>11.581471504962307</v>
      </c>
      <c r="K38" s="3">
        <f>+E38*Notes!$F65</f>
        <v>6.204359734801236</v>
      </c>
      <c r="L38" s="3">
        <f>+F38*Notes!$F65</f>
        <v>0</v>
      </c>
    </row>
    <row r="39" spans="1:12" ht="15">
      <c r="A39" s="11">
        <v>1629</v>
      </c>
      <c r="B39" s="3">
        <v>500</v>
      </c>
      <c r="C39" s="3">
        <v>120</v>
      </c>
      <c r="E39" s="4"/>
      <c r="F39" s="4"/>
      <c r="H39" s="3">
        <f>+B39*Notes!$F66</f>
        <v>137.8673586630586</v>
      </c>
      <c r="I39" s="3">
        <f>+C39*Notes!$F66</f>
        <v>33.08816607913406</v>
      </c>
      <c r="J39" s="3">
        <f>+D39*Notes!$F66</f>
        <v>0</v>
      </c>
      <c r="K39" s="3">
        <f>+E39*Notes!$F66</f>
        <v>0</v>
      </c>
      <c r="L39" s="3">
        <f>+F39*Notes!$F66</f>
        <v>0</v>
      </c>
    </row>
    <row r="40" spans="1:12" ht="15">
      <c r="A40" s="11">
        <v>1630</v>
      </c>
      <c r="B40" s="3">
        <v>500</v>
      </c>
      <c r="C40" s="3">
        <v>120</v>
      </c>
      <c r="E40" s="4"/>
      <c r="F40" s="4"/>
      <c r="H40" s="3">
        <f>+B40*Notes!$F67</f>
        <v>137.86897611424718</v>
      </c>
      <c r="I40" s="3">
        <f>+C40*Notes!$F67</f>
        <v>33.08855426741932</v>
      </c>
      <c r="J40" s="3">
        <f>+D40*Notes!$F67</f>
        <v>0</v>
      </c>
      <c r="K40" s="3">
        <f>+E40*Notes!$F67</f>
        <v>0</v>
      </c>
      <c r="L40" s="3">
        <f>+F40*Notes!$F67</f>
        <v>0</v>
      </c>
    </row>
    <row r="41" spans="1:12" ht="15">
      <c r="A41" s="11">
        <v>1631</v>
      </c>
      <c r="B41" s="3">
        <v>500</v>
      </c>
      <c r="C41" s="3">
        <v>120</v>
      </c>
      <c r="D41" s="4">
        <v>45</v>
      </c>
      <c r="E41" s="4">
        <v>25</v>
      </c>
      <c r="F41" s="4"/>
      <c r="H41" s="3">
        <f>+B41*Notes!$F68</f>
        <v>137.86812272515166</v>
      </c>
      <c r="I41" s="3">
        <f>+C41*Notes!$F68</f>
        <v>33.088349454036404</v>
      </c>
      <c r="J41" s="3">
        <f>+D41*Notes!$F68</f>
        <v>12.40813104526365</v>
      </c>
      <c r="K41" s="3">
        <f>+E41*Notes!$F68</f>
        <v>6.893406136257584</v>
      </c>
      <c r="L41" s="3">
        <f>+F41*Notes!$F68</f>
        <v>0</v>
      </c>
    </row>
    <row r="42" spans="1:12" ht="15">
      <c r="A42" s="11">
        <v>1632</v>
      </c>
      <c r="B42" s="3">
        <v>500</v>
      </c>
      <c r="C42" s="3">
        <v>120</v>
      </c>
      <c r="D42" s="4">
        <v>42.5</v>
      </c>
      <c r="E42" s="4"/>
      <c r="F42" s="4"/>
      <c r="H42" s="3">
        <f>+B42*Notes!$F69</f>
        <v>137.8666140383657</v>
      </c>
      <c r="I42" s="3">
        <f>+C42*Notes!$F69</f>
        <v>33.08798736920777</v>
      </c>
      <c r="J42" s="3">
        <f>+D42*Notes!$F69</f>
        <v>11.718662193261084</v>
      </c>
      <c r="K42" s="3">
        <f>+E42*Notes!$F69</f>
        <v>0</v>
      </c>
      <c r="L42" s="3">
        <f>+F42*Notes!$F69</f>
        <v>0</v>
      </c>
    </row>
    <row r="43" spans="1:12" ht="15">
      <c r="A43" s="11">
        <v>1633</v>
      </c>
      <c r="B43" s="3">
        <v>500</v>
      </c>
      <c r="C43" s="3">
        <v>120</v>
      </c>
      <c r="D43" s="4">
        <v>45</v>
      </c>
      <c r="E43" s="4"/>
      <c r="F43" s="4"/>
      <c r="H43" s="3">
        <f>+B43*Notes!$F70</f>
        <v>137.86319023176233</v>
      </c>
      <c r="I43" s="3">
        <f>+C43*Notes!$F70</f>
        <v>33.08716565562296</v>
      </c>
      <c r="J43" s="3">
        <f>+D43*Notes!$F70</f>
        <v>12.40768712085861</v>
      </c>
      <c r="K43" s="3">
        <f>+E43*Notes!$F70</f>
        <v>0</v>
      </c>
      <c r="L43" s="3">
        <f>+F43*Notes!$F70</f>
        <v>0</v>
      </c>
    </row>
    <row r="44" spans="1:12" ht="15">
      <c r="A44" s="11">
        <v>1634</v>
      </c>
      <c r="B44" s="3">
        <v>500</v>
      </c>
      <c r="C44" s="3">
        <v>120</v>
      </c>
      <c r="D44" s="4">
        <v>39.166666666666664</v>
      </c>
      <c r="E44" s="4">
        <v>22.5</v>
      </c>
      <c r="F44" s="4"/>
      <c r="H44" s="3">
        <f>+B44*Notes!$F71</f>
        <v>137.86455455625318</v>
      </c>
      <c r="I44" s="3">
        <f>+C44*Notes!$F71</f>
        <v>33.08749309350076</v>
      </c>
      <c r="J44" s="3">
        <f>+D44*Notes!$F71</f>
        <v>10.799390106906499</v>
      </c>
      <c r="K44" s="3">
        <f>+E44*Notes!$F71</f>
        <v>6.203904955031393</v>
      </c>
      <c r="L44" s="3">
        <f>+F44*Notes!$F71</f>
        <v>0</v>
      </c>
    </row>
    <row r="45" spans="1:12" ht="15">
      <c r="A45" s="11">
        <v>1635</v>
      </c>
      <c r="B45" s="3">
        <v>500</v>
      </c>
      <c r="C45" s="3">
        <v>120</v>
      </c>
      <c r="D45" s="4">
        <v>50</v>
      </c>
      <c r="E45" s="4"/>
      <c r="F45" s="4"/>
      <c r="H45" s="3">
        <f>+B45*Notes!$F72</f>
        <v>137.14373279999998</v>
      </c>
      <c r="I45" s="3">
        <f>+C45*Notes!$F72</f>
        <v>32.914495871999996</v>
      </c>
      <c r="J45" s="3">
        <f>+D45*Notes!$F72</f>
        <v>13.714373279999997</v>
      </c>
      <c r="K45" s="3">
        <f>+E45*Notes!$F72</f>
        <v>0</v>
      </c>
      <c r="L45" s="3">
        <f>+F45*Notes!$F72</f>
        <v>0</v>
      </c>
    </row>
    <row r="46" spans="1:12" ht="15">
      <c r="A46" s="11">
        <v>1636</v>
      </c>
      <c r="B46" s="3">
        <v>500</v>
      </c>
      <c r="C46" s="3">
        <v>120</v>
      </c>
      <c r="D46" s="4">
        <v>44.44444444444444</v>
      </c>
      <c r="E46" s="4"/>
      <c r="F46" s="4"/>
      <c r="H46" s="3">
        <f>+B46*Notes!$F73</f>
        <v>135.5122560892946</v>
      </c>
      <c r="I46" s="3">
        <f>+C46*Notes!$F73</f>
        <v>32.522941461430705</v>
      </c>
      <c r="J46" s="3">
        <f>+D46*Notes!$F73</f>
        <v>12.045533874603963</v>
      </c>
      <c r="K46" s="3">
        <f>+E46*Notes!$F73</f>
        <v>0</v>
      </c>
      <c r="L46" s="3">
        <f>+F46*Notes!$F73</f>
        <v>0</v>
      </c>
    </row>
    <row r="47" spans="1:12" ht="15">
      <c r="A47" s="11">
        <v>1637</v>
      </c>
      <c r="B47" s="3">
        <v>500</v>
      </c>
      <c r="C47" s="3">
        <v>120</v>
      </c>
      <c r="D47" s="4">
        <v>44.166666666666664</v>
      </c>
      <c r="E47" s="4"/>
      <c r="F47" s="4"/>
      <c r="H47" s="3">
        <f>+B47*Notes!$F74</f>
        <v>134.82591800749393</v>
      </c>
      <c r="I47" s="3">
        <f>+C47*Notes!$F74</f>
        <v>32.35822032179854</v>
      </c>
      <c r="J47" s="3">
        <f>+D47*Notes!$F74</f>
        <v>11.909622757328629</v>
      </c>
      <c r="K47" s="3">
        <f>+E47*Notes!$F74</f>
        <v>0</v>
      </c>
      <c r="L47" s="3">
        <f>+F47*Notes!$F74</f>
        <v>0</v>
      </c>
    </row>
    <row r="48" spans="1:12" ht="15">
      <c r="A48" s="11">
        <v>1638</v>
      </c>
      <c r="B48" s="3">
        <v>500</v>
      </c>
      <c r="C48" s="3">
        <v>120</v>
      </c>
      <c r="D48" s="4">
        <v>46.666666666666664</v>
      </c>
      <c r="E48" s="4"/>
      <c r="F48" s="4"/>
      <c r="H48" s="3">
        <f>+B48*Notes!$F75</f>
        <v>137.24309763572677</v>
      </c>
      <c r="I48" s="3">
        <f>+C48*Notes!$F75</f>
        <v>32.93834343257442</v>
      </c>
      <c r="J48" s="3">
        <f>+D48*Notes!$F75</f>
        <v>12.809355779334497</v>
      </c>
      <c r="K48" s="3">
        <f>+E48*Notes!$F75</f>
        <v>0</v>
      </c>
      <c r="L48" s="3">
        <f>+F48*Notes!$F75</f>
        <v>0</v>
      </c>
    </row>
    <row r="49" spans="1:12" ht="15">
      <c r="A49" s="11">
        <v>1639</v>
      </c>
      <c r="B49" s="3">
        <v>500</v>
      </c>
      <c r="C49" s="3">
        <v>120</v>
      </c>
      <c r="D49" s="4">
        <v>40.5</v>
      </c>
      <c r="E49" s="4">
        <v>20</v>
      </c>
      <c r="F49" s="4"/>
      <c r="H49" s="3">
        <f>+B49*Notes!$F76</f>
        <v>134.13077313193227</v>
      </c>
      <c r="I49" s="3">
        <f>+C49*Notes!$F76</f>
        <v>32.19138555166375</v>
      </c>
      <c r="J49" s="3">
        <f>+D49*Notes!$F76</f>
        <v>10.864592623686514</v>
      </c>
      <c r="K49" s="3">
        <f>+E49*Notes!$F76</f>
        <v>5.365230925277292</v>
      </c>
      <c r="L49" s="3">
        <f>+F49*Notes!$F76</f>
        <v>0</v>
      </c>
    </row>
    <row r="50" spans="1:12" ht="15">
      <c r="A50" s="11">
        <v>1640</v>
      </c>
      <c r="B50" s="3">
        <v>500</v>
      </c>
      <c r="C50" s="3">
        <v>120</v>
      </c>
      <c r="D50" s="4">
        <v>47</v>
      </c>
      <c r="E50" s="4"/>
      <c r="F50" s="4"/>
      <c r="H50" s="3">
        <f>+B50*Notes!$F77</f>
        <v>132.12674782608696</v>
      </c>
      <c r="I50" s="3">
        <f>+C50*Notes!$F77</f>
        <v>31.71041947826087</v>
      </c>
      <c r="J50" s="3">
        <f>+D50*Notes!$F77</f>
        <v>12.419914295652175</v>
      </c>
      <c r="K50" s="3">
        <f>+E50*Notes!$F77</f>
        <v>0</v>
      </c>
      <c r="L50" s="3">
        <f>+F50*Notes!$F77</f>
        <v>0</v>
      </c>
    </row>
    <row r="51" spans="1:12" ht="15">
      <c r="A51" s="11">
        <v>1641</v>
      </c>
      <c r="B51" s="3">
        <v>500</v>
      </c>
      <c r="C51" s="3">
        <v>120</v>
      </c>
      <c r="D51" s="4">
        <v>43.333333333333336</v>
      </c>
      <c r="E51" s="4">
        <v>22</v>
      </c>
      <c r="F51" s="4"/>
      <c r="H51" s="3">
        <f>+B51*Notes!$F78</f>
        <v>132.12916666666666</v>
      </c>
      <c r="I51" s="3">
        <f>+C51*Notes!$F78</f>
        <v>31.711</v>
      </c>
      <c r="J51" s="3">
        <f>+D51*Notes!$F78</f>
        <v>11.451194444444445</v>
      </c>
      <c r="K51" s="3">
        <f>+E51*Notes!$F78</f>
        <v>5.813683333333333</v>
      </c>
      <c r="L51" s="3">
        <f>+F51*Notes!$F78</f>
        <v>0</v>
      </c>
    </row>
    <row r="52" spans="1:12" ht="15">
      <c r="A52" s="11">
        <v>1642</v>
      </c>
      <c r="B52" s="3">
        <v>500</v>
      </c>
      <c r="C52" s="3">
        <v>120</v>
      </c>
      <c r="D52" s="4">
        <v>46.666666666666664</v>
      </c>
      <c r="E52" s="4"/>
      <c r="F52" s="4"/>
      <c r="H52" s="3">
        <f>+B52*Notes!$F79</f>
        <v>132.05535148975792</v>
      </c>
      <c r="I52" s="3">
        <f>+C52*Notes!$F79</f>
        <v>31.6932843575419</v>
      </c>
      <c r="J52" s="3">
        <f>+D52*Notes!$F79</f>
        <v>12.325166139044072</v>
      </c>
      <c r="K52" s="3">
        <f>+E52*Notes!$F79</f>
        <v>0</v>
      </c>
      <c r="L52" s="3">
        <f>+F52*Notes!$F79</f>
        <v>0</v>
      </c>
    </row>
    <row r="53" spans="1:12" ht="15">
      <c r="A53" s="11">
        <v>1643</v>
      </c>
      <c r="B53" s="3">
        <v>500</v>
      </c>
      <c r="C53" s="3">
        <v>120</v>
      </c>
      <c r="D53" s="4">
        <v>43.333333333333336</v>
      </c>
      <c r="E53" s="4">
        <v>25</v>
      </c>
      <c r="F53" s="4"/>
      <c r="H53" s="3">
        <f>+B53*Notes!$F80</f>
        <v>129.4296995512284</v>
      </c>
      <c r="I53" s="3">
        <f>+C53*Notes!$F80</f>
        <v>31.063127892294816</v>
      </c>
      <c r="J53" s="3">
        <f>+D53*Notes!$F80</f>
        <v>11.21724062777313</v>
      </c>
      <c r="K53" s="3">
        <f>+E53*Notes!$F80</f>
        <v>6.4714849775614205</v>
      </c>
      <c r="L53" s="3">
        <f>+F53*Notes!$F80</f>
        <v>0</v>
      </c>
    </row>
    <row r="54" spans="1:12" ht="15">
      <c r="A54" s="11">
        <v>1644</v>
      </c>
      <c r="B54" s="3">
        <v>500</v>
      </c>
      <c r="C54" s="3">
        <v>120</v>
      </c>
      <c r="E54" s="4"/>
      <c r="F54" s="4"/>
      <c r="H54" s="3">
        <f>+B54*Notes!$F81</f>
        <v>129.4248232412653</v>
      </c>
      <c r="I54" s="3">
        <f>+C54*Notes!$F81</f>
        <v>31.061957577903673</v>
      </c>
      <c r="J54" s="3">
        <f>+D54*Notes!$F81</f>
        <v>0</v>
      </c>
      <c r="K54" s="3">
        <f>+E54*Notes!$F81</f>
        <v>0</v>
      </c>
      <c r="L54" s="3">
        <f>+F54*Notes!$F81</f>
        <v>0</v>
      </c>
    </row>
    <row r="55" spans="1:12" ht="15">
      <c r="A55" s="11">
        <v>1645</v>
      </c>
      <c r="B55" s="3">
        <v>500</v>
      </c>
      <c r="C55" s="3">
        <v>120</v>
      </c>
      <c r="D55" s="4">
        <v>50</v>
      </c>
      <c r="E55" s="4"/>
      <c r="F55" s="4"/>
      <c r="H55" s="3">
        <f>+B55*Notes!$F82</f>
        <v>129.43145620653942</v>
      </c>
      <c r="I55" s="3">
        <f>+C55*Notes!$F82</f>
        <v>31.06354948956946</v>
      </c>
      <c r="J55" s="3">
        <f>+D55*Notes!$F82</f>
        <v>12.943145620653942</v>
      </c>
      <c r="K55" s="3">
        <f>+E55*Notes!$F82</f>
        <v>0</v>
      </c>
      <c r="L55" s="3">
        <f>+F55*Notes!$F82</f>
        <v>0</v>
      </c>
    </row>
    <row r="56" spans="1:12" ht="15">
      <c r="A56" s="11">
        <v>1646</v>
      </c>
      <c r="B56" s="3">
        <v>500</v>
      </c>
      <c r="C56" s="3">
        <v>120</v>
      </c>
      <c r="D56" s="4">
        <v>44.61538461538461</v>
      </c>
      <c r="E56" s="4">
        <v>21</v>
      </c>
      <c r="F56" s="4"/>
      <c r="H56" s="3">
        <f>+B56*Notes!$F83</f>
        <v>130.9329183753943</v>
      </c>
      <c r="I56" s="3">
        <f>+C56*Notes!$F83</f>
        <v>31.423900410094635</v>
      </c>
      <c r="J56" s="3">
        <f>+D56*Notes!$F83</f>
        <v>11.683245024265952</v>
      </c>
      <c r="K56" s="3">
        <f>+E56*Notes!$F83</f>
        <v>5.499182571766561</v>
      </c>
      <c r="L56" s="3">
        <f>+F56*Notes!$F83</f>
        <v>0</v>
      </c>
    </row>
    <row r="57" spans="1:12" ht="15">
      <c r="A57" s="11">
        <v>1647</v>
      </c>
      <c r="B57" s="3">
        <v>500</v>
      </c>
      <c r="C57" s="3">
        <v>120</v>
      </c>
      <c r="D57" s="4">
        <v>40</v>
      </c>
      <c r="E57" s="4">
        <v>20</v>
      </c>
      <c r="F57" s="4"/>
      <c r="H57" s="3">
        <f>+B57*Notes!$F84</f>
        <v>129.42161716640612</v>
      </c>
      <c r="I57" s="3">
        <f>+C57*Notes!$F84</f>
        <v>31.06118811993747</v>
      </c>
      <c r="J57" s="3">
        <f>+D57*Notes!$F84</f>
        <v>10.35372937331249</v>
      </c>
      <c r="K57" s="3">
        <f>+E57*Notes!$F84</f>
        <v>5.176864686656245</v>
      </c>
      <c r="L57" s="3">
        <f>+F57*Notes!$F84</f>
        <v>0</v>
      </c>
    </row>
    <row r="58" spans="1:12" ht="15">
      <c r="A58" s="11">
        <v>1648</v>
      </c>
      <c r="B58" s="3">
        <v>500</v>
      </c>
      <c r="C58" s="3">
        <v>120</v>
      </c>
      <c r="D58" s="4">
        <v>45</v>
      </c>
      <c r="E58" s="4">
        <v>19</v>
      </c>
      <c r="F58" s="4"/>
      <c r="H58" s="3">
        <f>+B58*Notes!$F85</f>
        <v>129.42927096942776</v>
      </c>
      <c r="I58" s="3">
        <f>+C58*Notes!$F85</f>
        <v>31.063025032662665</v>
      </c>
      <c r="J58" s="3">
        <f>+D58*Notes!$F85</f>
        <v>11.6486343872485</v>
      </c>
      <c r="K58" s="3">
        <f>+E58*Notes!$F85</f>
        <v>4.9183122968382555</v>
      </c>
      <c r="L58" s="3">
        <f>+F58*Notes!$F85</f>
        <v>0</v>
      </c>
    </row>
    <row r="59" spans="1:12" ht="15">
      <c r="A59" s="11">
        <v>1649</v>
      </c>
      <c r="B59" s="3">
        <v>500</v>
      </c>
      <c r="C59" s="3">
        <v>120</v>
      </c>
      <c r="D59" s="4">
        <v>40</v>
      </c>
      <c r="E59" s="4"/>
      <c r="F59" s="4"/>
      <c r="H59" s="3">
        <f>+B59*Notes!$F86</f>
        <v>129.42893800229623</v>
      </c>
      <c r="I59" s="3">
        <f>+C59*Notes!$F86</f>
        <v>31.0629451205511</v>
      </c>
      <c r="J59" s="3">
        <f>+D59*Notes!$F86</f>
        <v>10.3543150401837</v>
      </c>
      <c r="K59" s="3">
        <f>+E59*Notes!$F86</f>
        <v>0</v>
      </c>
      <c r="L59" s="3">
        <f>+F59*Notes!$F86</f>
        <v>0</v>
      </c>
    </row>
    <row r="60" spans="1:12" ht="15">
      <c r="A60" s="11">
        <v>1650</v>
      </c>
      <c r="B60" s="3">
        <v>500</v>
      </c>
      <c r="C60" s="3">
        <v>120</v>
      </c>
      <c r="D60" s="4">
        <v>40</v>
      </c>
      <c r="E60" s="4"/>
      <c r="F60" s="4"/>
      <c r="H60" s="3">
        <f>+B60*Notes!$F87</f>
        <v>129.43010453585362</v>
      </c>
      <c r="I60" s="3">
        <f>+C60*Notes!$F87</f>
        <v>31.06322508860487</v>
      </c>
      <c r="J60" s="3">
        <f>+D60*Notes!$F87</f>
        <v>10.354408362868291</v>
      </c>
      <c r="K60" s="3">
        <f>+E60*Notes!$F87</f>
        <v>0</v>
      </c>
      <c r="L60" s="3">
        <f>+F60*Notes!$F87</f>
        <v>0</v>
      </c>
    </row>
    <row r="61" spans="1:12" ht="15">
      <c r="A61" s="11">
        <v>1651</v>
      </c>
      <c r="B61" s="3">
        <v>500</v>
      </c>
      <c r="C61" s="3">
        <v>120</v>
      </c>
      <c r="E61" s="4"/>
      <c r="F61" s="4"/>
      <c r="H61" s="3">
        <f>+B61*Notes!$F88</f>
        <v>129.42907229804499</v>
      </c>
      <c r="I61" s="3">
        <f>+C61*Notes!$F88</f>
        <v>31.062977351530797</v>
      </c>
      <c r="J61" s="3">
        <f>+D61*Notes!$F88</f>
        <v>0</v>
      </c>
      <c r="K61" s="3">
        <f>+E61*Notes!$F88</f>
        <v>0</v>
      </c>
      <c r="L61" s="3">
        <f>+F61*Notes!$F88</f>
        <v>0</v>
      </c>
    </row>
    <row r="62" spans="1:12" ht="15">
      <c r="A62" s="11">
        <v>1652</v>
      </c>
      <c r="B62" s="3">
        <v>500</v>
      </c>
      <c r="C62" s="3">
        <v>120</v>
      </c>
      <c r="D62" s="4">
        <v>40</v>
      </c>
      <c r="E62" s="4">
        <v>20</v>
      </c>
      <c r="F62" s="4"/>
      <c r="H62" s="3">
        <f>+B62*Notes!$F89</f>
        <v>129.42987553648067</v>
      </c>
      <c r="I62" s="3">
        <f>+C62*Notes!$F89</f>
        <v>31.06317012875536</v>
      </c>
      <c r="J62" s="3">
        <f>+D62*Notes!$F89</f>
        <v>10.354390042918453</v>
      </c>
      <c r="K62" s="3">
        <f>+E62*Notes!$F89</f>
        <v>5.177195021459227</v>
      </c>
      <c r="L62" s="3">
        <f>+F62*Notes!$F89</f>
        <v>0</v>
      </c>
    </row>
    <row r="63" spans="1:12" ht="15">
      <c r="A63" s="11">
        <v>1653</v>
      </c>
      <c r="B63" s="3">
        <v>500</v>
      </c>
      <c r="C63" s="3">
        <v>120</v>
      </c>
      <c r="D63" s="4">
        <v>40</v>
      </c>
      <c r="E63" s="4"/>
      <c r="F63" s="4"/>
      <c r="H63" s="3">
        <f>+B63*Notes!$F90</f>
        <v>129.42197540122993</v>
      </c>
      <c r="I63" s="3">
        <f>+C63*Notes!$F90</f>
        <v>31.061274096295183</v>
      </c>
      <c r="J63" s="3">
        <f>+D63*Notes!$F90</f>
        <v>10.353758032098394</v>
      </c>
      <c r="K63" s="3">
        <f>+E63*Notes!$F90</f>
        <v>0</v>
      </c>
      <c r="L63" s="3">
        <f>+F63*Notes!$F90</f>
        <v>0</v>
      </c>
    </row>
    <row r="64" spans="1:12" ht="15">
      <c r="A64" s="11">
        <v>1654</v>
      </c>
      <c r="B64" s="3">
        <v>500</v>
      </c>
      <c r="C64" s="3">
        <v>120</v>
      </c>
      <c r="D64" s="4">
        <v>40</v>
      </c>
      <c r="E64" s="4"/>
      <c r="F64" s="4"/>
      <c r="H64" s="3">
        <f>+B64*Notes!$F91</f>
        <v>129.42197540122993</v>
      </c>
      <c r="I64" s="3">
        <f>+C64*Notes!$F91</f>
        <v>31.061274096295183</v>
      </c>
      <c r="J64" s="3">
        <f>+D64*Notes!$F91</f>
        <v>10.353758032098394</v>
      </c>
      <c r="K64" s="3">
        <f>+E64*Notes!$F91</f>
        <v>0</v>
      </c>
      <c r="L64" s="3">
        <f>+F64*Notes!$F91</f>
        <v>0</v>
      </c>
    </row>
    <row r="65" spans="1:12" ht="15">
      <c r="A65" s="11">
        <v>1655</v>
      </c>
      <c r="B65" s="3">
        <v>500</v>
      </c>
      <c r="C65" s="3">
        <v>120</v>
      </c>
      <c r="D65" s="4">
        <v>40</v>
      </c>
      <c r="E65" s="4"/>
      <c r="F65" s="4"/>
      <c r="H65" s="3">
        <f>+B65*Notes!$F92</f>
        <v>129.42197540122993</v>
      </c>
      <c r="I65" s="3">
        <f>+C65*Notes!$F92</f>
        <v>31.061274096295183</v>
      </c>
      <c r="J65" s="3">
        <f>+D65*Notes!$F92</f>
        <v>10.353758032098394</v>
      </c>
      <c r="K65" s="3">
        <f>+E65*Notes!$F92</f>
        <v>0</v>
      </c>
      <c r="L65" s="3">
        <f>+F65*Notes!$F92</f>
        <v>0</v>
      </c>
    </row>
    <row r="66" spans="1:12" ht="15">
      <c r="A66" s="11">
        <v>1656</v>
      </c>
      <c r="B66" s="3">
        <v>500</v>
      </c>
      <c r="C66" s="3">
        <v>120</v>
      </c>
      <c r="D66" s="4">
        <v>40</v>
      </c>
      <c r="E66" s="4">
        <v>20</v>
      </c>
      <c r="F66" s="4"/>
      <c r="H66" s="3">
        <f>+B66*Notes!$F93</f>
        <v>129.42197540122993</v>
      </c>
      <c r="I66" s="3">
        <f>+C66*Notes!$F93</f>
        <v>31.061274096295183</v>
      </c>
      <c r="J66" s="3">
        <f>+D66*Notes!$F93</f>
        <v>10.353758032098394</v>
      </c>
      <c r="K66" s="3">
        <f>+E66*Notes!$F93</f>
        <v>5.176879016049197</v>
      </c>
      <c r="L66" s="3">
        <f>+F66*Notes!$F93</f>
        <v>0</v>
      </c>
    </row>
    <row r="67" spans="1:12" ht="15">
      <c r="A67" s="11">
        <v>1657</v>
      </c>
      <c r="B67" s="3">
        <v>500</v>
      </c>
      <c r="C67" s="3">
        <v>120</v>
      </c>
      <c r="D67" s="4">
        <v>40</v>
      </c>
      <c r="E67" s="4">
        <v>20</v>
      </c>
      <c r="F67" s="4"/>
      <c r="H67" s="3">
        <f>+B67*Notes!$F94</f>
        <v>129.24360994450277</v>
      </c>
      <c r="I67" s="3">
        <f>+C67*Notes!$F94</f>
        <v>31.018466386680664</v>
      </c>
      <c r="J67" s="3">
        <f>+D67*Notes!$F94</f>
        <v>10.339488795560221</v>
      </c>
      <c r="K67" s="3">
        <f>+E67*Notes!$F94</f>
        <v>5.169744397780111</v>
      </c>
      <c r="L67" s="3">
        <f>+F67*Notes!$F94</f>
        <v>0</v>
      </c>
    </row>
    <row r="68" spans="1:12" ht="15">
      <c r="A68" s="11">
        <v>1658</v>
      </c>
      <c r="B68" s="3">
        <v>500</v>
      </c>
      <c r="C68" s="3">
        <v>120</v>
      </c>
      <c r="D68" s="4">
        <v>39.5</v>
      </c>
      <c r="E68" s="4">
        <v>19.5</v>
      </c>
      <c r="F68" s="4"/>
      <c r="H68" s="3">
        <f>+B68*Notes!$F95</f>
        <v>125.94979451027447</v>
      </c>
      <c r="I68" s="3">
        <f>+C68*Notes!$F95</f>
        <v>30.22795068246587</v>
      </c>
      <c r="J68" s="3">
        <f>+D68*Notes!$F95</f>
        <v>9.950033766311682</v>
      </c>
      <c r="K68" s="3">
        <f>+E68*Notes!$F95</f>
        <v>4.9120419859007045</v>
      </c>
      <c r="L68" s="3">
        <f>+F68*Notes!$F95</f>
        <v>0</v>
      </c>
    </row>
    <row r="69" spans="1:12" ht="15">
      <c r="A69" s="11">
        <v>1659</v>
      </c>
      <c r="B69" s="3">
        <v>500</v>
      </c>
      <c r="C69" s="3">
        <v>120</v>
      </c>
      <c r="D69" s="4">
        <v>40</v>
      </c>
      <c r="E69" s="4">
        <v>19</v>
      </c>
      <c r="F69" s="4"/>
      <c r="H69" s="3">
        <f>+B69*Notes!$F96</f>
        <v>114.6414245537723</v>
      </c>
      <c r="I69" s="3">
        <f>+C69*Notes!$F96</f>
        <v>27.51394189290535</v>
      </c>
      <c r="J69" s="3">
        <f>+D69*Notes!$F96</f>
        <v>9.171313964301785</v>
      </c>
      <c r="K69" s="3">
        <f>+E69*Notes!$F96</f>
        <v>4.356374133043348</v>
      </c>
      <c r="L69" s="3">
        <f>+F69*Notes!$F96</f>
        <v>0</v>
      </c>
    </row>
    <row r="70" spans="1:12" ht="15">
      <c r="A70" s="11">
        <v>1660</v>
      </c>
      <c r="B70" s="3">
        <v>500</v>
      </c>
      <c r="C70" s="3">
        <v>120</v>
      </c>
      <c r="D70" s="4">
        <v>40</v>
      </c>
      <c r="E70" s="4">
        <v>20</v>
      </c>
      <c r="F70" s="4"/>
      <c r="H70" s="3">
        <f>+B70*Notes!$F97</f>
        <v>113.25017399130041</v>
      </c>
      <c r="I70" s="3">
        <f>+C70*Notes!$F97</f>
        <v>27.1800417579121</v>
      </c>
      <c r="J70" s="3">
        <f>+D70*Notes!$F97</f>
        <v>9.060013919304033</v>
      </c>
      <c r="K70" s="3">
        <f>+E70*Notes!$F97</f>
        <v>4.530006959652017</v>
      </c>
      <c r="L70" s="3">
        <f>+F70*Notes!$F97</f>
        <v>0</v>
      </c>
    </row>
    <row r="71" spans="1:12" ht="15">
      <c r="A71" s="11">
        <v>1661</v>
      </c>
      <c r="B71" s="3">
        <v>500</v>
      </c>
      <c r="C71" s="3">
        <v>120</v>
      </c>
      <c r="D71" s="4">
        <v>40</v>
      </c>
      <c r="E71" s="4">
        <v>20</v>
      </c>
      <c r="F71" s="4"/>
      <c r="H71" s="3">
        <f>+B71*Notes!$F98</f>
        <v>113.25224713517306</v>
      </c>
      <c r="I71" s="3">
        <f>+C71*Notes!$F98</f>
        <v>27.180539312441535</v>
      </c>
      <c r="J71" s="3">
        <f>+D71*Notes!$F98</f>
        <v>9.060179770813846</v>
      </c>
      <c r="K71" s="3">
        <f>+E71*Notes!$F98</f>
        <v>4.530089885406923</v>
      </c>
      <c r="L71" s="3">
        <f>+F71*Notes!$F98</f>
        <v>0</v>
      </c>
    </row>
    <row r="72" spans="1:12" ht="15">
      <c r="A72" s="11">
        <v>1662</v>
      </c>
      <c r="B72" s="3">
        <v>500</v>
      </c>
      <c r="C72" s="3">
        <v>120</v>
      </c>
      <c r="D72" s="4">
        <v>40</v>
      </c>
      <c r="E72" s="4">
        <v>20</v>
      </c>
      <c r="F72" s="4"/>
      <c r="H72" s="3">
        <f>+B72*Notes!$F99</f>
        <v>113.25017399130041</v>
      </c>
      <c r="I72" s="3">
        <f>+C72*Notes!$F99</f>
        <v>27.1800417579121</v>
      </c>
      <c r="J72" s="3">
        <f>+D72*Notes!$F99</f>
        <v>9.060013919304033</v>
      </c>
      <c r="K72" s="3">
        <f>+E72*Notes!$F99</f>
        <v>4.530006959652017</v>
      </c>
      <c r="L72" s="3">
        <f>+F72*Notes!$F99</f>
        <v>0</v>
      </c>
    </row>
    <row r="73" spans="1:12" ht="15">
      <c r="A73" s="11">
        <v>1663</v>
      </c>
      <c r="B73" s="3">
        <v>500</v>
      </c>
      <c r="C73" s="3">
        <v>120</v>
      </c>
      <c r="D73" s="4">
        <v>40</v>
      </c>
      <c r="E73" s="4"/>
      <c r="F73" s="4"/>
      <c r="H73" s="3">
        <f>+B73*Notes!$F100</f>
        <v>113.25017399130041</v>
      </c>
      <c r="I73" s="3">
        <f>+C73*Notes!$F100</f>
        <v>27.1800417579121</v>
      </c>
      <c r="J73" s="3">
        <f>+D73*Notes!$F100</f>
        <v>9.060013919304033</v>
      </c>
      <c r="K73" s="3">
        <f>+E73*Notes!$F100</f>
        <v>0</v>
      </c>
      <c r="L73" s="3">
        <f>+F73*Notes!$F100</f>
        <v>0</v>
      </c>
    </row>
    <row r="74" spans="1:12" ht="15">
      <c r="A74" s="11">
        <v>1664</v>
      </c>
      <c r="B74" s="3">
        <v>500</v>
      </c>
      <c r="C74" s="3">
        <v>120</v>
      </c>
      <c r="D74" s="4">
        <v>40</v>
      </c>
      <c r="E74" s="4">
        <v>20</v>
      </c>
      <c r="F74" s="4"/>
      <c r="H74" s="3">
        <f>+B74*Notes!$F101</f>
        <v>113.25968745781016</v>
      </c>
      <c r="I74" s="3">
        <f>+C74*Notes!$F101</f>
        <v>27.182324989874438</v>
      </c>
      <c r="J74" s="3">
        <f>+D74*Notes!$F101</f>
        <v>9.060774996624813</v>
      </c>
      <c r="K74" s="3">
        <f>+E74*Notes!$F101</f>
        <v>4.530387498312407</v>
      </c>
      <c r="L74" s="3">
        <f>+F74*Notes!$F101</f>
        <v>0</v>
      </c>
    </row>
    <row r="75" spans="1:12" ht="15">
      <c r="A75" s="11">
        <v>1665</v>
      </c>
      <c r="B75" s="3">
        <v>500</v>
      </c>
      <c r="C75" s="3">
        <v>120</v>
      </c>
      <c r="D75" s="4">
        <v>40</v>
      </c>
      <c r="E75" s="4">
        <v>20</v>
      </c>
      <c r="F75" s="4"/>
      <c r="H75" s="3">
        <f>+B75*Notes!$F102</f>
        <v>113.25017399130041</v>
      </c>
      <c r="I75" s="3">
        <f>+C75*Notes!$F102</f>
        <v>27.1800417579121</v>
      </c>
      <c r="J75" s="3">
        <f>+D75*Notes!$F102</f>
        <v>9.060013919304033</v>
      </c>
      <c r="K75" s="3">
        <f>+E75*Notes!$F102</f>
        <v>4.530006959652017</v>
      </c>
      <c r="L75" s="3">
        <f>+F75*Notes!$F102</f>
        <v>0</v>
      </c>
    </row>
    <row r="76" spans="1:12" ht="15">
      <c r="A76" s="11">
        <v>1666</v>
      </c>
      <c r="B76" s="3">
        <v>500</v>
      </c>
      <c r="C76" s="3">
        <v>120</v>
      </c>
      <c r="E76" s="4"/>
      <c r="F76" s="4"/>
      <c r="H76" s="3">
        <f>+B76*Notes!$F103</f>
        <v>113.25357142857142</v>
      </c>
      <c r="I76" s="3">
        <f>+C76*Notes!$F103</f>
        <v>27.180857142857143</v>
      </c>
      <c r="J76" s="3">
        <f>+D76*Notes!$F103</f>
        <v>0</v>
      </c>
      <c r="K76" s="3">
        <f>+E76*Notes!$F103</f>
        <v>0</v>
      </c>
      <c r="L76" s="3">
        <f>+F76*Notes!$F103</f>
        <v>0</v>
      </c>
    </row>
    <row r="77" spans="1:12" ht="15">
      <c r="A77" s="11">
        <v>1667</v>
      </c>
      <c r="B77" s="3">
        <v>500</v>
      </c>
      <c r="C77" s="3">
        <v>120</v>
      </c>
      <c r="E77" s="4"/>
      <c r="F77" s="4"/>
      <c r="H77" s="3">
        <f>+B77*Notes!$F104</f>
        <v>113.2385626725566</v>
      </c>
      <c r="I77" s="3">
        <f>+C77*Notes!$F104</f>
        <v>27.177255041413584</v>
      </c>
      <c r="J77" s="3">
        <f>+D77*Notes!$F104</f>
        <v>0</v>
      </c>
      <c r="K77" s="3">
        <f>+E77*Notes!$F104</f>
        <v>0</v>
      </c>
      <c r="L77" s="3">
        <f>+F77*Notes!$F104</f>
        <v>0</v>
      </c>
    </row>
    <row r="78" spans="1:12" ht="15">
      <c r="A78" s="11">
        <v>1668</v>
      </c>
      <c r="B78" s="3">
        <v>500</v>
      </c>
      <c r="C78" s="3">
        <v>120</v>
      </c>
      <c r="E78" s="4"/>
      <c r="F78" s="4"/>
      <c r="H78" s="3">
        <f>+B78*Notes!$F105</f>
        <v>113.26172576725769</v>
      </c>
      <c r="I78" s="3">
        <f>+C78*Notes!$F105</f>
        <v>27.182814184141844</v>
      </c>
      <c r="J78" s="3">
        <f>+D78*Notes!$F105</f>
        <v>0</v>
      </c>
      <c r="K78" s="3">
        <f>+E78*Notes!$F105</f>
        <v>0</v>
      </c>
      <c r="L78" s="3">
        <f>+F78*Notes!$F105</f>
        <v>0</v>
      </c>
    </row>
    <row r="79" spans="1:12" ht="15">
      <c r="A79" s="11">
        <v>1669</v>
      </c>
      <c r="B79" s="3">
        <v>500</v>
      </c>
      <c r="C79" s="3">
        <v>120</v>
      </c>
      <c r="D79" s="4">
        <v>42</v>
      </c>
      <c r="E79" s="4">
        <v>21</v>
      </c>
      <c r="F79" s="4">
        <v>25</v>
      </c>
      <c r="H79" s="3">
        <f>+B79*Notes!$F106</f>
        <v>113.25357142857142</v>
      </c>
      <c r="I79" s="3">
        <f>+C79*Notes!$F106</f>
        <v>27.180857142857143</v>
      </c>
      <c r="J79" s="3">
        <f>+D79*Notes!$F106</f>
        <v>9.5133</v>
      </c>
      <c r="K79" s="3">
        <f>+E79*Notes!$F106</f>
        <v>4.75665</v>
      </c>
      <c r="L79" s="3">
        <f>+F79*Notes!$F106</f>
        <v>5.662678571428572</v>
      </c>
    </row>
    <row r="80" spans="1:12" ht="15">
      <c r="A80" s="11">
        <v>1670</v>
      </c>
      <c r="B80" s="3">
        <v>500</v>
      </c>
      <c r="C80" s="3">
        <v>120</v>
      </c>
      <c r="E80" s="4"/>
      <c r="F80" s="4"/>
      <c r="H80" s="3">
        <f>+B80*Notes!$F107</f>
        <v>113.25968745781016</v>
      </c>
      <c r="I80" s="3">
        <f>+C80*Notes!$F107</f>
        <v>27.182324989874438</v>
      </c>
      <c r="J80" s="3">
        <f>+D80*Notes!$F107</f>
        <v>0</v>
      </c>
      <c r="K80" s="3">
        <f>+E80*Notes!$F107</f>
        <v>0</v>
      </c>
      <c r="L80" s="3">
        <f>+F80*Notes!$F107</f>
        <v>0</v>
      </c>
    </row>
    <row r="81" spans="1:12" ht="15">
      <c r="A81" s="11">
        <v>1671</v>
      </c>
      <c r="B81" s="3">
        <v>500</v>
      </c>
      <c r="C81" s="3">
        <v>120</v>
      </c>
      <c r="D81" s="4">
        <v>40</v>
      </c>
      <c r="E81" s="4">
        <v>21</v>
      </c>
      <c r="F81" s="4"/>
      <c r="H81" s="3">
        <f>+B81*Notes!$F108</f>
        <v>113.25876893070213</v>
      </c>
      <c r="I81" s="3">
        <f>+C81*Notes!$F108</f>
        <v>27.182104543368514</v>
      </c>
      <c r="J81" s="3">
        <f>+D81*Notes!$F108</f>
        <v>9.06070151445617</v>
      </c>
      <c r="K81" s="3">
        <f>+E81*Notes!$F108</f>
        <v>4.75686829508949</v>
      </c>
      <c r="L81" s="3">
        <f>+F81*Notes!$F108</f>
        <v>0</v>
      </c>
    </row>
    <row r="82" spans="1:12" ht="15">
      <c r="A82" s="11">
        <v>1672</v>
      </c>
      <c r="B82" s="3">
        <v>500</v>
      </c>
      <c r="C82" s="3">
        <v>120</v>
      </c>
      <c r="D82" s="4">
        <v>35</v>
      </c>
      <c r="E82" s="4">
        <v>17</v>
      </c>
      <c r="F82" s="4"/>
      <c r="H82" s="3">
        <f>+B82*Notes!$F109</f>
        <v>113.25939573155054</v>
      </c>
      <c r="I82" s="3">
        <f>+C82*Notes!$F109</f>
        <v>27.18225497557213</v>
      </c>
      <c r="J82" s="3">
        <f>+D82*Notes!$F109</f>
        <v>7.928157701208538</v>
      </c>
      <c r="K82" s="3">
        <f>+E82*Notes!$F109</f>
        <v>3.8508194548727186</v>
      </c>
      <c r="L82" s="3">
        <f>+F82*Notes!$F109</f>
        <v>0</v>
      </c>
    </row>
    <row r="83" spans="1:12" ht="15">
      <c r="A83" s="11">
        <v>1673</v>
      </c>
      <c r="B83" s="3">
        <v>500</v>
      </c>
      <c r="C83" s="3">
        <v>120</v>
      </c>
      <c r="D83" s="4">
        <v>36</v>
      </c>
      <c r="E83" s="4"/>
      <c r="F83" s="4"/>
      <c r="H83" s="3">
        <f>+B83*Notes!$F110</f>
        <v>110.23634155597719</v>
      </c>
      <c r="I83" s="3">
        <f>+C83*Notes!$F110</f>
        <v>26.456721973434526</v>
      </c>
      <c r="J83" s="3">
        <f>+D83*Notes!$F110</f>
        <v>7.937016592030358</v>
      </c>
      <c r="K83" s="3">
        <f>+E83*Notes!$F110</f>
        <v>0</v>
      </c>
      <c r="L83" s="3">
        <f>+F83*Notes!$F110</f>
        <v>0</v>
      </c>
    </row>
    <row r="84" spans="1:12" ht="15">
      <c r="A84" s="11">
        <v>1674</v>
      </c>
      <c r="B84" s="3">
        <v>500</v>
      </c>
      <c r="C84" s="3">
        <v>120</v>
      </c>
      <c r="D84" s="4">
        <v>37</v>
      </c>
      <c r="E84" s="4">
        <v>19.5</v>
      </c>
      <c r="F84" s="4"/>
      <c r="H84" s="3">
        <f>+B84*Notes!$F111</f>
        <v>107.5610010299987</v>
      </c>
      <c r="I84" s="3">
        <f>+C84*Notes!$F111</f>
        <v>25.814640247199687</v>
      </c>
      <c r="J84" s="3">
        <f>+D84*Notes!$F111</f>
        <v>7.959514076219904</v>
      </c>
      <c r="K84" s="3">
        <f>+E84*Notes!$F111</f>
        <v>4.194879040169949</v>
      </c>
      <c r="L84" s="3">
        <f>+F84*Notes!$F111</f>
        <v>0</v>
      </c>
    </row>
    <row r="85" spans="1:12" ht="15">
      <c r="A85" s="11">
        <v>1675</v>
      </c>
      <c r="B85" s="3">
        <v>500</v>
      </c>
      <c r="C85" s="3">
        <v>120</v>
      </c>
      <c r="E85" s="4"/>
      <c r="F85" s="4"/>
      <c r="H85" s="3">
        <f>+B85*Notes!$F112</f>
        <v>105.71553081006229</v>
      </c>
      <c r="I85" s="3">
        <f>+C85*Notes!$F112</f>
        <v>25.37172739441495</v>
      </c>
      <c r="J85" s="3">
        <f>+D85*Notes!$F112</f>
        <v>0</v>
      </c>
      <c r="K85" s="3">
        <f>+E85*Notes!$F112</f>
        <v>0</v>
      </c>
      <c r="L85" s="3">
        <f>+F85*Notes!$F112</f>
        <v>0</v>
      </c>
    </row>
    <row r="86" spans="1:12" ht="15">
      <c r="A86" s="11">
        <v>1676</v>
      </c>
      <c r="B86" s="3">
        <v>500</v>
      </c>
      <c r="C86" s="3">
        <v>120</v>
      </c>
      <c r="E86" s="4"/>
      <c r="F86" s="4">
        <v>20.9</v>
      </c>
      <c r="H86" s="3">
        <f>+B86*Notes!$F113</f>
        <v>99.61217875</v>
      </c>
      <c r="I86" s="3">
        <f>+C86*Notes!$F113</f>
        <v>23.9069229</v>
      </c>
      <c r="J86" s="3">
        <f>+D86*Notes!$F113</f>
        <v>0</v>
      </c>
      <c r="K86" s="3">
        <f>+E86*Notes!$F113</f>
        <v>0</v>
      </c>
      <c r="L86" s="3">
        <f>+F86*Notes!$F113</f>
        <v>4.16378907175</v>
      </c>
    </row>
    <row r="87" spans="1:12" ht="15">
      <c r="A87" s="11">
        <v>1677</v>
      </c>
      <c r="B87" s="3">
        <v>500</v>
      </c>
      <c r="C87" s="3">
        <v>120</v>
      </c>
      <c r="E87" s="4"/>
      <c r="F87" s="4"/>
      <c r="H87" s="3">
        <f>+B87*Notes!$F114</f>
        <v>99.09872055126174</v>
      </c>
      <c r="I87" s="3">
        <f>+C87*Notes!$F114</f>
        <v>23.783692932302817</v>
      </c>
      <c r="J87" s="3">
        <f>+D87*Notes!$F114</f>
        <v>0</v>
      </c>
      <c r="K87" s="3">
        <f>+E87*Notes!$F114</f>
        <v>0</v>
      </c>
      <c r="L87" s="3">
        <f>+F87*Notes!$F114</f>
        <v>0</v>
      </c>
    </row>
    <row r="88" spans="1:12" ht="15">
      <c r="A88" s="11">
        <v>1678</v>
      </c>
      <c r="B88" s="3">
        <v>500</v>
      </c>
      <c r="C88" s="3">
        <v>120</v>
      </c>
      <c r="D88" s="4">
        <v>40</v>
      </c>
      <c r="E88" s="4">
        <v>20</v>
      </c>
      <c r="F88" s="4"/>
      <c r="H88" s="3">
        <f>+B88*Notes!$F115</f>
        <v>99.096875</v>
      </c>
      <c r="I88" s="3">
        <f>+C88*Notes!$F115</f>
        <v>23.78325</v>
      </c>
      <c r="J88" s="3">
        <f>+D88*Notes!$F115</f>
        <v>7.92775</v>
      </c>
      <c r="K88" s="3">
        <f>+E88*Notes!$F115</f>
        <v>3.963875</v>
      </c>
      <c r="L88" s="3">
        <f>+F88*Notes!$F115</f>
        <v>0</v>
      </c>
    </row>
    <row r="89" spans="1:12" ht="15">
      <c r="A89" s="11">
        <v>1679</v>
      </c>
      <c r="B89" s="3">
        <v>500</v>
      </c>
      <c r="C89" s="3">
        <v>120</v>
      </c>
      <c r="E89" s="4"/>
      <c r="F89" s="4"/>
      <c r="H89" s="3">
        <f>+B89*Notes!$F116</f>
        <v>99.09538850971273</v>
      </c>
      <c r="I89" s="3">
        <f>+C89*Notes!$F116</f>
        <v>23.782893242331056</v>
      </c>
      <c r="J89" s="3">
        <f>+D89*Notes!$F116</f>
        <v>0</v>
      </c>
      <c r="K89" s="3">
        <f>+E89*Notes!$F116</f>
        <v>0</v>
      </c>
      <c r="L89" s="3">
        <f>+F89*Notes!$F116</f>
        <v>0</v>
      </c>
    </row>
    <row r="90" spans="1:12" ht="15">
      <c r="A90" s="11">
        <v>1680</v>
      </c>
      <c r="B90" s="3">
        <v>500</v>
      </c>
      <c r="C90" s="3">
        <v>120</v>
      </c>
      <c r="E90" s="4"/>
      <c r="F90" s="4"/>
      <c r="H90" s="3">
        <f>+B90*Notes!$F117</f>
        <v>99.096875</v>
      </c>
      <c r="I90" s="3">
        <f>+C90*Notes!$F117</f>
        <v>23.78325</v>
      </c>
      <c r="J90" s="3">
        <f>+D90*Notes!$F117</f>
        <v>0</v>
      </c>
      <c r="K90" s="3">
        <f>+E90*Notes!$F117</f>
        <v>0</v>
      </c>
      <c r="L90" s="3">
        <f>+F90*Notes!$F117</f>
        <v>0</v>
      </c>
    </row>
    <row r="91" spans="1:12" ht="15">
      <c r="A91" s="11">
        <v>1681</v>
      </c>
      <c r="B91" s="3">
        <v>500</v>
      </c>
      <c r="C91" s="3">
        <v>120</v>
      </c>
      <c r="D91" s="4">
        <v>40</v>
      </c>
      <c r="E91" s="4">
        <v>21</v>
      </c>
      <c r="F91" s="4"/>
      <c r="H91" s="3">
        <f>+B91*Notes!$F118</f>
        <v>99.10376869565216</v>
      </c>
      <c r="I91" s="3">
        <f>+C91*Notes!$F118</f>
        <v>23.78490448695652</v>
      </c>
      <c r="J91" s="3">
        <f>+D91*Notes!$F118</f>
        <v>7.928301495652174</v>
      </c>
      <c r="K91" s="3">
        <f>+E91*Notes!$F118</f>
        <v>4.162358285217391</v>
      </c>
      <c r="L91" s="3">
        <f>+F91*Notes!$F118</f>
        <v>0</v>
      </c>
    </row>
    <row r="92" spans="1:12" ht="15">
      <c r="A92" s="11">
        <v>1682</v>
      </c>
      <c r="B92" s="3">
        <v>500</v>
      </c>
      <c r="C92" s="3">
        <v>120</v>
      </c>
      <c r="E92" s="4"/>
      <c r="F92" s="4"/>
      <c r="H92" s="3">
        <f>+B92*Notes!$F119</f>
        <v>99.10209749670618</v>
      </c>
      <c r="I92" s="3">
        <f>+C92*Notes!$F119</f>
        <v>23.784503399209484</v>
      </c>
      <c r="J92" s="3">
        <f>+D92*Notes!$F119</f>
        <v>0</v>
      </c>
      <c r="K92" s="3">
        <f>+E92*Notes!$F119</f>
        <v>0</v>
      </c>
      <c r="L92" s="3">
        <f>+F92*Notes!$F119</f>
        <v>0</v>
      </c>
    </row>
    <row r="93" spans="1:12" ht="15">
      <c r="A93" s="11">
        <v>1683</v>
      </c>
      <c r="B93" s="3">
        <v>500</v>
      </c>
      <c r="C93" s="3">
        <v>120</v>
      </c>
      <c r="D93" s="4">
        <v>40</v>
      </c>
      <c r="E93" s="4">
        <v>21</v>
      </c>
      <c r="F93" s="4"/>
      <c r="H93" s="3">
        <f>+B93*Notes!$F120</f>
        <v>99.09198816470781</v>
      </c>
      <c r="I93" s="3">
        <f>+C93*Notes!$F120</f>
        <v>23.782077159529873</v>
      </c>
      <c r="J93" s="3">
        <f>+D93*Notes!$F120</f>
        <v>7.927359053176625</v>
      </c>
      <c r="K93" s="3">
        <f>+E93*Notes!$F120</f>
        <v>4.161863502917728</v>
      </c>
      <c r="L93" s="3">
        <f>+F93*Notes!$F120</f>
        <v>0</v>
      </c>
    </row>
    <row r="94" spans="1:12" ht="15">
      <c r="A94" s="11">
        <v>1684</v>
      </c>
      <c r="B94" s="3">
        <v>500</v>
      </c>
      <c r="C94" s="3">
        <v>120</v>
      </c>
      <c r="D94" s="4">
        <v>41.857142857142854</v>
      </c>
      <c r="E94" s="4">
        <v>25</v>
      </c>
      <c r="F94" s="4"/>
      <c r="H94" s="3">
        <f>+B94*Notes!$F121</f>
        <v>99.0824609090909</v>
      </c>
      <c r="I94" s="3">
        <f>+C94*Notes!$F121</f>
        <v>23.779790618181813</v>
      </c>
      <c r="J94" s="3">
        <f>+D94*Notes!$F121</f>
        <v>8.29461744181818</v>
      </c>
      <c r="K94" s="3">
        <f>+E94*Notes!$F121</f>
        <v>4.954123045454545</v>
      </c>
      <c r="L94" s="3">
        <f>+F94*Notes!$F121</f>
        <v>0</v>
      </c>
    </row>
    <row r="95" spans="1:12" ht="15">
      <c r="A95" s="11">
        <v>1685</v>
      </c>
      <c r="B95" s="3">
        <v>500</v>
      </c>
      <c r="C95" s="3">
        <v>120</v>
      </c>
      <c r="D95" s="4">
        <v>40</v>
      </c>
      <c r="E95" s="4">
        <v>21</v>
      </c>
      <c r="F95" s="4"/>
      <c r="H95" s="3">
        <f>+B95*Notes!$F122</f>
        <v>99.0998477576121</v>
      </c>
      <c r="I95" s="3">
        <f>+C95*Notes!$F122</f>
        <v>23.783963461826904</v>
      </c>
      <c r="J95" s="3">
        <f>+D95*Notes!$F122</f>
        <v>7.927987820608968</v>
      </c>
      <c r="K95" s="3">
        <f>+E95*Notes!$F122</f>
        <v>4.162193605819708</v>
      </c>
      <c r="L95" s="3">
        <f>+F95*Notes!$F122</f>
        <v>0</v>
      </c>
    </row>
    <row r="96" spans="1:12" ht="15">
      <c r="A96" s="11">
        <v>1686</v>
      </c>
      <c r="B96" s="3">
        <v>500</v>
      </c>
      <c r="C96" s="3">
        <v>120</v>
      </c>
      <c r="D96" s="4">
        <v>35</v>
      </c>
      <c r="E96" s="4">
        <v>15</v>
      </c>
      <c r="F96" s="4"/>
      <c r="H96" s="3">
        <f>+B96*Notes!$F123</f>
        <v>99.096875</v>
      </c>
      <c r="I96" s="3">
        <f>+C96*Notes!$F123</f>
        <v>23.78325</v>
      </c>
      <c r="J96" s="3">
        <f>+D96*Notes!$F123</f>
        <v>6.93678125</v>
      </c>
      <c r="K96" s="3">
        <f>+E96*Notes!$F123</f>
        <v>2.97290625</v>
      </c>
      <c r="L96" s="3">
        <f>+F96*Notes!$F123</f>
        <v>0</v>
      </c>
    </row>
    <row r="97" spans="1:12" ht="15">
      <c r="A97" s="11">
        <v>1687</v>
      </c>
      <c r="B97" s="3">
        <v>500</v>
      </c>
      <c r="C97" s="3">
        <v>120</v>
      </c>
      <c r="D97" s="4">
        <v>35</v>
      </c>
      <c r="E97" s="4">
        <v>15</v>
      </c>
      <c r="F97" s="4"/>
      <c r="H97" s="3">
        <f>+B97*Notes!$F124</f>
        <v>99.0984396463251</v>
      </c>
      <c r="I97" s="3">
        <f>+C97*Notes!$F124</f>
        <v>23.783625515118025</v>
      </c>
      <c r="J97" s="3">
        <f>+D97*Notes!$F124</f>
        <v>6.936890775242757</v>
      </c>
      <c r="K97" s="3">
        <f>+E97*Notes!$F124</f>
        <v>2.972953189389753</v>
      </c>
      <c r="L97" s="3">
        <f>+F97*Notes!$F124</f>
        <v>0</v>
      </c>
    </row>
    <row r="98" spans="1:12" ht="15">
      <c r="A98" s="11">
        <v>1688</v>
      </c>
      <c r="B98" s="3">
        <v>500</v>
      </c>
      <c r="C98" s="3">
        <v>120</v>
      </c>
      <c r="D98" s="4">
        <v>35</v>
      </c>
      <c r="E98" s="4">
        <v>16.5</v>
      </c>
      <c r="F98" s="4"/>
      <c r="H98" s="3">
        <f>+B98*Notes!$F125</f>
        <v>99.0824609090909</v>
      </c>
      <c r="I98" s="3">
        <f>+C98*Notes!$F125</f>
        <v>23.779790618181813</v>
      </c>
      <c r="J98" s="3">
        <f>+D98*Notes!$F125</f>
        <v>6.935772263636363</v>
      </c>
      <c r="K98" s="3">
        <f>+E98*Notes!$F125</f>
        <v>3.2697212099999997</v>
      </c>
      <c r="L98" s="3">
        <f>+F98*Notes!$F125</f>
        <v>0</v>
      </c>
    </row>
    <row r="99" spans="1:12" ht="15">
      <c r="A99" s="11">
        <v>1689</v>
      </c>
      <c r="B99" s="3">
        <v>500</v>
      </c>
      <c r="C99" s="3">
        <v>120</v>
      </c>
      <c r="D99" s="4">
        <v>39.61538461538461</v>
      </c>
      <c r="E99" s="4">
        <v>19</v>
      </c>
      <c r="F99" s="4"/>
      <c r="H99" s="3">
        <f>+B99*Notes!$F126</f>
        <v>99.0984396463251</v>
      </c>
      <c r="I99" s="3">
        <f>+C99*Notes!$F126</f>
        <v>23.783625515118025</v>
      </c>
      <c r="J99" s="3">
        <f>+D99*Notes!$F126</f>
        <v>7.851645602747296</v>
      </c>
      <c r="K99" s="3">
        <f>+E99*Notes!$F126</f>
        <v>3.765740706560354</v>
      </c>
      <c r="L99" s="3">
        <f>+F99*Notes!$F126</f>
        <v>0</v>
      </c>
    </row>
    <row r="100" spans="1:12" ht="15">
      <c r="A100" s="11">
        <v>1690</v>
      </c>
      <c r="B100" s="3">
        <v>500</v>
      </c>
      <c r="C100" s="3">
        <v>120</v>
      </c>
      <c r="D100" s="4">
        <v>35</v>
      </c>
      <c r="E100" s="4">
        <v>19</v>
      </c>
      <c r="F100" s="4"/>
      <c r="H100" s="3">
        <f>+B100*Notes!$F127</f>
        <v>99.0998477576121</v>
      </c>
      <c r="I100" s="3">
        <f>+C100*Notes!$F127</f>
        <v>23.783963461826904</v>
      </c>
      <c r="J100" s="3">
        <f>+D100*Notes!$F127</f>
        <v>6.936989343032847</v>
      </c>
      <c r="K100" s="3">
        <f>+E100*Notes!$F127</f>
        <v>3.76579421478926</v>
      </c>
      <c r="L100" s="3">
        <f>+F100*Notes!$F127</f>
        <v>0</v>
      </c>
    </row>
    <row r="101" spans="1:12" ht="15">
      <c r="A101" s="11">
        <v>1691</v>
      </c>
      <c r="B101" s="3">
        <v>500</v>
      </c>
      <c r="C101" s="3">
        <v>120</v>
      </c>
      <c r="D101" s="4">
        <v>30</v>
      </c>
      <c r="E101" s="4">
        <v>15</v>
      </c>
      <c r="F101" s="4"/>
      <c r="H101" s="3">
        <f>+B101*Notes!$F128</f>
        <v>99.08832110487697</v>
      </c>
      <c r="I101" s="3">
        <f>+C101*Notes!$F128</f>
        <v>23.781197065170474</v>
      </c>
      <c r="J101" s="3">
        <f>+D101*Notes!$F128</f>
        <v>5.9452992662926185</v>
      </c>
      <c r="K101" s="3">
        <f>+E101*Notes!$F128</f>
        <v>2.9726496331463093</v>
      </c>
      <c r="L101" s="3">
        <f>+F101*Notes!$F128</f>
        <v>0</v>
      </c>
    </row>
    <row r="102" spans="1:12" ht="15">
      <c r="A102" s="11">
        <v>1692</v>
      </c>
      <c r="B102" s="3">
        <v>500</v>
      </c>
      <c r="C102" s="3">
        <v>120</v>
      </c>
      <c r="D102" s="4">
        <v>43.5</v>
      </c>
      <c r="E102" s="4">
        <v>18</v>
      </c>
      <c r="F102" s="4"/>
      <c r="H102" s="3">
        <f>+B102*Notes!$F129</f>
        <v>99.0998477576121</v>
      </c>
      <c r="I102" s="3">
        <f>+C102*Notes!$F129</f>
        <v>23.783963461826904</v>
      </c>
      <c r="J102" s="3">
        <f>+D102*Notes!$F129</f>
        <v>8.621686754912252</v>
      </c>
      <c r="K102" s="3">
        <f>+E102*Notes!$F129</f>
        <v>3.567594519274036</v>
      </c>
      <c r="L102" s="3">
        <f>+F102*Notes!$F129</f>
        <v>0</v>
      </c>
    </row>
    <row r="103" spans="1:12" ht="15">
      <c r="A103" s="11">
        <v>1693</v>
      </c>
      <c r="B103" s="3">
        <v>500</v>
      </c>
      <c r="C103" s="3">
        <v>120</v>
      </c>
      <c r="E103" s="4"/>
      <c r="F103" s="4">
        <v>20.16</v>
      </c>
      <c r="H103" s="3">
        <f>+B103*Notes!$F130</f>
        <v>99.0998477576121</v>
      </c>
      <c r="I103" s="3">
        <f>+C103*Notes!$F130</f>
        <v>23.783963461826904</v>
      </c>
      <c r="J103" s="3">
        <f>+D103*Notes!$F130</f>
        <v>0</v>
      </c>
      <c r="K103" s="3">
        <f>+E103*Notes!$F130</f>
        <v>0</v>
      </c>
      <c r="L103" s="3">
        <f>+F103*Notes!$F130</f>
        <v>3.99570586158692</v>
      </c>
    </row>
    <row r="104" spans="1:12" ht="15">
      <c r="A104" s="11">
        <v>1694</v>
      </c>
      <c r="B104" s="3">
        <v>500</v>
      </c>
      <c r="C104" s="3">
        <v>120</v>
      </c>
      <c r="D104" s="4">
        <v>35</v>
      </c>
      <c r="E104" s="4">
        <v>19</v>
      </c>
      <c r="F104" s="4">
        <v>20.16</v>
      </c>
      <c r="H104" s="3">
        <f>+B104*Notes!$F131</f>
        <v>99.096875</v>
      </c>
      <c r="I104" s="3">
        <f>+C104*Notes!$F131</f>
        <v>23.78325</v>
      </c>
      <c r="J104" s="3">
        <f>+D104*Notes!$F131</f>
        <v>6.93678125</v>
      </c>
      <c r="K104" s="3">
        <f>+E104*Notes!$F131</f>
        <v>3.76568125</v>
      </c>
      <c r="L104" s="3">
        <f>+F104*Notes!$F131</f>
        <v>3.995586</v>
      </c>
    </row>
    <row r="105" spans="1:12" ht="15">
      <c r="A105" s="11">
        <v>1695</v>
      </c>
      <c r="B105" s="3">
        <v>500</v>
      </c>
      <c r="C105" s="3">
        <v>120</v>
      </c>
      <c r="E105" s="4"/>
      <c r="F105" s="4"/>
      <c r="H105" s="3">
        <f>+B105*Notes!$F132</f>
        <v>99.09573155252984</v>
      </c>
      <c r="I105" s="3">
        <f>+C105*Notes!$F132</f>
        <v>23.782975572607164</v>
      </c>
      <c r="J105" s="3">
        <f>+D105*Notes!$F132</f>
        <v>0</v>
      </c>
      <c r="K105" s="3">
        <f>+E105*Notes!$F132</f>
        <v>0</v>
      </c>
      <c r="L105" s="3">
        <f>+F105*Notes!$F132</f>
        <v>0</v>
      </c>
    </row>
    <row r="106" spans="1:12" ht="15">
      <c r="A106" s="11">
        <v>1696</v>
      </c>
      <c r="B106" s="3">
        <v>500</v>
      </c>
      <c r="C106" s="3">
        <v>120</v>
      </c>
      <c r="D106" s="4">
        <v>35</v>
      </c>
      <c r="E106" s="4">
        <v>19</v>
      </c>
      <c r="F106" s="4"/>
      <c r="H106" s="3">
        <f>+B106*Notes!$F133</f>
        <v>99.096875</v>
      </c>
      <c r="I106" s="3">
        <f>+C106*Notes!$F133</f>
        <v>23.78325</v>
      </c>
      <c r="J106" s="3">
        <f>+D106*Notes!$F133</f>
        <v>6.93678125</v>
      </c>
      <c r="K106" s="3">
        <f>+E106*Notes!$F133</f>
        <v>3.76568125</v>
      </c>
      <c r="L106" s="3">
        <f>+F106*Notes!$F133</f>
        <v>0</v>
      </c>
    </row>
    <row r="107" spans="1:12" ht="15">
      <c r="A107" s="11">
        <v>1697</v>
      </c>
      <c r="B107" s="3">
        <v>500</v>
      </c>
      <c r="C107" s="3">
        <v>120</v>
      </c>
      <c r="D107" s="4">
        <v>35</v>
      </c>
      <c r="E107" s="4">
        <v>19</v>
      </c>
      <c r="F107" s="4">
        <v>20.16</v>
      </c>
      <c r="H107" s="3">
        <f>+B107*Notes!$F134</f>
        <v>99.09475141969355</v>
      </c>
      <c r="I107" s="3">
        <f>+C107*Notes!$F134</f>
        <v>23.782740340726452</v>
      </c>
      <c r="J107" s="3">
        <f>+D107*Notes!$F134</f>
        <v>6.936632599378549</v>
      </c>
      <c r="K107" s="3">
        <f>+E107*Notes!$F134</f>
        <v>3.765600553948355</v>
      </c>
      <c r="L107" s="3">
        <f>+F107*Notes!$F134</f>
        <v>3.995500377242044</v>
      </c>
    </row>
    <row r="108" spans="1:12" ht="15">
      <c r="A108" s="11">
        <v>1698</v>
      </c>
      <c r="B108" s="3">
        <v>500</v>
      </c>
      <c r="C108" s="3">
        <v>120</v>
      </c>
      <c r="D108" s="4">
        <v>35</v>
      </c>
      <c r="E108" s="4">
        <v>19</v>
      </c>
      <c r="H108" s="3">
        <f>+B108*Notes!$F135</f>
        <v>99.096875</v>
      </c>
      <c r="I108" s="3">
        <f>+C108*Notes!$F135</f>
        <v>23.78325</v>
      </c>
      <c r="J108" s="3">
        <f>+D108*Notes!$F135</f>
        <v>6.93678125</v>
      </c>
      <c r="K108" s="3">
        <f>+E108*Notes!$F135</f>
        <v>3.76568125</v>
      </c>
      <c r="L108" s="3">
        <f>+F108*Notes!$F135</f>
        <v>0</v>
      </c>
    </row>
    <row r="109" spans="1:12" ht="15">
      <c r="A109" s="11">
        <v>1699</v>
      </c>
      <c r="B109" s="3">
        <v>500</v>
      </c>
      <c r="C109" s="3">
        <v>120</v>
      </c>
      <c r="E109" s="4">
        <v>19</v>
      </c>
      <c r="H109" s="3">
        <f>+B109*Notes!$F136</f>
        <v>99.096875</v>
      </c>
      <c r="I109" s="3">
        <f>+C109*Notes!$F136</f>
        <v>23.78325</v>
      </c>
      <c r="J109" s="3">
        <f>+D109*Notes!$F136</f>
        <v>0</v>
      </c>
      <c r="K109" s="3">
        <f>+E109*Notes!$F136</f>
        <v>3.76568125</v>
      </c>
      <c r="L109" s="3">
        <f>+F109*Notes!$F136</f>
        <v>0</v>
      </c>
    </row>
    <row r="110" spans="1:12" ht="15">
      <c r="A110" s="11">
        <v>1700</v>
      </c>
      <c r="B110" s="3">
        <v>500</v>
      </c>
      <c r="C110" s="3">
        <v>120</v>
      </c>
      <c r="D110" s="4">
        <v>35</v>
      </c>
      <c r="H110" s="3">
        <f>+B110*Notes!$F137</f>
        <v>99.0998477576121</v>
      </c>
      <c r="I110" s="3">
        <f>+C110*Notes!$F137</f>
        <v>23.783963461826904</v>
      </c>
      <c r="J110" s="3">
        <f>+D110*Notes!$F137</f>
        <v>6.936989343032847</v>
      </c>
      <c r="K110" s="3">
        <f>+E110*Notes!$F137</f>
        <v>0</v>
      </c>
      <c r="L110" s="3">
        <f>+F110*Notes!$F137</f>
        <v>0</v>
      </c>
    </row>
    <row r="111" spans="1:12" ht="15">
      <c r="A111" s="12">
        <v>1701</v>
      </c>
      <c r="B111" s="3">
        <v>500</v>
      </c>
      <c r="C111" s="3">
        <v>120</v>
      </c>
      <c r="H111" s="3">
        <f>+B111*Notes!$F138</f>
        <v>99.09822629031159</v>
      </c>
      <c r="I111" s="3">
        <f>+C111*Notes!$F138</f>
        <v>23.783574309674783</v>
      </c>
      <c r="J111" s="3">
        <f>+D111*Notes!$F138</f>
        <v>0</v>
      </c>
      <c r="K111" s="3">
        <f>+E111*Notes!$F138</f>
        <v>0</v>
      </c>
      <c r="L111" s="3">
        <f>+F111*Notes!$F138</f>
        <v>0</v>
      </c>
    </row>
    <row r="112" spans="1:12" ht="15">
      <c r="A112" s="12">
        <v>1702</v>
      </c>
      <c r="B112" s="3">
        <v>500</v>
      </c>
      <c r="C112" s="3">
        <v>120</v>
      </c>
      <c r="H112" s="3">
        <f>+B112*Notes!$F139</f>
        <v>99.09822629031159</v>
      </c>
      <c r="I112" s="3">
        <f>+C112*Notes!$F139</f>
        <v>23.783574309674783</v>
      </c>
      <c r="J112" s="3">
        <f>+D112*Notes!$F139</f>
        <v>0</v>
      </c>
      <c r="K112" s="3">
        <f>+E112*Notes!$F139</f>
        <v>0</v>
      </c>
      <c r="L112" s="3">
        <f>+F112*Notes!$F139</f>
        <v>0</v>
      </c>
    </row>
    <row r="113" spans="1:12" ht="15">
      <c r="A113" s="12">
        <v>1703</v>
      </c>
      <c r="B113" s="3">
        <v>500</v>
      </c>
      <c r="C113" s="3">
        <v>120</v>
      </c>
      <c r="H113" s="3">
        <f>+B113*Notes!$F140</f>
        <v>99.096875</v>
      </c>
      <c r="I113" s="3">
        <f>+C113*Notes!$F140</f>
        <v>23.78325</v>
      </c>
      <c r="J113" s="3">
        <f>+D113*Notes!$F140</f>
        <v>0</v>
      </c>
      <c r="K113" s="3">
        <f>+E113*Notes!$F140</f>
        <v>0</v>
      </c>
      <c r="L113" s="3">
        <f>+F113*Notes!$F140</f>
        <v>0</v>
      </c>
    </row>
    <row r="114" spans="1:12" ht="15">
      <c r="A114" s="12">
        <v>1704</v>
      </c>
      <c r="B114" s="3">
        <v>500</v>
      </c>
      <c r="C114" s="3">
        <v>120</v>
      </c>
      <c r="H114" s="3">
        <f>+B114*Notes!$F141</f>
        <v>99.0998477576121</v>
      </c>
      <c r="I114" s="3">
        <f>+C114*Notes!$F141</f>
        <v>23.783963461826904</v>
      </c>
      <c r="J114" s="3">
        <f>+D114*Notes!$F141</f>
        <v>0</v>
      </c>
      <c r="K114" s="3">
        <f>+E114*Notes!$F141</f>
        <v>0</v>
      </c>
      <c r="L114" s="3">
        <f>+F114*Notes!$F141</f>
        <v>0</v>
      </c>
    </row>
    <row r="115" spans="1:12" ht="15">
      <c r="A115" s="12">
        <v>1705</v>
      </c>
      <c r="B115" s="3">
        <v>500</v>
      </c>
      <c r="C115" s="3">
        <v>120</v>
      </c>
      <c r="H115" s="3">
        <f>+B115*Notes!$F142</f>
        <v>99.0998477576121</v>
      </c>
      <c r="I115" s="3">
        <f>+C115*Notes!$F142</f>
        <v>23.783963461826904</v>
      </c>
      <c r="J115" s="3">
        <f>+D115*Notes!$F142</f>
        <v>0</v>
      </c>
      <c r="K115" s="3">
        <f>+E115*Notes!$F142</f>
        <v>0</v>
      </c>
      <c r="L115" s="3">
        <f>+F115*Notes!$F142</f>
        <v>0</v>
      </c>
    </row>
    <row r="116" spans="1:12" ht="15">
      <c r="A116" s="12">
        <v>1706</v>
      </c>
      <c r="B116" s="3">
        <v>500</v>
      </c>
      <c r="C116" s="3">
        <v>120</v>
      </c>
      <c r="H116" s="3">
        <f>+B116*Notes!$F143</f>
        <v>99.0998477576121</v>
      </c>
      <c r="I116" s="3">
        <f>+C116*Notes!$F143</f>
        <v>23.783963461826904</v>
      </c>
      <c r="J116" s="3">
        <f>+D116*Notes!$F143</f>
        <v>0</v>
      </c>
      <c r="K116" s="3">
        <f>+E116*Notes!$F143</f>
        <v>0</v>
      </c>
      <c r="L116" s="3">
        <f>+F116*Notes!$F143</f>
        <v>0</v>
      </c>
    </row>
    <row r="117" spans="1:12" ht="15">
      <c r="A117" s="12">
        <v>1707</v>
      </c>
      <c r="B117" s="3">
        <v>500</v>
      </c>
      <c r="C117" s="3">
        <v>120</v>
      </c>
      <c r="H117" s="3">
        <f>+B117*Notes!$F144</f>
        <v>99.096875</v>
      </c>
      <c r="I117" s="3">
        <f>+C117*Notes!$F144</f>
        <v>23.78325</v>
      </c>
      <c r="J117" s="3">
        <f>+D117*Notes!$F144</f>
        <v>0</v>
      </c>
      <c r="K117" s="3">
        <f>+E117*Notes!$F144</f>
        <v>0</v>
      </c>
      <c r="L117" s="3">
        <f>+F117*Notes!$F144</f>
        <v>0</v>
      </c>
    </row>
    <row r="118" spans="1:12" ht="15">
      <c r="A118" s="12">
        <v>1708</v>
      </c>
      <c r="B118" s="3">
        <v>500</v>
      </c>
      <c r="C118" s="3">
        <v>120</v>
      </c>
      <c r="H118" s="3">
        <f>+B118*Notes!$F145</f>
        <v>99.09276735751297</v>
      </c>
      <c r="I118" s="3">
        <f>+C118*Notes!$F145</f>
        <v>23.78226416580311</v>
      </c>
      <c r="J118" s="3">
        <f>+D118*Notes!$F145</f>
        <v>0</v>
      </c>
      <c r="K118" s="3">
        <f>+E118*Notes!$F145</f>
        <v>0</v>
      </c>
      <c r="L118" s="3">
        <f>+F118*Notes!$F145</f>
        <v>0</v>
      </c>
    </row>
    <row r="119" spans="1:12" ht="15">
      <c r="A119" s="12">
        <v>1709</v>
      </c>
      <c r="B119" s="3">
        <v>500</v>
      </c>
      <c r="C119" s="3">
        <v>120</v>
      </c>
      <c r="H119" s="3">
        <f>+B119*Notes!$F146</f>
        <v>99.096875</v>
      </c>
      <c r="I119" s="3">
        <f>+C119*Notes!$F146</f>
        <v>23.78325</v>
      </c>
      <c r="J119" s="3">
        <f>+D119*Notes!$F146</f>
        <v>0</v>
      </c>
      <c r="K119" s="3">
        <f>+E119*Notes!$F146</f>
        <v>0</v>
      </c>
      <c r="L119" s="3">
        <f>+F119*Notes!$F146</f>
        <v>0</v>
      </c>
    </row>
    <row r="120" spans="1:12" ht="15">
      <c r="A120" s="12">
        <v>1710</v>
      </c>
      <c r="B120" s="3">
        <v>500</v>
      </c>
      <c r="C120" s="3">
        <v>120</v>
      </c>
      <c r="H120" s="3">
        <f>+B120*Notes!$F147</f>
        <v>99.09414317711922</v>
      </c>
      <c r="I120" s="3">
        <f>+C120*Notes!$F147</f>
        <v>23.78259436250861</v>
      </c>
      <c r="J120" s="3">
        <f>+D120*Notes!$F147</f>
        <v>0</v>
      </c>
      <c r="K120" s="3">
        <f>+E120*Notes!$F147</f>
        <v>0</v>
      </c>
      <c r="L120" s="3">
        <f>+F120*Notes!$F147</f>
        <v>0</v>
      </c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/>
    </row>
    <row r="277" ht="15">
      <c r="A277" s="12"/>
    </row>
    <row r="278" ht="15">
      <c r="A278" s="12"/>
    </row>
    <row r="279" ht="15">
      <c r="A279" s="12"/>
    </row>
    <row r="280" ht="15">
      <c r="A280" s="12"/>
    </row>
    <row r="281" ht="15">
      <c r="A281" s="12"/>
    </row>
    <row r="282" ht="15">
      <c r="A282" s="12"/>
    </row>
    <row r="283" ht="15">
      <c r="A283" s="12"/>
    </row>
    <row r="284" ht="15">
      <c r="A284" s="12"/>
    </row>
    <row r="285" ht="15">
      <c r="A285" s="12"/>
    </row>
    <row r="286" ht="15">
      <c r="A286" s="12"/>
    </row>
    <row r="287" ht="15">
      <c r="A287" s="12"/>
    </row>
    <row r="288" ht="15">
      <c r="A288" s="12"/>
    </row>
    <row r="289" ht="15">
      <c r="A289" s="12"/>
    </row>
    <row r="290" ht="15">
      <c r="A290" s="12"/>
    </row>
    <row r="291" ht="15">
      <c r="A291" s="12"/>
    </row>
    <row r="292" ht="15">
      <c r="A292" s="12"/>
    </row>
    <row r="293" ht="15">
      <c r="A293" s="12"/>
    </row>
    <row r="294" ht="15">
      <c r="A294" s="12"/>
    </row>
    <row r="295" ht="15">
      <c r="A295" s="12"/>
    </row>
    <row r="296" ht="15">
      <c r="A296" s="12"/>
    </row>
    <row r="297" ht="15">
      <c r="A297" s="12"/>
    </row>
    <row r="298" ht="15">
      <c r="A298" s="12"/>
    </row>
    <row r="299" ht="15">
      <c r="A299" s="12"/>
    </row>
    <row r="300" ht="15">
      <c r="A300" s="12"/>
    </row>
    <row r="301" ht="15">
      <c r="A301" s="12"/>
    </row>
    <row r="302" ht="15">
      <c r="A302" s="12"/>
    </row>
    <row r="303" ht="15">
      <c r="A303" s="12"/>
    </row>
    <row r="304" ht="15">
      <c r="A304" s="12"/>
    </row>
    <row r="305" ht="15">
      <c r="A305" s="12"/>
    </row>
    <row r="306" ht="15">
      <c r="A306" s="12"/>
    </row>
    <row r="307" ht="15">
      <c r="A307" s="12"/>
    </row>
    <row r="308" ht="15">
      <c r="A308" s="12"/>
    </row>
    <row r="309" ht="15">
      <c r="A309" s="12"/>
    </row>
    <row r="310" ht="15">
      <c r="A310" s="12"/>
    </row>
    <row r="313" ht="15">
      <c r="A313" s="8"/>
    </row>
    <row r="314" ht="15">
      <c r="A314" s="11"/>
    </row>
    <row r="315" ht="15">
      <c r="A315" s="11"/>
    </row>
    <row r="316" ht="15">
      <c r="A316" s="11"/>
    </row>
    <row r="317" ht="15">
      <c r="A317" s="11"/>
    </row>
    <row r="318" ht="15">
      <c r="A318" s="11"/>
    </row>
    <row r="319" ht="15">
      <c r="A319" s="11"/>
    </row>
    <row r="320" ht="15">
      <c r="A320" s="11"/>
    </row>
    <row r="321" ht="15">
      <c r="A321" s="11"/>
    </row>
    <row r="322" ht="15">
      <c r="A322" s="11"/>
    </row>
    <row r="323" ht="15">
      <c r="A323" s="11"/>
    </row>
    <row r="324" ht="15">
      <c r="A324" s="11"/>
    </row>
    <row r="325" ht="15">
      <c r="A325" s="11"/>
    </row>
    <row r="326" ht="15">
      <c r="A326" s="11"/>
    </row>
    <row r="327" ht="15">
      <c r="A327" s="11"/>
    </row>
    <row r="328" ht="15">
      <c r="A328" s="11"/>
    </row>
    <row r="329" ht="15">
      <c r="A329" s="11"/>
    </row>
    <row r="330" ht="15">
      <c r="A330" s="11"/>
    </row>
    <row r="331" ht="15">
      <c r="A331" s="11"/>
    </row>
    <row r="332" ht="15">
      <c r="A332" s="11"/>
    </row>
    <row r="333" ht="15">
      <c r="A333" s="11"/>
    </row>
    <row r="334" ht="15">
      <c r="A334" s="24"/>
    </row>
    <row r="335" ht="15">
      <c r="A335" s="24"/>
    </row>
    <row r="336" ht="15">
      <c r="A336" s="24"/>
    </row>
    <row r="337" ht="15">
      <c r="A337" s="24"/>
    </row>
    <row r="338" ht="15">
      <c r="A338" s="24"/>
    </row>
    <row r="339" ht="15">
      <c r="A339" s="24"/>
    </row>
    <row r="340" ht="15">
      <c r="A340" s="24"/>
    </row>
    <row r="341" ht="15">
      <c r="A341" s="24"/>
    </row>
    <row r="342" ht="15">
      <c r="A342" s="24"/>
    </row>
    <row r="343" ht="15">
      <c r="A343" s="24"/>
    </row>
    <row r="344" ht="15">
      <c r="A344" s="24"/>
    </row>
    <row r="345" ht="15">
      <c r="A345" s="24"/>
    </row>
    <row r="346" ht="15">
      <c r="A346" s="24"/>
    </row>
    <row r="347" ht="15">
      <c r="A347" s="24"/>
    </row>
    <row r="348" ht="15">
      <c r="A348" s="24"/>
    </row>
    <row r="349" ht="15">
      <c r="A349" s="24"/>
    </row>
    <row r="350" ht="15">
      <c r="A350" s="24"/>
    </row>
    <row r="351" ht="15">
      <c r="A351" s="24"/>
    </row>
    <row r="352" ht="15">
      <c r="A352" s="24"/>
    </row>
    <row r="353" ht="15">
      <c r="A353" s="24"/>
    </row>
    <row r="354" ht="15">
      <c r="A354" s="24"/>
    </row>
    <row r="355" ht="15">
      <c r="A355" s="11"/>
    </row>
    <row r="356" ht="15">
      <c r="A356" s="11"/>
    </row>
    <row r="357" ht="15">
      <c r="A357" s="11"/>
    </row>
    <row r="358" ht="15">
      <c r="A358" s="11"/>
    </row>
    <row r="359" ht="15">
      <c r="A359" s="11"/>
    </row>
    <row r="360" ht="15">
      <c r="A360" s="11"/>
    </row>
    <row r="361" ht="15">
      <c r="A361" s="11"/>
    </row>
    <row r="362" ht="15">
      <c r="A362" s="11"/>
    </row>
    <row r="363" ht="15">
      <c r="A363" s="11"/>
    </row>
    <row r="364" ht="15">
      <c r="A364" s="11"/>
    </row>
    <row r="365" ht="15">
      <c r="A365" s="11"/>
    </row>
    <row r="366" ht="15">
      <c r="A366" s="11"/>
    </row>
    <row r="367" ht="15">
      <c r="A367" s="11"/>
    </row>
    <row r="368" ht="15">
      <c r="A368" s="11"/>
    </row>
    <row r="369" ht="15">
      <c r="A369" s="11"/>
    </row>
    <row r="370" ht="15">
      <c r="A370" s="11"/>
    </row>
    <row r="371" ht="15">
      <c r="A371" s="11"/>
    </row>
    <row r="372" ht="15">
      <c r="A372" s="11"/>
    </row>
    <row r="373" ht="15">
      <c r="A373" s="11"/>
    </row>
    <row r="374" ht="15">
      <c r="A374" s="11"/>
    </row>
    <row r="375" ht="15">
      <c r="A375" s="11"/>
    </row>
    <row r="376" ht="15">
      <c r="A376" s="11"/>
    </row>
    <row r="377" ht="15">
      <c r="A377" s="11"/>
    </row>
    <row r="378" ht="15">
      <c r="A378" s="11"/>
    </row>
    <row r="379" ht="15">
      <c r="A379" s="11"/>
    </row>
    <row r="380" ht="15">
      <c r="A380" s="11"/>
    </row>
    <row r="381" ht="15">
      <c r="A381" s="11"/>
    </row>
    <row r="382" ht="15">
      <c r="A382" s="11"/>
    </row>
    <row r="383" ht="15">
      <c r="A383" s="11"/>
    </row>
    <row r="384" ht="15">
      <c r="A384" s="11"/>
    </row>
    <row r="385" ht="15">
      <c r="A385" s="11"/>
    </row>
    <row r="386" ht="15">
      <c r="A386" s="11"/>
    </row>
    <row r="387" ht="15">
      <c r="A387" s="11"/>
    </row>
    <row r="388" ht="15">
      <c r="A388" s="11"/>
    </row>
    <row r="389" ht="15">
      <c r="A389" s="11"/>
    </row>
    <row r="390" ht="15">
      <c r="A390" s="11"/>
    </row>
    <row r="391" ht="15">
      <c r="A391" s="11"/>
    </row>
    <row r="392" ht="15">
      <c r="A392" s="11"/>
    </row>
  </sheetData>
  <printOptions gridLines="1"/>
  <pageMargins left="0.75" right="0.75" top="0.43" bottom="0.47" header="0.28" footer="0.3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Peter H. Lindert</cp:lastModifiedBy>
  <cp:lastPrinted>2000-08-15T03:33:07Z</cp:lastPrinted>
  <dcterms:created xsi:type="dcterms:W3CDTF">2000-08-11T03:49:07Z</dcterms:created>
  <dcterms:modified xsi:type="dcterms:W3CDTF">2005-04-25T06:32:41Z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-972568041</vt:i4>
  </property>
  <property fmtid="{D5CDD505-2E9C-101B-9397-08002B2CF9AE}" pid="3" name="_EmailSubject">
    <vt:lpwstr>Milan III-disregard the previous messages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</Properties>
</file>