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65516" windowWidth="18420" windowHeight="11840" activeTab="0"/>
  </bookViews>
  <sheets>
    <sheet name="Bowley-Stamp-Routh 1911" sheetId="1" r:id="rId1"/>
  </sheets>
  <definedNames/>
  <calcPr fullCalcOnLoad="1"/>
</workbook>
</file>

<file path=xl/sharedStrings.xml><?xml version="1.0" encoding="utf-8"?>
<sst xmlns="http://schemas.openxmlformats.org/spreadsheetml/2006/main" count="337" uniqueCount="285">
  <si>
    <t xml:space="preserve">          Share, (£160-400/£160 up)</t>
  </si>
  <si>
    <t>Males:</t>
  </si>
  <si>
    <t>Females:</t>
  </si>
  <si>
    <t>Mean inc.:</t>
  </si>
  <si>
    <t xml:space="preserve">  distribution as all female earners, and their total income of £99.8 m. was distributed</t>
  </si>
  <si>
    <t>(*Can distribute by class using Bowley '14, p. 262.)</t>
  </si>
  <si>
    <t>Implied UK occupied, £160-400</t>
  </si>
  <si>
    <t>£0-700:</t>
  </si>
  <si>
    <t>Tot.minors:</t>
  </si>
  <si>
    <t xml:space="preserve">  equally among the adult-male income ranks at £8.14 per adult male earner.</t>
  </si>
  <si>
    <t>(Bowley in QJE'14 cites same no's for intermed. and £160-700 as 1911/12.)</t>
  </si>
  <si>
    <t>1910. Bowley, 1920, p. 22, and 1914, p. 261.</t>
  </si>
  <si>
    <t>Wage earners</t>
  </si>
  <si>
    <t>more than</t>
  </si>
  <si>
    <t xml:space="preserve">      male </t>
  </si>
  <si>
    <t xml:space="preserve">   female </t>
  </si>
  <si>
    <t xml:space="preserve">      total</t>
  </si>
  <si>
    <t>Census totals were allocated across the three classes between</t>
  </si>
  <si>
    <t xml:space="preserve">  all:</t>
  </si>
  <si>
    <t xml:space="preserve">           £0</t>
  </si>
  <si>
    <t xml:space="preserve">   £400 and £700 according to abatement proportions given in</t>
  </si>
  <si>
    <t>Of which,</t>
  </si>
  <si>
    <t>(Subtract</t>
  </si>
  <si>
    <t>Lindert</t>
  </si>
  <si>
    <r>
      <t xml:space="preserve">Source: Guy Routh. </t>
    </r>
    <r>
      <rPr>
        <i/>
        <sz val="12"/>
        <rFont val="Times New Roman"/>
        <family val="0"/>
      </rPr>
      <t>Occupation and Pay in Great Britain 1906-79</t>
    </r>
    <r>
      <rPr>
        <sz val="12"/>
        <rFont val="Times New Roman"/>
        <family val="0"/>
      </rPr>
      <t>. London: Macmillan.</t>
    </r>
  </si>
  <si>
    <t>Wages:  worth £797 m. in 1913 (B 1937, p. 139), but how many people?  See P. 2 =&gt;</t>
  </si>
  <si>
    <r>
      <t xml:space="preserve">Page 1: false start, aimed at 1913:  </t>
    </r>
    <r>
      <rPr>
        <sz val="12"/>
        <rFont val="Times New Roman"/>
        <family val="0"/>
      </rPr>
      <t>[See Columns X-AL for best estimates -&gt;]</t>
    </r>
  </si>
  <si>
    <t>(i) above £100,000, the total of £13,435,000 can be divided among the top 75 persons</t>
  </si>
  <si>
    <t xml:space="preserve">  on persons under 20 "engaged in occupations" =&gt;</t>
  </si>
  <si>
    <t>10 decile:</t>
  </si>
  <si>
    <t>if necessary, using reasonable assumptions.</t>
  </si>
  <si>
    <t>10th decile:</t>
  </si>
  <si>
    <t>(ii) Above £75,000 use the printed total of £19,056,000 and 139 persons (includes (i)).</t>
  </si>
  <si>
    <t>Mean (£):</t>
  </si>
  <si>
    <t>Gini (%)</t>
  </si>
  <si>
    <t>(iii) Between £45,000 and 75,000 add to (i) + (ii), this formula for income between any</t>
  </si>
  <si>
    <t>Totals:</t>
  </si>
  <si>
    <t xml:space="preserve">Compare total personal income of £2,012 m. here to Feinstein's </t>
  </si>
  <si>
    <t>bottom dec.:</t>
  </si>
  <si>
    <t>Changes from distribution among all earners:</t>
  </si>
  <si>
    <t>(my interpre-</t>
  </si>
  <si>
    <t>Median (£):</t>
  </si>
  <si>
    <t xml:space="preserve">   lower border and 75,000:  2.07861 x (NY-75000N'), where n" is the predicted number</t>
  </si>
  <si>
    <t xml:space="preserve"> (1972, p. T5) GNP at factor cost of £2,128 m. for 1911, or</t>
  </si>
  <si>
    <t>Gini coeff.(%)</t>
  </si>
  <si>
    <t xml:space="preserve">  £0-100 income brackets, meeting all accounting constraints.  Their income distributions</t>
  </si>
  <si>
    <t>Bottom 40%:</t>
  </si>
  <si>
    <t>Bottom 20%:</t>
  </si>
  <si>
    <t>Other classes:</t>
  </si>
  <si>
    <t>Assumed distribution of minors' earnings:</t>
  </si>
  <si>
    <t xml:space="preserve">  were then subtracted from the overall distribution, leaving an adults-only distribution.</t>
  </si>
  <si>
    <t>£700 - £5,000 (for 1910, B, 1920, p. 22): 200,000 incomes worth £415 m.</t>
  </si>
  <si>
    <t>M≥20</t>
  </si>
  <si>
    <t>M&lt;20</t>
  </si>
  <si>
    <t>F≥20</t>
  </si>
  <si>
    <t>F&lt;20</t>
  </si>
  <si>
    <t>£0-10</t>
  </si>
  <si>
    <t>£10-20</t>
  </si>
  <si>
    <t>£20-40</t>
  </si>
  <si>
    <t>£40-60</t>
  </si>
  <si>
    <t>£60-80</t>
  </si>
  <si>
    <t>£80-100</t>
  </si>
  <si>
    <t xml:space="preserve">  (2) Their total earnings (£101.1 m. ) were divided among all adult male earners</t>
  </si>
  <si>
    <t>£160-£700* (for 1910, p. 22 again): 880,000 incomes worth £250 m.</t>
  </si>
  <si>
    <t>Sums over income ranges:</t>
  </si>
  <si>
    <t>£0-160</t>
  </si>
  <si>
    <t>Levi's earnings ratios:</t>
  </si>
  <si>
    <t>Males&lt;20:</t>
  </si>
  <si>
    <t xml:space="preserve">  ("fathers") between £0 and £700 in proportion to their aggregate class incomes.</t>
  </si>
  <si>
    <t>Intermediate incomes (below £160, I guess): 4,050,000 incomes (in '10) worth £400 m.</t>
  </si>
  <si>
    <t xml:space="preserve">          £160-400 </t>
  </si>
  <si>
    <t>1911/14 earnings:</t>
  </si>
  <si>
    <t>Bowley</t>
  </si>
  <si>
    <t>Females&lt;20</t>
  </si>
  <si>
    <t xml:space="preserve">  (3) Of the 4,548,500 adult female earners, only an estimated 2,450,799 were </t>
  </si>
  <si>
    <t xml:space="preserve">   (in 1913: B 1937, p. 139).</t>
  </si>
  <si>
    <t>£160 up</t>
  </si>
  <si>
    <t>Both&lt;20:</t>
  </si>
  <si>
    <t xml:space="preserve">  household heads.  The non-head female earners were assumed to have the same size</t>
  </si>
  <si>
    <t>ROUTH ON "INCOME" DISTRIBUTION FOR "GREAT BRITAIN", 1911/12.</t>
  </si>
  <si>
    <t>The Distribution of Income among All Income Recipients</t>
  </si>
  <si>
    <t>The Distribution of Income among the Electorate, United Kingdom, 1911</t>
  </si>
  <si>
    <t>Aug.'88</t>
  </si>
  <si>
    <t>UK Income Distribution for 1911, after Bowley, Stamp and Routh</t>
  </si>
  <si>
    <t>Numbers of persons occupied, 1911 and 1913 (1000s)</t>
  </si>
  <si>
    <t>Estimated Distribution of Pre-tax Income for the United Kingdom, 1911.</t>
  </si>
  <si>
    <t xml:space="preserve">        in the Household Sector, United Kingdom, 1911.</t>
  </si>
  <si>
    <t>The Distribution of Income among Households, United Kingdom, 1911</t>
  </si>
  <si>
    <t>(didn't use 1913:)</t>
  </si>
  <si>
    <t xml:space="preserve"> Class-</t>
  </si>
  <si>
    <t>Cumulative % shares</t>
  </si>
  <si>
    <t>Contributions</t>
  </si>
  <si>
    <t xml:space="preserve">  (£ m.)</t>
  </si>
  <si>
    <t xml:space="preserve">  Bowley, 1914, p. 62. Bracket means assumed.</t>
  </si>
  <si>
    <t>Top 5%:</t>
  </si>
  <si>
    <t>Printed totals:</t>
  </si>
  <si>
    <t xml:space="preserve">Pareto slopes of lnN = lnA - a lnY as inferred </t>
  </si>
  <si>
    <t xml:space="preserve">  occupied</t>
  </si>
  <si>
    <t>Bowley's un-</t>
  </si>
  <si>
    <t>Census numbers of salaried plus independent and self-employed</t>
  </si>
  <si>
    <t>Top decile:</t>
  </si>
  <si>
    <t>(vs. sum of above:)</t>
  </si>
  <si>
    <t>from the log graph:  (i) don't bother applying</t>
  </si>
  <si>
    <t xml:space="preserve">        minors:</t>
  </si>
  <si>
    <t>occ's from</t>
  </si>
  <si>
    <t xml:space="preserve">  were allocated between £160 and £400 according to Routh's</t>
  </si>
  <si>
    <t>the Pareto curve above £75,000; (ii) between</t>
  </si>
  <si>
    <t>Feinstein</t>
  </si>
  <si>
    <t xml:space="preserve">  earnings shares for Great Britain males.</t>
  </si>
  <si>
    <t>2nd decile:</t>
  </si>
  <si>
    <t>£45,000 and £75,000, the alpha slope is:</t>
  </si>
  <si>
    <t xml:space="preserve">        adults:</t>
  </si>
  <si>
    <t>pop. 0-14</t>
  </si>
  <si>
    <t>The 13,415,000 males and 5,820,000 females under £160 (Bowley,</t>
  </si>
  <si>
    <t>3rd decile:</t>
  </si>
  <si>
    <t>('72,p.T123)</t>
  </si>
  <si>
    <t xml:space="preserve">  1919, p. 11 and Feinstein, 1972, p. T123) were allocated over</t>
  </si>
  <si>
    <t>4th decile:</t>
  </si>
  <si>
    <t>(iii) between £10,000 and £45,000, the</t>
  </si>
  <si>
    <t>Total occupied</t>
  </si>
  <si>
    <t xml:space="preserve">  nine classes in proportion to Routh's GB earnings distribution.</t>
  </si>
  <si>
    <t>5th decile:</t>
  </si>
  <si>
    <t>alpha slope is:</t>
  </si>
  <si>
    <t xml:space="preserve">; and (iv) </t>
  </si>
  <si>
    <t>(Bowley's 1919 totals)</t>
  </si>
  <si>
    <t xml:space="preserve">  Bracket means were assumed.</t>
  </si>
  <si>
    <t>6th decile:</t>
  </si>
  <si>
    <t>don't use the Pareto slope below £10,000.</t>
  </si>
  <si>
    <t>7th decile:</t>
  </si>
  <si>
    <t>8th decile:</t>
  </si>
  <si>
    <t>Resulting high-income profile:</t>
  </si>
  <si>
    <t>But see Page 4's use of 1911 census figures</t>
  </si>
  <si>
    <t>9th decile:</t>
  </si>
  <si>
    <t xml:space="preserve">  (or both)</t>
  </si>
  <si>
    <t>This bracket</t>
  </si>
  <si>
    <t>Cumulative</t>
  </si>
  <si>
    <t xml:space="preserve"> Cumulative</t>
  </si>
  <si>
    <t xml:space="preserve">  head</t>
  </si>
  <si>
    <t>head</t>
  </si>
  <si>
    <t xml:space="preserve">    Both</t>
  </si>
  <si>
    <t xml:space="preserve">   head</t>
  </si>
  <si>
    <t xml:space="preserve">    head</t>
  </si>
  <si>
    <t xml:space="preserve">    (£)</t>
  </si>
  <si>
    <t>Income class:</t>
  </si>
  <si>
    <t>Total (£K)</t>
  </si>
  <si>
    <t>Number</t>
  </si>
  <si>
    <t>of persons</t>
  </si>
  <si>
    <t>nat. log</t>
  </si>
  <si>
    <t xml:space="preserve">nat. log </t>
  </si>
  <si>
    <t>Over £160</t>
  </si>
  <si>
    <t>p. 11)</t>
  </si>
  <si>
    <t xml:space="preserve">            bits.  He adjusts for hours, vacations, and unemployment.</t>
  </si>
  <si>
    <t>Stamp, 1922,</t>
  </si>
  <si>
    <t>&gt; lower</t>
  </si>
  <si>
    <t>≤ upper</t>
  </si>
  <si>
    <t>income</t>
  </si>
  <si>
    <t>this class</t>
  </si>
  <si>
    <t>of lower</t>
  </si>
  <si>
    <t>of cum.</t>
  </si>
  <si>
    <t>employers &amp;</t>
  </si>
  <si>
    <t>The population of interest seems to be "employees."  The income concept is</t>
  </si>
  <si>
    <t>p. 338, for</t>
  </si>
  <si>
    <t>limit (£)</t>
  </si>
  <si>
    <t>limit</t>
  </si>
  <si>
    <t>assessed</t>
  </si>
  <si>
    <t>and up</t>
  </si>
  <si>
    <t>Y-limit</t>
  </si>
  <si>
    <t>N</t>
  </si>
  <si>
    <t>indep.workers</t>
  </si>
  <si>
    <t>earnings, excluding property income and income from self-employment.  I should therefore</t>
  </si>
  <si>
    <t>1911/12.</t>
  </si>
  <si>
    <t>salaried:</t>
  </si>
  <si>
    <t>(1) Removal of minors and their incomes: Those under 20 years of age who were "engaged</t>
  </si>
  <si>
    <t xml:space="preserve">tation of </t>
  </si>
  <si>
    <t>(but calculated as if it were £88)</t>
  </si>
  <si>
    <t xml:space="preserve">   with income ≥ 75000.</t>
  </si>
  <si>
    <t>Occupied</t>
  </si>
  <si>
    <t>(just census:)</t>
  </si>
  <si>
    <t xml:space="preserve"> Bowley's (1937, p. 139) total "national" (personal?) income</t>
  </si>
  <si>
    <t xml:space="preserve">Median = </t>
  </si>
  <si>
    <t xml:space="preserve">  in an occupation" in the 1911 census were assigned average male and female incomes, </t>
  </si>
  <si>
    <t>(but calculated as if £69)</t>
  </si>
  <si>
    <t>Tanner, 1983,</t>
  </si>
  <si>
    <t>(iv) Between £10,000 and £45,000, add, to (i) through (iii) above, this formula for</t>
  </si>
  <si>
    <t>minors&lt;20:</t>
  </si>
  <si>
    <t xml:space="preserve">of £2,220 m.  for 1913.  </t>
  </si>
  <si>
    <t>Mean =</t>
  </si>
  <si>
    <t>Median = £58.17 (but calculated as if £50)</t>
  </si>
  <si>
    <t xml:space="preserve">  by combining Bowley's (1937, p. 46) median adult-male wage rate for 50 weeks with</t>
  </si>
  <si>
    <t>pp. 216-7.)</t>
  </si>
  <si>
    <t>Top 20%:</t>
  </si>
  <si>
    <t xml:space="preserve">   income between any lower border and 45,000: 2.41584 x (NY-45000N')</t>
  </si>
  <si>
    <t xml:space="preserve">Occupied </t>
  </si>
  <si>
    <t>Top 20%</t>
  </si>
  <si>
    <t xml:space="preserve">  earnings ratios for age/sex groups from Levi (1885, pp. 17-21).  Next the minors' total</t>
  </si>
  <si>
    <t>Next 40%:</t>
  </si>
  <si>
    <t>Middle 20%</t>
  </si>
  <si>
    <t>(v) Between £5000 and £10,000 just accept the figures above, I guess.</t>
  </si>
  <si>
    <t>adults≥20:</t>
  </si>
  <si>
    <t>Next 40%</t>
  </si>
  <si>
    <t xml:space="preserve">  Middle 20%:</t>
  </si>
  <si>
    <t xml:space="preserve">  earnings were spread in humped distributions (one for males, one for females) over the</t>
  </si>
  <si>
    <t>Middle 20%:</t>
  </si>
  <si>
    <t>Bottom 40%</t>
  </si>
  <si>
    <t>Bottom 20%</t>
  </si>
  <si>
    <t>Adult inc's</t>
  </si>
  <si>
    <t xml:space="preserve">  Bottom 20%:</t>
  </si>
  <si>
    <t>LINDERT</t>
  </si>
  <si>
    <t>use his materials only for the bottom part of the distribution, where income from the</t>
  </si>
  <si>
    <t>excluded sources was negligible.  I propose using Routh to distribute two income ranges by</t>
  </si>
  <si>
    <t>Under £160</t>
  </si>
  <si>
    <t>size.  The first is the range £160-400, which he divides into three classes.  The second is</t>
  </si>
  <si>
    <t>the broad range £0-160, which he divides into nine classes.  In the latter, his distribution</t>
  </si>
  <si>
    <t>Quantile</t>
  </si>
  <si>
    <t>is applied only to employees, not to the "employers and independent workers" of Bowley.</t>
  </si>
  <si>
    <t xml:space="preserve">       income </t>
  </si>
  <si>
    <t xml:space="preserve">      income</t>
  </si>
  <si>
    <t xml:space="preserve">           shares:</t>
  </si>
  <si>
    <t>("int'rmed"?)</t>
  </si>
  <si>
    <t>Routh's "annual income" distribution for  "Great Britain" in 1911/12:</t>
  </si>
  <si>
    <t>Top 1%:</t>
  </si>
  <si>
    <t>Numbers in class</t>
  </si>
  <si>
    <t>Getting</t>
  </si>
  <si>
    <t xml:space="preserve">    with this lower bound</t>
  </si>
  <si>
    <t>(1911 x 1.02628=) 1913</t>
  </si>
  <si>
    <t xml:space="preserve">             1980. Pp. 47-50, 232-4, 259-60.</t>
  </si>
  <si>
    <t>Lower limit</t>
  </si>
  <si>
    <t>Numbers of income earners</t>
  </si>
  <si>
    <t>Total income (£ millions)</t>
  </si>
  <si>
    <t>Average income (£)</t>
  </si>
  <si>
    <t>Notes:</t>
  </si>
  <si>
    <t>average</t>
  </si>
  <si>
    <t>above this income limit</t>
  </si>
  <si>
    <t>to Gini</t>
  </si>
  <si>
    <t xml:space="preserve">  1000s of</t>
  </si>
  <si>
    <t xml:space="preserve">Assumed </t>
  </si>
  <si>
    <t xml:space="preserve"> 1000s of</t>
  </si>
  <si>
    <t>Income of</t>
  </si>
  <si>
    <t>Franchise-</t>
  </si>
  <si>
    <t>Household</t>
  </si>
  <si>
    <t>Contrib.</t>
  </si>
  <si>
    <t>First, using the super-tax statistics (Stamp 1922, p. 338) for 1913/14</t>
  </si>
  <si>
    <t>males</t>
  </si>
  <si>
    <t>females</t>
  </si>
  <si>
    <t>of income</t>
  </si>
  <si>
    <t>(1000s)</t>
  </si>
  <si>
    <t>above this lower limit</t>
  </si>
  <si>
    <t>Contribution</t>
  </si>
  <si>
    <t>Numbers of households (1000s)</t>
  </si>
  <si>
    <t>income of</t>
  </si>
  <si>
    <t>Households</t>
  </si>
  <si>
    <t xml:space="preserve">  Income</t>
  </si>
  <si>
    <t>coeffic.:</t>
  </si>
  <si>
    <t>male house-</t>
  </si>
  <si>
    <t>relative</t>
  </si>
  <si>
    <t>registered</t>
  </si>
  <si>
    <t>male-head</t>
  </si>
  <si>
    <t>weighted</t>
  </si>
  <si>
    <t>income per</t>
  </si>
  <si>
    <t>Franch. men</t>
  </si>
  <si>
    <t>to Pareto-smooth the top ranks:</t>
  </si>
  <si>
    <t>Routh weaves together the earnings and hours survey of 1906, the agricultural labor</t>
  </si>
  <si>
    <t>bracket (£)</t>
  </si>
  <si>
    <t>Males</t>
  </si>
  <si>
    <t>Females</t>
  </si>
  <si>
    <t>Both</t>
  </si>
  <si>
    <t>1000s of income recip's</t>
  </si>
  <si>
    <t>Total income (£m.)</t>
  </si>
  <si>
    <t>Recipients</t>
  </si>
  <si>
    <t>Income</t>
  </si>
  <si>
    <t xml:space="preserve">  Male</t>
  </si>
  <si>
    <t>Female</t>
  </si>
  <si>
    <t xml:space="preserve">   Male</t>
  </si>
  <si>
    <t xml:space="preserve">  Female</t>
  </si>
  <si>
    <t>head alone</t>
  </si>
  <si>
    <t>hold heads</t>
  </si>
  <si>
    <t>franchise</t>
  </si>
  <si>
    <t>male voters</t>
  </si>
  <si>
    <t>households</t>
  </si>
  <si>
    <t>income(£m)</t>
  </si>
  <si>
    <t>man (£)</t>
  </si>
  <si>
    <t>N = cum.no.</t>
  </si>
  <si>
    <t>(Bowley,'19,</t>
  </si>
  <si>
    <t xml:space="preserve">            survey of 1907, a study of lower non-wage incomes, the census of 1911, and other</t>
  </si>
  <si>
    <t>(or both)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</si>
</sst>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2"/>
      <name val="Times New Roman"/>
      <family val="0"/>
    </font>
    <font>
      <sz val="12"/>
      <name val="Times New Roman"/>
      <family val="0"/>
    </font>
    <font>
      <i/>
      <sz val="12"/>
      <name val="Times New Roman"/>
      <family val="0"/>
    </font>
    <font>
      <u val="single"/>
      <sz val="12"/>
      <name val="Times New Roman"/>
      <family val="0"/>
    </font>
    <font>
      <u val="single"/>
      <sz val="10"/>
      <color indexed="12"/>
      <name val="Geneva"/>
      <family val="0"/>
    </font>
    <font>
      <u val="single"/>
      <sz val="10"/>
      <color indexed="61"/>
      <name val="Geneva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64" fontId="7" fillId="0" borderId="0" xfId="0" applyNumberFormat="1" applyFont="1" applyAlignment="1">
      <alignment horizontal="right"/>
    </xf>
    <xf numFmtId="166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66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5" fillId="0" borderId="5" xfId="0" applyFont="1" applyBorder="1" applyAlignment="1">
      <alignment/>
    </xf>
    <xf numFmtId="165" fontId="5" fillId="0" borderId="5" xfId="0" applyNumberFormat="1" applyFont="1" applyBorder="1" applyAlignment="1">
      <alignment/>
    </xf>
    <xf numFmtId="2" fontId="5" fillId="0" borderId="6" xfId="0" applyNumberFormat="1" applyFont="1" applyBorder="1" applyAlignment="1">
      <alignment/>
    </xf>
    <xf numFmtId="0" fontId="5" fillId="0" borderId="7" xfId="0" applyFont="1" applyBorder="1" applyAlignment="1">
      <alignment/>
    </xf>
    <xf numFmtId="165" fontId="5" fillId="0" borderId="1" xfId="0" applyNumberFormat="1" applyFont="1" applyBorder="1" applyAlignment="1">
      <alignment/>
    </xf>
    <xf numFmtId="2" fontId="5" fillId="0" borderId="8" xfId="0" applyNumberFormat="1" applyFont="1" applyBorder="1" applyAlignment="1">
      <alignment/>
    </xf>
    <xf numFmtId="0" fontId="5" fillId="0" borderId="6" xfId="0" applyFont="1" applyBorder="1" applyAlignment="1">
      <alignment/>
    </xf>
    <xf numFmtId="165" fontId="7" fillId="0" borderId="0" xfId="0" applyNumberFormat="1" applyFont="1" applyAlignment="1">
      <alignment horizontal="right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C50"/>
  <sheetViews>
    <sheetView tabSelected="1" workbookViewId="0" topLeftCell="A1">
      <pane ySplit="2960" topLeftCell="A1" activePane="bottomLeft" state="split"/>
      <selection pane="topLeft" activeCell="AS2" sqref="AS2:AS3"/>
      <selection pane="bottomLeft" activeCell="F6" sqref="F6"/>
    </sheetView>
  </sheetViews>
  <sheetFormatPr defaultColWidth="11.00390625" defaultRowHeight="12.75"/>
  <cols>
    <col min="1" max="2" width="7.75390625" style="2" customWidth="1"/>
    <col min="3" max="5" width="8.75390625" style="2" customWidth="1"/>
    <col min="6" max="7" width="7.75390625" style="2" customWidth="1"/>
    <col min="8" max="14" width="10.75390625" style="2" customWidth="1"/>
    <col min="15" max="15" width="7.75390625" style="2" customWidth="1"/>
    <col min="16" max="21" width="6.75390625" style="2" customWidth="1"/>
    <col min="22" max="22" width="10.75390625" style="2" customWidth="1"/>
    <col min="23" max="23" width="8.00390625" style="2" customWidth="1"/>
    <col min="24" max="24" width="8.75390625" style="2" customWidth="1"/>
    <col min="25" max="25" width="7.75390625" style="2" customWidth="1"/>
    <col min="26" max="26" width="6.75390625" style="2" customWidth="1"/>
    <col min="27" max="27" width="7.75390625" style="2" customWidth="1"/>
    <col min="28" max="30" width="6.75390625" style="2" customWidth="1"/>
    <col min="31" max="34" width="8.75390625" style="2" customWidth="1"/>
    <col min="35" max="37" width="10.75390625" style="2" customWidth="1"/>
    <col min="38" max="39" width="9.75390625" style="2" customWidth="1"/>
    <col min="40" max="43" width="10.75390625" style="2" customWidth="1"/>
    <col min="44" max="44" width="8.75390625" style="2" customWidth="1"/>
    <col min="45" max="45" width="9.75390625" style="2" customWidth="1"/>
    <col min="46" max="46" width="8.75390625" style="2" customWidth="1"/>
    <col min="47" max="47" width="7.75390625" style="2" customWidth="1"/>
    <col min="48" max="48" width="9.75390625" style="2" customWidth="1"/>
    <col min="49" max="51" width="10.75390625" style="2" customWidth="1"/>
    <col min="52" max="52" width="8.75390625" style="2" customWidth="1"/>
    <col min="53" max="58" width="7.75390625" style="2" customWidth="1"/>
    <col min="59" max="62" width="8.75390625" style="2" customWidth="1"/>
    <col min="63" max="66" width="10.75390625" style="2" customWidth="1"/>
    <col min="67" max="73" width="8.75390625" style="2" customWidth="1"/>
    <col min="74" max="74" width="5.75390625" style="2" customWidth="1"/>
    <col min="75" max="75" width="8.75390625" style="2" customWidth="1"/>
    <col min="76" max="76" width="9.75390625" style="2" customWidth="1"/>
    <col min="77" max="81" width="8.75390625" style="2" customWidth="1"/>
    <col min="82" max="16384" width="10.75390625" style="2" customWidth="1"/>
  </cols>
  <sheetData>
    <row r="1" spans="1:75" ht="15">
      <c r="A1" s="2" t="s">
        <v>207</v>
      </c>
      <c r="O1" s="2" t="s">
        <v>23</v>
      </c>
      <c r="P1" s="1" t="s">
        <v>79</v>
      </c>
      <c r="BH1" s="1" t="str">
        <f>AZ2</f>
        <v>The Distribution of Income among Households, United Kingdom, 1911</v>
      </c>
      <c r="BO1" s="1" t="s">
        <v>81</v>
      </c>
      <c r="BW1" s="1" t="str">
        <f>BO1</f>
        <v>The Distribution of Income among the Electorate, United Kingdom, 1911</v>
      </c>
    </row>
    <row r="2" spans="1:71" ht="15">
      <c r="A2" s="2" t="s">
        <v>82</v>
      </c>
      <c r="B2" s="1" t="s">
        <v>83</v>
      </c>
      <c r="J2" s="2" t="s">
        <v>84</v>
      </c>
      <c r="X2" s="1" t="s">
        <v>85</v>
      </c>
      <c r="AN2" s="1" t="s">
        <v>80</v>
      </c>
      <c r="AS2" s="1" t="s">
        <v>80</v>
      </c>
      <c r="AZ2" s="1" t="s">
        <v>87</v>
      </c>
      <c r="BS2" s="3"/>
    </row>
    <row r="3" spans="12:76" ht="15">
      <c r="L3" s="4" t="s">
        <v>88</v>
      </c>
      <c r="O3" s="2" t="s">
        <v>24</v>
      </c>
      <c r="AN3" s="1" t="s">
        <v>86</v>
      </c>
      <c r="AS3" s="1" t="s">
        <v>86</v>
      </c>
      <c r="BG3" s="2" t="s">
        <v>89</v>
      </c>
      <c r="BH3" s="2" t="str">
        <f aca="true" t="shared" si="0" ref="BH3:BH32">AZ5</f>
        <v>Lower limit</v>
      </c>
      <c r="BI3" s="2" t="s">
        <v>90</v>
      </c>
      <c r="BN3" s="2" t="s">
        <v>91</v>
      </c>
      <c r="BS3" s="3" t="s">
        <v>92</v>
      </c>
      <c r="BW3" s="2" t="str">
        <f>BH3</f>
        <v>Lower limit</v>
      </c>
      <c r="BX3" s="2" t="str">
        <f>BI3</f>
        <v>Cumulative % shares</v>
      </c>
    </row>
    <row r="4" spans="1:81" ht="15">
      <c r="A4" s="5" t="s">
        <v>26</v>
      </c>
      <c r="B4" s="6"/>
      <c r="C4" s="6"/>
      <c r="J4" s="6">
        <v>1911</v>
      </c>
      <c r="K4" s="6"/>
      <c r="L4" s="2" t="s">
        <v>224</v>
      </c>
      <c r="O4" s="2" t="s">
        <v>225</v>
      </c>
      <c r="X4" s="2" t="s">
        <v>226</v>
      </c>
      <c r="Y4" s="2" t="s">
        <v>227</v>
      </c>
      <c r="AB4" s="2" t="s">
        <v>228</v>
      </c>
      <c r="AE4" s="2" t="s">
        <v>229</v>
      </c>
      <c r="AH4" s="2" t="str">
        <f aca="true" t="shared" si="1" ref="AH4:AH34">X4</f>
        <v>Lower limit</v>
      </c>
      <c r="AI4" s="2" t="s">
        <v>230</v>
      </c>
      <c r="AS4" s="2" t="str">
        <f aca="true" t="shared" si="2" ref="AS4:AS33">AN5</f>
        <v>Lower limit</v>
      </c>
      <c r="AT4" s="2" t="s">
        <v>90</v>
      </c>
      <c r="BG4" s="2" t="s">
        <v>231</v>
      </c>
      <c r="BH4" s="2" t="str">
        <f t="shared" si="0"/>
        <v>of income</v>
      </c>
      <c r="BI4" s="6" t="s">
        <v>232</v>
      </c>
      <c r="BJ4" s="6"/>
      <c r="BN4" s="2" t="s">
        <v>233</v>
      </c>
      <c r="BO4" s="2" t="str">
        <f aca="true" t="shared" si="3" ref="BO4:BO33">AZ5</f>
        <v>Lower limit</v>
      </c>
      <c r="BP4" s="2" t="s">
        <v>234</v>
      </c>
      <c r="BQ4" s="2" t="s">
        <v>235</v>
      </c>
      <c r="BR4" s="2" t="s">
        <v>236</v>
      </c>
      <c r="BS4" s="3" t="s">
        <v>237</v>
      </c>
      <c r="BT4" s="2" t="s">
        <v>238</v>
      </c>
      <c r="BU4" s="2" t="s">
        <v>239</v>
      </c>
      <c r="BW4" s="2" t="str">
        <f>BH4</f>
        <v>of income</v>
      </c>
      <c r="BX4" s="6" t="str">
        <f>BI4</f>
        <v>above this income limit</v>
      </c>
      <c r="BY4" s="6"/>
      <c r="CC4" s="2" t="s">
        <v>240</v>
      </c>
    </row>
    <row r="5" spans="1:81" ht="15">
      <c r="A5" s="2" t="s">
        <v>241</v>
      </c>
      <c r="J5" s="2" t="s">
        <v>242</v>
      </c>
      <c r="K5" s="2" t="s">
        <v>243</v>
      </c>
      <c r="L5" s="2" t="s">
        <v>242</v>
      </c>
      <c r="M5" s="2" t="s">
        <v>243</v>
      </c>
      <c r="X5" s="2" t="s">
        <v>244</v>
      </c>
      <c r="Z5" s="2" t="s">
        <v>245</v>
      </c>
      <c r="AH5" s="2" t="str">
        <f t="shared" si="1"/>
        <v>of income</v>
      </c>
      <c r="AN5" s="2" t="str">
        <f>AH4</f>
        <v>Lower limit</v>
      </c>
      <c r="AS5" s="2" t="str">
        <f t="shared" si="2"/>
        <v>of income</v>
      </c>
      <c r="AT5" s="6" t="s">
        <v>246</v>
      </c>
      <c r="AU5" s="6"/>
      <c r="AY5" s="2" t="s">
        <v>247</v>
      </c>
      <c r="AZ5" s="2" t="str">
        <f aca="true" t="shared" si="4" ref="AZ5:AZ34">AN5</f>
        <v>Lower limit</v>
      </c>
      <c r="BA5" s="7" t="s">
        <v>248</v>
      </c>
      <c r="BB5" s="8"/>
      <c r="BC5" s="9"/>
      <c r="BD5" s="7" t="s">
        <v>228</v>
      </c>
      <c r="BE5" s="8"/>
      <c r="BF5" s="9"/>
      <c r="BG5" s="2" t="s">
        <v>249</v>
      </c>
      <c r="BH5" s="2" t="str">
        <f t="shared" si="0"/>
        <v>bracket (£)</v>
      </c>
      <c r="BI5" s="2" t="s">
        <v>250</v>
      </c>
      <c r="BJ5" s="2" t="s">
        <v>251</v>
      </c>
      <c r="BN5" s="2" t="s">
        <v>252</v>
      </c>
      <c r="BO5" s="2" t="str">
        <f t="shared" si="3"/>
        <v>of income</v>
      </c>
      <c r="BP5" s="2" t="s">
        <v>253</v>
      </c>
      <c r="BQ5" s="2" t="s">
        <v>254</v>
      </c>
      <c r="BR5" s="2" t="s">
        <v>255</v>
      </c>
      <c r="BS5" s="3" t="s">
        <v>256</v>
      </c>
      <c r="BT5" s="2" t="s">
        <v>257</v>
      </c>
      <c r="BU5" s="2" t="s">
        <v>258</v>
      </c>
      <c r="BW5" s="2" t="str">
        <f aca="true" t="shared" si="5" ref="BW5:BW32">BH5</f>
        <v>bracket (£)</v>
      </c>
      <c r="BX5" s="2" t="s">
        <v>259</v>
      </c>
      <c r="BY5" s="2" t="str">
        <f>BJ5</f>
        <v>  Income</v>
      </c>
      <c r="CC5" s="2" t="s">
        <v>233</v>
      </c>
    </row>
    <row r="6" spans="1:81" s="10" customFormat="1" ht="15">
      <c r="A6" s="2" t="s">
        <v>260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0" t="s">
        <v>261</v>
      </c>
      <c r="X6" s="10" t="s">
        <v>262</v>
      </c>
      <c r="Y6" s="11" t="s">
        <v>263</v>
      </c>
      <c r="Z6" s="11" t="s">
        <v>264</v>
      </c>
      <c r="AA6" s="12" t="s">
        <v>265</v>
      </c>
      <c r="AB6" s="11" t="str">
        <f aca="true" t="shared" si="6" ref="AB6:AG6">Y6</f>
        <v>Males</v>
      </c>
      <c r="AC6" s="11" t="str">
        <f t="shared" si="6"/>
        <v>Females</v>
      </c>
      <c r="AD6" s="11" t="str">
        <f t="shared" si="6"/>
        <v>Both</v>
      </c>
      <c r="AE6" s="11" t="str">
        <f t="shared" si="6"/>
        <v>Males</v>
      </c>
      <c r="AF6" s="11" t="str">
        <f t="shared" si="6"/>
        <v>Females</v>
      </c>
      <c r="AG6" s="11" t="str">
        <f t="shared" si="6"/>
        <v>Both</v>
      </c>
      <c r="AH6" s="10" t="str">
        <f t="shared" si="1"/>
        <v>bracket (£)</v>
      </c>
      <c r="AN6" s="10" t="str">
        <f>AH5</f>
        <v>of income</v>
      </c>
      <c r="AO6" s="10" t="s">
        <v>266</v>
      </c>
      <c r="AQ6" s="10" t="s">
        <v>267</v>
      </c>
      <c r="AS6" s="10" t="str">
        <f t="shared" si="2"/>
        <v>bracket (£)</v>
      </c>
      <c r="AT6" s="10" t="s">
        <v>268</v>
      </c>
      <c r="AU6" s="10" t="s">
        <v>269</v>
      </c>
      <c r="AY6" s="10" t="s">
        <v>233</v>
      </c>
      <c r="AZ6" s="10" t="str">
        <f t="shared" si="4"/>
        <v>of income</v>
      </c>
      <c r="BA6" s="10" t="s">
        <v>270</v>
      </c>
      <c r="BB6" s="10" t="s">
        <v>271</v>
      </c>
      <c r="BD6" s="10" t="s">
        <v>272</v>
      </c>
      <c r="BE6" s="10" t="s">
        <v>273</v>
      </c>
      <c r="BG6" s="10" t="s">
        <v>274</v>
      </c>
      <c r="BH6" s="10">
        <f t="shared" si="0"/>
        <v>100000</v>
      </c>
      <c r="BI6" s="13">
        <f>100*BC8/14708.4</f>
        <v>0.0004623208506703653</v>
      </c>
      <c r="BJ6" s="14">
        <f>100*BF8/1989</f>
        <v>0.6287859989944696</v>
      </c>
      <c r="BN6" s="10">
        <f>BI6*(BJ6-BI6)/100</f>
        <v>2.9048713737577414E-06</v>
      </c>
      <c r="BO6" s="10" t="str">
        <f t="shared" si="3"/>
        <v>bracket (£)</v>
      </c>
      <c r="BP6" s="15" t="s">
        <v>275</v>
      </c>
      <c r="BQ6" s="10" t="s">
        <v>276</v>
      </c>
      <c r="BR6" s="10" t="s">
        <v>277</v>
      </c>
      <c r="BS6" s="16" t="s">
        <v>278</v>
      </c>
      <c r="BT6" s="10" t="s">
        <v>279</v>
      </c>
      <c r="BU6" s="10" t="s">
        <v>280</v>
      </c>
      <c r="BW6" s="10">
        <f t="shared" si="5"/>
        <v>100000</v>
      </c>
      <c r="BX6" s="13">
        <f>100*BR7/10916.1</f>
        <v>0.0006229330988173432</v>
      </c>
      <c r="BY6" s="14">
        <f>100*BT7/1796.4</f>
        <v>0.6962009307503896</v>
      </c>
      <c r="CC6" s="10">
        <f>BX6*(BY6-BX6)/100</f>
        <v>4.332985575462565E-06</v>
      </c>
    </row>
    <row r="7" spans="5:81" ht="15">
      <c r="E7" s="2" t="s">
        <v>281</v>
      </c>
      <c r="N7" s="2" t="s">
        <v>282</v>
      </c>
      <c r="O7" s="2" t="s">
        <v>283</v>
      </c>
      <c r="Y7" s="2" t="s">
        <v>284</v>
      </c>
      <c r="Z7" s="3"/>
      <c r="AA7" s="3"/>
      <c r="AB7" s="3" t="s">
        <v>133</v>
      </c>
      <c r="AC7" s="3"/>
      <c r="AD7" s="3"/>
      <c r="AE7" s="17" t="s">
        <v>284</v>
      </c>
      <c r="AF7" s="17"/>
      <c r="AG7" s="17"/>
      <c r="AH7" s="2">
        <f t="shared" si="1"/>
        <v>0</v>
      </c>
      <c r="AN7" s="2" t="str">
        <f>AH6</f>
        <v>bracket (£)</v>
      </c>
      <c r="AO7" s="2" t="s">
        <v>134</v>
      </c>
      <c r="AP7" s="2" t="s">
        <v>135</v>
      </c>
      <c r="AQ7" s="2" t="s">
        <v>134</v>
      </c>
      <c r="AR7" s="2" t="s">
        <v>136</v>
      </c>
      <c r="AS7" s="2">
        <f t="shared" si="2"/>
        <v>100000</v>
      </c>
      <c r="AT7" s="18">
        <f aca="true" t="shared" si="7" ref="AT7:AT33">100*AP8/20375.1</f>
        <v>0.0003337406932972109</v>
      </c>
      <c r="AU7" s="19">
        <f aca="true" t="shared" si="8" ref="AU7:AU33">100*AR8/1993.336</f>
        <v>0.6273904650294782</v>
      </c>
      <c r="AW7" s="19"/>
      <c r="AX7" s="19"/>
      <c r="AY7" s="2">
        <f>2*AT7*((AU7-AT7)/2)/100</f>
        <v>2.092743459166351E-06</v>
      </c>
      <c r="AZ7" s="2" t="str">
        <f t="shared" si="4"/>
        <v>bracket (£)</v>
      </c>
      <c r="BA7" s="2" t="s">
        <v>137</v>
      </c>
      <c r="BB7" s="2" t="s">
        <v>138</v>
      </c>
      <c r="BC7" s="2" t="s">
        <v>139</v>
      </c>
      <c r="BD7" s="2" t="s">
        <v>140</v>
      </c>
      <c r="BE7" s="2" t="s">
        <v>141</v>
      </c>
      <c r="BF7" s="2" t="s">
        <v>139</v>
      </c>
      <c r="BG7" s="2" t="s">
        <v>142</v>
      </c>
      <c r="BH7" s="2">
        <f t="shared" si="0"/>
        <v>75000</v>
      </c>
      <c r="BI7" s="18">
        <f aca="true" t="shared" si="9" ref="BI7:BI32">(100*BC9/14708.4)+BI6</f>
        <v>0.0008498545049087597</v>
      </c>
      <c r="BJ7" s="19">
        <f aca="true" t="shared" si="10" ref="BJ7:BJ32">(100*BF9/1989)+BJ6</f>
        <v>0.8805941427853193</v>
      </c>
      <c r="BN7" s="2">
        <f aca="true" t="shared" si="11" ref="BN7:BN32">(BI7-BI6)*(BJ7-BI7+BJ6-BI6)/100</f>
        <v>5.844270898682383E-06</v>
      </c>
      <c r="BO7" s="2">
        <f t="shared" si="3"/>
        <v>100000</v>
      </c>
      <c r="BP7" s="20">
        <f aca="true" t="shared" si="12" ref="BP7:BP33">BA8</f>
        <v>0.068</v>
      </c>
      <c r="BQ7" s="2">
        <v>1</v>
      </c>
      <c r="BR7" s="2">
        <f aca="true" t="shared" si="13" ref="BR7:BR33">BP7*BQ7</f>
        <v>0.068</v>
      </c>
      <c r="BS7" s="3">
        <f aca="true" t="shared" si="14" ref="BS7:BS33">BD8</f>
        <v>12.50655352</v>
      </c>
      <c r="BT7" s="3">
        <f aca="true" t="shared" si="15" ref="BT7:BT33">BQ7*BS7</f>
        <v>12.50655352</v>
      </c>
      <c r="BU7" s="3">
        <f aca="true" t="shared" si="16" ref="BU7:BU33">1000*BT7/BR7</f>
        <v>183919.90470588236</v>
      </c>
      <c r="BW7" s="2">
        <f t="shared" si="5"/>
        <v>75000</v>
      </c>
      <c r="BX7" s="18">
        <f aca="true" t="shared" si="17" ref="BX7:BX32">(100*BR8/10916.1)+BX6</f>
        <v>0.0011450976081201162</v>
      </c>
      <c r="BY7" s="19">
        <f aca="true" t="shared" si="18" ref="BY7:BY32">(100*BT8/1796.4)+BY6</f>
        <v>0.9750065408594967</v>
      </c>
      <c r="CC7" s="2">
        <f aca="true" t="shared" si="19" ref="CC7:CC32">(BX7-BX6)*(BY7-BX7+BY6-BX6)/100</f>
        <v>8.71722026469784E-06</v>
      </c>
    </row>
    <row r="8" spans="1:81" ht="15">
      <c r="A8" s="2" t="s">
        <v>143</v>
      </c>
      <c r="C8" s="2" t="s">
        <v>144</v>
      </c>
      <c r="D8" s="2" t="s">
        <v>145</v>
      </c>
      <c r="E8" s="2" t="s">
        <v>146</v>
      </c>
      <c r="F8" s="2" t="s">
        <v>147</v>
      </c>
      <c r="G8" s="2" t="s">
        <v>148</v>
      </c>
      <c r="I8" s="2" t="s">
        <v>149</v>
      </c>
      <c r="N8" s="2" t="s">
        <v>150</v>
      </c>
      <c r="O8" s="2" t="s">
        <v>151</v>
      </c>
      <c r="X8" s="2">
        <v>100000</v>
      </c>
      <c r="Y8" s="20">
        <f aca="true" t="shared" si="20" ref="Y8:Y19">AA8</f>
        <v>0.068</v>
      </c>
      <c r="Z8" s="20"/>
      <c r="AA8" s="20">
        <v>0.068</v>
      </c>
      <c r="AB8" s="3">
        <f aca="true" t="shared" si="21" ref="AB8:AB19">AD8</f>
        <v>12.506</v>
      </c>
      <c r="AC8" s="3"/>
      <c r="AD8" s="3">
        <v>12.506</v>
      </c>
      <c r="AE8" s="3">
        <f aca="true" t="shared" si="22" ref="AE8:AE19">AG8</f>
        <v>183911.76470588235</v>
      </c>
      <c r="AG8" s="3">
        <f aca="true" t="shared" si="23" ref="AG8:AG19">1000*AD8/AA8</f>
        <v>183911.76470588235</v>
      </c>
      <c r="AH8" s="2">
        <f t="shared" si="1"/>
        <v>100000</v>
      </c>
      <c r="AI8" s="2" t="s">
        <v>152</v>
      </c>
      <c r="AN8" s="2">
        <f aca="true" t="shared" si="24" ref="AN8:AN34">AH8</f>
        <v>100000</v>
      </c>
      <c r="AO8" s="20">
        <f aca="true" t="shared" si="25" ref="AO8:AO34">AA8</f>
        <v>0.068</v>
      </c>
      <c r="AP8" s="2">
        <f>AO8</f>
        <v>0.068</v>
      </c>
      <c r="AQ8" s="3">
        <f aca="true" t="shared" si="26" ref="AQ8:AQ34">AD8</f>
        <v>12.506</v>
      </c>
      <c r="AR8" s="3">
        <f>AQ8</f>
        <v>12.506</v>
      </c>
      <c r="AS8" s="2">
        <f t="shared" si="2"/>
        <v>75000</v>
      </c>
      <c r="AT8" s="18">
        <f t="shared" si="7"/>
        <v>0.0006134939215022258</v>
      </c>
      <c r="AU8" s="19">
        <f t="shared" si="8"/>
        <v>0.8786275871202848</v>
      </c>
      <c r="AW8" s="19"/>
      <c r="AX8" s="19"/>
      <c r="AY8" s="2">
        <f aca="true" t="shared" si="27" ref="AY8:AY33">2*(AT8-AT7)*((AU8-AT8+AU7-AT7)/2)/100</f>
        <v>4.210484198825669E-06</v>
      </c>
      <c r="AZ8" s="2">
        <f t="shared" si="4"/>
        <v>100000</v>
      </c>
      <c r="BA8" s="20">
        <f aca="true" t="shared" si="28" ref="BA8:BA28">Y8</f>
        <v>0.068</v>
      </c>
      <c r="BC8" s="20">
        <f aca="true" t="shared" si="29" ref="BC8:BC20">AA8</f>
        <v>0.068</v>
      </c>
      <c r="BD8" s="3">
        <f aca="true" t="shared" si="30" ref="BD8:BD19">AB8+(BA8*8.14/1000)</f>
        <v>12.50655352</v>
      </c>
      <c r="BF8" s="3">
        <f aca="true" t="shared" si="31" ref="BF8:BF34">BD8+BE8</f>
        <v>12.50655352</v>
      </c>
      <c r="BG8" s="3">
        <f aca="true" t="shared" si="32" ref="BG8:BG34">AE8</f>
        <v>183911.76470588235</v>
      </c>
      <c r="BH8" s="2">
        <f t="shared" si="0"/>
        <v>65000</v>
      </c>
      <c r="BI8" s="18">
        <f t="shared" si="9"/>
        <v>0.0010946126023224825</v>
      </c>
      <c r="BJ8" s="19">
        <f t="shared" si="10"/>
        <v>1.0074565379587734</v>
      </c>
      <c r="BN8" s="2">
        <f t="shared" si="11"/>
        <v>4.616397683699588E-06</v>
      </c>
      <c r="BO8" s="2">
        <f t="shared" si="3"/>
        <v>75000</v>
      </c>
      <c r="BP8" s="20">
        <f t="shared" si="12"/>
        <v>0.057</v>
      </c>
      <c r="BQ8" s="2">
        <v>1</v>
      </c>
      <c r="BR8" s="2">
        <f t="shared" si="13"/>
        <v>0.057</v>
      </c>
      <c r="BS8" s="3">
        <f t="shared" si="14"/>
        <v>5.00846398</v>
      </c>
      <c r="BT8" s="3">
        <f t="shared" si="15"/>
        <v>5.00846398</v>
      </c>
      <c r="BU8" s="3">
        <f t="shared" si="16"/>
        <v>87867.78912280702</v>
      </c>
      <c r="BW8" s="2">
        <f t="shared" si="5"/>
        <v>65000</v>
      </c>
      <c r="BX8" s="18">
        <f t="shared" si="17"/>
        <v>0.0014748857192587097</v>
      </c>
      <c r="BY8" s="19">
        <f t="shared" si="18"/>
        <v>1.1154704152749944</v>
      </c>
      <c r="CC8" s="2">
        <f t="shared" si="19"/>
        <v>6.885504073895992E-06</v>
      </c>
    </row>
    <row r="9" spans="1:81" ht="15">
      <c r="A9" s="17" t="s">
        <v>153</v>
      </c>
      <c r="B9" s="17" t="s">
        <v>154</v>
      </c>
      <c r="C9" s="17" t="s">
        <v>155</v>
      </c>
      <c r="D9" s="17" t="s">
        <v>146</v>
      </c>
      <c r="E9" s="17" t="s">
        <v>156</v>
      </c>
      <c r="F9" s="17" t="s">
        <v>157</v>
      </c>
      <c r="G9" s="17" t="s">
        <v>158</v>
      </c>
      <c r="I9" s="2" t="s">
        <v>159</v>
      </c>
      <c r="P9" s="2" t="s">
        <v>160</v>
      </c>
      <c r="X9" s="2">
        <v>75000</v>
      </c>
      <c r="Y9" s="20">
        <f t="shared" si="20"/>
        <v>0.057</v>
      </c>
      <c r="Z9" s="20"/>
      <c r="AA9" s="20">
        <v>0.057</v>
      </c>
      <c r="AB9" s="3">
        <f t="shared" si="21"/>
        <v>5.008</v>
      </c>
      <c r="AC9" s="3"/>
      <c r="AD9" s="3">
        <v>5.008</v>
      </c>
      <c r="AE9" s="3">
        <f t="shared" si="22"/>
        <v>87859.64912280701</v>
      </c>
      <c r="AG9" s="3">
        <f t="shared" si="23"/>
        <v>87859.64912280701</v>
      </c>
      <c r="AH9" s="2">
        <f t="shared" si="1"/>
        <v>75000</v>
      </c>
      <c r="AI9" s="2" t="s">
        <v>161</v>
      </c>
      <c r="AN9" s="2">
        <f t="shared" si="24"/>
        <v>75000</v>
      </c>
      <c r="AO9" s="20">
        <f t="shared" si="25"/>
        <v>0.057</v>
      </c>
      <c r="AP9" s="2">
        <f aca="true" t="shared" si="33" ref="AP9:AP34">AP8+AO9</f>
        <v>0.125</v>
      </c>
      <c r="AQ9" s="3">
        <f t="shared" si="26"/>
        <v>5.008</v>
      </c>
      <c r="AR9" s="3">
        <f aca="true" t="shared" si="34" ref="AR9:AR34">AQ9+AR8</f>
        <v>17.514</v>
      </c>
      <c r="AS9" s="2">
        <f t="shared" si="2"/>
        <v>65000</v>
      </c>
      <c r="AT9" s="18">
        <f t="shared" si="7"/>
        <v>0.0007901801708948669</v>
      </c>
      <c r="AU9" s="19">
        <f t="shared" si="8"/>
        <v>1.0051993241480612</v>
      </c>
      <c r="AW9" s="19"/>
      <c r="AY9" s="2">
        <f t="shared" si="27"/>
        <v>3.325983015461725E-06</v>
      </c>
      <c r="AZ9" s="2">
        <f t="shared" si="4"/>
        <v>75000</v>
      </c>
      <c r="BA9" s="20">
        <f t="shared" si="28"/>
        <v>0.057</v>
      </c>
      <c r="BC9" s="20">
        <f t="shared" si="29"/>
        <v>0.057</v>
      </c>
      <c r="BD9" s="3">
        <f t="shared" si="30"/>
        <v>5.00846398</v>
      </c>
      <c r="BF9" s="3">
        <f t="shared" si="31"/>
        <v>5.00846398</v>
      </c>
      <c r="BG9" s="3">
        <f t="shared" si="32"/>
        <v>87859.64912280701</v>
      </c>
      <c r="BH9" s="2">
        <f t="shared" si="0"/>
        <v>55000</v>
      </c>
      <c r="BI9" s="18">
        <f t="shared" si="9"/>
        <v>0.0014821462565608769</v>
      </c>
      <c r="BJ9" s="19">
        <f t="shared" si="10"/>
        <v>1.1759062101558575</v>
      </c>
      <c r="BN9" s="2">
        <f t="shared" si="11"/>
        <v>8.451279635281718E-06</v>
      </c>
      <c r="BO9" s="2">
        <f t="shared" si="3"/>
        <v>65000</v>
      </c>
      <c r="BP9" s="20">
        <f t="shared" si="12"/>
        <v>0.036</v>
      </c>
      <c r="BQ9" s="2">
        <v>1</v>
      </c>
      <c r="BR9" s="2">
        <f t="shared" si="13"/>
        <v>0.036</v>
      </c>
      <c r="BS9" s="3">
        <f t="shared" si="14"/>
        <v>2.52329304</v>
      </c>
      <c r="BT9" s="3">
        <f t="shared" si="15"/>
        <v>2.52329304</v>
      </c>
      <c r="BU9" s="3">
        <f t="shared" si="16"/>
        <v>70091.47333333334</v>
      </c>
      <c r="BW9" s="2">
        <f t="shared" si="5"/>
        <v>55000</v>
      </c>
      <c r="BX9" s="18">
        <f t="shared" si="17"/>
        <v>0.0019970502285614825</v>
      </c>
      <c r="BY9" s="19">
        <f t="shared" si="18"/>
        <v>1.301980322867958</v>
      </c>
      <c r="CC9" s="2">
        <f t="shared" si="19"/>
        <v>1.2604940567155162E-05</v>
      </c>
    </row>
    <row r="10" spans="1:81" ht="15">
      <c r="A10" s="17" t="s">
        <v>162</v>
      </c>
      <c r="B10" s="17" t="s">
        <v>163</v>
      </c>
      <c r="C10" s="17" t="s">
        <v>164</v>
      </c>
      <c r="D10" s="17" t="s">
        <v>164</v>
      </c>
      <c r="E10" s="17" t="s">
        <v>165</v>
      </c>
      <c r="F10" s="17" t="s">
        <v>166</v>
      </c>
      <c r="G10" s="17" t="s">
        <v>167</v>
      </c>
      <c r="I10" s="2" t="s">
        <v>168</v>
      </c>
      <c r="J10" s="2">
        <v>500</v>
      </c>
      <c r="K10" s="2">
        <v>30</v>
      </c>
      <c r="L10" s="3">
        <f>J10*1.02628</f>
        <v>513.14</v>
      </c>
      <c r="M10" s="3">
        <f>K10*1.02628</f>
        <v>30.788400000000003</v>
      </c>
      <c r="O10" s="2" t="s">
        <v>169</v>
      </c>
      <c r="X10" s="2">
        <v>65000</v>
      </c>
      <c r="Y10" s="20">
        <f t="shared" si="20"/>
        <v>0.036</v>
      </c>
      <c r="Z10" s="20"/>
      <c r="AA10" s="20">
        <v>0.036</v>
      </c>
      <c r="AB10" s="3">
        <f t="shared" si="21"/>
        <v>2.523</v>
      </c>
      <c r="AC10" s="3"/>
      <c r="AD10" s="3">
        <v>2.523</v>
      </c>
      <c r="AE10" s="3">
        <f t="shared" si="22"/>
        <v>70083.33333333334</v>
      </c>
      <c r="AG10" s="3">
        <f t="shared" si="23"/>
        <v>70083.33333333334</v>
      </c>
      <c r="AH10" s="2">
        <f t="shared" si="1"/>
        <v>65000</v>
      </c>
      <c r="AI10" s="2" t="s">
        <v>170</v>
      </c>
      <c r="AN10" s="2">
        <f t="shared" si="24"/>
        <v>65000</v>
      </c>
      <c r="AO10" s="20">
        <f t="shared" si="25"/>
        <v>0.036</v>
      </c>
      <c r="AP10" s="2">
        <f t="shared" si="33"/>
        <v>0.161</v>
      </c>
      <c r="AQ10" s="3">
        <f t="shared" si="26"/>
        <v>2.523</v>
      </c>
      <c r="AR10" s="3">
        <f t="shared" si="34"/>
        <v>20.037</v>
      </c>
      <c r="AS10" s="2">
        <f t="shared" si="2"/>
        <v>55000</v>
      </c>
      <c r="AT10" s="18">
        <f t="shared" si="7"/>
        <v>0.0010699333990998817</v>
      </c>
      <c r="AU10" s="19">
        <f t="shared" si="8"/>
        <v>1.1732592999875584</v>
      </c>
      <c r="AW10" s="19"/>
      <c r="AY10" s="2">
        <f t="shared" si="27"/>
        <v>6.089104598369608E-06</v>
      </c>
      <c r="AZ10" s="2">
        <f t="shared" si="4"/>
        <v>65000</v>
      </c>
      <c r="BA10" s="20">
        <f t="shared" si="28"/>
        <v>0.036</v>
      </c>
      <c r="BC10" s="20">
        <f t="shared" si="29"/>
        <v>0.036</v>
      </c>
      <c r="BD10" s="3">
        <f t="shared" si="30"/>
        <v>2.52329304</v>
      </c>
      <c r="BF10" s="3">
        <f t="shared" si="31"/>
        <v>2.52329304</v>
      </c>
      <c r="BG10" s="3">
        <f t="shared" si="32"/>
        <v>70083.33333333334</v>
      </c>
      <c r="BH10" s="2">
        <f t="shared" si="0"/>
        <v>45000</v>
      </c>
      <c r="BI10" s="18">
        <f t="shared" si="9"/>
        <v>0.0022232193848413153</v>
      </c>
      <c r="BJ10" s="19">
        <f t="shared" si="10"/>
        <v>1.4488517737556563</v>
      </c>
      <c r="BN10" s="2">
        <f t="shared" si="11"/>
        <v>1.9423916632090655E-05</v>
      </c>
      <c r="BO10" s="2">
        <f t="shared" si="3"/>
        <v>55000</v>
      </c>
      <c r="BP10" s="20">
        <f t="shared" si="12"/>
        <v>0.057</v>
      </c>
      <c r="BQ10" s="2">
        <v>1</v>
      </c>
      <c r="BR10" s="2">
        <f t="shared" si="13"/>
        <v>0.057</v>
      </c>
      <c r="BS10" s="3">
        <f t="shared" si="14"/>
        <v>3.3504639800000002</v>
      </c>
      <c r="BT10" s="3">
        <f t="shared" si="15"/>
        <v>3.3504639800000002</v>
      </c>
      <c r="BU10" s="3">
        <f t="shared" si="16"/>
        <v>58780.06982456141</v>
      </c>
      <c r="BW10" s="2">
        <f t="shared" si="5"/>
        <v>45000</v>
      </c>
      <c r="BX10" s="18">
        <f t="shared" si="17"/>
        <v>0.0029955753428422237</v>
      </c>
      <c r="BY10" s="19">
        <f t="shared" si="18"/>
        <v>1.6041895891783566</v>
      </c>
      <c r="CC10" s="2">
        <f t="shared" si="19"/>
        <v>2.8968983815260515E-05</v>
      </c>
    </row>
    <row r="11" spans="1:81" ht="15">
      <c r="A11" s="2">
        <v>5000</v>
      </c>
      <c r="B11" s="2">
        <f aca="true" t="shared" si="35" ref="B11:B20">A12</f>
        <v>10000</v>
      </c>
      <c r="C11" s="2">
        <v>57713</v>
      </c>
      <c r="D11" s="2">
        <v>8388</v>
      </c>
      <c r="E11" s="2">
        <f aca="true" t="shared" si="36" ref="E11:E20">D11+E12</f>
        <v>13231</v>
      </c>
      <c r="F11" s="20">
        <f aca="true" t="shared" si="37" ref="F11:F21">LN(A11)</f>
        <v>8.517193191416238</v>
      </c>
      <c r="G11" s="20">
        <f aca="true" t="shared" si="38" ref="G11:G21">LN(E11)</f>
        <v>9.490317840042412</v>
      </c>
      <c r="I11" s="2" t="s">
        <v>171</v>
      </c>
      <c r="J11" s="2">
        <v>385</v>
      </c>
      <c r="K11" s="2">
        <v>0</v>
      </c>
      <c r="L11" s="3">
        <f>J11*1.02628</f>
        <v>395.11780000000005</v>
      </c>
      <c r="M11" s="3">
        <f>K11*1.02628</f>
        <v>0</v>
      </c>
      <c r="O11" s="2" t="s">
        <v>208</v>
      </c>
      <c r="X11" s="2">
        <v>55000</v>
      </c>
      <c r="Y11" s="20">
        <f t="shared" si="20"/>
        <v>0.057</v>
      </c>
      <c r="Z11" s="20"/>
      <c r="AA11" s="20">
        <v>0.057</v>
      </c>
      <c r="AB11" s="3">
        <f t="shared" si="21"/>
        <v>3.35</v>
      </c>
      <c r="AC11" s="3"/>
      <c r="AD11" s="3">
        <v>3.35</v>
      </c>
      <c r="AE11" s="3">
        <f t="shared" si="22"/>
        <v>58771.929824561405</v>
      </c>
      <c r="AG11" s="3">
        <f t="shared" si="23"/>
        <v>58771.929824561405</v>
      </c>
      <c r="AH11" s="2">
        <f t="shared" si="1"/>
        <v>55000</v>
      </c>
      <c r="AN11" s="2">
        <f t="shared" si="24"/>
        <v>55000</v>
      </c>
      <c r="AO11" s="20">
        <f t="shared" si="25"/>
        <v>0.057</v>
      </c>
      <c r="AP11" s="2">
        <f t="shared" si="33"/>
        <v>0.218</v>
      </c>
      <c r="AQ11" s="3">
        <f t="shared" si="26"/>
        <v>3.35</v>
      </c>
      <c r="AR11" s="3">
        <f t="shared" si="34"/>
        <v>23.387</v>
      </c>
      <c r="AS11" s="2">
        <f t="shared" si="2"/>
        <v>45000</v>
      </c>
      <c r="AT11" s="18">
        <f t="shared" si="7"/>
        <v>0.001604900098649823</v>
      </c>
      <c r="AU11" s="19">
        <f t="shared" si="8"/>
        <v>1.445566628004511</v>
      </c>
      <c r="AW11" s="19"/>
      <c r="AY11" s="2">
        <f t="shared" si="27"/>
        <v>1.3995537165455926E-05</v>
      </c>
      <c r="AZ11" s="2">
        <f t="shared" si="4"/>
        <v>55000</v>
      </c>
      <c r="BA11" s="20">
        <f t="shared" si="28"/>
        <v>0.057</v>
      </c>
      <c r="BC11" s="20">
        <f t="shared" si="29"/>
        <v>0.057</v>
      </c>
      <c r="BD11" s="3">
        <f t="shared" si="30"/>
        <v>3.3504639800000002</v>
      </c>
      <c r="BF11" s="3">
        <f t="shared" si="31"/>
        <v>3.3504639800000002</v>
      </c>
      <c r="BG11" s="3">
        <f t="shared" si="32"/>
        <v>58771.929824561405</v>
      </c>
      <c r="BH11" s="2">
        <f t="shared" si="0"/>
        <v>35000</v>
      </c>
      <c r="BI11" s="18">
        <f t="shared" si="9"/>
        <v>0.0035217970683419</v>
      </c>
      <c r="BJ11" s="19">
        <f t="shared" si="10"/>
        <v>1.8300762453494221</v>
      </c>
      <c r="BN11" s="2">
        <f t="shared" si="11"/>
        <v>4.2504824012571865E-05</v>
      </c>
      <c r="BO11" s="2">
        <f t="shared" si="3"/>
        <v>45000</v>
      </c>
      <c r="BP11" s="20">
        <f t="shared" si="12"/>
        <v>0.109</v>
      </c>
      <c r="BQ11" s="2">
        <v>1</v>
      </c>
      <c r="BR11" s="2">
        <f t="shared" si="13"/>
        <v>0.109</v>
      </c>
      <c r="BS11" s="3">
        <f t="shared" si="14"/>
        <v>5.42888726</v>
      </c>
      <c r="BT11" s="3">
        <f t="shared" si="15"/>
        <v>5.42888726</v>
      </c>
      <c r="BU11" s="3">
        <f t="shared" si="16"/>
        <v>49806.305137614676</v>
      </c>
      <c r="BW11" s="2">
        <f t="shared" si="5"/>
        <v>35000</v>
      </c>
      <c r="BX11" s="18">
        <f t="shared" si="17"/>
        <v>0.004745284488049761</v>
      </c>
      <c r="BY11" s="19">
        <f t="shared" si="18"/>
        <v>2.0262868247606325</v>
      </c>
      <c r="CC11" s="2">
        <f t="shared" si="19"/>
        <v>6.338733529691433E-05</v>
      </c>
    </row>
    <row r="12" spans="1:81" ht="15">
      <c r="A12" s="2">
        <v>10000</v>
      </c>
      <c r="B12" s="2">
        <f t="shared" si="35"/>
        <v>15000</v>
      </c>
      <c r="C12" s="2">
        <v>28224</v>
      </c>
      <c r="D12" s="2">
        <v>2339</v>
      </c>
      <c r="E12" s="2">
        <f t="shared" si="36"/>
        <v>4843</v>
      </c>
      <c r="F12" s="20">
        <f t="shared" si="37"/>
        <v>9.210340371976184</v>
      </c>
      <c r="G12" s="20">
        <f t="shared" si="38"/>
        <v>8.48528964240323</v>
      </c>
      <c r="O12" s="2" t="s">
        <v>209</v>
      </c>
      <c r="X12" s="2">
        <v>45000</v>
      </c>
      <c r="Y12" s="20">
        <f t="shared" si="20"/>
        <v>0.109</v>
      </c>
      <c r="Z12" s="20"/>
      <c r="AA12" s="20">
        <v>0.109</v>
      </c>
      <c r="AB12" s="3">
        <f t="shared" si="21"/>
        <v>5.428</v>
      </c>
      <c r="AC12" s="3"/>
      <c r="AD12" s="3">
        <v>5.428</v>
      </c>
      <c r="AE12" s="3">
        <f t="shared" si="22"/>
        <v>49798.16513761468</v>
      </c>
      <c r="AG12" s="3">
        <f t="shared" si="23"/>
        <v>49798.16513761468</v>
      </c>
      <c r="AH12" s="2">
        <f t="shared" si="1"/>
        <v>45000</v>
      </c>
      <c r="AN12" s="2">
        <f t="shared" si="24"/>
        <v>45000</v>
      </c>
      <c r="AO12" s="20">
        <f t="shared" si="25"/>
        <v>0.109</v>
      </c>
      <c r="AP12" s="2">
        <f t="shared" si="33"/>
        <v>0.327</v>
      </c>
      <c r="AQ12" s="3">
        <f t="shared" si="26"/>
        <v>5.428</v>
      </c>
      <c r="AR12" s="3">
        <f t="shared" si="34"/>
        <v>28.815</v>
      </c>
      <c r="AS12" s="2">
        <f t="shared" si="2"/>
        <v>35000</v>
      </c>
      <c r="AT12" s="18">
        <f t="shared" si="7"/>
        <v>0.002542318810705224</v>
      </c>
      <c r="AU12" s="19">
        <f t="shared" si="8"/>
        <v>1.8258838449714447</v>
      </c>
      <c r="AW12" s="19"/>
      <c r="AY12" s="2">
        <f t="shared" si="27"/>
        <v>3.0628312083215335E-05</v>
      </c>
      <c r="AZ12" s="2">
        <f t="shared" si="4"/>
        <v>45000</v>
      </c>
      <c r="BA12" s="20">
        <f t="shared" si="28"/>
        <v>0.109</v>
      </c>
      <c r="BC12" s="20">
        <f t="shared" si="29"/>
        <v>0.109</v>
      </c>
      <c r="BD12" s="3">
        <f t="shared" si="30"/>
        <v>5.42888726</v>
      </c>
      <c r="BF12" s="3">
        <f t="shared" si="31"/>
        <v>5.42888726</v>
      </c>
      <c r="BG12" s="3">
        <f t="shared" si="32"/>
        <v>49798.16513761468</v>
      </c>
      <c r="BH12" s="2">
        <f t="shared" si="0"/>
        <v>25000</v>
      </c>
      <c r="BI12" s="18">
        <f t="shared" si="9"/>
        <v>0.0061937396317750405</v>
      </c>
      <c r="BJ12" s="19">
        <f t="shared" si="10"/>
        <v>2.4113331091000507</v>
      </c>
      <c r="BN12" s="18">
        <f t="shared" si="11"/>
        <v>0.00011306842827061386</v>
      </c>
      <c r="BO12" s="2">
        <f t="shared" si="3"/>
        <v>35000</v>
      </c>
      <c r="BP12" s="20">
        <f t="shared" si="12"/>
        <v>0.191</v>
      </c>
      <c r="BQ12" s="2">
        <v>1</v>
      </c>
      <c r="BR12" s="2">
        <f t="shared" si="13"/>
        <v>0.191</v>
      </c>
      <c r="BS12" s="3">
        <f t="shared" si="14"/>
        <v>7.582554740000001</v>
      </c>
      <c r="BT12" s="3">
        <f t="shared" si="15"/>
        <v>7.582554740000001</v>
      </c>
      <c r="BU12" s="3">
        <f t="shared" si="16"/>
        <v>39699.23947643979</v>
      </c>
      <c r="BW12" s="2">
        <f t="shared" si="5"/>
        <v>25000</v>
      </c>
      <c r="BX12" s="18">
        <f t="shared" si="17"/>
        <v>0.008345471367979408</v>
      </c>
      <c r="BY12" s="19">
        <f t="shared" si="18"/>
        <v>2.6698628111779112</v>
      </c>
      <c r="CC12" s="2">
        <f t="shared" si="19"/>
        <v>0.00016859887138011092</v>
      </c>
    </row>
    <row r="13" spans="1:81" ht="15">
      <c r="A13" s="2">
        <v>15000</v>
      </c>
      <c r="B13" s="2">
        <f t="shared" si="35"/>
        <v>20000</v>
      </c>
      <c r="C13" s="2">
        <v>16572</v>
      </c>
      <c r="D13" s="2">
        <v>965</v>
      </c>
      <c r="E13" s="2">
        <f t="shared" si="36"/>
        <v>2504</v>
      </c>
      <c r="F13" s="20">
        <f t="shared" si="37"/>
        <v>9.615805480084347</v>
      </c>
      <c r="G13" s="20">
        <f t="shared" si="38"/>
        <v>7.825644732219989</v>
      </c>
      <c r="I13" s="2" t="s">
        <v>210</v>
      </c>
      <c r="O13" s="2" t="s">
        <v>211</v>
      </c>
      <c r="X13" s="2">
        <v>35000</v>
      </c>
      <c r="Y13" s="20">
        <f t="shared" si="20"/>
        <v>0.191</v>
      </c>
      <c r="Z13" s="20"/>
      <c r="AA13" s="20">
        <v>0.191</v>
      </c>
      <c r="AB13" s="3">
        <f t="shared" si="21"/>
        <v>7.581</v>
      </c>
      <c r="AC13" s="3"/>
      <c r="AD13" s="3">
        <v>7.581</v>
      </c>
      <c r="AE13" s="3">
        <f t="shared" si="22"/>
        <v>39691.09947643979</v>
      </c>
      <c r="AG13" s="3">
        <f t="shared" si="23"/>
        <v>39691.09947643979</v>
      </c>
      <c r="AH13" s="2">
        <f t="shared" si="1"/>
        <v>35000</v>
      </c>
      <c r="AN13" s="2">
        <f t="shared" si="24"/>
        <v>35000</v>
      </c>
      <c r="AO13" s="20">
        <f t="shared" si="25"/>
        <v>0.191</v>
      </c>
      <c r="AP13" s="2">
        <f t="shared" si="33"/>
        <v>0.518</v>
      </c>
      <c r="AQ13" s="3">
        <f t="shared" si="26"/>
        <v>7.581</v>
      </c>
      <c r="AR13" s="3">
        <f t="shared" si="34"/>
        <v>36.396</v>
      </c>
      <c r="AS13" s="2">
        <f t="shared" si="2"/>
        <v>25000</v>
      </c>
      <c r="AT13" s="18">
        <f t="shared" si="7"/>
        <v>0.004471143699908222</v>
      </c>
      <c r="AU13" s="19">
        <f t="shared" si="8"/>
        <v>2.4057158451961933</v>
      </c>
      <c r="AW13" s="19"/>
      <c r="AY13" s="2">
        <f t="shared" si="27"/>
        <v>8.148487062489074E-05</v>
      </c>
      <c r="AZ13" s="2">
        <f t="shared" si="4"/>
        <v>35000</v>
      </c>
      <c r="BA13" s="20">
        <f t="shared" si="28"/>
        <v>0.191</v>
      </c>
      <c r="BC13" s="20">
        <f t="shared" si="29"/>
        <v>0.191</v>
      </c>
      <c r="BD13" s="3">
        <f t="shared" si="30"/>
        <v>7.582554740000001</v>
      </c>
      <c r="BF13" s="3">
        <f t="shared" si="31"/>
        <v>7.582554740000001</v>
      </c>
      <c r="BG13" s="3">
        <f t="shared" si="32"/>
        <v>39691.09947643979</v>
      </c>
      <c r="BH13" s="2">
        <f t="shared" si="0"/>
        <v>20000</v>
      </c>
      <c r="BI13" s="18">
        <f t="shared" si="9"/>
        <v>0.009198825161132414</v>
      </c>
      <c r="BJ13" s="19">
        <f t="shared" si="10"/>
        <v>2.9027156068376074</v>
      </c>
      <c r="BN13" s="18">
        <f t="shared" si="11"/>
        <v>0.00015922914924845522</v>
      </c>
      <c r="BO13" s="2">
        <f t="shared" si="3"/>
        <v>25000</v>
      </c>
      <c r="BP13" s="20">
        <f t="shared" si="12"/>
        <v>0.393</v>
      </c>
      <c r="BQ13" s="2">
        <v>1</v>
      </c>
      <c r="BR13" s="2">
        <f t="shared" si="13"/>
        <v>0.393</v>
      </c>
      <c r="BS13" s="3">
        <f t="shared" si="14"/>
        <v>11.56119902</v>
      </c>
      <c r="BT13" s="3">
        <f t="shared" si="15"/>
        <v>11.56119902</v>
      </c>
      <c r="BU13" s="3">
        <f t="shared" si="16"/>
        <v>29417.809211195927</v>
      </c>
      <c r="BW13" s="2">
        <f t="shared" si="5"/>
        <v>20000</v>
      </c>
      <c r="BX13" s="18">
        <f t="shared" si="17"/>
        <v>0.01239453651029214</v>
      </c>
      <c r="BY13" s="19">
        <f t="shared" si="18"/>
        <v>3.2139286027610776</v>
      </c>
      <c r="CC13" s="2">
        <f t="shared" si="19"/>
        <v>0.000237398770758681</v>
      </c>
    </row>
    <row r="14" spans="1:81" ht="15">
      <c r="A14" s="2">
        <v>20000</v>
      </c>
      <c r="B14" s="2">
        <f t="shared" si="35"/>
        <v>25000</v>
      </c>
      <c r="C14" s="2">
        <v>11070</v>
      </c>
      <c r="D14" s="2">
        <v>496</v>
      </c>
      <c r="E14" s="2">
        <f t="shared" si="36"/>
        <v>1539</v>
      </c>
      <c r="F14" s="20">
        <f t="shared" si="37"/>
        <v>9.903487552536127</v>
      </c>
      <c r="G14" s="20">
        <f t="shared" si="38"/>
        <v>7.338888133838879</v>
      </c>
      <c r="I14" s="2" t="s">
        <v>159</v>
      </c>
      <c r="O14" s="2" t="s">
        <v>212</v>
      </c>
      <c r="X14" s="2">
        <v>25000</v>
      </c>
      <c r="Y14" s="20">
        <f t="shared" si="20"/>
        <v>0.393</v>
      </c>
      <c r="Z14" s="20"/>
      <c r="AA14" s="20">
        <v>0.393</v>
      </c>
      <c r="AB14" s="3">
        <f t="shared" si="21"/>
        <v>11.558</v>
      </c>
      <c r="AC14" s="3"/>
      <c r="AD14" s="3">
        <v>11.558</v>
      </c>
      <c r="AE14" s="3">
        <f t="shared" si="22"/>
        <v>29409.669211195927</v>
      </c>
      <c r="AG14" s="3">
        <f t="shared" si="23"/>
        <v>29409.669211195927</v>
      </c>
      <c r="AH14" s="2">
        <f t="shared" si="1"/>
        <v>25000</v>
      </c>
      <c r="AN14" s="2">
        <f t="shared" si="24"/>
        <v>25000</v>
      </c>
      <c r="AO14" s="20">
        <f t="shared" si="25"/>
        <v>0.393</v>
      </c>
      <c r="AP14" s="2">
        <f t="shared" si="33"/>
        <v>0.911</v>
      </c>
      <c r="AQ14" s="3">
        <f t="shared" si="26"/>
        <v>11.558</v>
      </c>
      <c r="AR14" s="3">
        <f t="shared" si="34"/>
        <v>47.954</v>
      </c>
      <c r="AS14" s="2">
        <f t="shared" si="2"/>
        <v>20000</v>
      </c>
      <c r="AT14" s="18">
        <f t="shared" si="7"/>
        <v>0.006640458206340093</v>
      </c>
      <c r="AU14" s="19">
        <f t="shared" si="8"/>
        <v>2.8958489687639215</v>
      </c>
      <c r="AW14" s="19"/>
      <c r="AY14" s="2">
        <f t="shared" si="27"/>
        <v>0.00011476656898507537</v>
      </c>
      <c r="AZ14" s="2">
        <f t="shared" si="4"/>
        <v>25000</v>
      </c>
      <c r="BA14" s="20">
        <f t="shared" si="28"/>
        <v>0.393</v>
      </c>
      <c r="BC14" s="20">
        <f t="shared" si="29"/>
        <v>0.393</v>
      </c>
      <c r="BD14" s="3">
        <f t="shared" si="30"/>
        <v>11.56119902</v>
      </c>
      <c r="BF14" s="3">
        <f t="shared" si="31"/>
        <v>11.56119902</v>
      </c>
      <c r="BG14" s="3">
        <f t="shared" si="32"/>
        <v>29409.669211195927</v>
      </c>
      <c r="BH14" s="2">
        <f t="shared" si="0"/>
        <v>15000</v>
      </c>
      <c r="BI14" s="18">
        <f t="shared" si="9"/>
        <v>0.014726278861058987</v>
      </c>
      <c r="BJ14" s="19">
        <f t="shared" si="10"/>
        <v>3.606266025138261</v>
      </c>
      <c r="BL14" s="2" t="s">
        <v>213</v>
      </c>
      <c r="BM14" s="2" t="s">
        <v>135</v>
      </c>
      <c r="BN14" s="18">
        <f t="shared" si="11"/>
        <v>0.0003584584969967052</v>
      </c>
      <c r="BO14" s="2">
        <f t="shared" si="3"/>
        <v>20000</v>
      </c>
      <c r="BP14" s="20">
        <f t="shared" si="12"/>
        <v>0.442</v>
      </c>
      <c r="BQ14" s="2">
        <v>1</v>
      </c>
      <c r="BR14" s="2">
        <f t="shared" si="13"/>
        <v>0.442</v>
      </c>
      <c r="BS14" s="3">
        <f t="shared" si="14"/>
        <v>9.773597879999999</v>
      </c>
      <c r="BT14" s="3">
        <f t="shared" si="15"/>
        <v>9.773597879999999</v>
      </c>
      <c r="BU14" s="3">
        <f t="shared" si="16"/>
        <v>22112.212398190044</v>
      </c>
      <c r="BW14" s="2">
        <f t="shared" si="5"/>
        <v>15000</v>
      </c>
      <c r="BX14" s="19">
        <f t="shared" si="17"/>
        <v>0.019842251353505376</v>
      </c>
      <c r="BY14" s="19">
        <f t="shared" si="18"/>
        <v>3.992909777332443</v>
      </c>
      <c r="CC14" s="2">
        <f t="shared" si="19"/>
        <v>0.0005343438677259063</v>
      </c>
    </row>
    <row r="15" spans="1:81" ht="15">
      <c r="A15" s="2">
        <v>25000</v>
      </c>
      <c r="B15" s="2">
        <f t="shared" si="35"/>
        <v>35000</v>
      </c>
      <c r="C15" s="2">
        <v>13260</v>
      </c>
      <c r="D15" s="2">
        <v>454</v>
      </c>
      <c r="E15" s="2">
        <f t="shared" si="36"/>
        <v>1043</v>
      </c>
      <c r="F15" s="20">
        <f t="shared" si="37"/>
        <v>10.126631103850338</v>
      </c>
      <c r="G15" s="20">
        <f t="shared" si="38"/>
        <v>6.949856455000773</v>
      </c>
      <c r="I15" s="2" t="s">
        <v>168</v>
      </c>
      <c r="J15" s="2">
        <v>1680</v>
      </c>
      <c r="K15" s="2">
        <v>620</v>
      </c>
      <c r="L15" s="3">
        <f>J15*1.02628</f>
        <v>1724.1504000000002</v>
      </c>
      <c r="M15" s="3">
        <f>K15*1.02628</f>
        <v>636.2936000000001</v>
      </c>
      <c r="O15" s="2" t="s">
        <v>214</v>
      </c>
      <c r="X15" s="2">
        <v>20000</v>
      </c>
      <c r="Y15" s="20">
        <f t="shared" si="20"/>
        <v>0.442</v>
      </c>
      <c r="Z15" s="20"/>
      <c r="AA15" s="20">
        <v>0.442</v>
      </c>
      <c r="AB15" s="3">
        <f t="shared" si="21"/>
        <v>9.77</v>
      </c>
      <c r="AC15" s="3"/>
      <c r="AD15" s="3">
        <v>9.77</v>
      </c>
      <c r="AE15" s="3">
        <f t="shared" si="22"/>
        <v>22104.072398190045</v>
      </c>
      <c r="AG15" s="3">
        <f t="shared" si="23"/>
        <v>22104.072398190045</v>
      </c>
      <c r="AH15" s="2">
        <f t="shared" si="1"/>
        <v>20000</v>
      </c>
      <c r="AN15" s="2">
        <f t="shared" si="24"/>
        <v>20000</v>
      </c>
      <c r="AO15" s="20">
        <f t="shared" si="25"/>
        <v>0.442</v>
      </c>
      <c r="AP15" s="2">
        <f t="shared" si="33"/>
        <v>1.353</v>
      </c>
      <c r="AQ15" s="3">
        <f t="shared" si="26"/>
        <v>9.77</v>
      </c>
      <c r="AR15" s="3">
        <f t="shared" si="34"/>
        <v>57.724000000000004</v>
      </c>
      <c r="AS15" s="2">
        <f t="shared" si="2"/>
        <v>15000</v>
      </c>
      <c r="AT15" s="19">
        <f t="shared" si="7"/>
        <v>0.010630622671790569</v>
      </c>
      <c r="AU15" s="19">
        <f t="shared" si="8"/>
        <v>3.597536993261547</v>
      </c>
      <c r="AW15" s="19"/>
      <c r="AY15" s="2">
        <f t="shared" si="27"/>
        <v>0.0002584076347292914</v>
      </c>
      <c r="AZ15" s="2">
        <f t="shared" si="4"/>
        <v>20000</v>
      </c>
      <c r="BA15" s="20">
        <f t="shared" si="28"/>
        <v>0.442</v>
      </c>
      <c r="BC15" s="20">
        <f t="shared" si="29"/>
        <v>0.442</v>
      </c>
      <c r="BD15" s="3">
        <f t="shared" si="30"/>
        <v>9.773597879999999</v>
      </c>
      <c r="BF15" s="3">
        <f t="shared" si="31"/>
        <v>9.773597879999999</v>
      </c>
      <c r="BG15" s="3">
        <f t="shared" si="32"/>
        <v>22104.072398190045</v>
      </c>
      <c r="BH15" s="2">
        <f t="shared" si="0"/>
        <v>10000</v>
      </c>
      <c r="BI15" s="18">
        <f t="shared" si="9"/>
        <v>0.028935846183133447</v>
      </c>
      <c r="BJ15" s="19">
        <f t="shared" si="10"/>
        <v>4.873586920060332</v>
      </c>
      <c r="BL15" s="19" t="s">
        <v>215</v>
      </c>
      <c r="BM15" s="2" t="s">
        <v>216</v>
      </c>
      <c r="BN15" s="18">
        <f t="shared" si="11"/>
        <v>0.0011987462140085052</v>
      </c>
      <c r="BO15" s="2">
        <f t="shared" si="3"/>
        <v>15000</v>
      </c>
      <c r="BP15" s="20">
        <f t="shared" si="12"/>
        <v>0.813</v>
      </c>
      <c r="BQ15" s="2">
        <v>1</v>
      </c>
      <c r="BR15" s="2">
        <f t="shared" si="13"/>
        <v>0.813</v>
      </c>
      <c r="BS15" s="3">
        <f t="shared" si="14"/>
        <v>13.99361782</v>
      </c>
      <c r="BT15" s="3">
        <f t="shared" si="15"/>
        <v>13.99361782</v>
      </c>
      <c r="BU15" s="3">
        <f t="shared" si="16"/>
        <v>17212.322041820422</v>
      </c>
      <c r="BW15" s="2">
        <f t="shared" si="5"/>
        <v>10000</v>
      </c>
      <c r="BX15" s="19">
        <f t="shared" si="17"/>
        <v>0.03898828336127372</v>
      </c>
      <c r="BY15" s="19">
        <f t="shared" si="18"/>
        <v>5.396105758183033</v>
      </c>
      <c r="BZ15" s="19"/>
      <c r="CA15" s="19"/>
      <c r="CB15" s="19"/>
      <c r="CC15" s="2">
        <f t="shared" si="19"/>
        <v>0.0017863602066373022</v>
      </c>
    </row>
    <row r="16" spans="1:81" ht="15">
      <c r="A16" s="2">
        <f>A15+10000</f>
        <v>35000</v>
      </c>
      <c r="B16" s="2">
        <f t="shared" si="35"/>
        <v>45000</v>
      </c>
      <c r="C16" s="2">
        <v>8628</v>
      </c>
      <c r="D16" s="2">
        <v>217</v>
      </c>
      <c r="E16" s="2">
        <f t="shared" si="36"/>
        <v>589</v>
      </c>
      <c r="F16" s="20">
        <f t="shared" si="37"/>
        <v>10.46310334047155</v>
      </c>
      <c r="G16" s="20">
        <f t="shared" si="38"/>
        <v>6.3784261836515865</v>
      </c>
      <c r="I16" s="2" t="s">
        <v>171</v>
      </c>
      <c r="J16" s="2">
        <v>735</v>
      </c>
      <c r="K16" s="2">
        <v>550</v>
      </c>
      <c r="L16" s="3">
        <f>J16*1.02628</f>
        <v>754.3158000000001</v>
      </c>
      <c r="M16" s="3">
        <f>K16*1.02628</f>
        <v>564.4540000000001</v>
      </c>
      <c r="X16" s="2">
        <v>15000</v>
      </c>
      <c r="Y16" s="20">
        <f t="shared" si="20"/>
        <v>0.813</v>
      </c>
      <c r="Z16" s="20"/>
      <c r="AA16" s="20">
        <v>0.813</v>
      </c>
      <c r="AB16" s="3">
        <f t="shared" si="21"/>
        <v>13.987</v>
      </c>
      <c r="AC16" s="3"/>
      <c r="AD16" s="3">
        <v>13.987</v>
      </c>
      <c r="AE16" s="3">
        <f t="shared" si="22"/>
        <v>17204.18204182042</v>
      </c>
      <c r="AG16" s="3">
        <f t="shared" si="23"/>
        <v>17204.18204182042</v>
      </c>
      <c r="AH16" s="2">
        <f t="shared" si="1"/>
        <v>15000</v>
      </c>
      <c r="AN16" s="2">
        <f t="shared" si="24"/>
        <v>15000</v>
      </c>
      <c r="AO16" s="20">
        <f t="shared" si="25"/>
        <v>0.813</v>
      </c>
      <c r="AP16" s="2">
        <f t="shared" si="33"/>
        <v>2.166</v>
      </c>
      <c r="AQ16" s="3">
        <f t="shared" si="26"/>
        <v>13.987</v>
      </c>
      <c r="AR16" s="3">
        <f t="shared" si="34"/>
        <v>71.711</v>
      </c>
      <c r="AS16" s="2">
        <f t="shared" si="2"/>
        <v>10000</v>
      </c>
      <c r="AT16" s="19">
        <f t="shared" si="7"/>
        <v>0.020888241039307785</v>
      </c>
      <c r="AU16" s="19">
        <f t="shared" si="8"/>
        <v>4.861247677260633</v>
      </c>
      <c r="AW16" s="19"/>
      <c r="AY16" s="2">
        <f t="shared" si="27"/>
        <v>0.0008644367652789514</v>
      </c>
      <c r="AZ16" s="2">
        <f t="shared" si="4"/>
        <v>15000</v>
      </c>
      <c r="BA16" s="20">
        <f t="shared" si="28"/>
        <v>0.813</v>
      </c>
      <c r="BC16" s="20">
        <f t="shared" si="29"/>
        <v>0.813</v>
      </c>
      <c r="BD16" s="3">
        <f t="shared" si="30"/>
        <v>13.99361782</v>
      </c>
      <c r="BF16" s="3">
        <f t="shared" si="31"/>
        <v>13.99361782</v>
      </c>
      <c r="BG16" s="3">
        <f t="shared" si="32"/>
        <v>17204.18204182042</v>
      </c>
      <c r="BH16" s="2">
        <f t="shared" si="0"/>
        <v>5000</v>
      </c>
      <c r="BI16" s="19">
        <f t="shared" si="9"/>
        <v>0.08429876805090969</v>
      </c>
      <c r="BJ16" s="19">
        <f t="shared" si="10"/>
        <v>7.644591647058824</v>
      </c>
      <c r="BL16" s="19" t="s">
        <v>217</v>
      </c>
      <c r="BM16" s="19" t="s">
        <v>217</v>
      </c>
      <c r="BN16" s="18">
        <f t="shared" si="11"/>
        <v>0.006867739428377219</v>
      </c>
      <c r="BO16" s="2">
        <f t="shared" si="3"/>
        <v>10000</v>
      </c>
      <c r="BP16" s="20">
        <f t="shared" si="12"/>
        <v>2.09</v>
      </c>
      <c r="BQ16" s="2">
        <v>1</v>
      </c>
      <c r="BR16" s="2">
        <f t="shared" si="13"/>
        <v>2.09</v>
      </c>
      <c r="BS16" s="3">
        <f t="shared" si="14"/>
        <v>25.207012600000002</v>
      </c>
      <c r="BT16" s="3">
        <f t="shared" si="15"/>
        <v>25.207012600000002</v>
      </c>
      <c r="BU16" s="3">
        <f t="shared" si="16"/>
        <v>12060.77157894737</v>
      </c>
      <c r="BW16" s="2">
        <f t="shared" si="5"/>
        <v>5000</v>
      </c>
      <c r="BX16" s="19">
        <f t="shared" si="17"/>
        <v>0.11358452194465057</v>
      </c>
      <c r="BY16" s="19">
        <f t="shared" si="18"/>
        <v>8.464202174348697</v>
      </c>
      <c r="BZ16" s="19"/>
      <c r="CA16" s="19"/>
      <c r="CB16" s="19"/>
      <c r="CC16" s="19">
        <f t="shared" si="19"/>
        <v>0.010225454799882721</v>
      </c>
    </row>
    <row r="17" spans="1:81" ht="15">
      <c r="A17" s="2">
        <f>A16+10000</f>
        <v>45000</v>
      </c>
      <c r="B17" s="2">
        <f t="shared" si="35"/>
        <v>55000</v>
      </c>
      <c r="C17" s="2">
        <v>6265</v>
      </c>
      <c r="D17" s="2">
        <v>126</v>
      </c>
      <c r="E17" s="2">
        <f t="shared" si="36"/>
        <v>372</v>
      </c>
      <c r="F17" s="20">
        <f t="shared" si="37"/>
        <v>10.714417768752456</v>
      </c>
      <c r="G17" s="20">
        <f t="shared" si="38"/>
        <v>5.918893854273146</v>
      </c>
      <c r="I17" s="2" t="s">
        <v>218</v>
      </c>
      <c r="O17" s="2" t="s">
        <v>219</v>
      </c>
      <c r="X17" s="2">
        <v>10000</v>
      </c>
      <c r="Y17" s="20">
        <f t="shared" si="20"/>
        <v>2.09</v>
      </c>
      <c r="Z17" s="20"/>
      <c r="AA17" s="20">
        <v>2.09</v>
      </c>
      <c r="AB17" s="3">
        <f t="shared" si="21"/>
        <v>25.19</v>
      </c>
      <c r="AC17" s="3"/>
      <c r="AD17" s="3">
        <v>25.19</v>
      </c>
      <c r="AE17" s="3">
        <f t="shared" si="22"/>
        <v>12052.63157894737</v>
      </c>
      <c r="AG17" s="3">
        <f t="shared" si="23"/>
        <v>12052.63157894737</v>
      </c>
      <c r="AH17" s="2">
        <f t="shared" si="1"/>
        <v>10000</v>
      </c>
      <c r="AN17" s="2">
        <f t="shared" si="24"/>
        <v>10000</v>
      </c>
      <c r="AO17" s="20">
        <f t="shared" si="25"/>
        <v>2.09</v>
      </c>
      <c r="AP17" s="2">
        <f t="shared" si="33"/>
        <v>4.256</v>
      </c>
      <c r="AQ17" s="3">
        <f t="shared" si="26"/>
        <v>25.19</v>
      </c>
      <c r="AR17" s="3">
        <f t="shared" si="34"/>
        <v>96.901</v>
      </c>
      <c r="AS17" s="2">
        <f t="shared" si="2"/>
        <v>5000</v>
      </c>
      <c r="AT17" s="19">
        <f t="shared" si="7"/>
        <v>0.060853689061648786</v>
      </c>
      <c r="AU17" s="19">
        <f t="shared" si="8"/>
        <v>7.62289950113779</v>
      </c>
      <c r="AW17" s="19"/>
      <c r="AY17" s="2">
        <f t="shared" si="27"/>
        <v>0.004956676823028417</v>
      </c>
      <c r="AZ17" s="2">
        <f t="shared" si="4"/>
        <v>10000</v>
      </c>
      <c r="BA17" s="20">
        <f t="shared" si="28"/>
        <v>2.09</v>
      </c>
      <c r="BC17" s="20">
        <f t="shared" si="29"/>
        <v>2.09</v>
      </c>
      <c r="BD17" s="3">
        <f t="shared" si="30"/>
        <v>25.207012600000002</v>
      </c>
      <c r="BF17" s="3">
        <f t="shared" si="31"/>
        <v>25.207012600000002</v>
      </c>
      <c r="BG17" s="3">
        <f t="shared" si="32"/>
        <v>12052.63157894737</v>
      </c>
      <c r="BH17" s="2">
        <f t="shared" si="0"/>
        <v>700</v>
      </c>
      <c r="BI17" s="19">
        <f t="shared" si="9"/>
        <v>1.4440659759049252</v>
      </c>
      <c r="BJ17" s="19">
        <f t="shared" si="10"/>
        <v>28.59119798190045</v>
      </c>
      <c r="BK17" s="2" t="s">
        <v>220</v>
      </c>
      <c r="BL17" s="19">
        <f>BJ17-((BJ17-BJ16)*(BI17-1)/(BI17-BI16))</f>
        <v>21.750560018099545</v>
      </c>
      <c r="BM17" s="19"/>
      <c r="BN17" s="18">
        <f t="shared" si="11"/>
        <v>0.47194018227684104</v>
      </c>
      <c r="BO17" s="2">
        <f t="shared" si="3"/>
        <v>5000</v>
      </c>
      <c r="BP17" s="20">
        <f t="shared" si="12"/>
        <v>8.143</v>
      </c>
      <c r="BQ17" s="2">
        <v>1</v>
      </c>
      <c r="BR17" s="2">
        <f t="shared" si="13"/>
        <v>8.143</v>
      </c>
      <c r="BS17" s="3">
        <f t="shared" si="14"/>
        <v>55.11528402</v>
      </c>
      <c r="BT17" s="3">
        <f t="shared" si="15"/>
        <v>55.11528402</v>
      </c>
      <c r="BU17" s="3">
        <f t="shared" si="16"/>
        <v>6768.424907282328</v>
      </c>
      <c r="BW17" s="2">
        <f t="shared" si="5"/>
        <v>700</v>
      </c>
      <c r="BX17" s="19">
        <f t="shared" si="17"/>
        <v>2.0329513287712646</v>
      </c>
      <c r="BY17" s="19">
        <f t="shared" si="18"/>
        <v>32.760544458917835</v>
      </c>
      <c r="BZ17" s="19" t="s">
        <v>220</v>
      </c>
      <c r="CA17" s="19">
        <f>BY16+((BY17-BY16)*(1-BX16)/(BX17-BX16))</f>
        <v>19.684909849699395</v>
      </c>
      <c r="CB17" s="19"/>
      <c r="CC17" s="19">
        <f t="shared" si="19"/>
        <v>0.7500542064620153</v>
      </c>
    </row>
    <row r="18" spans="1:81" ht="15">
      <c r="A18" s="2">
        <f>A17+10000</f>
        <v>55000</v>
      </c>
      <c r="B18" s="2">
        <f t="shared" si="35"/>
        <v>65000</v>
      </c>
      <c r="C18" s="2">
        <v>3803</v>
      </c>
      <c r="D18" s="2">
        <v>64</v>
      </c>
      <c r="E18" s="2">
        <f t="shared" si="36"/>
        <v>246</v>
      </c>
      <c r="F18" s="20">
        <f t="shared" si="37"/>
        <v>10.915088464214607</v>
      </c>
      <c r="G18" s="20">
        <f t="shared" si="38"/>
        <v>5.5053315359323625</v>
      </c>
      <c r="S18" s="2" t="s">
        <v>221</v>
      </c>
      <c r="X18" s="2">
        <v>5000</v>
      </c>
      <c r="Y18" s="20">
        <f t="shared" si="20"/>
        <v>8.143</v>
      </c>
      <c r="Z18" s="20"/>
      <c r="AA18" s="20">
        <v>8.143</v>
      </c>
      <c r="AB18" s="3">
        <f t="shared" si="21"/>
        <v>55.049</v>
      </c>
      <c r="AC18" s="3"/>
      <c r="AD18" s="3">
        <v>55.049</v>
      </c>
      <c r="AE18" s="3">
        <f t="shared" si="22"/>
        <v>6760.284907282327</v>
      </c>
      <c r="AG18" s="3">
        <f t="shared" si="23"/>
        <v>6760.284907282327</v>
      </c>
      <c r="AH18" s="2">
        <f t="shared" si="1"/>
        <v>5000</v>
      </c>
      <c r="AN18" s="2">
        <f t="shared" si="24"/>
        <v>5000</v>
      </c>
      <c r="AO18" s="20">
        <f t="shared" si="25"/>
        <v>8.143</v>
      </c>
      <c r="AP18" s="3">
        <f t="shared" si="33"/>
        <v>12.399000000000001</v>
      </c>
      <c r="AQ18" s="3">
        <f t="shared" si="26"/>
        <v>55.049</v>
      </c>
      <c r="AR18" s="3">
        <f t="shared" si="34"/>
        <v>151.95</v>
      </c>
      <c r="AS18" s="2">
        <f t="shared" si="2"/>
        <v>700</v>
      </c>
      <c r="AT18" s="19">
        <f t="shared" si="7"/>
        <v>1.04244396346521</v>
      </c>
      <c r="AU18" s="19">
        <f t="shared" si="8"/>
        <v>28.442269642448643</v>
      </c>
      <c r="AV18" s="2" t="s">
        <v>220</v>
      </c>
      <c r="AW18" s="19">
        <f>AU18-(AU18-AU17)*0.04/(1.04-0.06)</f>
        <v>27.592499432599222</v>
      </c>
      <c r="AY18" s="18">
        <f t="shared" si="27"/>
        <v>0.34318233030571205</v>
      </c>
      <c r="AZ18" s="2">
        <f t="shared" si="4"/>
        <v>5000</v>
      </c>
      <c r="BA18" s="20">
        <f t="shared" si="28"/>
        <v>8.143</v>
      </c>
      <c r="BC18" s="20">
        <f t="shared" si="29"/>
        <v>8.143</v>
      </c>
      <c r="BD18" s="3">
        <f t="shared" si="30"/>
        <v>55.11528402</v>
      </c>
      <c r="BF18" s="3">
        <f t="shared" si="31"/>
        <v>55.11528402</v>
      </c>
      <c r="BG18" s="3">
        <f t="shared" si="32"/>
        <v>6760.284907282327</v>
      </c>
      <c r="BH18" s="2">
        <f t="shared" si="0"/>
        <v>600</v>
      </c>
      <c r="BI18" s="19">
        <f t="shared" si="9"/>
        <v>1.6432718718555386</v>
      </c>
      <c r="BJ18" s="19">
        <f t="shared" si="10"/>
        <v>29.601807036324786</v>
      </c>
      <c r="BL18" s="19"/>
      <c r="BM18" s="19"/>
      <c r="BN18" s="18">
        <f t="shared" si="11"/>
        <v>0.10977373800648733</v>
      </c>
      <c r="BO18" s="2">
        <f t="shared" si="3"/>
        <v>700</v>
      </c>
      <c r="BP18" s="3">
        <f t="shared" si="12"/>
        <v>200</v>
      </c>
      <c r="BQ18" s="2">
        <v>1.0476</v>
      </c>
      <c r="BR18" s="3">
        <f t="shared" si="13"/>
        <v>209.52</v>
      </c>
      <c r="BS18" s="3">
        <f t="shared" si="14"/>
        <v>416.628</v>
      </c>
      <c r="BT18" s="3">
        <f t="shared" si="15"/>
        <v>436.4594928</v>
      </c>
      <c r="BU18" s="3">
        <f t="shared" si="16"/>
        <v>2083.14</v>
      </c>
      <c r="BW18" s="2">
        <f t="shared" si="5"/>
        <v>600</v>
      </c>
      <c r="BX18" s="19">
        <f t="shared" si="17"/>
        <v>2.3045417319372303</v>
      </c>
      <c r="BY18" s="19">
        <f t="shared" si="18"/>
        <v>33.91281723764529</v>
      </c>
      <c r="BZ18" s="19"/>
      <c r="CA18" s="19"/>
      <c r="CB18" s="19"/>
      <c r="CC18" s="19">
        <f t="shared" si="19"/>
        <v>0.1692982369451244</v>
      </c>
    </row>
    <row r="19" spans="1:81" ht="15">
      <c r="A19" s="2">
        <f>A18+10000</f>
        <v>65000</v>
      </c>
      <c r="B19" s="2">
        <f t="shared" si="35"/>
        <v>75000</v>
      </c>
      <c r="C19" s="2">
        <v>2997</v>
      </c>
      <c r="D19" s="2">
        <v>43</v>
      </c>
      <c r="E19" s="2">
        <f t="shared" si="36"/>
        <v>182</v>
      </c>
      <c r="F19" s="20">
        <f t="shared" si="37"/>
        <v>11.082142548877775</v>
      </c>
      <c r="G19" s="20">
        <f t="shared" si="38"/>
        <v>5.204006687076795</v>
      </c>
      <c r="O19" s="2" t="s">
        <v>222</v>
      </c>
      <c r="S19" s="6" t="s">
        <v>223</v>
      </c>
      <c r="T19" s="6"/>
      <c r="U19" s="6"/>
      <c r="X19" s="2">
        <v>700</v>
      </c>
      <c r="Y19" s="19">
        <f t="shared" si="20"/>
        <v>200</v>
      </c>
      <c r="Z19" s="3"/>
      <c r="AA19" s="3">
        <v>200</v>
      </c>
      <c r="AB19" s="3">
        <f t="shared" si="21"/>
        <v>415</v>
      </c>
      <c r="AC19" s="3"/>
      <c r="AD19" s="3">
        <v>415</v>
      </c>
      <c r="AE19" s="3">
        <f t="shared" si="22"/>
        <v>2075</v>
      </c>
      <c r="AG19" s="3">
        <f t="shared" si="23"/>
        <v>2075</v>
      </c>
      <c r="AH19" s="2">
        <f t="shared" si="1"/>
        <v>700</v>
      </c>
      <c r="AI19" s="2" t="s">
        <v>11</v>
      </c>
      <c r="AN19" s="2">
        <f t="shared" si="24"/>
        <v>700</v>
      </c>
      <c r="AO19" s="3">
        <f t="shared" si="25"/>
        <v>200</v>
      </c>
      <c r="AP19" s="3">
        <f t="shared" si="33"/>
        <v>212.399</v>
      </c>
      <c r="AQ19" s="3">
        <f t="shared" si="26"/>
        <v>415</v>
      </c>
      <c r="AR19" s="3">
        <f t="shared" si="34"/>
        <v>566.95</v>
      </c>
      <c r="AS19" s="2">
        <f t="shared" si="2"/>
        <v>600</v>
      </c>
      <c r="AT19" s="19">
        <f t="shared" si="7"/>
        <v>1.1862469386653318</v>
      </c>
      <c r="AU19" s="19">
        <f t="shared" si="8"/>
        <v>29.37565468139842</v>
      </c>
      <c r="AW19" s="19"/>
      <c r="AY19" s="18">
        <f t="shared" si="27"/>
        <v>0.0799389715513688</v>
      </c>
      <c r="AZ19" s="2">
        <f t="shared" si="4"/>
        <v>700</v>
      </c>
      <c r="BA19" s="3">
        <f t="shared" si="28"/>
        <v>200</v>
      </c>
      <c r="BB19" s="3"/>
      <c r="BC19" s="3">
        <f t="shared" si="29"/>
        <v>200</v>
      </c>
      <c r="BD19" s="3">
        <f t="shared" si="30"/>
        <v>416.628</v>
      </c>
      <c r="BF19" s="3">
        <f t="shared" si="31"/>
        <v>416.628</v>
      </c>
      <c r="BG19" s="3">
        <f t="shared" si="32"/>
        <v>2075</v>
      </c>
      <c r="BH19" s="2">
        <f t="shared" si="0"/>
        <v>500</v>
      </c>
      <c r="BI19" s="19">
        <f t="shared" si="9"/>
        <v>1.974116891028256</v>
      </c>
      <c r="BJ19" s="19">
        <f t="shared" si="10"/>
        <v>31.041749007566615</v>
      </c>
      <c r="BL19" s="19"/>
      <c r="BM19" s="19"/>
      <c r="BN19" s="18">
        <f t="shared" si="11"/>
        <v>0.18866823407431557</v>
      </c>
      <c r="BO19" s="2">
        <f t="shared" si="3"/>
        <v>600</v>
      </c>
      <c r="BP19" s="3">
        <f t="shared" si="12"/>
        <v>28.3</v>
      </c>
      <c r="BQ19" s="2">
        <v>1.0476</v>
      </c>
      <c r="BR19" s="3">
        <f t="shared" si="13"/>
        <v>29.647080000000003</v>
      </c>
      <c r="BS19" s="3">
        <f t="shared" si="14"/>
        <v>19.75890435</v>
      </c>
      <c r="BT19" s="3">
        <f t="shared" si="15"/>
        <v>20.699428197060005</v>
      </c>
      <c r="BU19" s="3">
        <f t="shared" si="16"/>
        <v>698.1945000000002</v>
      </c>
      <c r="BW19" s="2">
        <f t="shared" si="5"/>
        <v>500</v>
      </c>
      <c r="BX19" s="19">
        <f t="shared" si="17"/>
        <v>2.763270398768791</v>
      </c>
      <c r="BY19" s="19">
        <f t="shared" si="18"/>
        <v>35.556137456102206</v>
      </c>
      <c r="BZ19" s="19"/>
      <c r="CA19" s="19"/>
      <c r="CB19" s="19"/>
      <c r="CC19" s="19">
        <f t="shared" si="19"/>
        <v>0.29542650270373305</v>
      </c>
    </row>
    <row r="20" spans="1:81" ht="15">
      <c r="A20" s="2">
        <f>A19+10000</f>
        <v>75000</v>
      </c>
      <c r="B20" s="2">
        <f t="shared" si="35"/>
        <v>100000</v>
      </c>
      <c r="C20" s="2">
        <v>5621</v>
      </c>
      <c r="D20" s="2">
        <v>64</v>
      </c>
      <c r="E20" s="2">
        <f t="shared" si="36"/>
        <v>139</v>
      </c>
      <c r="F20" s="20">
        <f t="shared" si="37"/>
        <v>11.225243392518447</v>
      </c>
      <c r="G20" s="20">
        <f t="shared" si="38"/>
        <v>4.9344739331306915</v>
      </c>
      <c r="I20" s="2" t="s">
        <v>12</v>
      </c>
      <c r="O20" s="11" t="s">
        <v>13</v>
      </c>
      <c r="P20" s="11" t="s">
        <v>14</v>
      </c>
      <c r="Q20" s="11" t="s">
        <v>15</v>
      </c>
      <c r="R20" s="11" t="s">
        <v>16</v>
      </c>
      <c r="S20" s="11" t="str">
        <f>P20</f>
        <v>      male </v>
      </c>
      <c r="T20" s="11" t="str">
        <f>Q20</f>
        <v>   female </v>
      </c>
      <c r="U20" s="11" t="str">
        <f>R20</f>
        <v>      total</v>
      </c>
      <c r="X20" s="2">
        <v>600</v>
      </c>
      <c r="Y20" s="3">
        <v>28.3</v>
      </c>
      <c r="Z20" s="3">
        <v>1</v>
      </c>
      <c r="AA20" s="3">
        <f aca="true" t="shared" si="39" ref="AA20:AA34">Y20+Z20</f>
        <v>29.3</v>
      </c>
      <c r="AB20" s="3">
        <f aca="true" t="shared" si="40" ref="AB20:AD22">AE20*Y20/1000</f>
        <v>17.9705</v>
      </c>
      <c r="AC20" s="3">
        <f t="shared" si="40"/>
        <v>0.635</v>
      </c>
      <c r="AD20" s="3">
        <f t="shared" si="40"/>
        <v>18.6055</v>
      </c>
      <c r="AE20" s="2">
        <v>635</v>
      </c>
      <c r="AF20" s="2">
        <v>635</v>
      </c>
      <c r="AG20" s="2">
        <v>635</v>
      </c>
      <c r="AH20" s="2">
        <f t="shared" si="1"/>
        <v>600</v>
      </c>
      <c r="AI20" s="2" t="s">
        <v>17</v>
      </c>
      <c r="AN20" s="2">
        <f t="shared" si="24"/>
        <v>600</v>
      </c>
      <c r="AO20" s="3">
        <f t="shared" si="25"/>
        <v>29.3</v>
      </c>
      <c r="AP20" s="3">
        <f t="shared" si="33"/>
        <v>241.699</v>
      </c>
      <c r="AQ20" s="3">
        <f t="shared" si="26"/>
        <v>18.6055</v>
      </c>
      <c r="AR20" s="3">
        <f t="shared" si="34"/>
        <v>585.5555</v>
      </c>
      <c r="AS20" s="2">
        <f t="shared" si="2"/>
        <v>500</v>
      </c>
      <c r="AT20" s="19">
        <f t="shared" si="7"/>
        <v>1.4286997364430114</v>
      </c>
      <c r="AU20" s="19">
        <f t="shared" si="8"/>
        <v>30.70152247287964</v>
      </c>
      <c r="AW20" s="19"/>
      <c r="AY20" s="18">
        <f t="shared" si="27"/>
        <v>0.1393187854622055</v>
      </c>
      <c r="AZ20" s="21">
        <f t="shared" si="4"/>
        <v>600</v>
      </c>
      <c r="BA20" s="22">
        <f t="shared" si="28"/>
        <v>28.3</v>
      </c>
      <c r="BB20" s="22">
        <f aca="true" t="shared" si="41" ref="BB20:BB28">Z20*0.5387555</f>
        <v>0.5387555</v>
      </c>
      <c r="BC20" s="22">
        <f t="shared" si="29"/>
        <v>29.3</v>
      </c>
      <c r="BD20" s="22">
        <f aca="true" t="shared" si="42" ref="BD20:BD28">(AB20*(1.0867))+(BA20*8.14/1000)</f>
        <v>19.75890435</v>
      </c>
      <c r="BE20" s="22">
        <f aca="true" t="shared" si="43" ref="BE20:BE34">BB20*BG20/1000</f>
        <v>0.34210974250000004</v>
      </c>
      <c r="BF20" s="22">
        <f t="shared" si="31"/>
        <v>20.1010140925</v>
      </c>
      <c r="BG20" s="22">
        <f t="shared" si="32"/>
        <v>635</v>
      </c>
      <c r="BH20" s="2">
        <f t="shared" si="0"/>
        <v>400</v>
      </c>
      <c r="BI20" s="19">
        <f t="shared" si="9"/>
        <v>2.513269785292758</v>
      </c>
      <c r="BJ20" s="19">
        <f t="shared" si="10"/>
        <v>32.977303129839115</v>
      </c>
      <c r="BL20" s="19"/>
      <c r="BM20" s="19"/>
      <c r="BN20" s="18">
        <f t="shared" si="11"/>
        <v>0.32096669733729916</v>
      </c>
      <c r="BO20" s="2">
        <f t="shared" si="3"/>
        <v>500</v>
      </c>
      <c r="BP20" s="3">
        <f t="shared" si="12"/>
        <v>47.8</v>
      </c>
      <c r="BQ20" s="2">
        <v>1.0476</v>
      </c>
      <c r="BR20" s="3">
        <f t="shared" si="13"/>
        <v>50.07528</v>
      </c>
      <c r="BS20" s="3">
        <f t="shared" si="14"/>
        <v>28.1792711</v>
      </c>
      <c r="BT20" s="3">
        <f t="shared" si="15"/>
        <v>29.520604404360004</v>
      </c>
      <c r="BU20" s="3">
        <f t="shared" si="16"/>
        <v>589.5245000000001</v>
      </c>
      <c r="BW20" s="2">
        <f t="shared" si="5"/>
        <v>400</v>
      </c>
      <c r="BX20" s="19">
        <f t="shared" si="17"/>
        <v>3.5108637700277576</v>
      </c>
      <c r="BY20" s="19">
        <f t="shared" si="18"/>
        <v>37.76527854692385</v>
      </c>
      <c r="BZ20" s="19"/>
      <c r="CA20" s="19"/>
      <c r="CB20" s="19"/>
      <c r="CC20" s="19">
        <f t="shared" si="19"/>
        <v>0.501241034602017</v>
      </c>
    </row>
    <row r="21" spans="1:81" ht="15">
      <c r="A21" s="2">
        <v>100000</v>
      </c>
      <c r="B21" s="2" t="s">
        <v>165</v>
      </c>
      <c r="C21" s="2">
        <v>13435</v>
      </c>
      <c r="D21" s="2">
        <v>75</v>
      </c>
      <c r="E21" s="2">
        <f>D21</f>
        <v>75</v>
      </c>
      <c r="F21" s="20">
        <f t="shared" si="37"/>
        <v>11.512925464970229</v>
      </c>
      <c r="G21" s="20">
        <f t="shared" si="38"/>
        <v>4.31748811353631</v>
      </c>
      <c r="I21" s="2" t="s">
        <v>18</v>
      </c>
      <c r="J21" s="2">
        <v>11000</v>
      </c>
      <c r="K21" s="2">
        <v>4650</v>
      </c>
      <c r="L21" s="3">
        <f>J21*1.02628</f>
        <v>11289.080000000002</v>
      </c>
      <c r="M21" s="3">
        <f>K21*1.02628</f>
        <v>4772.202</v>
      </c>
      <c r="O21" s="17" t="s">
        <v>19</v>
      </c>
      <c r="P21" s="17">
        <v>11665</v>
      </c>
      <c r="Q21" s="17">
        <v>4993</v>
      </c>
      <c r="R21" s="17">
        <f aca="true" t="shared" si="44" ref="R21:R43">P21+Q21</f>
        <v>16658</v>
      </c>
      <c r="S21" s="17">
        <f aca="true" t="shared" si="45" ref="S21:U43">P21-P22</f>
        <v>44</v>
      </c>
      <c r="T21" s="17">
        <f t="shared" si="45"/>
        <v>109</v>
      </c>
      <c r="U21" s="17">
        <f t="shared" si="45"/>
        <v>153</v>
      </c>
      <c r="X21" s="2">
        <v>500</v>
      </c>
      <c r="Y21" s="3">
        <v>47.8</v>
      </c>
      <c r="Z21" s="3">
        <v>1.6</v>
      </c>
      <c r="AA21" s="3">
        <f t="shared" si="39"/>
        <v>49.4</v>
      </c>
      <c r="AB21" s="3">
        <f t="shared" si="40"/>
        <v>25.573</v>
      </c>
      <c r="AC21" s="3">
        <f t="shared" si="40"/>
        <v>0.856</v>
      </c>
      <c r="AD21" s="3">
        <f t="shared" si="40"/>
        <v>26.429</v>
      </c>
      <c r="AE21" s="2">
        <v>535</v>
      </c>
      <c r="AF21" s="2">
        <v>535</v>
      </c>
      <c r="AG21" s="2">
        <v>535</v>
      </c>
      <c r="AH21" s="2">
        <f t="shared" si="1"/>
        <v>500</v>
      </c>
      <c r="AI21" s="2" t="s">
        <v>20</v>
      </c>
      <c r="AN21" s="2">
        <f t="shared" si="24"/>
        <v>500</v>
      </c>
      <c r="AO21" s="3">
        <f t="shared" si="25"/>
        <v>49.4</v>
      </c>
      <c r="AP21" s="3">
        <f t="shared" si="33"/>
        <v>291.099</v>
      </c>
      <c r="AQ21" s="3">
        <f t="shared" si="26"/>
        <v>26.429</v>
      </c>
      <c r="AR21" s="3">
        <f t="shared" si="34"/>
        <v>611.9845</v>
      </c>
      <c r="AS21" s="2">
        <f t="shared" si="2"/>
        <v>400</v>
      </c>
      <c r="AT21" s="19">
        <f t="shared" si="7"/>
        <v>1.823789821890445</v>
      </c>
      <c r="AU21" s="19">
        <f t="shared" si="8"/>
        <v>32.478443172651275</v>
      </c>
      <c r="AW21" s="19"/>
      <c r="AY21" s="18">
        <f t="shared" si="27"/>
        <v>0.23676751647939873</v>
      </c>
      <c r="AZ21" s="2">
        <f t="shared" si="4"/>
        <v>500</v>
      </c>
      <c r="BA21" s="3">
        <f t="shared" si="28"/>
        <v>47.8</v>
      </c>
      <c r="BB21" s="3">
        <f t="shared" si="41"/>
        <v>0.8620088000000001</v>
      </c>
      <c r="BC21" s="3">
        <f aca="true" t="shared" si="46" ref="BC21:BC34">BA21+BB21</f>
        <v>48.662008799999995</v>
      </c>
      <c r="BD21" s="3">
        <f t="shared" si="42"/>
        <v>28.1792711</v>
      </c>
      <c r="BE21" s="3">
        <f t="shared" si="43"/>
        <v>0.46117470800000004</v>
      </c>
      <c r="BF21" s="3">
        <f t="shared" si="31"/>
        <v>28.640445808000003</v>
      </c>
      <c r="BG21" s="3">
        <f t="shared" si="32"/>
        <v>535</v>
      </c>
      <c r="BH21" s="2">
        <f t="shared" si="0"/>
        <v>300</v>
      </c>
      <c r="BI21" s="19">
        <f t="shared" si="9"/>
        <v>3.2330632784371276</v>
      </c>
      <c r="BJ21" s="19">
        <f t="shared" si="10"/>
        <v>35.041508314525075</v>
      </c>
      <c r="BL21" s="19"/>
      <c r="BM21" s="19"/>
      <c r="BN21" s="18">
        <f t="shared" si="11"/>
        <v>0.44823324740354</v>
      </c>
      <c r="BO21" s="2">
        <f t="shared" si="3"/>
        <v>400</v>
      </c>
      <c r="BP21" s="3">
        <f t="shared" si="12"/>
        <v>77.9</v>
      </c>
      <c r="BQ21" s="2">
        <v>1.0476</v>
      </c>
      <c r="BR21" s="3">
        <f t="shared" si="13"/>
        <v>81.60804000000002</v>
      </c>
      <c r="BS21" s="3">
        <f t="shared" si="14"/>
        <v>37.881835200000005</v>
      </c>
      <c r="BT21" s="3">
        <f t="shared" si="15"/>
        <v>39.68501055552001</v>
      </c>
      <c r="BU21" s="3">
        <f t="shared" si="16"/>
        <v>486.28799999999995</v>
      </c>
      <c r="BW21" s="2">
        <f t="shared" si="5"/>
        <v>300</v>
      </c>
      <c r="BX21" s="19">
        <f t="shared" si="17"/>
        <v>4.508950462098551</v>
      </c>
      <c r="BY21" s="19">
        <f t="shared" si="18"/>
        <v>40.12145048241227</v>
      </c>
      <c r="BZ21" s="19"/>
      <c r="CA21" s="19"/>
      <c r="CB21" s="19"/>
      <c r="CC21" s="19">
        <f t="shared" si="19"/>
        <v>0.6973323787513911</v>
      </c>
    </row>
    <row r="22" spans="9:81" ht="15">
      <c r="I22" s="2" t="s">
        <v>21</v>
      </c>
      <c r="N22" s="2" t="s">
        <v>22</v>
      </c>
      <c r="O22" s="2">
        <v>10</v>
      </c>
      <c r="P22" s="2">
        <v>11621</v>
      </c>
      <c r="Q22" s="2">
        <v>4884</v>
      </c>
      <c r="R22" s="2">
        <f t="shared" si="44"/>
        <v>16505</v>
      </c>
      <c r="S22" s="2">
        <f t="shared" si="45"/>
        <v>637</v>
      </c>
      <c r="T22" s="2">
        <f t="shared" si="45"/>
        <v>331</v>
      </c>
      <c r="U22" s="2">
        <f t="shared" si="45"/>
        <v>968</v>
      </c>
      <c r="X22" s="2">
        <v>400</v>
      </c>
      <c r="Y22" s="3">
        <v>77.9</v>
      </c>
      <c r="Z22" s="3">
        <v>2.6</v>
      </c>
      <c r="AA22" s="3">
        <f t="shared" si="39"/>
        <v>80.5</v>
      </c>
      <c r="AB22" s="3">
        <f t="shared" si="40"/>
        <v>34.276</v>
      </c>
      <c r="AC22" s="3">
        <f t="shared" si="40"/>
        <v>1.144</v>
      </c>
      <c r="AD22" s="3">
        <f t="shared" si="40"/>
        <v>35.42</v>
      </c>
      <c r="AE22" s="2">
        <v>440</v>
      </c>
      <c r="AF22" s="2">
        <v>440</v>
      </c>
      <c r="AG22" s="2">
        <v>440</v>
      </c>
      <c r="AH22" s="2">
        <f t="shared" si="1"/>
        <v>400</v>
      </c>
      <c r="AI22" s="2" t="s">
        <v>93</v>
      </c>
      <c r="AN22" s="2">
        <f t="shared" si="24"/>
        <v>400</v>
      </c>
      <c r="AO22" s="3">
        <f t="shared" si="25"/>
        <v>80.5</v>
      </c>
      <c r="AP22" s="3">
        <f t="shared" si="33"/>
        <v>371.599</v>
      </c>
      <c r="AQ22" s="3">
        <f t="shared" si="26"/>
        <v>35.42</v>
      </c>
      <c r="AR22" s="3">
        <f t="shared" si="34"/>
        <v>647.4045</v>
      </c>
      <c r="AS22" s="2">
        <f t="shared" si="2"/>
        <v>300</v>
      </c>
      <c r="AT22" s="19">
        <f t="shared" si="7"/>
        <v>2.3512460608672217</v>
      </c>
      <c r="AU22" s="19">
        <f t="shared" si="8"/>
        <v>34.365451065536114</v>
      </c>
      <c r="AW22" s="19"/>
      <c r="AY22" s="18">
        <f t="shared" si="27"/>
        <v>0.33055080329123315</v>
      </c>
      <c r="AZ22" s="2">
        <f t="shared" si="4"/>
        <v>400</v>
      </c>
      <c r="BA22" s="3">
        <f t="shared" si="28"/>
        <v>77.9</v>
      </c>
      <c r="BB22" s="3">
        <f t="shared" si="41"/>
        <v>1.4007643000000003</v>
      </c>
      <c r="BC22" s="3">
        <f t="shared" si="46"/>
        <v>79.30076430000001</v>
      </c>
      <c r="BD22" s="3">
        <f t="shared" si="42"/>
        <v>37.881835200000005</v>
      </c>
      <c r="BE22" s="3">
        <f t="shared" si="43"/>
        <v>0.6163362920000002</v>
      </c>
      <c r="BF22" s="3">
        <f t="shared" si="31"/>
        <v>38.498171492000004</v>
      </c>
      <c r="BG22" s="3">
        <f t="shared" si="32"/>
        <v>440</v>
      </c>
      <c r="BH22" s="2">
        <f t="shared" si="0"/>
        <v>200</v>
      </c>
      <c r="BI22" s="19">
        <f t="shared" si="9"/>
        <v>5.297376692737961</v>
      </c>
      <c r="BJ22" s="19">
        <f t="shared" si="10"/>
        <v>39.30494503416117</v>
      </c>
      <c r="BK22" s="2" t="s">
        <v>94</v>
      </c>
      <c r="BL22" s="19">
        <f>BJ22-((BJ22-BJ21)*(BI22-5)/(BI22-BI21))</f>
        <v>38.69077147766545</v>
      </c>
      <c r="BM22" s="19"/>
      <c r="BN22" s="18">
        <f t="shared" si="11"/>
        <v>1.358648792909994</v>
      </c>
      <c r="BO22" s="2">
        <f t="shared" si="3"/>
        <v>300</v>
      </c>
      <c r="BP22" s="3">
        <f t="shared" si="12"/>
        <v>104.0016622691293</v>
      </c>
      <c r="BQ22" s="2">
        <v>1.0476</v>
      </c>
      <c r="BR22" s="3">
        <f t="shared" si="13"/>
        <v>108.95214139313987</v>
      </c>
      <c r="BS22" s="3">
        <f t="shared" si="14"/>
        <v>40.403085766622695</v>
      </c>
      <c r="BT22" s="3">
        <f t="shared" si="15"/>
        <v>42.32627264911394</v>
      </c>
      <c r="BU22" s="3">
        <f t="shared" si="16"/>
        <v>388.48499999999996</v>
      </c>
      <c r="BW22" s="2">
        <f t="shared" si="5"/>
        <v>200</v>
      </c>
      <c r="BX22" s="19">
        <f t="shared" si="17"/>
        <v>7.371387767660071</v>
      </c>
      <c r="BY22" s="19">
        <f t="shared" si="18"/>
        <v>44.98856353816325</v>
      </c>
      <c r="BZ22" s="19" t="s">
        <v>94</v>
      </c>
      <c r="CA22" s="19">
        <f>BY21+((BY22-BY21)*(5-BX21)/(BX22-BX21))</f>
        <v>40.95640103741553</v>
      </c>
      <c r="CB22" s="19"/>
      <c r="CC22" s="19">
        <f t="shared" si="19"/>
        <v>2.096153558578096</v>
      </c>
    </row>
    <row r="23" spans="1:81" ht="15">
      <c r="A23" s="2" t="s">
        <v>95</v>
      </c>
      <c r="C23" s="2">
        <v>167589</v>
      </c>
      <c r="D23" s="2">
        <v>13231</v>
      </c>
      <c r="E23" s="2" t="s">
        <v>96</v>
      </c>
      <c r="I23" s="2" t="s">
        <v>97</v>
      </c>
      <c r="N23" s="2" t="s">
        <v>98</v>
      </c>
      <c r="O23" s="2">
        <v>20</v>
      </c>
      <c r="P23" s="2">
        <v>10984</v>
      </c>
      <c r="Q23" s="2">
        <v>4553</v>
      </c>
      <c r="R23" s="2">
        <f t="shared" si="44"/>
        <v>15537</v>
      </c>
      <c r="S23" s="2">
        <f t="shared" si="45"/>
        <v>1177</v>
      </c>
      <c r="T23" s="2">
        <f t="shared" si="45"/>
        <v>1456</v>
      </c>
      <c r="U23" s="2">
        <f t="shared" si="45"/>
        <v>2633</v>
      </c>
      <c r="X23" s="2">
        <v>300</v>
      </c>
      <c r="Y23" s="3">
        <f>743.71*S32/379</f>
        <v>104.0016622691293</v>
      </c>
      <c r="Z23" s="3">
        <f>24.8*Y23/743.71</f>
        <v>3.4680738786279686</v>
      </c>
      <c r="AA23" s="3">
        <f t="shared" si="39"/>
        <v>107.46973614775726</v>
      </c>
      <c r="AB23" s="3">
        <f aca="true" t="shared" si="47" ref="AB23:AD34">Y23*AE23/1000</f>
        <v>36.400581794195254</v>
      </c>
      <c r="AC23" s="3">
        <f t="shared" si="47"/>
        <v>1.2138258575197889</v>
      </c>
      <c r="AD23" s="3">
        <f t="shared" si="47"/>
        <v>37.61440765171504</v>
      </c>
      <c r="AE23" s="2">
        <v>350</v>
      </c>
      <c r="AF23" s="2">
        <v>350</v>
      </c>
      <c r="AG23" s="2">
        <v>350</v>
      </c>
      <c r="AH23" s="2">
        <f t="shared" si="1"/>
        <v>300</v>
      </c>
      <c r="AI23" s="2" t="s">
        <v>99</v>
      </c>
      <c r="AN23" s="2">
        <f t="shared" si="24"/>
        <v>300</v>
      </c>
      <c r="AO23" s="3">
        <f t="shared" si="25"/>
        <v>107.46973614775726</v>
      </c>
      <c r="AP23" s="3">
        <f t="shared" si="33"/>
        <v>479.06873614775725</v>
      </c>
      <c r="AQ23" s="3">
        <f t="shared" si="26"/>
        <v>37.61440765171504</v>
      </c>
      <c r="AR23" s="3">
        <f t="shared" si="34"/>
        <v>685.018907651715</v>
      </c>
      <c r="AS23" s="2">
        <f t="shared" si="2"/>
        <v>200</v>
      </c>
      <c r="AT23" s="19">
        <f t="shared" si="7"/>
        <v>3.863950746234582</v>
      </c>
      <c r="AU23" s="19">
        <f t="shared" si="8"/>
        <v>38.23101979489591</v>
      </c>
      <c r="AW23" s="19"/>
      <c r="AY23" s="18">
        <f t="shared" si="27"/>
        <v>1.0041526428112741</v>
      </c>
      <c r="AZ23" s="2">
        <f t="shared" si="4"/>
        <v>300</v>
      </c>
      <c r="BA23" s="3">
        <f t="shared" si="28"/>
        <v>104.0016622691293</v>
      </c>
      <c r="BB23" s="3">
        <f t="shared" si="41"/>
        <v>1.8684438765171507</v>
      </c>
      <c r="BC23" s="3">
        <f t="shared" si="46"/>
        <v>105.87010614564645</v>
      </c>
      <c r="BD23" s="3">
        <f t="shared" si="42"/>
        <v>40.403085766622695</v>
      </c>
      <c r="BE23" s="3">
        <f t="shared" si="43"/>
        <v>0.6539553567810027</v>
      </c>
      <c r="BF23" s="3">
        <f t="shared" si="31"/>
        <v>41.0570411234037</v>
      </c>
      <c r="BG23" s="3">
        <f t="shared" si="32"/>
        <v>350</v>
      </c>
      <c r="BH23" s="2">
        <f t="shared" si="0"/>
        <v>160</v>
      </c>
      <c r="BI23" s="19">
        <f t="shared" si="9"/>
        <v>7.660472311740231</v>
      </c>
      <c r="BJ23" s="19">
        <f t="shared" si="10"/>
        <v>42.95285565804716</v>
      </c>
      <c r="BL23" s="19"/>
      <c r="BM23" s="19"/>
      <c r="BN23" s="18">
        <f t="shared" si="11"/>
        <v>1.637624122303441</v>
      </c>
      <c r="BO23" s="2">
        <f t="shared" si="3"/>
        <v>200</v>
      </c>
      <c r="BP23" s="3">
        <f t="shared" si="12"/>
        <v>298.26891820580477</v>
      </c>
      <c r="BQ23" s="2">
        <v>1.0476</v>
      </c>
      <c r="BR23" s="3">
        <f t="shared" si="13"/>
        <v>312.4665187124011</v>
      </c>
      <c r="BS23" s="3">
        <f t="shared" si="14"/>
        <v>83.46011734775726</v>
      </c>
      <c r="BT23" s="3">
        <f t="shared" si="15"/>
        <v>87.43281893351052</v>
      </c>
      <c r="BU23" s="3">
        <f t="shared" si="16"/>
        <v>279.815</v>
      </c>
      <c r="BW23" s="2">
        <f t="shared" si="5"/>
        <v>160</v>
      </c>
      <c r="BX23" s="19">
        <f t="shared" si="17"/>
        <v>10.648125209552864</v>
      </c>
      <c r="BY23" s="19">
        <f t="shared" si="18"/>
        <v>49.15366152883543</v>
      </c>
      <c r="BZ23" s="19" t="s">
        <v>100</v>
      </c>
      <c r="CA23" s="19">
        <f>BY23-((BY23-BY22)*(BX23-10)/(BX23-BX22))</f>
        <v>48.32982225093062</v>
      </c>
      <c r="CB23" s="19"/>
      <c r="CC23" s="19">
        <f t="shared" si="19"/>
        <v>2.494341408830261</v>
      </c>
    </row>
    <row r="24" spans="1:81" ht="15">
      <c r="A24" s="2" t="s">
        <v>101</v>
      </c>
      <c r="C24" s="2">
        <f>SUM(C11:C21)</f>
        <v>167588</v>
      </c>
      <c r="D24" s="2">
        <f>SUM(D11:D21)</f>
        <v>13231</v>
      </c>
      <c r="E24" s="2" t="s">
        <v>102</v>
      </c>
      <c r="I24" s="2" t="s">
        <v>103</v>
      </c>
      <c r="J24" s="2">
        <v>370</v>
      </c>
      <c r="K24" s="2">
        <v>240</v>
      </c>
      <c r="L24" s="3">
        <f>J24*1.02628</f>
        <v>379.72360000000003</v>
      </c>
      <c r="M24" s="3">
        <f>K24*1.02628</f>
        <v>246.30720000000002</v>
      </c>
      <c r="N24" s="2" t="s">
        <v>104</v>
      </c>
      <c r="O24" s="2">
        <v>40</v>
      </c>
      <c r="P24" s="2">
        <v>9807</v>
      </c>
      <c r="Q24" s="2">
        <v>3097</v>
      </c>
      <c r="R24" s="2">
        <f t="shared" si="44"/>
        <v>12904</v>
      </c>
      <c r="S24" s="2">
        <f t="shared" si="45"/>
        <v>2928</v>
      </c>
      <c r="T24" s="2">
        <f t="shared" si="45"/>
        <v>2430</v>
      </c>
      <c r="U24" s="2">
        <f t="shared" si="45"/>
        <v>5358</v>
      </c>
      <c r="X24" s="2">
        <v>200</v>
      </c>
      <c r="Y24" s="3">
        <f>743.71*S31/379</f>
        <v>298.26891820580477</v>
      </c>
      <c r="Z24" s="3">
        <f>24.8*Y24/743.71</f>
        <v>9.946174142480212</v>
      </c>
      <c r="AA24" s="3">
        <f t="shared" si="39"/>
        <v>308.215092348285</v>
      </c>
      <c r="AB24" s="3">
        <f t="shared" si="47"/>
        <v>74.56722955145119</v>
      </c>
      <c r="AC24" s="3">
        <f t="shared" si="47"/>
        <v>2.486543535620053</v>
      </c>
      <c r="AD24" s="3">
        <f t="shared" si="47"/>
        <v>77.05377308707125</v>
      </c>
      <c r="AE24" s="2">
        <v>250</v>
      </c>
      <c r="AF24" s="2">
        <v>250</v>
      </c>
      <c r="AG24" s="2">
        <v>250</v>
      </c>
      <c r="AH24" s="2">
        <f t="shared" si="1"/>
        <v>200</v>
      </c>
      <c r="AI24" s="2" t="s">
        <v>105</v>
      </c>
      <c r="AN24" s="2">
        <f t="shared" si="24"/>
        <v>200</v>
      </c>
      <c r="AO24" s="3">
        <f t="shared" si="25"/>
        <v>308.215092348285</v>
      </c>
      <c r="AP24" s="3">
        <f t="shared" si="33"/>
        <v>787.2838284960422</v>
      </c>
      <c r="AQ24" s="3">
        <f t="shared" si="26"/>
        <v>77.05377308707125</v>
      </c>
      <c r="AR24" s="3">
        <f t="shared" si="34"/>
        <v>762.0726807387863</v>
      </c>
      <c r="AS24" s="2">
        <f t="shared" si="2"/>
        <v>160</v>
      </c>
      <c r="AT24" s="19">
        <f t="shared" si="7"/>
        <v>5.595599530799849</v>
      </c>
      <c r="AU24" s="19">
        <f t="shared" si="8"/>
        <v>41.505563410635155</v>
      </c>
      <c r="AV24" s="2" t="s">
        <v>94</v>
      </c>
      <c r="AW24" s="19">
        <f>AU24-(AU24-AU23)*0.6/(5.6-3.86)</f>
        <v>40.37641043969059</v>
      </c>
      <c r="AY24" s="18">
        <f t="shared" si="27"/>
        <v>1.2169513865348447</v>
      </c>
      <c r="AZ24" s="2">
        <f t="shared" si="4"/>
        <v>200</v>
      </c>
      <c r="BA24" s="3">
        <f t="shared" si="28"/>
        <v>298.26891820580477</v>
      </c>
      <c r="BB24" s="3">
        <f t="shared" si="41"/>
        <v>5.358556023218998</v>
      </c>
      <c r="BC24" s="3">
        <f t="shared" si="46"/>
        <v>303.6274742290238</v>
      </c>
      <c r="BD24" s="3">
        <f t="shared" si="42"/>
        <v>83.46011734775726</v>
      </c>
      <c r="BE24" s="3">
        <f t="shared" si="43"/>
        <v>1.3396390058047496</v>
      </c>
      <c r="BF24" s="3">
        <f t="shared" si="31"/>
        <v>84.79975635356202</v>
      </c>
      <c r="BG24" s="3">
        <f t="shared" si="32"/>
        <v>250</v>
      </c>
      <c r="BH24" s="2">
        <f t="shared" si="0"/>
        <v>140</v>
      </c>
      <c r="BI24" s="19">
        <f t="shared" si="9"/>
        <v>9.21433105444592</v>
      </c>
      <c r="BJ24" s="19">
        <f t="shared" si="10"/>
        <v>44.893114111165275</v>
      </c>
      <c r="BL24" s="19"/>
      <c r="BM24" s="19"/>
      <c r="BN24" s="18">
        <f t="shared" si="11"/>
        <v>1.1027916739536259</v>
      </c>
      <c r="BO24" s="2">
        <f t="shared" si="3"/>
        <v>160</v>
      </c>
      <c r="BP24" s="3">
        <f t="shared" si="12"/>
        <v>341.439419525066</v>
      </c>
      <c r="BQ24" s="2">
        <v>1.0476</v>
      </c>
      <c r="BR24" s="3">
        <f t="shared" si="13"/>
        <v>357.69193589445916</v>
      </c>
      <c r="BS24" s="3">
        <f t="shared" si="14"/>
        <v>71.42212705654354</v>
      </c>
      <c r="BT24" s="3">
        <f t="shared" si="15"/>
        <v>74.82182030443502</v>
      </c>
      <c r="BU24" s="3">
        <f t="shared" si="16"/>
        <v>209.17950000000002</v>
      </c>
      <c r="BW24" s="2">
        <f t="shared" si="5"/>
        <v>140</v>
      </c>
      <c r="BX24" s="19">
        <f t="shared" si="17"/>
        <v>12.730295381450105</v>
      </c>
      <c r="BY24" s="19">
        <f t="shared" si="18"/>
        <v>51.29159603218809</v>
      </c>
      <c r="BZ24" s="19"/>
      <c r="CA24" s="19"/>
      <c r="CB24" s="19"/>
      <c r="CC24" s="19">
        <f t="shared" si="19"/>
        <v>1.604662691814443</v>
      </c>
    </row>
    <row r="25" spans="5:81" ht="15">
      <c r="E25" s="2" t="s">
        <v>106</v>
      </c>
      <c r="I25" s="2" t="s">
        <v>97</v>
      </c>
      <c r="N25" s="2" t="s">
        <v>107</v>
      </c>
      <c r="O25" s="2">
        <v>60</v>
      </c>
      <c r="P25" s="2">
        <v>6879</v>
      </c>
      <c r="Q25" s="2">
        <v>667</v>
      </c>
      <c r="R25" s="2">
        <f t="shared" si="44"/>
        <v>7546</v>
      </c>
      <c r="S25" s="2">
        <f t="shared" si="45"/>
        <v>2524</v>
      </c>
      <c r="T25" s="2">
        <f t="shared" si="45"/>
        <v>492</v>
      </c>
      <c r="U25" s="2">
        <f t="shared" si="45"/>
        <v>3016</v>
      </c>
      <c r="X25" s="2">
        <v>160</v>
      </c>
      <c r="Y25" s="3">
        <f>743.71*S30/379</f>
        <v>341.439419525066</v>
      </c>
      <c r="Z25" s="3">
        <f>24.8*Y25/743.71</f>
        <v>11.385751978891822</v>
      </c>
      <c r="AA25" s="3">
        <f t="shared" si="39"/>
        <v>352.82517150395785</v>
      </c>
      <c r="AB25" s="3">
        <f t="shared" si="47"/>
        <v>63.166292612137205</v>
      </c>
      <c r="AC25" s="3">
        <f t="shared" si="47"/>
        <v>2.106364116094987</v>
      </c>
      <c r="AD25" s="3">
        <f t="shared" si="47"/>
        <v>65.27265672823219</v>
      </c>
      <c r="AE25" s="2">
        <v>185</v>
      </c>
      <c r="AF25" s="2">
        <v>185</v>
      </c>
      <c r="AG25" s="2">
        <v>185</v>
      </c>
      <c r="AH25" s="2">
        <f t="shared" si="1"/>
        <v>160</v>
      </c>
      <c r="AI25" s="2" t="s">
        <v>108</v>
      </c>
      <c r="AN25" s="2">
        <f t="shared" si="24"/>
        <v>160</v>
      </c>
      <c r="AO25" s="3">
        <f t="shared" si="25"/>
        <v>352.82517150395785</v>
      </c>
      <c r="AP25" s="3">
        <f t="shared" si="33"/>
        <v>1140.1090000000002</v>
      </c>
      <c r="AQ25" s="3">
        <f t="shared" si="26"/>
        <v>65.27265672823219</v>
      </c>
      <c r="AR25" s="3">
        <f t="shared" si="34"/>
        <v>827.3453374670185</v>
      </c>
      <c r="AS25" s="2">
        <f t="shared" si="2"/>
        <v>140</v>
      </c>
      <c r="AT25" s="19">
        <f t="shared" si="7"/>
        <v>6.722578254358271</v>
      </c>
      <c r="AU25" s="19">
        <f t="shared" si="8"/>
        <v>43.21045461822662</v>
      </c>
      <c r="AY25" s="18">
        <f t="shared" si="27"/>
        <v>0.8159082558623568</v>
      </c>
      <c r="AZ25" s="2">
        <f t="shared" si="4"/>
        <v>160</v>
      </c>
      <c r="BA25" s="3">
        <f t="shared" si="28"/>
        <v>341.439419525066</v>
      </c>
      <c r="BB25" s="3">
        <f t="shared" si="41"/>
        <v>6.134136500263853</v>
      </c>
      <c r="BC25" s="3">
        <f t="shared" si="46"/>
        <v>347.5735560253299</v>
      </c>
      <c r="BD25" s="3">
        <f t="shared" si="42"/>
        <v>71.42212705654354</v>
      </c>
      <c r="BE25" s="3">
        <f t="shared" si="43"/>
        <v>1.1348152525488129</v>
      </c>
      <c r="BF25" s="3">
        <f t="shared" si="31"/>
        <v>72.55694230909236</v>
      </c>
      <c r="BG25" s="3">
        <f t="shared" si="32"/>
        <v>185</v>
      </c>
      <c r="BH25" s="2">
        <f t="shared" si="0"/>
        <v>120</v>
      </c>
      <c r="BI25" s="19">
        <f t="shared" si="9"/>
        <v>13.668712109463913</v>
      </c>
      <c r="BJ25" s="19">
        <f t="shared" si="10"/>
        <v>49.73880660252746</v>
      </c>
      <c r="BK25" s="2" t="s">
        <v>100</v>
      </c>
      <c r="BL25" s="19">
        <f>BJ24+((BJ25-BJ24)*(10-BI24)/(BI25-BI24))</f>
        <v>45.74780302599869</v>
      </c>
      <c r="BM25" s="19"/>
      <c r="BN25" s="18">
        <f t="shared" si="11"/>
        <v>3.195968408765588</v>
      </c>
      <c r="BO25" s="2">
        <f t="shared" si="3"/>
        <v>140</v>
      </c>
      <c r="BP25" s="3">
        <f t="shared" si="12"/>
        <v>227.29177813447475</v>
      </c>
      <c r="BQ25" s="2">
        <v>1</v>
      </c>
      <c r="BR25" s="3">
        <f t="shared" si="13"/>
        <v>227.29177813447475</v>
      </c>
      <c r="BS25" s="3">
        <f t="shared" si="14"/>
        <v>38.40585541822722</v>
      </c>
      <c r="BT25" s="3">
        <f t="shared" si="15"/>
        <v>38.40585541822722</v>
      </c>
      <c r="BU25" s="3">
        <f t="shared" si="16"/>
        <v>168.97160000000002</v>
      </c>
      <c r="BW25" s="2">
        <f t="shared" si="5"/>
        <v>120</v>
      </c>
      <c r="BX25" s="19">
        <f t="shared" si="17"/>
        <v>18.691877347303258</v>
      </c>
      <c r="BY25" s="19">
        <f t="shared" si="18"/>
        <v>56.62549405521232</v>
      </c>
      <c r="BZ25" s="19" t="s">
        <v>109</v>
      </c>
      <c r="CA25" s="19">
        <f>CB25-CA23</f>
        <v>9.293300905002084</v>
      </c>
      <c r="CB25" s="19">
        <f>BY25+((BY26-BY25)*(20-BX25)/(BX26-BX25))</f>
        <v>57.6231231559327</v>
      </c>
      <c r="CC25" s="19">
        <f t="shared" si="19"/>
        <v>4.560307198047376</v>
      </c>
    </row>
    <row r="26" spans="5:81" ht="15">
      <c r="E26" s="2" t="s">
        <v>110</v>
      </c>
      <c r="I26" s="2" t="s">
        <v>111</v>
      </c>
      <c r="J26" s="2">
        <f>J21-J24</f>
        <v>10630</v>
      </c>
      <c r="K26" s="2">
        <f>K21-K24</f>
        <v>4410</v>
      </c>
      <c r="L26" s="3">
        <f>J26*1.02628</f>
        <v>10909.3564</v>
      </c>
      <c r="M26" s="3">
        <f>K26*1.02628</f>
        <v>4525.8948</v>
      </c>
      <c r="N26" s="2" t="s">
        <v>112</v>
      </c>
      <c r="O26" s="2">
        <v>80</v>
      </c>
      <c r="P26" s="2">
        <v>4355</v>
      </c>
      <c r="Q26" s="2">
        <v>175</v>
      </c>
      <c r="R26" s="2">
        <f t="shared" si="44"/>
        <v>4530</v>
      </c>
      <c r="S26" s="2">
        <f t="shared" si="45"/>
        <v>1753</v>
      </c>
      <c r="T26" s="2">
        <f t="shared" si="45"/>
        <v>110</v>
      </c>
      <c r="U26" s="2">
        <f t="shared" si="45"/>
        <v>1863</v>
      </c>
      <c r="X26" s="2">
        <v>140</v>
      </c>
      <c r="Y26" s="3">
        <f>S29*13415/11214</f>
        <v>227.29177813447475</v>
      </c>
      <c r="Z26" s="3">
        <f>T29*5820/4993</f>
        <v>2.3312637692769878</v>
      </c>
      <c r="AA26" s="3">
        <f t="shared" si="39"/>
        <v>229.62304190375175</v>
      </c>
      <c r="AB26" s="3">
        <f t="shared" si="47"/>
        <v>33.63918316390227</v>
      </c>
      <c r="AC26" s="3">
        <f t="shared" si="47"/>
        <v>0.34502703785299416</v>
      </c>
      <c r="AD26" s="3">
        <f t="shared" si="47"/>
        <v>33.98421020175526</v>
      </c>
      <c r="AE26" s="2">
        <v>148</v>
      </c>
      <c r="AF26" s="2">
        <f aca="true" t="shared" si="48" ref="AF26:AF34">AE26</f>
        <v>148</v>
      </c>
      <c r="AG26" s="2">
        <f aca="true" t="shared" si="49" ref="AG26:AG34">AE26</f>
        <v>148</v>
      </c>
      <c r="AH26" s="2">
        <f t="shared" si="1"/>
        <v>140</v>
      </c>
      <c r="AI26" s="2" t="s">
        <v>113</v>
      </c>
      <c r="AN26" s="2">
        <f t="shared" si="24"/>
        <v>140</v>
      </c>
      <c r="AO26" s="3">
        <f t="shared" si="25"/>
        <v>229.62304190375175</v>
      </c>
      <c r="AP26" s="3">
        <f t="shared" si="33"/>
        <v>1369.732041903752</v>
      </c>
      <c r="AQ26" s="3">
        <f t="shared" si="26"/>
        <v>33.98421020175526</v>
      </c>
      <c r="AR26" s="3">
        <f t="shared" si="34"/>
        <v>861.3295476687737</v>
      </c>
      <c r="AS26" s="2">
        <f t="shared" si="2"/>
        <v>120</v>
      </c>
      <c r="AT26" s="19">
        <f t="shared" si="7"/>
        <v>9.956582858836118</v>
      </c>
      <c r="AU26" s="19">
        <f t="shared" si="8"/>
        <v>47.44171588262818</v>
      </c>
      <c r="AY26" s="18">
        <f t="shared" si="27"/>
        <v>2.392290529667768</v>
      </c>
      <c r="AZ26" s="2">
        <f t="shared" si="4"/>
        <v>140</v>
      </c>
      <c r="BA26" s="3">
        <f t="shared" si="28"/>
        <v>227.29177813447475</v>
      </c>
      <c r="BB26" s="3">
        <f t="shared" si="41"/>
        <v>1.2559811776487082</v>
      </c>
      <c r="BC26" s="3">
        <f t="shared" si="46"/>
        <v>228.54775931212347</v>
      </c>
      <c r="BD26" s="3">
        <f t="shared" si="42"/>
        <v>38.40585541822722</v>
      </c>
      <c r="BE26" s="3">
        <f t="shared" si="43"/>
        <v>0.1858852142920088</v>
      </c>
      <c r="BF26" s="3">
        <f t="shared" si="31"/>
        <v>38.591740632519226</v>
      </c>
      <c r="BG26" s="3">
        <f t="shared" si="32"/>
        <v>148</v>
      </c>
      <c r="BH26" s="2">
        <f t="shared" si="0"/>
        <v>100</v>
      </c>
      <c r="BI26" s="19">
        <f t="shared" si="9"/>
        <v>25.43264040112546</v>
      </c>
      <c r="BJ26" s="19">
        <f t="shared" si="10"/>
        <v>60.62576075381364</v>
      </c>
      <c r="BK26" s="2" t="s">
        <v>109</v>
      </c>
      <c r="BL26" s="19">
        <f>BM26-BL25</f>
        <v>9.434480652171857</v>
      </c>
      <c r="BM26" s="19">
        <f>(BJ26+BJ25)/2</f>
        <v>55.18228367817055</v>
      </c>
      <c r="BN26" s="18">
        <f t="shared" si="11"/>
        <v>8.38335349278694</v>
      </c>
      <c r="BO26" s="2">
        <f t="shared" si="3"/>
        <v>120</v>
      </c>
      <c r="BP26" s="3">
        <f t="shared" si="12"/>
        <v>650.7722489744962</v>
      </c>
      <c r="BQ26" s="2">
        <v>1</v>
      </c>
      <c r="BR26" s="3">
        <f t="shared" si="13"/>
        <v>650.7722489744962</v>
      </c>
      <c r="BS26" s="3">
        <f t="shared" si="14"/>
        <v>95.81814408560727</v>
      </c>
      <c r="BT26" s="3">
        <f t="shared" si="15"/>
        <v>95.81814408560727</v>
      </c>
      <c r="BU26" s="3">
        <f t="shared" si="16"/>
        <v>147.2376</v>
      </c>
      <c r="BW26" s="2">
        <f t="shared" si="5"/>
        <v>100</v>
      </c>
      <c r="BX26" s="19">
        <f t="shared" si="17"/>
        <v>34.22048331350531</v>
      </c>
      <c r="BY26" s="19">
        <f t="shared" si="18"/>
        <v>68.46825908459734</v>
      </c>
      <c r="BZ26" s="19" t="s">
        <v>114</v>
      </c>
      <c r="CA26" s="19">
        <f aca="true" t="shared" si="50" ref="CA26:CA33">CB26-CB25</f>
        <v>7.626418659318645</v>
      </c>
      <c r="CB26" s="19">
        <f>BY26-((BY26-BY25)*(BX26-30)/(BX26-BX25))</f>
        <v>65.24954181525135</v>
      </c>
      <c r="CC26" s="19">
        <f t="shared" si="19"/>
        <v>11.208764018981883</v>
      </c>
    </row>
    <row r="27" spans="6:81" ht="15">
      <c r="F27" s="20">
        <f>-(G20-G17)/(F20-F17)</f>
        <v>1.9271153899543183</v>
      </c>
      <c r="N27" s="2" t="s">
        <v>115</v>
      </c>
      <c r="O27" s="2">
        <v>100</v>
      </c>
      <c r="P27" s="2">
        <v>2602</v>
      </c>
      <c r="Q27" s="2">
        <v>65</v>
      </c>
      <c r="R27" s="2">
        <f t="shared" si="44"/>
        <v>2667</v>
      </c>
      <c r="S27" s="2">
        <f t="shared" si="45"/>
        <v>1417</v>
      </c>
      <c r="T27" s="2">
        <f t="shared" si="45"/>
        <v>56</v>
      </c>
      <c r="U27" s="2">
        <f t="shared" si="45"/>
        <v>1473</v>
      </c>
      <c r="X27" s="2">
        <v>120</v>
      </c>
      <c r="Y27" s="3">
        <f>S28*13415/11214</f>
        <v>650.7722489744962</v>
      </c>
      <c r="Z27" s="3">
        <f>T28*5820/4993</f>
        <v>8.159423192469458</v>
      </c>
      <c r="AA27" s="3">
        <f t="shared" si="39"/>
        <v>658.9316721669657</v>
      </c>
      <c r="AB27" s="3">
        <f t="shared" si="47"/>
        <v>83.2988478687355</v>
      </c>
      <c r="AC27" s="3">
        <f t="shared" si="47"/>
        <v>1.0444061686360906</v>
      </c>
      <c r="AD27" s="3">
        <f t="shared" si="47"/>
        <v>84.34325403737161</v>
      </c>
      <c r="AE27" s="2">
        <v>128</v>
      </c>
      <c r="AF27" s="2">
        <f t="shared" si="48"/>
        <v>128</v>
      </c>
      <c r="AG27" s="2">
        <f t="shared" si="49"/>
        <v>128</v>
      </c>
      <c r="AH27" s="2">
        <f t="shared" si="1"/>
        <v>120</v>
      </c>
      <c r="AI27" s="2" t="s">
        <v>116</v>
      </c>
      <c r="AN27" s="2">
        <f t="shared" si="24"/>
        <v>120</v>
      </c>
      <c r="AO27" s="3">
        <f t="shared" si="25"/>
        <v>658.9316721669657</v>
      </c>
      <c r="AP27" s="3">
        <f t="shared" si="33"/>
        <v>2028.6637140707176</v>
      </c>
      <c r="AQ27" s="3">
        <f t="shared" si="26"/>
        <v>84.34325403737161</v>
      </c>
      <c r="AR27" s="3">
        <f t="shared" si="34"/>
        <v>945.6728017061453</v>
      </c>
      <c r="AS27" s="2">
        <f t="shared" si="2"/>
        <v>100</v>
      </c>
      <c r="AT27" s="19">
        <f t="shared" si="7"/>
        <v>18.59650875572172</v>
      </c>
      <c r="AU27" s="19">
        <f t="shared" si="8"/>
        <v>56.979621307150914</v>
      </c>
      <c r="AV27" s="2" t="s">
        <v>100</v>
      </c>
      <c r="AW27" s="19">
        <f>AU26+(AU27-AU26)*0.04/(AT27-AT26)</f>
        <v>47.48587323091267</v>
      </c>
      <c r="AY27" s="18">
        <f t="shared" si="27"/>
        <v>6.554960196966307</v>
      </c>
      <c r="AZ27" s="2">
        <f t="shared" si="4"/>
        <v>120</v>
      </c>
      <c r="BA27" s="3">
        <f t="shared" si="28"/>
        <v>650.7722489744962</v>
      </c>
      <c r="BB27" s="3">
        <f t="shared" si="41"/>
        <v>4.3959341217704795</v>
      </c>
      <c r="BC27" s="3">
        <f t="shared" si="46"/>
        <v>655.1681830962666</v>
      </c>
      <c r="BD27" s="3">
        <f t="shared" si="42"/>
        <v>95.81814408560727</v>
      </c>
      <c r="BE27" s="3">
        <f t="shared" si="43"/>
        <v>0.5626795675866214</v>
      </c>
      <c r="BF27" s="3">
        <f t="shared" si="31"/>
        <v>96.3808236531939</v>
      </c>
      <c r="BG27" s="3">
        <f t="shared" si="32"/>
        <v>128</v>
      </c>
      <c r="BH27" s="2">
        <f t="shared" si="0"/>
        <v>80</v>
      </c>
      <c r="BI27" s="19">
        <f t="shared" si="9"/>
        <v>40.06833020212579</v>
      </c>
      <c r="BJ27" s="19">
        <f t="shared" si="10"/>
        <v>71.81255602205138</v>
      </c>
      <c r="BK27" s="2" t="s">
        <v>114</v>
      </c>
      <c r="BL27" s="19">
        <f aca="true" t="shared" si="51" ref="BL27:BL34">BM27-BM26</f>
        <v>8.934540185325673</v>
      </c>
      <c r="BM27" s="19">
        <f>BJ26+((BJ27-BJ26)*(30-BI26)/(BI27-BI26))</f>
        <v>64.11682386349622</v>
      </c>
      <c r="BN27" s="18">
        <f t="shared" si="11"/>
        <v>9.796742346845518</v>
      </c>
      <c r="BO27" s="2">
        <f t="shared" si="3"/>
        <v>100</v>
      </c>
      <c r="BP27" s="3">
        <f t="shared" si="12"/>
        <v>1695.118155876583</v>
      </c>
      <c r="BQ27" s="2">
        <v>1</v>
      </c>
      <c r="BR27" s="3">
        <f t="shared" si="13"/>
        <v>1695.118155876583</v>
      </c>
      <c r="BS27" s="3">
        <f t="shared" si="14"/>
        <v>212.74343098787233</v>
      </c>
      <c r="BT27" s="3">
        <f t="shared" si="15"/>
        <v>212.74343098787233</v>
      </c>
      <c r="BU27" s="3">
        <f t="shared" si="16"/>
        <v>125.5036</v>
      </c>
      <c r="BW27" s="2">
        <f t="shared" si="5"/>
        <v>80</v>
      </c>
      <c r="BX27" s="19">
        <f t="shared" si="17"/>
        <v>50.30949442268313</v>
      </c>
      <c r="BY27" s="19">
        <f t="shared" si="18"/>
        <v>78.61353711477139</v>
      </c>
      <c r="BZ27" s="19" t="s">
        <v>117</v>
      </c>
      <c r="CA27" s="19">
        <f t="shared" si="50"/>
        <v>6.863117988981969</v>
      </c>
      <c r="CB27" s="19">
        <f>BY26+((BY27-BY26)*(40-BX26)/(BX27-BX26))</f>
        <v>72.11265980423332</v>
      </c>
      <c r="CC27" s="19">
        <f t="shared" si="19"/>
        <v>10.063969021533817</v>
      </c>
    </row>
    <row r="28" spans="2:81" ht="15">
      <c r="B28" s="2">
        <f>F27/(F27-1)</f>
        <v>2.0786143891422975</v>
      </c>
      <c r="E28" s="2" t="s">
        <v>118</v>
      </c>
      <c r="I28" s="2" t="s">
        <v>119</v>
      </c>
      <c r="J28" s="2">
        <f>J10+J11+J15+J16+J21</f>
        <v>14300</v>
      </c>
      <c r="K28" s="2">
        <f>K10+K11+K15+K16+K21</f>
        <v>5850</v>
      </c>
      <c r="L28" s="3">
        <f>J28*1.02628</f>
        <v>14675.804000000002</v>
      </c>
      <c r="M28" s="3">
        <f>K28*1.02628</f>
        <v>6003.738</v>
      </c>
      <c r="O28" s="2">
        <v>120</v>
      </c>
      <c r="P28" s="2">
        <v>1185</v>
      </c>
      <c r="Q28" s="2">
        <v>9</v>
      </c>
      <c r="R28" s="2">
        <f t="shared" si="44"/>
        <v>1194</v>
      </c>
      <c r="S28" s="2">
        <f t="shared" si="45"/>
        <v>544</v>
      </c>
      <c r="T28" s="2">
        <f t="shared" si="45"/>
        <v>7</v>
      </c>
      <c r="U28" s="2">
        <f t="shared" si="45"/>
        <v>551</v>
      </c>
      <c r="X28" s="2">
        <v>100</v>
      </c>
      <c r="Y28" s="3">
        <f>S27*13415/11214</f>
        <v>1695.118155876583</v>
      </c>
      <c r="Z28" s="3">
        <f>T27*5820/4993</f>
        <v>65.27538553975566</v>
      </c>
      <c r="AA28" s="3">
        <f t="shared" si="39"/>
        <v>1760.3935414163386</v>
      </c>
      <c r="AB28" s="3">
        <f t="shared" si="47"/>
        <v>183.07276083467096</v>
      </c>
      <c r="AC28" s="3">
        <f t="shared" si="47"/>
        <v>7.049741638293612</v>
      </c>
      <c r="AD28" s="3">
        <f t="shared" si="47"/>
        <v>190.12250247296458</v>
      </c>
      <c r="AE28" s="2">
        <v>108</v>
      </c>
      <c r="AF28" s="2">
        <f t="shared" si="48"/>
        <v>108</v>
      </c>
      <c r="AG28" s="2">
        <f t="shared" si="49"/>
        <v>108</v>
      </c>
      <c r="AH28" s="2">
        <f t="shared" si="1"/>
        <v>100</v>
      </c>
      <c r="AI28" s="2" t="s">
        <v>120</v>
      </c>
      <c r="AN28" s="2">
        <f t="shared" si="24"/>
        <v>100</v>
      </c>
      <c r="AO28" s="3">
        <f t="shared" si="25"/>
        <v>1760.3935414163386</v>
      </c>
      <c r="AP28" s="3">
        <f t="shared" si="33"/>
        <v>3789.057255487056</v>
      </c>
      <c r="AQ28" s="3">
        <f t="shared" si="26"/>
        <v>190.12250247296458</v>
      </c>
      <c r="AR28" s="3">
        <f t="shared" si="34"/>
        <v>1135.7953041791097</v>
      </c>
      <c r="AS28" s="2">
        <f t="shared" si="2"/>
        <v>80</v>
      </c>
      <c r="AT28" s="19">
        <f t="shared" si="7"/>
        <v>29.518100447197533</v>
      </c>
      <c r="AU28" s="19">
        <f t="shared" si="8"/>
        <v>66.8036098433651</v>
      </c>
      <c r="AV28" s="2" t="s">
        <v>109</v>
      </c>
      <c r="AW28" s="19">
        <f>AX28-AW27</f>
        <v>10.756190610619761</v>
      </c>
      <c r="AX28" s="19">
        <f>AU27+(AU28-AU27)*(20-AT27)/(AT28-AT27)</f>
        <v>58.24206384153243</v>
      </c>
      <c r="AY28" s="18">
        <f t="shared" si="27"/>
        <v>8.26421792768297</v>
      </c>
      <c r="AZ28" s="2">
        <f t="shared" si="4"/>
        <v>100</v>
      </c>
      <c r="BA28" s="3">
        <f t="shared" si="28"/>
        <v>1695.118155876583</v>
      </c>
      <c r="BB28" s="3">
        <f t="shared" si="41"/>
        <v>35.167472974163836</v>
      </c>
      <c r="BC28" s="3">
        <f t="shared" si="46"/>
        <v>1730.2856288507467</v>
      </c>
      <c r="BD28" s="3">
        <f t="shared" si="42"/>
        <v>212.74343098787233</v>
      </c>
      <c r="BE28" s="3">
        <f t="shared" si="43"/>
        <v>3.7980870812096943</v>
      </c>
      <c r="BF28" s="3">
        <f t="shared" si="31"/>
        <v>216.54151806908203</v>
      </c>
      <c r="BG28" s="3">
        <f t="shared" si="32"/>
        <v>108</v>
      </c>
      <c r="BH28" s="2">
        <f t="shared" si="0"/>
        <v>60</v>
      </c>
      <c r="BI28" s="19">
        <f t="shared" si="9"/>
        <v>62.33103485620512</v>
      </c>
      <c r="BJ28" s="19">
        <f t="shared" si="10"/>
        <v>85.3158443682785</v>
      </c>
      <c r="BK28" s="2" t="s">
        <v>117</v>
      </c>
      <c r="BL28" s="19">
        <f t="shared" si="51"/>
        <v>7.643503941627088</v>
      </c>
      <c r="BM28" s="19">
        <f>BJ27-((BJ27-BJ26)*(BI27-40)/(BI27-BI26))</f>
        <v>71.76032780512331</v>
      </c>
      <c r="BN28" s="18">
        <f t="shared" si="11"/>
        <v>12.184163495989656</v>
      </c>
      <c r="BO28" s="2">
        <f t="shared" si="3"/>
        <v>80</v>
      </c>
      <c r="BP28" s="3">
        <f t="shared" si="12"/>
        <v>2097.065721419654</v>
      </c>
      <c r="BQ28" s="2">
        <v>0.8375</v>
      </c>
      <c r="BR28" s="3">
        <f t="shared" si="13"/>
        <v>1756.2925416889602</v>
      </c>
      <c r="BS28" s="3">
        <f t="shared" si="14"/>
        <v>217.61167108542895</v>
      </c>
      <c r="BT28" s="3">
        <f t="shared" si="15"/>
        <v>182.24977453404676</v>
      </c>
      <c r="BU28" s="3">
        <f t="shared" si="16"/>
        <v>103.76960000000003</v>
      </c>
      <c r="BW28" s="2">
        <f t="shared" si="5"/>
        <v>60</v>
      </c>
      <c r="BX28" s="19">
        <f t="shared" si="17"/>
        <v>73.47473346407779</v>
      </c>
      <c r="BY28" s="19">
        <f t="shared" si="18"/>
        <v>90.31442442714074</v>
      </c>
      <c r="BZ28" s="19" t="s">
        <v>121</v>
      </c>
      <c r="CA28" s="19">
        <f t="shared" si="50"/>
        <v>6.3057188296593125</v>
      </c>
      <c r="CB28" s="19">
        <f>BY27-((BY27-BY26)*(BX27-50)/(BX27-BX26))</f>
        <v>78.41837863389263</v>
      </c>
      <c r="CC28" s="19">
        <f t="shared" si="19"/>
        <v>10.457653813426306</v>
      </c>
    </row>
    <row r="29" spans="2:81" ht="15">
      <c r="B29" s="2">
        <f>G29/(G29-1)</f>
        <v>2.4158442600805285</v>
      </c>
      <c r="E29" s="2" t="s">
        <v>122</v>
      </c>
      <c r="G29" s="20">
        <f>-(G17-G12)/(F17-F12)</f>
        <v>1.7062923714103437</v>
      </c>
      <c r="H29" s="2" t="s">
        <v>123</v>
      </c>
      <c r="J29" s="2" t="s">
        <v>124</v>
      </c>
      <c r="O29" s="2">
        <v>140</v>
      </c>
      <c r="P29" s="2">
        <v>641</v>
      </c>
      <c r="Q29" s="2">
        <v>2</v>
      </c>
      <c r="R29" s="2">
        <f t="shared" si="44"/>
        <v>643</v>
      </c>
      <c r="S29" s="2">
        <f t="shared" si="45"/>
        <v>190</v>
      </c>
      <c r="T29" s="2">
        <f t="shared" si="45"/>
        <v>2</v>
      </c>
      <c r="U29" s="2">
        <f t="shared" si="45"/>
        <v>192</v>
      </c>
      <c r="X29" s="2">
        <v>80</v>
      </c>
      <c r="Y29" s="3">
        <f>S26*13415/11214</f>
        <v>2097.065721419654</v>
      </c>
      <c r="Z29" s="3">
        <f>T26*5820/4993</f>
        <v>128.21950731023432</v>
      </c>
      <c r="AA29" s="3">
        <f t="shared" si="39"/>
        <v>2225.2852287298883</v>
      </c>
      <c r="AB29" s="3">
        <f t="shared" si="47"/>
        <v>184.54178348492957</v>
      </c>
      <c r="AC29" s="3">
        <f t="shared" si="47"/>
        <v>11.283316643300621</v>
      </c>
      <c r="AD29" s="3">
        <f t="shared" si="47"/>
        <v>195.82510012823016</v>
      </c>
      <c r="AE29" s="2">
        <v>88</v>
      </c>
      <c r="AF29" s="2">
        <f t="shared" si="48"/>
        <v>88</v>
      </c>
      <c r="AG29" s="2">
        <f t="shared" si="49"/>
        <v>88</v>
      </c>
      <c r="AH29" s="2">
        <f t="shared" si="1"/>
        <v>80</v>
      </c>
      <c r="AI29" s="2" t="s">
        <v>125</v>
      </c>
      <c r="AN29" s="2">
        <f t="shared" si="24"/>
        <v>80</v>
      </c>
      <c r="AO29" s="3">
        <f t="shared" si="25"/>
        <v>2225.2852287298883</v>
      </c>
      <c r="AP29" s="3">
        <f t="shared" si="33"/>
        <v>6014.342484216944</v>
      </c>
      <c r="AQ29" s="3">
        <f t="shared" si="26"/>
        <v>195.82510012823016</v>
      </c>
      <c r="AR29" s="3">
        <f t="shared" si="34"/>
        <v>1331.6204043073399</v>
      </c>
      <c r="AS29" s="2">
        <f t="shared" si="2"/>
        <v>60</v>
      </c>
      <c r="AT29" s="19">
        <f t="shared" si="7"/>
        <v>47.15179411682941</v>
      </c>
      <c r="AU29" s="19">
        <f t="shared" si="8"/>
        <v>79.24049492459575</v>
      </c>
      <c r="AV29" s="2" t="s">
        <v>114</v>
      </c>
      <c r="AW29" s="19">
        <f aca="true" t="shared" si="52" ref="AW29:AW36">AX29-AX28</f>
        <v>8.901425409470463</v>
      </c>
      <c r="AX29" s="19">
        <f>AU28+(AU29-AU28)*(30-AT28)/(AT29-AT28)</f>
        <v>67.14348925100289</v>
      </c>
      <c r="AY29" s="18">
        <f t="shared" si="27"/>
        <v>12.233235713088202</v>
      </c>
      <c r="AZ29" s="21">
        <f t="shared" si="4"/>
        <v>80</v>
      </c>
      <c r="BA29" s="22">
        <f>Y29-AK45</f>
        <v>2097.065721419654</v>
      </c>
      <c r="BB29" s="22">
        <f>(Z29-AK46)*0.5387555</f>
        <v>55.61007727067895</v>
      </c>
      <c r="BC29" s="22">
        <f t="shared" si="46"/>
        <v>2152.675798690333</v>
      </c>
      <c r="BD29" s="22">
        <f aca="true" t="shared" si="53" ref="BD29:BD34">((1.0867)*BA29*BG29/1000)+(BA29*8.14/1000)</f>
        <v>217.61167108542895</v>
      </c>
      <c r="BE29" s="22">
        <f t="shared" si="43"/>
        <v>4.893686799819748</v>
      </c>
      <c r="BF29" s="22">
        <f t="shared" si="31"/>
        <v>222.5053578852487</v>
      </c>
      <c r="BG29" s="22">
        <f t="shared" si="32"/>
        <v>88</v>
      </c>
      <c r="BH29" s="2">
        <f t="shared" si="0"/>
        <v>40</v>
      </c>
      <c r="BI29" s="19">
        <f t="shared" si="9"/>
        <v>94.68445022869355</v>
      </c>
      <c r="BJ29" s="19">
        <f t="shared" si="10"/>
        <v>98.92410380793076</v>
      </c>
      <c r="BK29" s="2" t="s">
        <v>121</v>
      </c>
      <c r="BL29" s="19">
        <f t="shared" si="51"/>
        <v>6.076213313259885</v>
      </c>
      <c r="BM29" s="19">
        <f>BJ27+((BJ28-BJ27)*(50-BI27)/(BI28-BI27))</f>
        <v>77.8365411183832</v>
      </c>
      <c r="BN29" s="18">
        <f t="shared" si="11"/>
        <v>8.80804362686152</v>
      </c>
      <c r="BO29" s="2">
        <f t="shared" si="3"/>
        <v>60</v>
      </c>
      <c r="BP29" s="3">
        <f t="shared" si="12"/>
        <v>3019.3918316390227</v>
      </c>
      <c r="BQ29" s="2">
        <v>0.8375</v>
      </c>
      <c r="BR29" s="3">
        <f t="shared" si="13"/>
        <v>2528.7406589976817</v>
      </c>
      <c r="BS29" s="3">
        <f t="shared" si="14"/>
        <v>250.97879364704832</v>
      </c>
      <c r="BT29" s="3">
        <f t="shared" si="15"/>
        <v>210.19473967940297</v>
      </c>
      <c r="BU29" s="3">
        <f t="shared" si="16"/>
        <v>83.12229999999998</v>
      </c>
      <c r="BW29" s="2">
        <f t="shared" si="5"/>
        <v>40</v>
      </c>
      <c r="BX29" s="19">
        <f t="shared" si="17"/>
        <v>99.82617275974677</v>
      </c>
      <c r="BY29" s="19">
        <f t="shared" si="18"/>
        <v>99.97043284485959</v>
      </c>
      <c r="BZ29" s="19" t="s">
        <v>126</v>
      </c>
      <c r="CA29" s="19">
        <f t="shared" si="50"/>
        <v>5.089885168458196</v>
      </c>
      <c r="CB29" s="19">
        <f>BY27+((BY28-BY27)*(60-BX27)/(BX28-BX27))</f>
        <v>83.50826380235083</v>
      </c>
      <c r="CC29" s="19">
        <f t="shared" si="19"/>
        <v>4.475515550466174</v>
      </c>
    </row>
    <row r="30" spans="5:81" ht="15">
      <c r="E30" s="2" t="s">
        <v>127</v>
      </c>
      <c r="O30" s="21">
        <v>160</v>
      </c>
      <c r="P30" s="21">
        <v>451</v>
      </c>
      <c r="Q30" s="21"/>
      <c r="R30" s="21">
        <f t="shared" si="44"/>
        <v>451</v>
      </c>
      <c r="S30" s="21">
        <f t="shared" si="45"/>
        <v>174</v>
      </c>
      <c r="T30" s="21">
        <f t="shared" si="45"/>
        <v>0</v>
      </c>
      <c r="U30" s="21">
        <f t="shared" si="45"/>
        <v>174</v>
      </c>
      <c r="X30" s="2">
        <v>60</v>
      </c>
      <c r="Y30" s="3">
        <f>S25*13415/11214</f>
        <v>3019.3918316390227</v>
      </c>
      <c r="Z30" s="3">
        <f>T25*5820/4993</f>
        <v>573.490887242139</v>
      </c>
      <c r="AA30" s="3">
        <f t="shared" si="39"/>
        <v>3592.882718881162</v>
      </c>
      <c r="AB30" s="3">
        <f t="shared" si="47"/>
        <v>208.33803638309257</v>
      </c>
      <c r="AC30" s="3">
        <f t="shared" si="47"/>
        <v>39.5708712197076</v>
      </c>
      <c r="AD30" s="3">
        <f t="shared" si="47"/>
        <v>247.90890760280018</v>
      </c>
      <c r="AE30" s="2">
        <v>69</v>
      </c>
      <c r="AF30" s="2">
        <f t="shared" si="48"/>
        <v>69</v>
      </c>
      <c r="AG30" s="2">
        <f t="shared" si="49"/>
        <v>69</v>
      </c>
      <c r="AH30" s="2">
        <f t="shared" si="1"/>
        <v>60</v>
      </c>
      <c r="AN30" s="2">
        <f t="shared" si="24"/>
        <v>60</v>
      </c>
      <c r="AO30" s="3">
        <f t="shared" si="25"/>
        <v>3592.882718881162</v>
      </c>
      <c r="AP30" s="3">
        <f t="shared" si="33"/>
        <v>9607.225203098107</v>
      </c>
      <c r="AQ30" s="3">
        <f t="shared" si="26"/>
        <v>247.90890760280018</v>
      </c>
      <c r="AR30" s="3">
        <f t="shared" si="34"/>
        <v>1579.52931191014</v>
      </c>
      <c r="AS30" s="2">
        <f t="shared" si="2"/>
        <v>40</v>
      </c>
      <c r="AT30" s="19">
        <f t="shared" si="7"/>
        <v>78.24450732057046</v>
      </c>
      <c r="AU30" s="19">
        <f t="shared" si="8"/>
        <v>94.49573676956426</v>
      </c>
      <c r="AV30" s="2" t="s">
        <v>117</v>
      </c>
      <c r="AW30" s="19">
        <f t="shared" si="52"/>
        <v>7.0529097954383815</v>
      </c>
      <c r="AX30" s="19">
        <f>AU29-(AU29-AU28)*(AT29-40)/(AT29-AT28)</f>
        <v>74.19639904644127</v>
      </c>
      <c r="AY30" s="18">
        <f t="shared" si="27"/>
        <v>15.030195877622878</v>
      </c>
      <c r="AZ30" s="2">
        <f t="shared" si="4"/>
        <v>60</v>
      </c>
      <c r="BA30" s="3">
        <f>Y30-AJ45</f>
        <v>3019.3918316390227</v>
      </c>
      <c r="BB30" s="3">
        <f>(Z30-AJ46)*0.5387555</f>
        <v>255.09581970158226</v>
      </c>
      <c r="BC30" s="3">
        <f t="shared" si="46"/>
        <v>3274.4876513406048</v>
      </c>
      <c r="BD30" s="3">
        <f t="shared" si="53"/>
        <v>250.97879364704832</v>
      </c>
      <c r="BE30" s="3">
        <f t="shared" si="43"/>
        <v>17.601611559409175</v>
      </c>
      <c r="BF30" s="3">
        <f t="shared" si="31"/>
        <v>268.5804052064575</v>
      </c>
      <c r="BG30" s="3">
        <f t="shared" si="32"/>
        <v>69</v>
      </c>
      <c r="BH30" s="2">
        <f t="shared" si="0"/>
        <v>20</v>
      </c>
      <c r="BI30" s="19">
        <f t="shared" si="9"/>
        <v>99.39507277258348</v>
      </c>
      <c r="BJ30" s="19">
        <f t="shared" si="10"/>
        <v>99.95602966010723</v>
      </c>
      <c r="BK30" s="2" t="s">
        <v>126</v>
      </c>
      <c r="BL30" s="19">
        <f t="shared" si="51"/>
        <v>6.065430304198387</v>
      </c>
      <c r="BM30" s="19">
        <f>BJ28-((BJ28-BJ27)*(BI28-60)/(BI28-BI27))</f>
        <v>83.90197142258158</v>
      </c>
      <c r="BN30" s="18">
        <f t="shared" si="11"/>
        <v>0.22613863889158176</v>
      </c>
      <c r="BO30" s="2">
        <f t="shared" si="3"/>
        <v>40</v>
      </c>
      <c r="BP30" s="3">
        <f t="shared" si="12"/>
        <v>3434.6859283039057</v>
      </c>
      <c r="BQ30" s="2">
        <v>0.8375</v>
      </c>
      <c r="BR30" s="3">
        <f t="shared" si="13"/>
        <v>2876.549464954521</v>
      </c>
      <c r="BS30" s="3">
        <f t="shared" si="14"/>
        <v>207.1170569742108</v>
      </c>
      <c r="BT30" s="3">
        <f t="shared" si="15"/>
        <v>173.46053521590156</v>
      </c>
      <c r="BU30" s="3">
        <f t="shared" si="16"/>
        <v>60.3016</v>
      </c>
      <c r="BW30" s="2">
        <f t="shared" si="5"/>
        <v>20</v>
      </c>
      <c r="BX30" s="19">
        <f t="shared" si="17"/>
        <v>99.88764782621459</v>
      </c>
      <c r="BY30" s="19">
        <f t="shared" si="18"/>
        <v>99.98544918615755</v>
      </c>
      <c r="BZ30" s="19" t="s">
        <v>128</v>
      </c>
      <c r="CA30" s="19">
        <f t="shared" si="50"/>
        <v>5.051053991482959</v>
      </c>
      <c r="CB30" s="19">
        <f>BY28-((BY28-BY27)*(BX28-70)/(BX28-BX27))</f>
        <v>88.55931779383378</v>
      </c>
      <c r="CC30" s="2">
        <f t="shared" si="19"/>
        <v>0.00014880743424101051</v>
      </c>
    </row>
    <row r="31" spans="15:81" ht="15">
      <c r="O31" s="2">
        <v>200</v>
      </c>
      <c r="P31" s="2">
        <v>277</v>
      </c>
      <c r="R31" s="2">
        <f t="shared" si="44"/>
        <v>277</v>
      </c>
      <c r="S31" s="2">
        <f t="shared" si="45"/>
        <v>152</v>
      </c>
      <c r="T31" s="2">
        <f t="shared" si="45"/>
        <v>0</v>
      </c>
      <c r="U31" s="2">
        <f t="shared" si="45"/>
        <v>152</v>
      </c>
      <c r="X31" s="2">
        <v>40</v>
      </c>
      <c r="Y31" s="3">
        <f>S24*13415/11214</f>
        <v>3502.6859283039057</v>
      </c>
      <c r="Z31" s="3">
        <f>T24*5820/4993</f>
        <v>2832.4854796715404</v>
      </c>
      <c r="AA31" s="3">
        <f t="shared" si="39"/>
        <v>6335.171407975446</v>
      </c>
      <c r="AB31" s="3">
        <f t="shared" si="47"/>
        <v>168.1289245585875</v>
      </c>
      <c r="AC31" s="3">
        <f t="shared" si="47"/>
        <v>135.95930302423392</v>
      </c>
      <c r="AD31" s="3">
        <f t="shared" si="47"/>
        <v>304.0882275828214</v>
      </c>
      <c r="AE31" s="2">
        <v>48</v>
      </c>
      <c r="AF31" s="2">
        <f t="shared" si="48"/>
        <v>48</v>
      </c>
      <c r="AG31" s="2">
        <f t="shared" si="49"/>
        <v>48</v>
      </c>
      <c r="AH31" s="2">
        <f t="shared" si="1"/>
        <v>40</v>
      </c>
      <c r="AN31" s="2">
        <f t="shared" si="24"/>
        <v>40</v>
      </c>
      <c r="AO31" s="3">
        <f t="shared" si="25"/>
        <v>6335.171407975446</v>
      </c>
      <c r="AP31" s="3">
        <f t="shared" si="33"/>
        <v>15942.396611073553</v>
      </c>
      <c r="AQ31" s="3">
        <f t="shared" si="26"/>
        <v>304.0882275828214</v>
      </c>
      <c r="AR31" s="3">
        <f t="shared" si="34"/>
        <v>1883.6175394929614</v>
      </c>
      <c r="AS31" s="2">
        <f t="shared" si="2"/>
        <v>20</v>
      </c>
      <c r="AT31" s="19">
        <f t="shared" si="7"/>
        <v>93.484544306651</v>
      </c>
      <c r="AU31" s="19">
        <f t="shared" si="8"/>
        <v>99.09117862635865</v>
      </c>
      <c r="AV31" s="2" t="s">
        <v>121</v>
      </c>
      <c r="AW31" s="19">
        <f t="shared" si="52"/>
        <v>6.441531646699815</v>
      </c>
      <c r="AX31" s="19">
        <f>AU29+(AU30-AU29)*(50-AT29)/(AT30-AT29)</f>
        <v>80.63793069314109</v>
      </c>
      <c r="AY31" s="18">
        <f t="shared" si="27"/>
        <v>3.331146522717199</v>
      </c>
      <c r="AZ31" s="2">
        <f t="shared" si="4"/>
        <v>40</v>
      </c>
      <c r="BA31" s="3">
        <f>Y31-AI45</f>
        <v>3434.6859283039057</v>
      </c>
      <c r="BB31" s="3">
        <f>(Z31-AI46)*0.5387555</f>
        <v>1323.9838183431807</v>
      </c>
      <c r="BC31" s="3">
        <f t="shared" si="46"/>
        <v>4758.669746647087</v>
      </c>
      <c r="BD31" s="3">
        <f t="shared" si="53"/>
        <v>207.1170569742108</v>
      </c>
      <c r="BE31" s="3">
        <f t="shared" si="43"/>
        <v>63.551223280472676</v>
      </c>
      <c r="BF31" s="3">
        <f t="shared" si="31"/>
        <v>270.6682802546835</v>
      </c>
      <c r="BG31" s="3">
        <f t="shared" si="32"/>
        <v>48</v>
      </c>
      <c r="BH31" s="2">
        <f t="shared" si="0"/>
        <v>10</v>
      </c>
      <c r="BI31" s="19">
        <f t="shared" si="9"/>
        <v>99.60805347007334</v>
      </c>
      <c r="BJ31" s="19">
        <f t="shared" si="10"/>
        <v>99.9853619076911</v>
      </c>
      <c r="BK31" s="2" t="s">
        <v>128</v>
      </c>
      <c r="BL31" s="19">
        <f t="shared" si="51"/>
        <v>4.639537565919795</v>
      </c>
      <c r="BM31" s="19">
        <f>BJ28+((BJ29-BJ28)*(70-BI28)/(BI29-BI28))</f>
        <v>88.54150898850138</v>
      </c>
      <c r="BN31" s="18">
        <f t="shared" si="11"/>
        <v>0.0019983240337919806</v>
      </c>
      <c r="BO31" s="2">
        <f t="shared" si="3"/>
        <v>20</v>
      </c>
      <c r="BP31" s="3">
        <f t="shared" si="12"/>
        <v>8.012751917246305</v>
      </c>
      <c r="BQ31" s="2">
        <v>0.8375</v>
      </c>
      <c r="BR31" s="3">
        <f t="shared" si="13"/>
        <v>6.710679730693781</v>
      </c>
      <c r="BS31" s="3">
        <f t="shared" si="14"/>
        <v>0.32209379710629593</v>
      </c>
      <c r="BT31" s="3">
        <f t="shared" si="15"/>
        <v>0.2697535550765229</v>
      </c>
      <c r="BU31" s="3">
        <f t="shared" si="16"/>
        <v>40.19765</v>
      </c>
      <c r="BW31" s="2">
        <f t="shared" si="5"/>
        <v>10</v>
      </c>
      <c r="BX31" s="19">
        <f t="shared" si="17"/>
        <v>99.97991002741117</v>
      </c>
      <c r="BY31" s="19">
        <f t="shared" si="18"/>
        <v>99.99915164030008</v>
      </c>
      <c r="BZ31" s="19" t="s">
        <v>129</v>
      </c>
      <c r="CA31" s="19">
        <f t="shared" si="50"/>
        <v>4.146172559223174</v>
      </c>
      <c r="CB31" s="19">
        <f>BY28+((BY29-BY28)*(80-BX28)/(BX29-BX28))</f>
        <v>92.70549035305696</v>
      </c>
      <c r="CC31" s="2">
        <f t="shared" si="19"/>
        <v>0.00010798642308060463</v>
      </c>
    </row>
    <row r="32" spans="1:81" ht="15">
      <c r="A32" s="10" t="s">
        <v>130</v>
      </c>
      <c r="J32" s="2" t="s">
        <v>131</v>
      </c>
      <c r="O32" s="2">
        <v>300</v>
      </c>
      <c r="P32" s="2">
        <v>125</v>
      </c>
      <c r="R32" s="2">
        <f t="shared" si="44"/>
        <v>125</v>
      </c>
      <c r="S32" s="2">
        <f t="shared" si="45"/>
        <v>53</v>
      </c>
      <c r="T32" s="2">
        <f t="shared" si="45"/>
        <v>0</v>
      </c>
      <c r="U32" s="2">
        <f t="shared" si="45"/>
        <v>53</v>
      </c>
      <c r="X32" s="2">
        <v>20</v>
      </c>
      <c r="Y32" s="3">
        <f>S23*13415/11214</f>
        <v>1408.0127519172463</v>
      </c>
      <c r="Z32" s="3">
        <f>T23*5820/4993</f>
        <v>1697.160024033647</v>
      </c>
      <c r="AA32" s="3">
        <f t="shared" si="39"/>
        <v>3105.172775950893</v>
      </c>
      <c r="AB32" s="3">
        <f t="shared" si="47"/>
        <v>41.536376181558765</v>
      </c>
      <c r="AC32" s="3">
        <f t="shared" si="47"/>
        <v>50.06622070899259</v>
      </c>
      <c r="AD32" s="3">
        <f t="shared" si="47"/>
        <v>91.60259689055134</v>
      </c>
      <c r="AE32" s="2">
        <v>29.5</v>
      </c>
      <c r="AF32" s="2">
        <f t="shared" si="48"/>
        <v>29.5</v>
      </c>
      <c r="AG32" s="2">
        <f t="shared" si="49"/>
        <v>29.5</v>
      </c>
      <c r="AH32" s="2">
        <f t="shared" si="1"/>
        <v>20</v>
      </c>
      <c r="AN32" s="2">
        <f t="shared" si="24"/>
        <v>20</v>
      </c>
      <c r="AO32" s="3">
        <f t="shared" si="25"/>
        <v>3105.172775950893</v>
      </c>
      <c r="AP32" s="3">
        <f t="shared" si="33"/>
        <v>19047.569387024447</v>
      </c>
      <c r="AQ32" s="3">
        <f t="shared" si="26"/>
        <v>91.60259689055134</v>
      </c>
      <c r="AR32" s="3">
        <f t="shared" si="34"/>
        <v>1975.2201363835127</v>
      </c>
      <c r="AS32" s="2">
        <f t="shared" si="2"/>
        <v>10</v>
      </c>
      <c r="AT32" s="19">
        <f t="shared" si="7"/>
        <v>99.11813504644655</v>
      </c>
      <c r="AU32" s="19">
        <f t="shared" si="8"/>
        <v>99.95494400271073</v>
      </c>
      <c r="AV32" s="2" t="s">
        <v>126</v>
      </c>
      <c r="AW32" s="19">
        <f t="shared" si="52"/>
        <v>4.9063720316093224</v>
      </c>
      <c r="AX32" s="19">
        <f>AU29+(AU30-AU29)*(60-AT29)/(AT30-AT29)</f>
        <v>85.54430272475041</v>
      </c>
      <c r="AY32" s="18">
        <f t="shared" si="27"/>
        <v>0.3629972237191281</v>
      </c>
      <c r="AZ32" s="2">
        <f t="shared" si="4"/>
        <v>20</v>
      </c>
      <c r="BA32" s="3">
        <f>Y32-AH45</f>
        <v>8.012751917246305</v>
      </c>
      <c r="BB32" s="3">
        <f>(Z32-AH46)*0.5387555</f>
        <v>684.8444543282595</v>
      </c>
      <c r="BC32" s="3">
        <f t="shared" si="46"/>
        <v>692.8572062455058</v>
      </c>
      <c r="BD32" s="3">
        <f t="shared" si="53"/>
        <v>0.32209379710629593</v>
      </c>
      <c r="BE32" s="3">
        <f t="shared" si="43"/>
        <v>20.202911402683657</v>
      </c>
      <c r="BF32" s="3">
        <f t="shared" si="31"/>
        <v>20.525005199789952</v>
      </c>
      <c r="BG32" s="3">
        <f t="shared" si="32"/>
        <v>29.5</v>
      </c>
      <c r="BH32" s="2">
        <f t="shared" si="0"/>
        <v>0</v>
      </c>
      <c r="BI32" s="19">
        <f t="shared" si="9"/>
        <v>99.9997893312665</v>
      </c>
      <c r="BJ32" s="19">
        <f t="shared" si="10"/>
        <v>100.00098232264972</v>
      </c>
      <c r="BK32" s="2" t="s">
        <v>129</v>
      </c>
      <c r="BL32" s="19">
        <f t="shared" si="51"/>
        <v>4.206127632269698</v>
      </c>
      <c r="BM32" s="19">
        <f>BJ29-((BJ29-BJ28)*(BI29-80)/(BI29-BI28))</f>
        <v>92.74763662077108</v>
      </c>
      <c r="BN32" s="18">
        <f t="shared" si="11"/>
        <v>0.0014827258325253742</v>
      </c>
      <c r="BO32" s="2">
        <f t="shared" si="3"/>
        <v>10</v>
      </c>
      <c r="BP32" s="3">
        <f t="shared" si="12"/>
        <v>12.025593008739065</v>
      </c>
      <c r="BQ32" s="2">
        <v>0.8375</v>
      </c>
      <c r="BR32" s="3">
        <f t="shared" si="13"/>
        <v>10.071434144818967</v>
      </c>
      <c r="BS32" s="3">
        <f t="shared" si="14"/>
        <v>0.29391150593008714</v>
      </c>
      <c r="BT32" s="3">
        <f t="shared" si="15"/>
        <v>0.24615088621644798</v>
      </c>
      <c r="BU32" s="3">
        <f t="shared" si="16"/>
        <v>24.4405</v>
      </c>
      <c r="BW32" s="2">
        <f t="shared" si="5"/>
        <v>0</v>
      </c>
      <c r="BX32" s="19">
        <f t="shared" si="17"/>
        <v>100.0001337541352</v>
      </c>
      <c r="BY32" s="19">
        <f t="shared" si="18"/>
        <v>100.00081972267866</v>
      </c>
      <c r="BZ32" s="19" t="s">
        <v>132</v>
      </c>
      <c r="CA32" s="19">
        <f t="shared" si="50"/>
        <v>3.66431917034069</v>
      </c>
      <c r="CB32" s="19">
        <f>BY29-((BY29-BY28)*(BX29-90)/(BX29-BX28))</f>
        <v>96.36980952339765</v>
      </c>
      <c r="CC32" s="2">
        <f t="shared" si="19"/>
        <v>4.0300996115931316E-06</v>
      </c>
    </row>
    <row r="33" spans="1:81" ht="15">
      <c r="A33" s="2" t="s">
        <v>27</v>
      </c>
      <c r="J33" s="2" t="s">
        <v>28</v>
      </c>
      <c r="O33" s="21">
        <v>400</v>
      </c>
      <c r="P33" s="21">
        <v>72</v>
      </c>
      <c r="Q33" s="21"/>
      <c r="R33" s="21">
        <f t="shared" si="44"/>
        <v>72</v>
      </c>
      <c r="S33" s="21">
        <f t="shared" si="45"/>
        <v>28</v>
      </c>
      <c r="T33" s="21">
        <f t="shared" si="45"/>
        <v>0</v>
      </c>
      <c r="U33" s="21">
        <f t="shared" si="45"/>
        <v>28</v>
      </c>
      <c r="X33" s="2">
        <v>10</v>
      </c>
      <c r="Y33" s="3">
        <f>S22*13415/11214</f>
        <v>762.0255930087391</v>
      </c>
      <c r="Z33" s="3">
        <f>T22*5820/4993</f>
        <v>385.8241538153415</v>
      </c>
      <c r="AA33" s="3">
        <f t="shared" si="39"/>
        <v>1147.8497468240805</v>
      </c>
      <c r="AB33" s="3">
        <f t="shared" si="47"/>
        <v>11.430383895131087</v>
      </c>
      <c r="AC33" s="3">
        <f t="shared" si="47"/>
        <v>5.787362307230122</v>
      </c>
      <c r="AD33" s="3">
        <f t="shared" si="47"/>
        <v>17.217746202361205</v>
      </c>
      <c r="AE33" s="2">
        <v>15</v>
      </c>
      <c r="AF33" s="2">
        <f t="shared" si="48"/>
        <v>15</v>
      </c>
      <c r="AG33" s="2">
        <f t="shared" si="49"/>
        <v>15</v>
      </c>
      <c r="AH33" s="2">
        <f t="shared" si="1"/>
        <v>10</v>
      </c>
      <c r="AN33" s="2">
        <f t="shared" si="24"/>
        <v>10</v>
      </c>
      <c r="AO33" s="3">
        <f t="shared" si="25"/>
        <v>1147.8497468240805</v>
      </c>
      <c r="AP33" s="3">
        <f t="shared" si="33"/>
        <v>20195.41913384853</v>
      </c>
      <c r="AQ33" s="3">
        <f t="shared" si="26"/>
        <v>17.217746202361205</v>
      </c>
      <c r="AR33" s="3">
        <f t="shared" si="34"/>
        <v>1992.437882585874</v>
      </c>
      <c r="AS33" s="2">
        <f t="shared" si="2"/>
        <v>0</v>
      </c>
      <c r="AT33" s="19">
        <f t="shared" si="7"/>
        <v>100.00004417156238</v>
      </c>
      <c r="AU33" s="19">
        <f t="shared" si="8"/>
        <v>100.00001665131374</v>
      </c>
      <c r="AV33" s="2" t="s">
        <v>128</v>
      </c>
      <c r="AW33" s="19">
        <f t="shared" si="52"/>
        <v>4.9063720316093224</v>
      </c>
      <c r="AX33" s="19">
        <f>AU30-(AU30-AU29)*(AT30-70)/(AT30-AT29)</f>
        <v>90.45067475635973</v>
      </c>
      <c r="AY33" s="18">
        <f t="shared" si="27"/>
        <v>0.0073796518414963085</v>
      </c>
      <c r="AZ33" s="2">
        <f t="shared" si="4"/>
        <v>10</v>
      </c>
      <c r="BA33" s="3">
        <f>Y33-AG45</f>
        <v>12.025593008739065</v>
      </c>
      <c r="BB33" s="3">
        <f>(Z33-AG46)*0.5387555</f>
        <v>19.30045990086122</v>
      </c>
      <c r="BC33" s="3">
        <f t="shared" si="46"/>
        <v>31.326052909600286</v>
      </c>
      <c r="BD33" s="3">
        <f t="shared" si="53"/>
        <v>0.29391150593008714</v>
      </c>
      <c r="BE33" s="3">
        <f t="shared" si="43"/>
        <v>0.28950689851291833</v>
      </c>
      <c r="BF33" s="3">
        <f t="shared" si="31"/>
        <v>0.5834184044430055</v>
      </c>
      <c r="BG33" s="3">
        <f t="shared" si="32"/>
        <v>15</v>
      </c>
      <c r="BI33" s="19"/>
      <c r="BK33" s="2" t="s">
        <v>132</v>
      </c>
      <c r="BL33" s="19">
        <f t="shared" si="51"/>
        <v>4.206127632269684</v>
      </c>
      <c r="BM33" s="19">
        <f>BJ29-((BJ29-BJ28)*(BI29-90)/(BI29-BI28))</f>
        <v>96.95376425304076</v>
      </c>
      <c r="BN33" s="18"/>
      <c r="BO33" s="2">
        <f t="shared" si="3"/>
        <v>0</v>
      </c>
      <c r="BP33" s="3">
        <f t="shared" si="12"/>
        <v>2.635990725878365</v>
      </c>
      <c r="BQ33" s="2">
        <v>0.8375</v>
      </c>
      <c r="BR33" s="3">
        <f t="shared" si="13"/>
        <v>2.207642232923131</v>
      </c>
      <c r="BS33" s="3">
        <f t="shared" si="14"/>
        <v>0.035779620117709986</v>
      </c>
      <c r="BT33" s="3">
        <f t="shared" si="15"/>
        <v>0.029965431848582115</v>
      </c>
      <c r="BU33" s="3">
        <f t="shared" si="16"/>
        <v>13.5735</v>
      </c>
      <c r="BX33" s="19"/>
      <c r="BZ33" s="19" t="s">
        <v>29</v>
      </c>
      <c r="CA33" s="19">
        <f t="shared" si="50"/>
        <v>3.630190476602351</v>
      </c>
      <c r="CB33" s="19">
        <v>100</v>
      </c>
      <c r="CC33" s="19"/>
    </row>
    <row r="34" spans="1:81" ht="15">
      <c r="A34" s="2" t="s">
        <v>30</v>
      </c>
      <c r="O34" s="2">
        <v>500</v>
      </c>
      <c r="P34" s="2">
        <v>44</v>
      </c>
      <c r="R34" s="2">
        <f t="shared" si="44"/>
        <v>44</v>
      </c>
      <c r="S34" s="2">
        <f t="shared" si="45"/>
        <v>14</v>
      </c>
      <c r="T34" s="2">
        <f t="shared" si="45"/>
        <v>0</v>
      </c>
      <c r="U34" s="2">
        <f t="shared" si="45"/>
        <v>14</v>
      </c>
      <c r="X34" s="2">
        <v>0</v>
      </c>
      <c r="Y34" s="3">
        <f>S21*13415/11214</f>
        <v>52.635990725878365</v>
      </c>
      <c r="Z34" s="3">
        <f>T21*5820/4993</f>
        <v>127.05387542559583</v>
      </c>
      <c r="AA34" s="3">
        <f t="shared" si="39"/>
        <v>179.6898661514742</v>
      </c>
      <c r="AB34" s="3">
        <f t="shared" si="47"/>
        <v>0.26317995362939184</v>
      </c>
      <c r="AC34" s="3">
        <f t="shared" si="47"/>
        <v>0.6352693771279792</v>
      </c>
      <c r="AD34" s="3">
        <f t="shared" si="47"/>
        <v>0.8984493307573711</v>
      </c>
      <c r="AE34" s="2">
        <v>5</v>
      </c>
      <c r="AF34" s="2">
        <f t="shared" si="48"/>
        <v>5</v>
      </c>
      <c r="AG34" s="2">
        <f t="shared" si="49"/>
        <v>5</v>
      </c>
      <c r="AH34" s="2">
        <f t="shared" si="1"/>
        <v>0</v>
      </c>
      <c r="AN34" s="2">
        <f t="shared" si="24"/>
        <v>0</v>
      </c>
      <c r="AO34" s="3">
        <f t="shared" si="25"/>
        <v>179.6898661514742</v>
      </c>
      <c r="AP34" s="3">
        <f t="shared" si="33"/>
        <v>20375.109000000004</v>
      </c>
      <c r="AQ34" s="3">
        <f t="shared" si="26"/>
        <v>0.8984493307573711</v>
      </c>
      <c r="AR34" s="3">
        <f t="shared" si="34"/>
        <v>1993.3363319166313</v>
      </c>
      <c r="AT34" s="19"/>
      <c r="AU34" s="19"/>
      <c r="AV34" s="2" t="s">
        <v>129</v>
      </c>
      <c r="AW34" s="19">
        <f t="shared" si="52"/>
        <v>4.574408795349143</v>
      </c>
      <c r="AX34" s="19">
        <f>AU30+(AU31-AU30)*(80-AT30)/(AT31-AT30)</f>
        <v>95.02508355170887</v>
      </c>
      <c r="AY34" s="18"/>
      <c r="AZ34" s="2">
        <f t="shared" si="4"/>
        <v>0</v>
      </c>
      <c r="BA34" s="3">
        <f>Y34-AF45</f>
        <v>2.635990725878365</v>
      </c>
      <c r="BB34" s="3">
        <f>(Z34-AF46)*0.5387555</f>
        <v>54.982086681854604</v>
      </c>
      <c r="BC34" s="3">
        <f t="shared" si="46"/>
        <v>57.61807740773297</v>
      </c>
      <c r="BD34" s="3">
        <f t="shared" si="53"/>
        <v>0.035779620117709986</v>
      </c>
      <c r="BE34" s="3">
        <f t="shared" si="43"/>
        <v>0.274910433409273</v>
      </c>
      <c r="BF34" s="3">
        <f t="shared" si="31"/>
        <v>0.310690053526983</v>
      </c>
      <c r="BG34" s="3">
        <f t="shared" si="32"/>
        <v>5</v>
      </c>
      <c r="BK34" s="2" t="s">
        <v>31</v>
      </c>
      <c r="BL34" s="19">
        <f t="shared" si="51"/>
        <v>3.0472180696089595</v>
      </c>
      <c r="BM34" s="19">
        <f>BJ32</f>
        <v>100.00098232264972</v>
      </c>
      <c r="BN34" s="18"/>
      <c r="BP34" s="3"/>
      <c r="BR34" s="3">
        <f>SUM(BR7:BR33)</f>
        <v>10916.114600735153</v>
      </c>
      <c r="BS34" s="3"/>
      <c r="BT34" s="3">
        <f>SUM(BT7:BT33)</f>
        <v>1796.4147254981988</v>
      </c>
      <c r="BZ34" s="19"/>
      <c r="CA34" s="19"/>
      <c r="CB34" s="19"/>
      <c r="CC34" s="19"/>
    </row>
    <row r="35" spans="1:81" ht="15">
      <c r="A35" s="2" t="s">
        <v>32</v>
      </c>
      <c r="O35" s="2">
        <v>600</v>
      </c>
      <c r="P35" s="2">
        <v>30</v>
      </c>
      <c r="R35" s="2">
        <f t="shared" si="44"/>
        <v>30</v>
      </c>
      <c r="S35" s="2">
        <f t="shared" si="45"/>
        <v>8</v>
      </c>
      <c r="T35" s="2">
        <f t="shared" si="45"/>
        <v>0</v>
      </c>
      <c r="U35" s="2">
        <f t="shared" si="45"/>
        <v>8</v>
      </c>
      <c r="Y35" s="3"/>
      <c r="Z35" s="3"/>
      <c r="AA35" s="3"/>
      <c r="AB35" s="3"/>
      <c r="AC35" s="3"/>
      <c r="AD35" s="3"/>
      <c r="AO35" s="3"/>
      <c r="AP35" s="3"/>
      <c r="AR35" s="2">
        <f>AQ34+AR33</f>
        <v>1993.3363319166313</v>
      </c>
      <c r="AV35" s="2" t="s">
        <v>132</v>
      </c>
      <c r="AW35" s="19">
        <f t="shared" si="52"/>
        <v>3.0153744777598916</v>
      </c>
      <c r="AX35" s="19">
        <f>AU31-(AU31-AU30)*(AT31-90)/(AT31-AT30)</f>
        <v>98.04045802946877</v>
      </c>
      <c r="BA35" s="22">
        <f aca="true" t="shared" si="54" ref="BA35:BF35">SUM(BA8:BA34)</f>
        <v>12257.108999999999</v>
      </c>
      <c r="BB35" s="22">
        <f t="shared" si="54"/>
        <v>2450.7987695</v>
      </c>
      <c r="BC35" s="22">
        <f t="shared" si="54"/>
        <v>14708.369014000002</v>
      </c>
      <c r="BD35" s="22">
        <f t="shared" si="54"/>
        <v>1873.1110058024724</v>
      </c>
      <c r="BE35" s="22">
        <f t="shared" si="54"/>
        <v>115.90853259503034</v>
      </c>
      <c r="BF35" s="22">
        <f t="shared" si="54"/>
        <v>1989.0195383975026</v>
      </c>
      <c r="BG35" s="22">
        <f>1000*BF35/BC35</f>
        <v>135.23046209299454</v>
      </c>
      <c r="BL35" s="19"/>
      <c r="BM35" s="19"/>
      <c r="BN35" s="18"/>
      <c r="BZ35" s="19" t="s">
        <v>33</v>
      </c>
      <c r="CA35" s="19">
        <f>1000*BT34/BR34</f>
        <v>164.56539631575671</v>
      </c>
      <c r="CB35" s="19"/>
      <c r="CC35" s="23" t="s">
        <v>34</v>
      </c>
    </row>
    <row r="36" spans="1:81" ht="15">
      <c r="A36" s="2" t="s">
        <v>35</v>
      </c>
      <c r="O36" s="2">
        <v>700</v>
      </c>
      <c r="P36" s="2">
        <v>22</v>
      </c>
      <c r="R36" s="2">
        <f t="shared" si="44"/>
        <v>22</v>
      </c>
      <c r="S36" s="2">
        <f t="shared" si="45"/>
        <v>5</v>
      </c>
      <c r="T36" s="2">
        <f t="shared" si="45"/>
        <v>0</v>
      </c>
      <c r="U36" s="2">
        <f t="shared" si="45"/>
        <v>5</v>
      </c>
      <c r="X36" s="2" t="s">
        <v>36</v>
      </c>
      <c r="Y36" s="3">
        <f aca="true" t="shared" si="55" ref="Y36:AD36">SUM(Y8:Y34)</f>
        <v>14525.108999999999</v>
      </c>
      <c r="Z36" s="3">
        <f t="shared" si="55"/>
        <v>5850</v>
      </c>
      <c r="AA36" s="3">
        <f t="shared" si="55"/>
        <v>20375.109000000004</v>
      </c>
      <c r="AB36" s="3">
        <f t="shared" si="55"/>
        <v>1733.1530802820212</v>
      </c>
      <c r="AC36" s="3">
        <f t="shared" si="55"/>
        <v>260.1832516346104</v>
      </c>
      <c r="AD36" s="3">
        <f t="shared" si="55"/>
        <v>1993.3363319166313</v>
      </c>
      <c r="AE36" s="3">
        <f>1000*AB36/Y36</f>
        <v>119.32117550939007</v>
      </c>
      <c r="AF36" s="3">
        <f>1000*AC36/Z36</f>
        <v>44.47576951018981</v>
      </c>
      <c r="AG36" s="3">
        <f>1000*AD36/AA36</f>
        <v>97.83193463733768</v>
      </c>
      <c r="AH36" s="24" t="s">
        <v>37</v>
      </c>
      <c r="AO36" s="3"/>
      <c r="AV36" s="2" t="s">
        <v>38</v>
      </c>
      <c r="AW36" s="19">
        <f t="shared" si="52"/>
        <v>1.9595586218449768</v>
      </c>
      <c r="AX36" s="19">
        <f>AU33</f>
        <v>100.00001665131374</v>
      </c>
      <c r="AZ36" s="6" t="s">
        <v>39</v>
      </c>
      <c r="BA36" s="25"/>
      <c r="BB36" s="25"/>
      <c r="BC36" s="25"/>
      <c r="BD36" s="3"/>
      <c r="BE36" s="3"/>
      <c r="BF36" s="3"/>
      <c r="BG36" s="3"/>
      <c r="BK36" s="2" t="s">
        <v>33</v>
      </c>
      <c r="BL36" s="19">
        <f>BG35</f>
        <v>135.23046209299454</v>
      </c>
      <c r="BM36" s="19"/>
      <c r="BQ36" s="2" t="s">
        <v>40</v>
      </c>
      <c r="BZ36" s="19" t="s">
        <v>41</v>
      </c>
      <c r="CA36" s="19">
        <f>80+((BX27-50)/(BX27-BX26))</f>
        <v>80.01923638566615</v>
      </c>
      <c r="CB36" s="19"/>
      <c r="CC36" s="26">
        <f>SUM(CC6:CC32)</f>
        <v>49.38805749858555</v>
      </c>
    </row>
    <row r="37" spans="1:81" ht="15">
      <c r="A37" s="2" t="s">
        <v>42</v>
      </c>
      <c r="O37" s="2">
        <v>800</v>
      </c>
      <c r="P37" s="2">
        <v>17</v>
      </c>
      <c r="R37" s="2">
        <f t="shared" si="44"/>
        <v>17</v>
      </c>
      <c r="S37" s="2">
        <f t="shared" si="45"/>
        <v>3</v>
      </c>
      <c r="T37" s="2">
        <f t="shared" si="45"/>
        <v>0</v>
      </c>
      <c r="U37" s="2">
        <f t="shared" si="45"/>
        <v>3</v>
      </c>
      <c r="Y37" s="3"/>
      <c r="Z37" s="3"/>
      <c r="AA37" s="3"/>
      <c r="AB37" s="3"/>
      <c r="AC37" s="3"/>
      <c r="AD37" s="3"/>
      <c r="AE37" s="3"/>
      <c r="AF37" s="3"/>
      <c r="AG37" s="3"/>
      <c r="AH37" s="24" t="s">
        <v>43</v>
      </c>
      <c r="AO37" s="3"/>
      <c r="AW37" s="19"/>
      <c r="AX37" s="19"/>
      <c r="AY37" s="27" t="s">
        <v>44</v>
      </c>
      <c r="AZ37" s="2" t="s">
        <v>172</v>
      </c>
      <c r="BK37" s="2" t="s">
        <v>41</v>
      </c>
      <c r="BL37" s="19">
        <f>80-(20*(50-BI27)/(BI28-BI27))</f>
        <v>71.07775092721776</v>
      </c>
      <c r="BM37" s="19"/>
      <c r="BN37" s="27" t="s">
        <v>44</v>
      </c>
      <c r="BQ37" s="2" t="s">
        <v>173</v>
      </c>
      <c r="BZ37" s="19" t="s">
        <v>174</v>
      </c>
      <c r="CA37" s="19"/>
      <c r="CB37" s="19"/>
      <c r="CC37" s="19"/>
    </row>
    <row r="38" spans="1:81" ht="15">
      <c r="A38" s="2" t="s">
        <v>175</v>
      </c>
      <c r="O38" s="2">
        <v>900</v>
      </c>
      <c r="P38" s="2">
        <v>14</v>
      </c>
      <c r="R38" s="2">
        <f t="shared" si="44"/>
        <v>14</v>
      </c>
      <c r="S38" s="2">
        <f t="shared" si="45"/>
        <v>5</v>
      </c>
      <c r="T38" s="2">
        <f t="shared" si="45"/>
        <v>0</v>
      </c>
      <c r="U38" s="2">
        <f t="shared" si="45"/>
        <v>5</v>
      </c>
      <c r="X38" s="2" t="s">
        <v>176</v>
      </c>
      <c r="Y38" s="3" t="s">
        <v>177</v>
      </c>
      <c r="Z38" s="3"/>
      <c r="AA38" s="3"/>
      <c r="AB38" s="3"/>
      <c r="AC38" s="3"/>
      <c r="AD38" s="3"/>
      <c r="AE38" s="3"/>
      <c r="AF38" s="3"/>
      <c r="AG38" s="3"/>
      <c r="AH38" s="24" t="s">
        <v>178</v>
      </c>
      <c r="AT38" s="2" t="s">
        <v>179</v>
      </c>
      <c r="AW38" s="19"/>
      <c r="AY38" s="26">
        <f>SUM(AY7:AY33)</f>
        <v>52.34953045043151</v>
      </c>
      <c r="AZ38" s="2" t="s">
        <v>180</v>
      </c>
      <c r="BK38" s="2" t="s">
        <v>181</v>
      </c>
      <c r="BL38" s="19"/>
      <c r="BM38" s="19"/>
      <c r="BN38" s="26">
        <f>SUM(BN6:BN32)</f>
        <v>48.24531873554981</v>
      </c>
      <c r="BQ38" s="2" t="s">
        <v>182</v>
      </c>
      <c r="BZ38" s="19"/>
      <c r="CA38" s="19"/>
      <c r="CB38" s="19"/>
      <c r="CC38" s="19"/>
    </row>
    <row r="39" spans="1:81" ht="15">
      <c r="A39" s="2" t="s">
        <v>183</v>
      </c>
      <c r="O39" s="2">
        <v>1000</v>
      </c>
      <c r="P39" s="2">
        <v>9</v>
      </c>
      <c r="R39" s="2">
        <f t="shared" si="44"/>
        <v>9</v>
      </c>
      <c r="S39" s="2">
        <f t="shared" si="45"/>
        <v>7.2</v>
      </c>
      <c r="T39" s="2">
        <f t="shared" si="45"/>
        <v>0</v>
      </c>
      <c r="U39" s="2">
        <f t="shared" si="45"/>
        <v>7.2</v>
      </c>
      <c r="X39" s="2" t="s">
        <v>184</v>
      </c>
      <c r="Y39" s="3">
        <v>2268.437</v>
      </c>
      <c r="Z39" s="3">
        <v>1301.531</v>
      </c>
      <c r="AA39" s="3">
        <f>Y39+Z39</f>
        <v>3569.968</v>
      </c>
      <c r="AB39" s="3">
        <f>Y39*AA46/1000</f>
        <v>56.1231446178375</v>
      </c>
      <c r="AC39" s="3">
        <f>Z39*AC46/1000</f>
        <v>44.973004559174996</v>
      </c>
      <c r="AD39" s="3">
        <f>AB39+AC39</f>
        <v>101.09614917701249</v>
      </c>
      <c r="AE39" s="3">
        <f>1000*AB39/Y39</f>
        <v>24.7408875</v>
      </c>
      <c r="AF39" s="3">
        <f>1000*AC39/Z39</f>
        <v>34.553925</v>
      </c>
      <c r="AG39" s="3">
        <f>1000*AD39/AA39</f>
        <v>28.31850290451133</v>
      </c>
      <c r="AH39" s="24" t="s">
        <v>185</v>
      </c>
      <c r="AQ39" s="2" t="s">
        <v>186</v>
      </c>
      <c r="AR39" s="19">
        <f>1000*AR35/AP34</f>
        <v>97.83193463733768</v>
      </c>
      <c r="AT39" s="2">
        <f>60-20*((50-47.15)/(78.24-47.15))</f>
        <v>58.16661305886137</v>
      </c>
      <c r="AV39" s="2" t="s">
        <v>187</v>
      </c>
      <c r="AZ39" s="2" t="s">
        <v>188</v>
      </c>
      <c r="BL39" s="19"/>
      <c r="BM39" s="19"/>
      <c r="BN39" s="19"/>
      <c r="BQ39" s="2" t="s">
        <v>189</v>
      </c>
      <c r="BZ39" s="19" t="s">
        <v>190</v>
      </c>
      <c r="CA39" s="19">
        <f>CA23+CA25</f>
        <v>57.6231231559327</v>
      </c>
      <c r="CB39" s="19"/>
      <c r="CC39" s="19"/>
    </row>
    <row r="40" spans="1:81" ht="15">
      <c r="A40" s="2" t="s">
        <v>191</v>
      </c>
      <c r="O40" s="2">
        <v>2000</v>
      </c>
      <c r="P40" s="2">
        <v>1.8</v>
      </c>
      <c r="R40" s="2">
        <f t="shared" si="44"/>
        <v>1.8</v>
      </c>
      <c r="S40" s="2">
        <f t="shared" si="45"/>
        <v>1.05</v>
      </c>
      <c r="T40" s="2">
        <f t="shared" si="45"/>
        <v>0</v>
      </c>
      <c r="U40" s="2">
        <f t="shared" si="45"/>
        <v>1.05</v>
      </c>
      <c r="X40" s="2" t="s">
        <v>192</v>
      </c>
      <c r="Y40" s="3"/>
      <c r="Z40" s="3"/>
      <c r="AA40" s="3"/>
      <c r="AB40" s="3"/>
      <c r="AC40" s="3"/>
      <c r="AD40" s="3"/>
      <c r="AE40" s="3"/>
      <c r="AF40" s="3"/>
      <c r="AG40" s="3"/>
      <c r="AH40" s="3"/>
      <c r="AV40" s="2" t="s">
        <v>193</v>
      </c>
      <c r="AW40" s="19">
        <f>AX28</f>
        <v>58.24206384153243</v>
      </c>
      <c r="AY40" s="19"/>
      <c r="AZ40" s="2" t="s">
        <v>194</v>
      </c>
      <c r="BK40" s="2" t="s">
        <v>190</v>
      </c>
      <c r="BL40" s="19">
        <f>BL25+BL26</f>
        <v>55.18228367817055</v>
      </c>
      <c r="BM40" s="19"/>
      <c r="BN40" s="19"/>
      <c r="BZ40" s="19" t="s">
        <v>195</v>
      </c>
      <c r="CA40" s="19">
        <f>CA26+CA27+CA28+CA29</f>
        <v>25.885140646418122</v>
      </c>
      <c r="CB40" s="19" t="s">
        <v>196</v>
      </c>
      <c r="CC40" s="19">
        <f>CA28+CA29</f>
        <v>11.395603998117508</v>
      </c>
    </row>
    <row r="41" spans="1:81" ht="15">
      <c r="A41" s="2" t="s">
        <v>197</v>
      </c>
      <c r="O41" s="2">
        <v>3000</v>
      </c>
      <c r="P41" s="2">
        <v>0.75</v>
      </c>
      <c r="R41" s="2">
        <f t="shared" si="44"/>
        <v>0.75</v>
      </c>
      <c r="S41" s="2">
        <f t="shared" si="45"/>
        <v>0.35</v>
      </c>
      <c r="T41" s="2">
        <f t="shared" si="45"/>
        <v>0</v>
      </c>
      <c r="U41" s="2">
        <f t="shared" si="45"/>
        <v>0.35</v>
      </c>
      <c r="X41" s="2" t="s">
        <v>198</v>
      </c>
      <c r="Y41" s="3">
        <v>12046.183</v>
      </c>
      <c r="Z41" s="3">
        <v>2450.799</v>
      </c>
      <c r="AA41" s="3">
        <f>Y41+Z41</f>
        <v>14496.982</v>
      </c>
      <c r="AB41" s="3"/>
      <c r="AC41" s="3"/>
      <c r="AD41" s="3"/>
      <c r="AE41" s="3"/>
      <c r="AF41" s="3"/>
      <c r="AG41" s="3"/>
      <c r="AH41" s="3"/>
      <c r="AV41" s="2" t="s">
        <v>199</v>
      </c>
      <c r="AW41" s="19">
        <f>AX32-AX28</f>
        <v>27.30223888321798</v>
      </c>
      <c r="AX41" s="2" t="s">
        <v>200</v>
      </c>
      <c r="AY41" s="19">
        <f>AW31+AW32</f>
        <v>11.347903678309137</v>
      </c>
      <c r="AZ41" s="2" t="s">
        <v>201</v>
      </c>
      <c r="BK41" s="2" t="s">
        <v>195</v>
      </c>
      <c r="BL41" s="19">
        <f>BL27+BL28+BL29+BL30</f>
        <v>28.719687744411033</v>
      </c>
      <c r="BM41" s="19" t="s">
        <v>202</v>
      </c>
      <c r="BN41" s="19">
        <f>BL29+BL30</f>
        <v>12.141643617458271</v>
      </c>
      <c r="BZ41" s="19" t="s">
        <v>203</v>
      </c>
      <c r="CA41" s="19">
        <f>CA30+CA31+CA32+CA33</f>
        <v>16.491736197649175</v>
      </c>
      <c r="CB41" s="19" t="s">
        <v>204</v>
      </c>
      <c r="CC41" s="19">
        <f>CA32+CA33</f>
        <v>7.294509646943041</v>
      </c>
    </row>
    <row r="42" spans="15:81" ht="15">
      <c r="O42" s="2">
        <v>4000</v>
      </c>
      <c r="P42" s="2">
        <v>0.4</v>
      </c>
      <c r="R42" s="2">
        <f t="shared" si="44"/>
        <v>0.4</v>
      </c>
      <c r="S42" s="2">
        <f t="shared" si="45"/>
        <v>0.2</v>
      </c>
      <c r="T42" s="2">
        <f t="shared" si="45"/>
        <v>0</v>
      </c>
      <c r="U42" s="2">
        <f t="shared" si="45"/>
        <v>0.2</v>
      </c>
      <c r="X42" s="2" t="s">
        <v>205</v>
      </c>
      <c r="Y42" s="3">
        <f aca="true" t="shared" si="56" ref="Y42:AD42">Y36-Y39</f>
        <v>12256.671999999999</v>
      </c>
      <c r="Z42" s="3">
        <f t="shared" si="56"/>
        <v>4548.469</v>
      </c>
      <c r="AA42" s="3">
        <f t="shared" si="56"/>
        <v>16805.141000000003</v>
      </c>
      <c r="AB42" s="3">
        <f t="shared" si="56"/>
        <v>1677.0299356641838</v>
      </c>
      <c r="AC42" s="3">
        <f t="shared" si="56"/>
        <v>215.21024707543538</v>
      </c>
      <c r="AD42" s="3">
        <f t="shared" si="56"/>
        <v>1892.2401827396188</v>
      </c>
      <c r="AE42" s="3">
        <f>1000*AB42/Y42</f>
        <v>136.82588027681444</v>
      </c>
      <c r="AF42" s="3">
        <f>1000*AC42/Z42</f>
        <v>47.314876077078985</v>
      </c>
      <c r="AG42" s="3">
        <f>1000*AD42/AA42</f>
        <v>112.59888761061978</v>
      </c>
      <c r="AV42" s="2" t="s">
        <v>203</v>
      </c>
      <c r="AW42" s="19">
        <f>AX36-AX32</f>
        <v>14.455713926563334</v>
      </c>
      <c r="AX42" s="2" t="s">
        <v>206</v>
      </c>
      <c r="AY42" s="19">
        <f>AW35+AW36</f>
        <v>4.974933099604868</v>
      </c>
      <c r="AZ42" s="2" t="s">
        <v>45</v>
      </c>
      <c r="BK42" s="2" t="s">
        <v>46</v>
      </c>
      <c r="BL42" s="19">
        <f>BL31+BL32+BL33+BL34</f>
        <v>16.099010900068137</v>
      </c>
      <c r="BM42" s="19" t="s">
        <v>47</v>
      </c>
      <c r="BN42" s="19">
        <f>BL33+BL34</f>
        <v>7.253345701878644</v>
      </c>
      <c r="BZ42" s="19"/>
      <c r="CA42" s="19">
        <f>CA39+CA40+CA41</f>
        <v>100</v>
      </c>
      <c r="CB42" s="19"/>
      <c r="CC42" s="19"/>
    </row>
    <row r="43" spans="1:81" ht="15">
      <c r="A43" s="10" t="s">
        <v>48</v>
      </c>
      <c r="O43" s="2">
        <v>5000</v>
      </c>
      <c r="P43" s="2">
        <v>0.2</v>
      </c>
      <c r="R43" s="2">
        <f t="shared" si="44"/>
        <v>0.2</v>
      </c>
      <c r="S43" s="2">
        <f t="shared" si="45"/>
        <v>0.2</v>
      </c>
      <c r="T43" s="2">
        <f t="shared" si="45"/>
        <v>0</v>
      </c>
      <c r="U43" s="2">
        <f t="shared" si="45"/>
        <v>0.2</v>
      </c>
      <c r="Y43" s="3"/>
      <c r="Z43" s="3"/>
      <c r="AA43" s="3"/>
      <c r="AB43" s="3"/>
      <c r="AC43" s="3"/>
      <c r="AD43" s="3"/>
      <c r="AE43" s="2" t="s">
        <v>49</v>
      </c>
      <c r="AW43" s="19"/>
      <c r="AY43" s="19"/>
      <c r="AZ43" s="2" t="s">
        <v>50</v>
      </c>
      <c r="BM43" s="19"/>
      <c r="BN43" s="19"/>
      <c r="BZ43" s="19"/>
      <c r="CA43" s="19"/>
      <c r="CB43" s="19"/>
      <c r="CC43" s="19"/>
    </row>
    <row r="44" spans="1:81" ht="15">
      <c r="A44" s="2" t="s">
        <v>51</v>
      </c>
      <c r="S44" s="17" t="s">
        <v>14</v>
      </c>
      <c r="T44" s="17" t="s">
        <v>15</v>
      </c>
      <c r="U44" s="17" t="s">
        <v>16</v>
      </c>
      <c r="Y44" s="3"/>
      <c r="Z44" s="28" t="s">
        <v>52</v>
      </c>
      <c r="AA44" s="28" t="s">
        <v>53</v>
      </c>
      <c r="AB44" s="11" t="s">
        <v>54</v>
      </c>
      <c r="AC44" s="11" t="s">
        <v>55</v>
      </c>
      <c r="AE44" s="2" t="s">
        <v>245</v>
      </c>
      <c r="AF44" s="11" t="s">
        <v>56</v>
      </c>
      <c r="AG44" s="11" t="s">
        <v>57</v>
      </c>
      <c r="AH44" s="11" t="s">
        <v>58</v>
      </c>
      <c r="AI44" s="11" t="s">
        <v>59</v>
      </c>
      <c r="AJ44" s="11" t="s">
        <v>60</v>
      </c>
      <c r="AK44" s="11" t="s">
        <v>61</v>
      </c>
      <c r="AW44" s="19"/>
      <c r="AZ44" s="2" t="s">
        <v>62</v>
      </c>
      <c r="BL44" s="19"/>
      <c r="BM44" s="19"/>
      <c r="BN44" s="19"/>
      <c r="BZ44" s="19"/>
      <c r="CA44" s="19"/>
      <c r="CB44" s="19"/>
      <c r="CC44" s="19"/>
    </row>
    <row r="45" spans="1:81" ht="15">
      <c r="A45" s="2" t="s">
        <v>63</v>
      </c>
      <c r="O45" s="2" t="s">
        <v>64</v>
      </c>
      <c r="R45" s="2" t="s">
        <v>65</v>
      </c>
      <c r="S45" s="29">
        <f>SUM(S21:S29)</f>
        <v>11214</v>
      </c>
      <c r="T45" s="21">
        <f>SUM(T21:T29)</f>
        <v>4993</v>
      </c>
      <c r="U45" s="30">
        <f>SUM(U21:U29)</f>
        <v>16207</v>
      </c>
      <c r="X45" s="2" t="s">
        <v>66</v>
      </c>
      <c r="Y45" s="3"/>
      <c r="Z45" s="20">
        <v>1</v>
      </c>
      <c r="AA45" s="20">
        <v>0.31417</v>
      </c>
      <c r="AB45" s="20">
        <v>0.660537</v>
      </c>
      <c r="AC45" s="20">
        <v>0.43878</v>
      </c>
      <c r="AE45" s="2" t="s">
        <v>67</v>
      </c>
      <c r="AF45" s="2">
        <v>50</v>
      </c>
      <c r="AG45" s="2">
        <v>750</v>
      </c>
      <c r="AH45" s="2">
        <v>1400</v>
      </c>
      <c r="AI45" s="2">
        <f>2268-AH45-AG45-AF45</f>
        <v>68</v>
      </c>
      <c r="AJ45" s="2">
        <v>0</v>
      </c>
      <c r="AK45" s="2">
        <v>0</v>
      </c>
      <c r="AW45" s="19"/>
      <c r="AZ45" s="2" t="s">
        <v>68</v>
      </c>
      <c r="BL45" s="19"/>
      <c r="BM45" s="19"/>
      <c r="BN45" s="19"/>
      <c r="BZ45" s="19"/>
      <c r="CA45" s="19"/>
      <c r="CB45" s="19"/>
      <c r="CC45" s="19"/>
    </row>
    <row r="46" spans="1:81" ht="15">
      <c r="A46" s="2" t="s">
        <v>69</v>
      </c>
      <c r="Q46" s="2" t="s">
        <v>70</v>
      </c>
      <c r="S46" s="31">
        <f>SUM(S30:S32)</f>
        <v>379</v>
      </c>
      <c r="T46" s="6">
        <f>SUM(T30:T32)</f>
        <v>0</v>
      </c>
      <c r="U46" s="32">
        <f>SUM(U30:U32)</f>
        <v>379</v>
      </c>
      <c r="X46" s="2" t="s">
        <v>71</v>
      </c>
      <c r="Y46" s="3"/>
      <c r="Z46" s="19">
        <v>78.75</v>
      </c>
      <c r="AA46" s="19">
        <f>78.75*AA45</f>
        <v>24.7408875</v>
      </c>
      <c r="AB46" s="19">
        <f>78.75*AB45</f>
        <v>52.017288750000006</v>
      </c>
      <c r="AC46" s="19">
        <f>78.75*AC45</f>
        <v>34.553925</v>
      </c>
      <c r="AD46" s="2" t="s">
        <v>72</v>
      </c>
      <c r="AE46" s="2" t="s">
        <v>73</v>
      </c>
      <c r="AF46" s="2">
        <v>25</v>
      </c>
      <c r="AG46" s="2">
        <v>350</v>
      </c>
      <c r="AH46" s="2">
        <f>1301-AF46-AG46-AI46-AJ46-AK46</f>
        <v>426</v>
      </c>
      <c r="AI46" s="2">
        <v>375</v>
      </c>
      <c r="AJ46" s="2">
        <v>100</v>
      </c>
      <c r="AK46" s="2">
        <v>25</v>
      </c>
      <c r="AW46" s="19"/>
      <c r="AZ46" s="2" t="s">
        <v>74</v>
      </c>
      <c r="BL46" s="19"/>
      <c r="BN46" s="19"/>
      <c r="BZ46" s="19"/>
      <c r="CA46" s="19"/>
      <c r="CB46" s="19"/>
      <c r="CC46" s="19"/>
    </row>
    <row r="47" spans="1:81" ht="15">
      <c r="A47" s="2" t="s">
        <v>75</v>
      </c>
      <c r="R47" s="2" t="s">
        <v>76</v>
      </c>
      <c r="S47" s="3">
        <f>SUM(S30:S43)</f>
        <v>451</v>
      </c>
      <c r="T47" s="3">
        <f>SUM(T30:T43)</f>
        <v>0</v>
      </c>
      <c r="U47" s="3">
        <f>SUM(U30:U43)</f>
        <v>451</v>
      </c>
      <c r="AE47" s="2" t="s">
        <v>77</v>
      </c>
      <c r="AF47" s="2">
        <f aca="true" t="shared" si="57" ref="AF47:AK47">AF45+AF46</f>
        <v>75</v>
      </c>
      <c r="AG47" s="2">
        <f t="shared" si="57"/>
        <v>1100</v>
      </c>
      <c r="AH47" s="2">
        <f t="shared" si="57"/>
        <v>1826</v>
      </c>
      <c r="AI47" s="2">
        <f t="shared" si="57"/>
        <v>443</v>
      </c>
      <c r="AJ47" s="2">
        <f t="shared" si="57"/>
        <v>100</v>
      </c>
      <c r="AK47" s="2">
        <f t="shared" si="57"/>
        <v>25</v>
      </c>
      <c r="AZ47" s="2" t="s">
        <v>78</v>
      </c>
      <c r="BL47" s="19"/>
      <c r="BN47" s="19"/>
      <c r="CC47" s="19"/>
    </row>
    <row r="48" spans="1:52" ht="15">
      <c r="A48" s="2" t="s">
        <v>25</v>
      </c>
      <c r="O48" s="2" t="s">
        <v>0</v>
      </c>
      <c r="S48" s="2">
        <f>S46/S47</f>
        <v>0.8403547671840355</v>
      </c>
      <c r="T48" s="2">
        <v>1</v>
      </c>
      <c r="U48" s="2">
        <f>U46/U47</f>
        <v>0.8403547671840355</v>
      </c>
      <c r="AF48" s="17" t="s">
        <v>1</v>
      </c>
      <c r="AG48" s="17" t="s">
        <v>2</v>
      </c>
      <c r="AH48" s="2" t="s">
        <v>3</v>
      </c>
      <c r="AI48" s="19">
        <f>((5*AF45)+(15*AG45)+(29.5*AH45)+(48*AI45)+(69*AJ45)+(88*AK45))/2268</f>
        <v>24.719576719576718</v>
      </c>
      <c r="AZ48" s="2" t="s">
        <v>4</v>
      </c>
    </row>
    <row r="49" spans="2:52" ht="15">
      <c r="B49" s="2" t="s">
        <v>5</v>
      </c>
      <c r="O49" s="2" t="s">
        <v>6</v>
      </c>
      <c r="S49" s="19">
        <f>885*S48</f>
        <v>743.7139689578714</v>
      </c>
      <c r="T49" s="3">
        <v>0</v>
      </c>
      <c r="U49" s="19">
        <v>743.71</v>
      </c>
      <c r="AA49" s="2" t="s">
        <v>7</v>
      </c>
      <c r="AB49" s="2">
        <f>SUM(AB20:AB34)</f>
        <v>1166.2030802820213</v>
      </c>
      <c r="AE49" s="2" t="s">
        <v>8</v>
      </c>
      <c r="AF49" s="2">
        <f>SUM(AF45:AK45)</f>
        <v>2268</v>
      </c>
      <c r="AG49" s="2">
        <f>SUM(AF46:AK46)</f>
        <v>1301</v>
      </c>
      <c r="AI49" s="19">
        <f>((5*AF46)+(15*AG46)+(29.5*AH46)+(48*AI46)+(69*AJ46)+(88*AK46))/1301</f>
        <v>34.621060722521136</v>
      </c>
      <c r="AZ49" s="2" t="s">
        <v>9</v>
      </c>
    </row>
    <row r="50" ht="15">
      <c r="A50" s="2" t="s">
        <v>10</v>
      </c>
    </row>
  </sheetData>
  <printOptions/>
  <pageMargins left="0.75" right="0.75" top="1" bottom="1" header="0.5" footer="0.5"/>
  <pageSetup orientation="portrait" paperSize="9"/>
  <headerFooter alignWithMargins="0">
    <oddFooter>&amp;CPage &amp;p</oddFooter>
  </headerFooter>
  <colBreaks count="2" manualBreakCount="2">
    <brk id="14" max="65535" man="1"/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Lindert</dc:creator>
  <cp:keywords/>
  <dc:description/>
  <cp:lastModifiedBy>Peter H. Lindert</cp:lastModifiedBy>
  <dcterms:created xsi:type="dcterms:W3CDTF">2001-09-24T20:35:44Z</dcterms:created>
  <cp:category/>
  <cp:version/>
  <cp:contentType/>
  <cp:contentStatus/>
</cp:coreProperties>
</file>