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showInkAnnotation="0" autoCompressPictures="0"/>
  <bookViews>
    <workbookView xWindow="4340" yWindow="200" windowWidth="23740" windowHeight="15120" tabRatio="500" firstSheet="3" activeTab="3"/>
  </bookViews>
  <sheets>
    <sheet name="Sources &amp; general notes" sheetId="4" r:id="rId1"/>
    <sheet name="1774 group weights" sheetId="7" r:id="rId2"/>
    <sheet name="detailed notes" sheetId="8" r:id="rId3"/>
    <sheet name="RESULT - MidCol urban backcasts" sheetId="1" r:id="rId4"/>
    <sheet name="All MidCols, using RW" sheetId="9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1" l="1"/>
  <c r="C21" i="1"/>
  <c r="M21" i="1"/>
  <c r="H19" i="9"/>
  <c r="G19" i="9"/>
  <c r="F19" i="9"/>
  <c r="E19" i="9"/>
  <c r="D19" i="9"/>
  <c r="C19" i="9"/>
  <c r="L19" i="9"/>
  <c r="C5" i="9"/>
  <c r="O29" i="9"/>
  <c r="D5" i="9"/>
  <c r="O37" i="9"/>
  <c r="E5" i="9"/>
  <c r="O45" i="9"/>
  <c r="F5" i="9"/>
  <c r="H45" i="9"/>
  <c r="E45" i="9"/>
  <c r="L45" i="9"/>
  <c r="M7" i="9"/>
  <c r="L7" i="9"/>
  <c r="H37" i="9"/>
  <c r="E37" i="9"/>
  <c r="L37" i="9"/>
  <c r="H29" i="9"/>
  <c r="E29" i="9"/>
  <c r="L29" i="9"/>
  <c r="B45" i="9"/>
  <c r="M9" i="9"/>
  <c r="F11" i="9"/>
  <c r="F10" i="9"/>
  <c r="E10" i="9"/>
  <c r="F9" i="9"/>
  <c r="E9" i="9"/>
  <c r="D9" i="9"/>
  <c r="F21" i="1"/>
  <c r="F42" i="1"/>
  <c r="C42" i="1"/>
  <c r="D42" i="1"/>
  <c r="E42" i="1"/>
  <c r="D43" i="1"/>
  <c r="D35" i="1"/>
  <c r="B21" i="1"/>
  <c r="F35" i="1"/>
  <c r="B35" i="1"/>
  <c r="C35" i="1"/>
  <c r="E35" i="1"/>
  <c r="D36" i="1"/>
  <c r="G21" i="1"/>
  <c r="G28" i="1"/>
  <c r="D28" i="1"/>
  <c r="F28" i="1"/>
  <c r="C28" i="1"/>
  <c r="E28" i="1"/>
  <c r="D29" i="1"/>
  <c r="E21" i="1"/>
  <c r="D22" i="1"/>
  <c r="H28" i="1"/>
  <c r="G35" i="1"/>
  <c r="H29" i="4"/>
  <c r="H37" i="4"/>
  <c r="H42" i="4"/>
  <c r="H30" i="4"/>
  <c r="H38" i="4"/>
  <c r="H43" i="4"/>
  <c r="H44" i="4"/>
  <c r="H39" i="4"/>
  <c r="H31" i="4"/>
  <c r="I55" i="4"/>
  <c r="I62" i="4"/>
  <c r="I69" i="4"/>
  <c r="I56" i="4"/>
  <c r="I63" i="4"/>
  <c r="I70" i="4"/>
  <c r="I57" i="4"/>
  <c r="I64" i="4"/>
  <c r="I71" i="4"/>
  <c r="I58" i="4"/>
  <c r="I65" i="4"/>
  <c r="I72" i="4"/>
  <c r="I73" i="4"/>
  <c r="H69" i="4"/>
  <c r="H70" i="4"/>
  <c r="H71" i="4"/>
  <c r="H72" i="4"/>
  <c r="H73" i="4"/>
  <c r="P73" i="4"/>
  <c r="I66" i="4"/>
  <c r="H66" i="4"/>
  <c r="P66" i="4"/>
  <c r="I59" i="4"/>
  <c r="H59" i="4"/>
  <c r="P59" i="4"/>
  <c r="G69" i="4"/>
  <c r="G70" i="4"/>
  <c r="G71" i="4"/>
  <c r="G72" i="4"/>
  <c r="G73" i="4"/>
  <c r="O73" i="4"/>
  <c r="G66" i="4"/>
  <c r="O66" i="4"/>
  <c r="G59" i="4"/>
  <c r="O59" i="4"/>
  <c r="L28" i="1"/>
  <c r="K28" i="1"/>
  <c r="B42" i="1"/>
  <c r="N11" i="1"/>
  <c r="L26" i="7"/>
  <c r="N28" i="1"/>
  <c r="O28" i="1"/>
  <c r="P28" i="1"/>
  <c r="H35" i="1"/>
  <c r="P35" i="1"/>
  <c r="G42" i="1"/>
  <c r="H42" i="1"/>
  <c r="P42" i="1"/>
  <c r="R42" i="1"/>
  <c r="F55" i="4"/>
  <c r="F62" i="4"/>
  <c r="F69" i="4"/>
  <c r="F56" i="4"/>
  <c r="F63" i="4"/>
  <c r="F70" i="4"/>
  <c r="F57" i="4"/>
  <c r="F64" i="4"/>
  <c r="F71" i="4"/>
  <c r="F58" i="4"/>
  <c r="F65" i="4"/>
  <c r="F72" i="4"/>
  <c r="F73" i="4"/>
  <c r="N73" i="4"/>
  <c r="E69" i="4"/>
  <c r="E70" i="4"/>
  <c r="E71" i="4"/>
  <c r="E72" i="4"/>
  <c r="E73" i="4"/>
  <c r="M73" i="4"/>
  <c r="D55" i="4"/>
  <c r="D62" i="4"/>
  <c r="D69" i="4"/>
  <c r="D56" i="4"/>
  <c r="D63" i="4"/>
  <c r="D70" i="4"/>
  <c r="D71" i="4"/>
  <c r="D58" i="4"/>
  <c r="D65" i="4"/>
  <c r="D72" i="4"/>
  <c r="D73" i="4"/>
  <c r="L73" i="4"/>
  <c r="F66" i="4"/>
  <c r="N66" i="4"/>
  <c r="E66" i="4"/>
  <c r="M66" i="4"/>
  <c r="D66" i="4"/>
  <c r="L66" i="4"/>
  <c r="F59" i="4"/>
  <c r="E59" i="4"/>
  <c r="M59" i="4"/>
  <c r="N59" i="4"/>
  <c r="D59" i="4"/>
  <c r="L59" i="4"/>
  <c r="D30" i="4"/>
  <c r="J37" i="4"/>
  <c r="J38" i="4"/>
  <c r="J39" i="4"/>
  <c r="I37" i="4"/>
  <c r="I38" i="4"/>
  <c r="I39" i="4"/>
  <c r="G37" i="4"/>
  <c r="G38" i="4"/>
  <c r="G39" i="4"/>
  <c r="F37" i="4"/>
  <c r="F38" i="4"/>
  <c r="F39" i="4"/>
  <c r="E37" i="4"/>
  <c r="E38" i="4"/>
  <c r="E39" i="4"/>
  <c r="D38" i="4"/>
  <c r="D37" i="4"/>
  <c r="D39" i="4"/>
  <c r="E42" i="4"/>
  <c r="E43" i="4"/>
  <c r="E44" i="4"/>
  <c r="F42" i="4"/>
  <c r="F43" i="4"/>
  <c r="F44" i="4"/>
  <c r="G42" i="4"/>
  <c r="G43" i="4"/>
  <c r="G44" i="4"/>
  <c r="I42" i="4"/>
  <c r="I43" i="4"/>
  <c r="I44" i="4"/>
  <c r="J42" i="4"/>
  <c r="J43" i="4"/>
  <c r="J44" i="4"/>
  <c r="D43" i="4"/>
  <c r="D42" i="4"/>
  <c r="D44" i="4"/>
  <c r="C37" i="4"/>
  <c r="C42" i="4"/>
  <c r="J31" i="4"/>
  <c r="K31" i="4"/>
  <c r="J69" i="4"/>
  <c r="J70" i="4"/>
  <c r="J71" i="4"/>
  <c r="J72" i="4"/>
  <c r="J73" i="4"/>
  <c r="C72" i="4"/>
  <c r="C69" i="4"/>
  <c r="J66" i="4"/>
  <c r="J59" i="4"/>
  <c r="E31" i="4"/>
  <c r="F31" i="4"/>
  <c r="G31" i="4"/>
  <c r="I31" i="4"/>
  <c r="M28" i="1"/>
  <c r="E9" i="7"/>
  <c r="L9" i="7"/>
  <c r="L28" i="7"/>
  <c r="L27" i="7"/>
  <c r="F11" i="1"/>
  <c r="F10" i="1"/>
  <c r="E10" i="1"/>
  <c r="E9" i="1"/>
  <c r="F9" i="1"/>
  <c r="D9" i="1"/>
  <c r="H21" i="1"/>
  <c r="L42" i="1"/>
  <c r="M42" i="1"/>
  <c r="N42" i="1"/>
  <c r="O42" i="1"/>
  <c r="K42" i="1"/>
  <c r="L35" i="1"/>
  <c r="M35" i="1"/>
  <c r="N35" i="1"/>
  <c r="O35" i="1"/>
  <c r="K35" i="1"/>
  <c r="N10" i="7"/>
  <c r="N11" i="7"/>
  <c r="N12" i="7"/>
  <c r="N13" i="7"/>
  <c r="N14" i="7"/>
  <c r="N20" i="7"/>
  <c r="N21" i="7"/>
  <c r="M10" i="7"/>
  <c r="M11" i="7"/>
  <c r="M12" i="7"/>
  <c r="M13" i="7"/>
  <c r="M14" i="7"/>
  <c r="M18" i="7"/>
  <c r="M19" i="7"/>
  <c r="M20" i="7"/>
  <c r="M21" i="7"/>
  <c r="M22" i="7"/>
  <c r="M23" i="7"/>
  <c r="M9" i="7"/>
  <c r="N18" i="7"/>
  <c r="N19" i="7"/>
  <c r="N22" i="7"/>
  <c r="N9" i="7"/>
  <c r="F11" i="7"/>
  <c r="F12" i="7"/>
  <c r="F13" i="7"/>
  <c r="F14" i="7"/>
  <c r="F15" i="7"/>
  <c r="F16" i="7"/>
  <c r="F17" i="7"/>
  <c r="F18" i="7"/>
  <c r="F19" i="7"/>
  <c r="F20" i="7"/>
  <c r="F10" i="7"/>
</calcChain>
</file>

<file path=xl/sharedStrings.xml><?xml version="1.0" encoding="utf-8"?>
<sst xmlns="http://schemas.openxmlformats.org/spreadsheetml/2006/main" count="534" uniqueCount="200">
  <si>
    <t>Total</t>
  </si>
  <si>
    <t>Population</t>
  </si>
  <si>
    <t>income</t>
  </si>
  <si>
    <t>c1750</t>
  </si>
  <si>
    <t>population</t>
  </si>
  <si>
    <t>Labor</t>
  </si>
  <si>
    <t>Property</t>
  </si>
  <si>
    <t>c1725</t>
  </si>
  <si>
    <t>c1700</t>
  </si>
  <si>
    <t>Here urban = four top cities only.  Could add others for 1774.  Here are Bridenbaugh's (1995, p. 217) lesser city populations --&gt;</t>
  </si>
  <si>
    <t>Newport</t>
  </si>
  <si>
    <t>New Haven *</t>
  </si>
  <si>
    <t>Norfolk</t>
  </si>
  <si>
    <t>Baltimore</t>
  </si>
  <si>
    <t>New London *</t>
  </si>
  <si>
    <t>Salem MA</t>
  </si>
  <si>
    <t>Lancaster PA</t>
  </si>
  <si>
    <t>Hartford</t>
  </si>
  <si>
    <t>Middletown</t>
  </si>
  <si>
    <t>Portsmouth</t>
  </si>
  <si>
    <t>Marblehead</t>
  </si>
  <si>
    <t>Providence</t>
  </si>
  <si>
    <t>Albany</t>
  </si>
  <si>
    <t>ca.</t>
  </si>
  <si>
    <t>Annopolis</t>
  </si>
  <si>
    <t>Savannah</t>
  </si>
  <si>
    <t>(* Actual census)</t>
  </si>
  <si>
    <t>secondary cities, 1760-1776</t>
  </si>
  <si>
    <t>Bridenbaugh's estimated populations of</t>
  </si>
  <si>
    <t>Populations are interpolated logarithmically between the two nearest years' estimates.</t>
  </si>
  <si>
    <t>The top four cities are Boston, New York (Manhattan), Philadelphia, and Charleston.</t>
  </si>
  <si>
    <r>
      <rPr>
        <u/>
        <sz val="12"/>
        <color theme="1"/>
        <rFont val="Arial"/>
      </rPr>
      <t>Population, colony totals by race</t>
    </r>
    <r>
      <rPr>
        <sz val="12"/>
        <color theme="1"/>
        <rFont val="Arial"/>
      </rPr>
      <t xml:space="preserve">: </t>
    </r>
    <r>
      <rPr>
        <i/>
        <sz val="12"/>
        <color theme="1"/>
        <rFont val="Arial"/>
      </rPr>
      <t>Historical Statistics</t>
    </r>
    <r>
      <rPr>
        <sz val="12"/>
        <color theme="1"/>
        <rFont val="Arial"/>
      </rPr>
      <t xml:space="preserve"> (2006), Series Eg1-59.</t>
    </r>
  </si>
  <si>
    <r>
      <rPr>
        <u/>
        <sz val="12"/>
        <color theme="1"/>
        <rFont val="Arial"/>
      </rPr>
      <t>Population, urban all races</t>
    </r>
    <r>
      <rPr>
        <sz val="12"/>
        <color theme="1"/>
        <rFont val="Arial"/>
      </rPr>
      <t xml:space="preserve">: Carl Bridenbaugh, </t>
    </r>
    <r>
      <rPr>
        <i/>
        <sz val="12"/>
        <color theme="1"/>
        <rFont val="Arial"/>
      </rPr>
      <t>Cities in the Wilderness</t>
    </r>
    <r>
      <rPr>
        <sz val="12"/>
        <color theme="1"/>
        <rFont val="Arial"/>
      </rPr>
      <t xml:space="preserve"> (1938, p. 143) and </t>
    </r>
    <r>
      <rPr>
        <i/>
        <sz val="12"/>
        <color theme="1"/>
        <rFont val="Arial"/>
      </rPr>
      <t>Cities in Revolt</t>
    </r>
    <r>
      <rPr>
        <sz val="12"/>
        <color theme="1"/>
        <rFont val="Arial"/>
      </rPr>
      <t xml:space="preserve"> (1955, pp. 216-217)</t>
    </r>
  </si>
  <si>
    <t>c1675</t>
  </si>
  <si>
    <t>c1650</t>
  </si>
  <si>
    <t>Aggregate</t>
  </si>
  <si>
    <t>per capita</t>
  </si>
  <si>
    <t>All</t>
    <phoneticPr fontId="0" type="noConversion"/>
  </si>
  <si>
    <t>Group 1</t>
    <phoneticPr fontId="0" type="noConversion"/>
  </si>
  <si>
    <t>Officials, titled, professions</t>
  </si>
  <si>
    <t>Group 2-3</t>
    <phoneticPr fontId="0" type="noConversion"/>
  </si>
  <si>
    <t>Merchant &amp; shopkeepers</t>
    <phoneticPr fontId="0" type="noConversion"/>
  </si>
  <si>
    <t>Group 4A</t>
    <phoneticPr fontId="0" type="noConversion"/>
  </si>
  <si>
    <t>Artisans (manufacturing trades)</t>
    <phoneticPr fontId="0" type="noConversion"/>
  </si>
  <si>
    <t>Group 4B</t>
    <phoneticPr fontId="0" type="noConversion"/>
  </si>
  <si>
    <t>Construction</t>
  </si>
  <si>
    <t>Group 5</t>
    <phoneticPr fontId="0" type="noConversion"/>
  </si>
  <si>
    <t>Farm operators or farm LF</t>
    <phoneticPr fontId="0" type="noConversion"/>
  </si>
  <si>
    <t>Group 6A</t>
    <phoneticPr fontId="0" type="noConversion"/>
  </si>
  <si>
    <t>Unskilled male workers</t>
    <phoneticPr fontId="0" type="noConversion"/>
  </si>
  <si>
    <t>Group 6B</t>
    <phoneticPr fontId="0" type="noConversion"/>
  </si>
  <si>
    <t>Unskilled female workers</t>
    <phoneticPr fontId="0" type="noConversion"/>
  </si>
  <si>
    <t>Group 7</t>
    <phoneticPr fontId="0" type="noConversion"/>
  </si>
  <si>
    <t>Male HHs w/wealth, no occ stated</t>
    <phoneticPr fontId="0" type="noConversion"/>
  </si>
  <si>
    <t>Group 8</t>
    <phoneticPr fontId="0" type="noConversion"/>
  </si>
  <si>
    <t>Female HHs w/wealth, no occ stated</t>
    <phoneticPr fontId="0" type="noConversion"/>
  </si>
  <si>
    <t>Group 9</t>
    <phoneticPr fontId="0" type="noConversion"/>
  </si>
  <si>
    <t>Zero-wealth free HHs</t>
    <phoneticPr fontId="0" type="noConversion"/>
  </si>
  <si>
    <t>Group 19</t>
    <phoneticPr fontId="0" type="noConversion"/>
  </si>
  <si>
    <t>Slaves ages 10 up, retained earnings</t>
    <phoneticPr fontId="0" type="noConversion"/>
  </si>
  <si>
    <t>% shares</t>
  </si>
  <si>
    <t>total LF</t>
  </si>
  <si>
    <t>total LF = free LF</t>
  </si>
  <si>
    <t>Groups 2-3</t>
    <phoneticPr fontId="0" type="noConversion"/>
  </si>
  <si>
    <t>Group 5A</t>
    <phoneticPr fontId="0" type="noConversion"/>
  </si>
  <si>
    <t>Farm operators - top 2% in property**</t>
    <phoneticPr fontId="0" type="noConversion"/>
  </si>
  <si>
    <t>Group 5B</t>
    <phoneticPr fontId="0" type="noConversion"/>
  </si>
  <si>
    <t>Farm operators - next 18%**</t>
    <phoneticPr fontId="0" type="noConversion"/>
  </si>
  <si>
    <t>Group 5C</t>
    <phoneticPr fontId="0" type="noConversion"/>
  </si>
  <si>
    <t>Farm operators - 40th-79th%**</t>
    <phoneticPr fontId="0" type="noConversion"/>
  </si>
  <si>
    <t>Group 5D</t>
    <phoneticPr fontId="0" type="noConversion"/>
  </si>
  <si>
    <t>Farm operators - 0-39th%**</t>
    <phoneticPr fontId="0" type="noConversion"/>
  </si>
  <si>
    <t>free LF</t>
  </si>
  <si>
    <t>(for all</t>
  </si>
  <si>
    <t>farm-op</t>
  </si>
  <si>
    <t>households)</t>
  </si>
  <si>
    <r>
      <rPr>
        <b/>
        <u/>
        <sz val="14"/>
        <color theme="1"/>
        <rFont val="Arial"/>
      </rPr>
      <t>Detailed notes</t>
    </r>
    <r>
      <rPr>
        <b/>
        <sz val="14"/>
        <color theme="1"/>
        <rFont val="Arial"/>
      </rPr>
      <t>:</t>
    </r>
  </si>
  <si>
    <t>c1774</t>
  </si>
  <si>
    <t>Allen &amp;c CPI</t>
  </si>
  <si>
    <t>Year 1774 = 100.0.</t>
  </si>
  <si>
    <t>Implied nominal incomes circa 1750 (current £ sterling)</t>
  </si>
  <si>
    <t>Implied nominal incomes circa 1725 (current £ sterling)</t>
  </si>
  <si>
    <t>Implied real incomes circa 1725 (1774 £ sterling)</t>
  </si>
  <si>
    <t>year 1774</t>
  </si>
  <si>
    <t>Growth rate (% per annum) from --</t>
  </si>
  <si>
    <t>to --</t>
  </si>
  <si>
    <t>Real per capita results (£ sterling of 1774)</t>
  </si>
  <si>
    <r>
      <rPr>
        <u/>
        <sz val="12"/>
        <color theme="1"/>
        <rFont val="Arial"/>
      </rPr>
      <t>Sources</t>
    </r>
    <r>
      <rPr>
        <sz val="12"/>
        <color theme="1"/>
        <rFont val="Arial"/>
      </rPr>
      <t>:</t>
    </r>
  </si>
  <si>
    <t>Tommy E. Murphy, and Eric B. Schneider. 2012. "The Colonial Origins of the Divergence in the Americas: A Labor Market Approach,"</t>
  </si>
  <si>
    <t>The pre-1774 nominal income estimates are implied by these ratio parameters, earlier eras versus c1774</t>
  </si>
  <si>
    <t>(2) The rate of return on wealth remained at 5%, from c1774 back to c1650.</t>
  </si>
  <si>
    <t>(3) Slaves' retained earnings remained the same shares of the corresponding free labor ranges in earlier years as in 1774.</t>
  </si>
  <si>
    <r>
      <rPr>
        <b/>
        <u/>
        <sz val="12"/>
        <color theme="1"/>
        <rFont val="Arial"/>
      </rPr>
      <t>Some key backcasting assumptions</t>
    </r>
    <r>
      <rPr>
        <sz val="12"/>
        <color theme="1"/>
        <rFont val="Arial"/>
      </rPr>
      <t>:</t>
    </r>
  </si>
  <si>
    <t>"In the northern colonies they employ few slaves, and tho' they are in a very fluorishing</t>
  </si>
  <si>
    <t>condition in these colonies, the lands are generaly cultivated by the proprietors,</t>
  </si>
  <si>
    <t>which is the most favourable method to the progress of agriculture."</t>
  </si>
  <si>
    <r>
      <t xml:space="preserve">  -- Adam Smith, </t>
    </r>
    <r>
      <rPr>
        <i/>
        <sz val="12"/>
        <color theme="1"/>
        <rFont val="Arial"/>
      </rPr>
      <t xml:space="preserve">Lectures on Jurisprudence </t>
    </r>
    <r>
      <rPr>
        <sz val="12"/>
        <color theme="1"/>
        <rFont val="Arial"/>
      </rPr>
      <t xml:space="preserve">(1978 </t>
    </r>
    <r>
      <rPr>
        <sz val="12"/>
        <color indexed="206"/>
        <rFont val="Arial"/>
      </rPr>
      <t>(</t>
    </r>
    <r>
      <rPr>
        <sz val="12"/>
        <color theme="1"/>
        <rFont val="Arial"/>
      </rPr>
      <t>1766</t>
    </r>
    <r>
      <rPr>
        <sz val="12"/>
        <color indexed="206"/>
        <rFont val="Arial"/>
      </rPr>
      <t>)</t>
    </r>
    <r>
      <rPr>
        <sz val="12"/>
        <color theme="1"/>
        <rFont val="Arial"/>
      </rPr>
      <t>), p. 523.</t>
    </r>
  </si>
  <si>
    <t>Urban* free</t>
  </si>
  <si>
    <t>(*NYC, Philly)</t>
  </si>
  <si>
    <t>Urban free</t>
  </si>
  <si>
    <t xml:space="preserve">(MidCol.a) </t>
  </si>
  <si>
    <t xml:space="preserve">(MidCol.b) </t>
  </si>
  <si>
    <t>Middle Colony labor force shares (from file "American incomes 1774j"):</t>
  </si>
  <si>
    <t>Free HHs with property</t>
  </si>
  <si>
    <t>All free households</t>
  </si>
  <si>
    <t>All households</t>
    <phoneticPr fontId="16" type="noConversion"/>
  </si>
  <si>
    <r>
      <rPr>
        <b/>
        <u/>
        <sz val="12"/>
        <color theme="1"/>
        <rFont val="Calibri"/>
        <scheme val="minor"/>
      </rPr>
      <t>NYC + Philly</t>
    </r>
    <r>
      <rPr>
        <sz val="12"/>
        <color theme="1"/>
        <rFont val="Calibri"/>
        <family val="2"/>
        <scheme val="minor"/>
      </rPr>
      <t>: Negligible farm sector. Estimated LF shares 1774 =</t>
    </r>
  </si>
  <si>
    <t>(2) The baseline estimates for 1774 are from Lindert, Peter H. and Jeffrey G. Williamson. 2013. ”American Incomes</t>
  </si>
  <si>
    <r>
      <rPr>
        <i/>
        <sz val="12"/>
        <color theme="1"/>
        <rFont val="Arial"/>
      </rPr>
      <t>Journal of Economic History</t>
    </r>
    <r>
      <rPr>
        <sz val="12"/>
        <color theme="1"/>
        <rFont val="Arial"/>
      </rPr>
      <t xml:space="preserve"> 72, 4 (December): 863-894; with "supplementary materials" available on the</t>
    </r>
    <r>
      <rPr>
        <i/>
        <sz val="12"/>
        <color theme="1"/>
        <rFont val="Arial"/>
      </rPr>
      <t xml:space="preserve"> Journal</t>
    </r>
    <r>
      <rPr>
        <sz val="12"/>
        <color theme="1"/>
        <rFont val="Arial"/>
      </rPr>
      <t>'s internet site.</t>
    </r>
  </si>
  <si>
    <r>
      <t xml:space="preserve">Indexed to the simple average of Philadelphia laborer wage rate and seaman wage rate, 1774 = 100, from Nash, </t>
    </r>
    <r>
      <rPr>
        <i/>
        <sz val="12"/>
        <color theme="1"/>
        <rFont val="Calibri"/>
        <scheme val="minor"/>
      </rPr>
      <t>Urban Crucible</t>
    </r>
    <r>
      <rPr>
        <sz val="12"/>
        <color theme="1"/>
        <rFont val="Calibri"/>
        <family val="2"/>
        <scheme val="minor"/>
      </rPr>
      <t xml:space="preserve"> (1979, pp. 392-394).</t>
    </r>
  </si>
  <si>
    <t>(1) The consumer price index uses the Philadelphia cost of a "bare bones" bundle, as explained in Allen, Robert C. Allen</t>
  </si>
  <si>
    <r>
      <t>Before and After the Revolution,”</t>
    </r>
    <r>
      <rPr>
        <i/>
        <sz val="12"/>
        <color theme="1"/>
        <rFont val="Arial"/>
      </rPr>
      <t xml:space="preserve"> Journal of Economic History</t>
    </r>
    <r>
      <rPr>
        <sz val="12"/>
        <color theme="1"/>
        <rFont val="Arial"/>
      </rPr>
      <t xml:space="preserve"> 73, 3 (September): 725-765;</t>
    </r>
  </si>
  <si>
    <t>and the detail in gpih.ucdavis.edu, American incomes 1650-1870 folder, file "American incomes 1774, an xlsx version".</t>
  </si>
  <si>
    <t>All HH occupational groups, urban</t>
  </si>
  <si>
    <t>All HH occup'l groups, town-rural</t>
  </si>
  <si>
    <t>Labor force</t>
  </si>
  <si>
    <t>New York</t>
  </si>
  <si>
    <t>Philadelphia</t>
  </si>
  <si>
    <t>Both</t>
  </si>
  <si>
    <r>
      <t xml:space="preserve">(McCusker in </t>
    </r>
    <r>
      <rPr>
        <i/>
        <sz val="12"/>
        <color theme="1"/>
        <rFont val="Arial"/>
      </rPr>
      <t xml:space="preserve">HSUS Millennial </t>
    </r>
    <r>
      <rPr>
        <sz val="12"/>
        <color theme="1"/>
        <rFont val="Arial"/>
      </rPr>
      <t>(2006), p. 5-655, with log-lineaer interpolations.)</t>
    </r>
  </si>
  <si>
    <t>Big cities' total populations</t>
  </si>
  <si>
    <t>1790 slaves</t>
  </si>
  <si>
    <t>1790 total</t>
  </si>
  <si>
    <t>New York State</t>
  </si>
  <si>
    <t>New Jersey</t>
  </si>
  <si>
    <t>Pennsylvania</t>
  </si>
  <si>
    <t>Delaware</t>
  </si>
  <si>
    <t>Total populations</t>
  </si>
  <si>
    <t>Middle Cols</t>
  </si>
  <si>
    <r>
      <rPr>
        <b/>
        <u/>
        <sz val="14"/>
        <color theme="1"/>
        <rFont val="Arial"/>
      </rPr>
      <t>Population estimates</t>
    </r>
    <r>
      <rPr>
        <u/>
        <sz val="12"/>
        <color theme="1"/>
        <rFont val="Arial"/>
      </rPr>
      <t xml:space="preserve"> for all colonial regions</t>
    </r>
    <r>
      <rPr>
        <sz val="12"/>
        <color theme="1"/>
        <rFont val="Arial"/>
      </rPr>
      <t>:</t>
    </r>
  </si>
  <si>
    <t>Black/slave pop's</t>
  </si>
  <si>
    <t>White/free pop's</t>
  </si>
  <si>
    <t>Big cities' free pop</t>
  </si>
  <si>
    <t>Big cities' slaves*</t>
  </si>
  <si>
    <t>*assume city slaves = city's total pop, same year * (city slaves/city total pop in 1790)</t>
  </si>
  <si>
    <t>Assume urban total = free, lacking colonial data on urban slave totals.</t>
  </si>
  <si>
    <t xml:space="preserve">Had we extrapolated urban slaves back from 1790, we could have estimates these urban breakdowns into slave &amp; free. </t>
  </si>
  <si>
    <t xml:space="preserve">The urban wealth indexes are derived in the file "Nash Philly probs backcast results", </t>
  </si>
  <si>
    <r>
      <rPr>
        <i/>
        <sz val="12"/>
        <color theme="1"/>
        <rFont val="Arial"/>
      </rPr>
      <t>Political Consciousness, and the Origins of the American Revolution</t>
    </r>
    <r>
      <rPr>
        <sz val="12"/>
        <color theme="1"/>
        <rFont val="Arial"/>
      </rPr>
      <t xml:space="preserve"> (Cambridge, Mass.: Harvard University Press), pp. 396-398.</t>
    </r>
  </si>
  <si>
    <r>
      <t>using the Philadelphia probated personal estate data by occupation in Nash, Gary B. 1979.</t>
    </r>
    <r>
      <rPr>
        <i/>
        <sz val="12"/>
        <color theme="1"/>
        <rFont val="Calibri"/>
        <scheme val="minor"/>
      </rPr>
      <t xml:space="preserve"> The Urban Crucible: Social Change, </t>
    </r>
  </si>
  <si>
    <t>The adjustments for probate bias were necessarily less complete in this case than in the use of the Main's probate sample for New England.</t>
  </si>
  <si>
    <t>Here we could re-weight to the occupational group weights of the living, but we could not adjust for differences in age at death.</t>
  </si>
  <si>
    <t>(4) Unemployment rates, and the resulting deviations from wage-based estimates of labor income, were comparable in each quarter-century.</t>
  </si>
  <si>
    <t>(Arno Press, pp. 81, 137) gives for New York City:</t>
  </si>
  <si>
    <t>NYC white pop</t>
  </si>
  <si>
    <t>NYC black pop</t>
  </si>
  <si>
    <t>NYC total pop</t>
  </si>
  <si>
    <r>
      <t xml:space="preserve">BUT Wilkenfeld, Bruce Martin. 1978. </t>
    </r>
    <r>
      <rPr>
        <i/>
        <sz val="12"/>
        <color theme="1"/>
        <rFont val="Arial"/>
      </rPr>
      <t>The Social and Economic Structure of the City of New York 1695-1796</t>
    </r>
    <r>
      <rPr>
        <sz val="12"/>
        <color theme="1"/>
        <rFont val="Arial"/>
      </rPr>
      <t xml:space="preserve"> </t>
    </r>
  </si>
  <si>
    <t>Detailed notes (see "Detailed notes" worksheet)</t>
  </si>
  <si>
    <t>from</t>
  </si>
  <si>
    <t>to</t>
  </si>
  <si>
    <t>Population growth rates (% per annum)</t>
  </si>
  <si>
    <t>Urban free/total =</t>
  </si>
  <si>
    <r>
      <rPr>
        <b/>
        <u/>
        <sz val="12"/>
        <color theme="1"/>
        <rFont val="Calibri"/>
        <scheme val="minor"/>
      </rPr>
      <t>Rural Middle Colonies</t>
    </r>
    <r>
      <rPr>
        <sz val="12"/>
        <color theme="1"/>
        <rFont val="Calibri"/>
        <family val="2"/>
        <scheme val="minor"/>
      </rPr>
      <t>: Estimated LF shares 1774 =</t>
    </r>
  </si>
  <si>
    <t>Regional totals</t>
  </si>
  <si>
    <t>Matches file "American incomes 1774j"</t>
  </si>
  <si>
    <t xml:space="preserve">    "</t>
  </si>
  <si>
    <t>property share (%) =</t>
  </si>
  <si>
    <t>Implied real incomes "c1770" = 1763-1775 (1774 £ sterling)</t>
  </si>
  <si>
    <t>c1770</t>
  </si>
  <si>
    <t>1790 slave</t>
  </si>
  <si>
    <t>1790 free</t>
  </si>
  <si>
    <t>MidCol.a, Using Nash</t>
  </si>
  <si>
    <r>
      <t xml:space="preserve">Implied real incomes circa 1750 (1774 £ sterling) </t>
    </r>
    <r>
      <rPr>
        <sz val="14"/>
        <color rgb="FFFF0000"/>
        <rFont val="Arial"/>
      </rPr>
      <t>(incl 7 Yrs' War)</t>
    </r>
  </si>
  <si>
    <t>Sources and general notes to "Backcast Urban Middle Colonies 1774 to 1725"</t>
  </si>
  <si>
    <t>(1) The 1774 occupational mix at each location applies to all earlier years as well.</t>
  </si>
  <si>
    <r>
      <t xml:space="preserve">MidCol.b, for </t>
    </r>
    <r>
      <rPr>
        <b/>
        <u/>
        <sz val="12"/>
        <color theme="1"/>
        <rFont val="Arial"/>
      </rPr>
      <t>aggregate</t>
    </r>
    <r>
      <rPr>
        <sz val="12"/>
        <color theme="1"/>
        <rFont val="Arial"/>
      </rPr>
      <t xml:space="preserve"> nominal property income, Philadelphia (Nash), except that 1770 = 1774 per wealth-holder</t>
    </r>
  </si>
  <si>
    <r>
      <t xml:space="preserve">(3) Wage rates and probate wealth trends from Nash, Gary B. 1979. </t>
    </r>
    <r>
      <rPr>
        <i/>
        <sz val="12"/>
        <color theme="1"/>
        <rFont val="Arial"/>
      </rPr>
      <t>The Urban Crucible: Social Change,</t>
    </r>
  </si>
  <si>
    <r>
      <rPr>
        <i/>
        <sz val="12"/>
        <color theme="1"/>
        <rFont val="Arial"/>
      </rPr>
      <t>Political Consciousness, and the Origins of the American Revolution</t>
    </r>
    <r>
      <rPr>
        <sz val="12"/>
        <color theme="1"/>
        <rFont val="Arial"/>
      </rPr>
      <t xml:space="preserve"> (Cambridge, Mass.: Harvard University Press).</t>
    </r>
  </si>
  <si>
    <t>Backcasting Middle Colonies' urban free incomes from 1774 to c1725</t>
  </si>
  <si>
    <t>This worksheet merely pastes information from an earlier 1774 project, for readers seeking</t>
  </si>
  <si>
    <t xml:space="preserve"> a sense of the socio-occupational mix underlying the 1774 basis for the backcasts</t>
  </si>
  <si>
    <t>Nominal (current-price) estimates</t>
  </si>
  <si>
    <t>Real (constant-price) estimates</t>
  </si>
  <si>
    <t>The file "Wage indices 1650-1774" compares these with the B.G. Smith series for Philadelphia 1750-1775.</t>
  </si>
  <si>
    <t>That is, the average wealth for a given occupation in a given period is an average for probates at death, not probates for a given age.</t>
  </si>
  <si>
    <t>Implied nominal incomes "c1770" = 1763-1775 (current £ sterling)</t>
  </si>
  <si>
    <t>Lindert</t>
  </si>
  <si>
    <t>calc's 8oct'13</t>
  </si>
  <si>
    <t>Implied nominal incomes circa 1750 (£ sterling)</t>
  </si>
  <si>
    <t>Total incomes (curr. £ sterling)</t>
  </si>
  <si>
    <t>Incomes per capita (current £ sterling)</t>
  </si>
  <si>
    <t>Own-labor</t>
  </si>
  <si>
    <t xml:space="preserve">Property </t>
  </si>
  <si>
    <t>Middle Colonies (incl DE)</t>
  </si>
  <si>
    <t>Parameters relating to nominal labor income per working person</t>
  </si>
  <si>
    <t>Rosenbloom-Weiss (forthcoming) estimate of Middle Atlantic real GDP per capita.</t>
  </si>
  <si>
    <t>Implied nominal incomes circa 1725 (£ sterling)</t>
  </si>
  <si>
    <t>Assume real GDP 1770 = Real GDP 1774</t>
  </si>
  <si>
    <t>Implied nominal incomes circa 1770 (£ sterling)</t>
  </si>
  <si>
    <r>
      <t xml:space="preserve">Implied real incomes circa 1725 (1774 £ sterling) </t>
    </r>
    <r>
      <rPr>
        <sz val="14"/>
        <color rgb="FFFF0000"/>
        <rFont val="Arial"/>
      </rPr>
      <t>(incl 7 Yrs' War)</t>
    </r>
  </si>
  <si>
    <t>calc's 1nov'13</t>
  </si>
  <si>
    <t>Backcasting Middle Colonies' aggregate incomes from 1774 to c1725</t>
  </si>
  <si>
    <t>Income levels in 1774 (Lindert-Williamson), in $</t>
  </si>
  <si>
    <t>Income levels in 1774 (Lindert-Williamson), in £ at 4.44</t>
  </si>
  <si>
    <t>Income levels in 1774 (Lindert-Williamson, current $)</t>
  </si>
  <si>
    <t>Income levels in 1774 (Lindert-Williamson, current £ sterling at 4.44)</t>
  </si>
  <si>
    <r>
      <t xml:space="preserve">Parameters relating to </t>
    </r>
    <r>
      <rPr>
        <b/>
        <u/>
        <sz val="12"/>
        <color theme="1"/>
        <rFont val="Arial"/>
      </rPr>
      <t>nominal labor income</t>
    </r>
    <r>
      <rPr>
        <sz val="12"/>
        <color theme="1"/>
        <rFont val="Arial"/>
      </rPr>
      <t xml:space="preserve"> per working person</t>
    </r>
  </si>
  <si>
    <r>
      <t xml:space="preserve">Parameters relating to </t>
    </r>
    <r>
      <rPr>
        <b/>
        <u/>
        <sz val="12"/>
        <color theme="1"/>
        <rFont val="Arial"/>
      </rPr>
      <t>nominal property income</t>
    </r>
  </si>
  <si>
    <t>These come from the estimates in "American incomes 1774 fewer days"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</si>
</sst>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#,##0.0000"/>
  </numFmts>
  <fonts count="2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</font>
    <font>
      <b/>
      <sz val="12"/>
      <color theme="1"/>
      <name val="Arial"/>
    </font>
    <font>
      <b/>
      <sz val="14"/>
      <color theme="1"/>
      <name val="Arial"/>
    </font>
    <font>
      <b/>
      <sz val="16"/>
      <color rgb="FFFF0000"/>
      <name val="Arial"/>
    </font>
    <font>
      <i/>
      <sz val="12"/>
      <color theme="1"/>
      <name val="Arial"/>
    </font>
    <font>
      <u/>
      <sz val="12"/>
      <color theme="1"/>
      <name val="Arial"/>
    </font>
    <font>
      <b/>
      <u/>
      <sz val="14"/>
      <color theme="1"/>
      <name val="Arial"/>
    </font>
    <font>
      <b/>
      <u/>
      <sz val="12"/>
      <color theme="1"/>
      <name val="Calibri"/>
      <scheme val="minor"/>
    </font>
    <font>
      <sz val="12"/>
      <name val="Arial"/>
    </font>
    <font>
      <sz val="12"/>
      <color rgb="FFFF0000"/>
      <name val="Calibri"/>
      <family val="2"/>
      <scheme val="minor"/>
    </font>
    <font>
      <b/>
      <u/>
      <sz val="12"/>
      <color theme="1"/>
      <name val="Arial"/>
    </font>
    <font>
      <b/>
      <sz val="12"/>
      <color rgb="FFFF0000"/>
      <name val="Arial"/>
    </font>
    <font>
      <i/>
      <sz val="12"/>
      <color theme="1"/>
      <name val="Calibri"/>
      <scheme val="minor"/>
    </font>
    <font>
      <b/>
      <u/>
      <sz val="14"/>
      <color theme="1"/>
      <name val="Calibri"/>
      <scheme val="minor"/>
    </font>
    <font>
      <sz val="12"/>
      <color indexed="206"/>
      <name val="Arial"/>
    </font>
    <font>
      <sz val="12"/>
      <color rgb="FFFF0000"/>
      <name val="Arial"/>
    </font>
    <font>
      <sz val="14"/>
      <color rgb="FFFF0000"/>
      <name val="Arial"/>
    </font>
    <font>
      <sz val="16"/>
      <color theme="1"/>
      <name val="Calibri"/>
      <scheme val="minor"/>
    </font>
    <font>
      <sz val="16"/>
      <color theme="1"/>
      <name val="Arial"/>
    </font>
    <font>
      <sz val="12"/>
      <color theme="1"/>
      <name val="Cambria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48E"/>
        <bgColor indexed="64"/>
      </patternFill>
    </fill>
    <fill>
      <patternFill patternType="solid">
        <fgColor rgb="FFF6A7C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2FF7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3" fontId="0" fillId="0" borderId="0" xfId="0" applyNumberFormat="1"/>
    <xf numFmtId="3" fontId="3" fillId="0" borderId="0" xfId="0" applyNumberFormat="1" applyFont="1"/>
    <xf numFmtId="3" fontId="5" fillId="0" borderId="0" xfId="0" applyNumberFormat="1" applyFont="1"/>
    <xf numFmtId="3" fontId="6" fillId="0" borderId="0" xfId="0" applyNumberFormat="1" applyFont="1"/>
    <xf numFmtId="3" fontId="5" fillId="0" borderId="1" xfId="0" applyNumberFormat="1" applyFont="1" applyBorder="1"/>
    <xf numFmtId="3" fontId="3" fillId="0" borderId="2" xfId="0" applyNumberFormat="1" applyFont="1" applyBorder="1"/>
    <xf numFmtId="3" fontId="3" fillId="0" borderId="3" xfId="0" applyNumberFormat="1" applyFont="1" applyBorder="1"/>
    <xf numFmtId="3" fontId="3" fillId="0" borderId="0" xfId="0" applyNumberFormat="1" applyFont="1" applyAlignment="1">
      <alignment horizontal="right"/>
    </xf>
    <xf numFmtId="3" fontId="5" fillId="0" borderId="2" xfId="0" applyNumberFormat="1" applyFont="1" applyBorder="1"/>
    <xf numFmtId="3" fontId="3" fillId="0" borderId="0" xfId="0" applyNumberFormat="1" applyFont="1" applyFill="1"/>
    <xf numFmtId="1" fontId="3" fillId="0" borderId="0" xfId="0" applyNumberFormat="1" applyFont="1"/>
    <xf numFmtId="0" fontId="3" fillId="0" borderId="0" xfId="0" applyFont="1" applyAlignment="1"/>
    <xf numFmtId="0" fontId="6" fillId="0" borderId="0" xfId="0" applyFont="1" applyAlignment="1"/>
    <xf numFmtId="3" fontId="3" fillId="0" borderId="0" xfId="0" applyNumberFormat="1" applyFont="1" applyAlignment="1"/>
    <xf numFmtId="0" fontId="3" fillId="0" borderId="4" xfId="0" applyFont="1" applyBorder="1" applyAlignment="1"/>
    <xf numFmtId="0" fontId="3" fillId="0" borderId="5" xfId="0" applyFont="1" applyBorder="1" applyAlignment="1"/>
    <xf numFmtId="3" fontId="3" fillId="0" borderId="6" xfId="0" applyNumberFormat="1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3" fontId="3" fillId="0" borderId="9" xfId="0" applyNumberFormat="1" applyFont="1" applyBorder="1" applyAlignment="1"/>
    <xf numFmtId="164" fontId="3" fillId="0" borderId="0" xfId="0" applyNumberFormat="1" applyFont="1"/>
    <xf numFmtId="165" fontId="3" fillId="0" borderId="0" xfId="0" applyNumberFormat="1" applyFont="1"/>
    <xf numFmtId="4" fontId="3" fillId="0" borderId="0" xfId="0" applyNumberFormat="1" applyFont="1"/>
    <xf numFmtId="0" fontId="5" fillId="0" borderId="0" xfId="0" applyFont="1"/>
    <xf numFmtId="3" fontId="5" fillId="2" borderId="0" xfId="0" applyNumberFormat="1" applyFont="1" applyFill="1"/>
    <xf numFmtId="3" fontId="3" fillId="2" borderId="0" xfId="0" applyNumberFormat="1" applyFont="1" applyFill="1"/>
    <xf numFmtId="0" fontId="11" fillId="0" borderId="0" xfId="0" applyFont="1" applyAlignment="1"/>
    <xf numFmtId="0" fontId="11" fillId="0" borderId="0" xfId="0" applyFont="1" applyFill="1" applyBorder="1" applyAlignment="1"/>
    <xf numFmtId="1" fontId="11" fillId="0" borderId="0" xfId="0" applyNumberFormat="1" applyFont="1" applyAlignment="1"/>
    <xf numFmtId="165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  <xf numFmtId="2" fontId="12" fillId="0" borderId="0" xfId="0" applyNumberFormat="1" applyFont="1"/>
    <xf numFmtId="2" fontId="0" fillId="3" borderId="0" xfId="0" applyNumberFormat="1" applyFill="1"/>
    <xf numFmtId="164" fontId="3" fillId="0" borderId="0" xfId="0" applyNumberFormat="1" applyFont="1" applyAlignment="1"/>
    <xf numFmtId="1" fontId="3" fillId="0" borderId="0" xfId="0" applyNumberFormat="1" applyFont="1" applyAlignment="1">
      <alignment horizontal="right"/>
    </xf>
    <xf numFmtId="3" fontId="3" fillId="0" borderId="0" xfId="0" applyNumberFormat="1" applyFont="1" applyFill="1" applyBorder="1"/>
    <xf numFmtId="3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/>
    <xf numFmtId="4" fontId="3" fillId="0" borderId="0" xfId="0" applyNumberFormat="1" applyFont="1" applyFill="1"/>
    <xf numFmtId="0" fontId="8" fillId="0" borderId="0" xfId="0" applyFont="1" applyAlignment="1">
      <alignment horizontal="right"/>
    </xf>
    <xf numFmtId="3" fontId="5" fillId="4" borderId="0" xfId="0" applyNumberFormat="1" applyFont="1" applyFill="1"/>
    <xf numFmtId="3" fontId="3" fillId="4" borderId="0" xfId="0" applyNumberFormat="1" applyFont="1" applyFill="1"/>
    <xf numFmtId="0" fontId="3" fillId="5" borderId="0" xfId="0" applyFont="1" applyFill="1"/>
    <xf numFmtId="3" fontId="3" fillId="5" borderId="0" xfId="0" applyNumberFormat="1" applyFont="1" applyFill="1"/>
    <xf numFmtId="3" fontId="8" fillId="5" borderId="0" xfId="0" applyNumberFormat="1" applyFont="1" applyFill="1" applyAlignment="1">
      <alignment horizontal="right"/>
    </xf>
    <xf numFmtId="0" fontId="8" fillId="5" borderId="0" xfId="0" applyFont="1" applyFill="1" applyAlignment="1">
      <alignment horizontal="right"/>
    </xf>
    <xf numFmtId="164" fontId="4" fillId="5" borderId="0" xfId="0" applyNumberFormat="1" applyFont="1" applyFill="1"/>
    <xf numFmtId="1" fontId="3" fillId="5" borderId="0" xfId="0" applyNumberFormat="1" applyFont="1" applyFill="1"/>
    <xf numFmtId="0" fontId="14" fillId="0" borderId="0" xfId="0" applyFont="1" applyAlignment="1"/>
    <xf numFmtId="0" fontId="11" fillId="0" borderId="0" xfId="0" applyFont="1" applyAlignment="1">
      <alignment horizontal="right"/>
    </xf>
    <xf numFmtId="0" fontId="3" fillId="0" borderId="0" xfId="0" applyFont="1" applyFill="1"/>
    <xf numFmtId="165" fontId="0" fillId="6" borderId="0" xfId="0" applyNumberFormat="1" applyFill="1"/>
    <xf numFmtId="3" fontId="0" fillId="6" borderId="0" xfId="0" applyNumberFormat="1" applyFill="1"/>
    <xf numFmtId="3" fontId="0" fillId="6" borderId="10" xfId="0" applyNumberFormat="1" applyFill="1" applyBorder="1"/>
    <xf numFmtId="3" fontId="0" fillId="6" borderId="11" xfId="0" applyNumberFormat="1" applyFill="1" applyBorder="1" applyAlignment="1">
      <alignment horizontal="right"/>
    </xf>
    <xf numFmtId="3" fontId="0" fillId="6" borderId="12" xfId="0" applyNumberFormat="1" applyFill="1" applyBorder="1" applyAlignment="1">
      <alignment horizontal="right"/>
    </xf>
    <xf numFmtId="0" fontId="8" fillId="0" borderId="0" xfId="0" applyFont="1" applyAlignment="1"/>
    <xf numFmtId="3" fontId="7" fillId="0" borderId="0" xfId="0" applyNumberFormat="1" applyFont="1" applyAlignment="1"/>
    <xf numFmtId="0" fontId="8" fillId="3" borderId="0" xfId="0" applyFont="1" applyFill="1" applyAlignment="1">
      <alignment horizontal="right"/>
    </xf>
    <xf numFmtId="0" fontId="8" fillId="4" borderId="0" xfId="0" applyFont="1" applyFill="1" applyAlignment="1">
      <alignment horizontal="right"/>
    </xf>
    <xf numFmtId="1" fontId="8" fillId="4" borderId="0" xfId="0" applyNumberFormat="1" applyFont="1" applyFill="1" applyAlignment="1"/>
    <xf numFmtId="0" fontId="8" fillId="3" borderId="0" xfId="0" applyFont="1" applyFill="1" applyAlignment="1"/>
    <xf numFmtId="0" fontId="3" fillId="7" borderId="0" xfId="0" applyFont="1" applyFill="1" applyAlignment="1"/>
    <xf numFmtId="3" fontId="3" fillId="7" borderId="0" xfId="0" applyNumberFormat="1" applyFont="1" applyFill="1" applyAlignment="1"/>
    <xf numFmtId="3" fontId="3" fillId="7" borderId="0" xfId="0" applyNumberFormat="1" applyFont="1" applyFill="1"/>
    <xf numFmtId="3" fontId="18" fillId="7" borderId="0" xfId="0" applyNumberFormat="1" applyFont="1" applyFill="1" applyAlignment="1"/>
    <xf numFmtId="0" fontId="8" fillId="7" borderId="0" xfId="0" applyFont="1" applyFill="1" applyAlignment="1"/>
    <xf numFmtId="0" fontId="8" fillId="7" borderId="0" xfId="0" applyFont="1" applyFill="1" applyAlignment="1">
      <alignment horizontal="right"/>
    </xf>
    <xf numFmtId="3" fontId="7" fillId="7" borderId="0" xfId="0" applyNumberFormat="1" applyFont="1" applyFill="1" applyAlignment="1"/>
    <xf numFmtId="0" fontId="18" fillId="7" borderId="0" xfId="0" applyFont="1" applyFill="1" applyAlignment="1"/>
    <xf numFmtId="164" fontId="7" fillId="0" borderId="0" xfId="0" applyNumberFormat="1" applyFont="1" applyAlignment="1"/>
    <xf numFmtId="1" fontId="8" fillId="7" borderId="0" xfId="0" applyNumberFormat="1" applyFont="1" applyFill="1" applyAlignment="1"/>
    <xf numFmtId="165" fontId="3" fillId="0" borderId="0" xfId="0" applyNumberFormat="1" applyFont="1" applyAlignment="1"/>
    <xf numFmtId="166" fontId="3" fillId="0" borderId="0" xfId="0" applyNumberFormat="1" applyFont="1"/>
    <xf numFmtId="0" fontId="12" fillId="0" borderId="0" xfId="0" applyFont="1"/>
    <xf numFmtId="3" fontId="18" fillId="0" borderId="0" xfId="0" applyNumberFormat="1" applyFont="1" applyAlignment="1">
      <alignment horizontal="right"/>
    </xf>
    <xf numFmtId="164" fontId="18" fillId="0" borderId="0" xfId="0" applyNumberFormat="1" applyFont="1"/>
    <xf numFmtId="1" fontId="8" fillId="5" borderId="0" xfId="0" applyNumberFormat="1" applyFont="1" applyFill="1" applyAlignment="1">
      <alignment horizontal="right"/>
    </xf>
    <xf numFmtId="3" fontId="3" fillId="8" borderId="0" xfId="0" applyNumberFormat="1" applyFont="1" applyFill="1"/>
    <xf numFmtId="3" fontId="18" fillId="8" borderId="0" xfId="0" applyNumberFormat="1" applyFont="1" applyFill="1"/>
    <xf numFmtId="167" fontId="3" fillId="0" borderId="0" xfId="0" applyNumberFormat="1" applyFont="1"/>
    <xf numFmtId="164" fontId="3" fillId="5" borderId="0" xfId="0" applyNumberFormat="1" applyFont="1" applyFill="1" applyBorder="1"/>
    <xf numFmtId="3" fontId="3" fillId="5" borderId="0" xfId="0" applyNumberFormat="1" applyFont="1" applyFill="1" applyBorder="1"/>
    <xf numFmtId="1" fontId="3" fillId="0" borderId="0" xfId="0" applyNumberFormat="1" applyFont="1" applyFill="1"/>
    <xf numFmtId="4" fontId="3" fillId="0" borderId="0" xfId="0" applyNumberFormat="1" applyFont="1" applyFill="1" applyAlignment="1">
      <alignment horizontal="right"/>
    </xf>
    <xf numFmtId="3" fontId="3" fillId="0" borderId="0" xfId="0" applyNumberFormat="1" applyFont="1" applyBorder="1"/>
    <xf numFmtId="0" fontId="20" fillId="0" borderId="0" xfId="0" applyFont="1"/>
    <xf numFmtId="17" fontId="0" fillId="0" borderId="0" xfId="0" applyNumberFormat="1"/>
    <xf numFmtId="0" fontId="21" fillId="8" borderId="0" xfId="0" applyFont="1" applyFill="1"/>
    <xf numFmtId="3" fontId="21" fillId="9" borderId="0" xfId="0" applyNumberFormat="1" applyFont="1" applyFill="1"/>
    <xf numFmtId="3" fontId="3" fillId="9" borderId="0" xfId="0" applyNumberFormat="1" applyFont="1" applyFill="1"/>
    <xf numFmtId="0" fontId="22" fillId="0" borderId="0" xfId="0" applyFont="1"/>
    <xf numFmtId="0" fontId="18" fillId="0" borderId="0" xfId="0" applyFont="1"/>
    <xf numFmtId="0" fontId="4" fillId="0" borderId="0" xfId="0" applyFont="1" applyAlignment="1"/>
    <xf numFmtId="165" fontId="3" fillId="0" borderId="0" xfId="0" applyNumberFormat="1" applyFont="1" applyAlignment="1">
      <alignment horizontal="right"/>
    </xf>
    <xf numFmtId="3" fontId="5" fillId="2" borderId="1" xfId="0" applyNumberFormat="1" applyFont="1" applyFill="1" applyBorder="1"/>
    <xf numFmtId="3" fontId="5" fillId="2" borderId="2" xfId="0" applyNumberFormat="1" applyFont="1" applyFill="1" applyBorder="1"/>
    <xf numFmtId="165" fontId="3" fillId="2" borderId="2" xfId="0" applyNumberFormat="1" applyFont="1" applyFill="1" applyBorder="1"/>
    <xf numFmtId="165" fontId="3" fillId="2" borderId="3" xfId="0" applyNumberFormat="1" applyFont="1" applyFill="1" applyBorder="1"/>
    <xf numFmtId="3" fontId="5" fillId="10" borderId="1" xfId="0" applyNumberFormat="1" applyFont="1" applyFill="1" applyBorder="1"/>
    <xf numFmtId="3" fontId="5" fillId="10" borderId="2" xfId="0" applyNumberFormat="1" applyFont="1" applyFill="1" applyBorder="1"/>
    <xf numFmtId="0" fontId="3" fillId="10" borderId="2" xfId="0" applyFont="1" applyFill="1" applyBorder="1"/>
    <xf numFmtId="0" fontId="3" fillId="10" borderId="3" xfId="0" applyFont="1" applyFill="1" applyBorder="1"/>
  </cellXfs>
  <cellStyles count="10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workbookViewId="0">
      <selection activeCell="H14" sqref="H14"/>
    </sheetView>
  </sheetViews>
  <sheetFormatPr baseColWidth="10" defaultRowHeight="15" x14ac:dyDescent="0"/>
  <cols>
    <col min="1" max="1" width="4.33203125" style="15" customWidth="1"/>
    <col min="2" max="2" width="12.83203125" style="15" customWidth="1"/>
    <col min="3" max="3" width="10.83203125" style="15"/>
    <col min="4" max="4" width="11.1640625" style="15" bestFit="1" customWidth="1"/>
    <col min="5" max="5" width="10.83203125" style="15"/>
    <col min="6" max="7" width="12.33203125" style="15" bestFit="1" customWidth="1"/>
    <col min="8" max="8" width="12.33203125" style="15" customWidth="1"/>
    <col min="9" max="10" width="10.83203125" style="15"/>
    <col min="11" max="11" width="11.83203125" style="15" customWidth="1"/>
    <col min="12" max="12" width="10.83203125" style="15"/>
    <col min="13" max="13" width="8.5" style="15" customWidth="1"/>
    <col min="14" max="14" width="14.83203125" style="15" customWidth="1"/>
    <col min="15" max="15" width="9" style="17" customWidth="1"/>
    <col min="16" max="16" width="13.33203125" style="15" customWidth="1"/>
    <col min="17" max="16384" width="10.83203125" style="15"/>
  </cols>
  <sheetData>
    <row r="1" spans="1:15" ht="18">
      <c r="B1" s="16" t="s">
        <v>164</v>
      </c>
      <c r="N1" s="15" t="s">
        <v>93</v>
      </c>
    </row>
    <row r="2" spans="1:15">
      <c r="B2" s="53"/>
      <c r="N2" s="15" t="s">
        <v>94</v>
      </c>
    </row>
    <row r="3" spans="1:15">
      <c r="A3" s="15" t="s">
        <v>87</v>
      </c>
      <c r="B3" s="53"/>
      <c r="N3" s="15" t="s">
        <v>95</v>
      </c>
    </row>
    <row r="4" spans="1:15">
      <c r="A4" s="15" t="s">
        <v>110</v>
      </c>
      <c r="B4" s="53"/>
      <c r="O4" s="17" t="s">
        <v>96</v>
      </c>
    </row>
    <row r="5" spans="1:15">
      <c r="A5" s="15" t="s">
        <v>88</v>
      </c>
      <c r="B5" s="53"/>
    </row>
    <row r="6" spans="1:15">
      <c r="A6" s="15" t="s">
        <v>108</v>
      </c>
      <c r="B6" s="53"/>
    </row>
    <row r="7" spans="1:15">
      <c r="A7" s="15" t="s">
        <v>107</v>
      </c>
    </row>
    <row r="8" spans="1:15">
      <c r="A8" s="15" t="s">
        <v>111</v>
      </c>
    </row>
    <row r="9" spans="1:15">
      <c r="A9" s="15" t="s">
        <v>112</v>
      </c>
    </row>
    <row r="10" spans="1:15">
      <c r="A10" s="15" t="s">
        <v>167</v>
      </c>
    </row>
    <row r="11" spans="1:15">
      <c r="A11" s="15" t="s">
        <v>168</v>
      </c>
    </row>
    <row r="13" spans="1:15">
      <c r="A13" s="15" t="s">
        <v>92</v>
      </c>
    </row>
    <row r="14" spans="1:15">
      <c r="A14" s="15" t="s">
        <v>165</v>
      </c>
    </row>
    <row r="15" spans="1:15">
      <c r="A15" s="15" t="s">
        <v>90</v>
      </c>
    </row>
    <row r="16" spans="1:15">
      <c r="A16" s="15" t="s">
        <v>91</v>
      </c>
    </row>
    <row r="17" spans="1:17">
      <c r="A17" s="15" t="s">
        <v>142</v>
      </c>
    </row>
    <row r="20" spans="1:17" ht="17">
      <c r="A20" s="15" t="s">
        <v>129</v>
      </c>
    </row>
    <row r="21" spans="1:17">
      <c r="A21" s="15" t="s">
        <v>31</v>
      </c>
      <c r="N21" s="18" t="s">
        <v>28</v>
      </c>
      <c r="O21" s="19"/>
      <c r="P21" s="20"/>
    </row>
    <row r="22" spans="1:17">
      <c r="B22" s="15" t="s">
        <v>29</v>
      </c>
      <c r="N22" s="21" t="s">
        <v>27</v>
      </c>
      <c r="O22" s="22"/>
      <c r="P22" s="23"/>
    </row>
    <row r="23" spans="1:17">
      <c r="A23" s="15" t="s">
        <v>32</v>
      </c>
      <c r="N23" s="15" t="s">
        <v>10</v>
      </c>
      <c r="O23" s="15">
        <v>1775</v>
      </c>
      <c r="P23" s="17">
        <v>11000</v>
      </c>
    </row>
    <row r="24" spans="1:17">
      <c r="B24" s="17" t="s">
        <v>9</v>
      </c>
      <c r="N24" s="15" t="s">
        <v>11</v>
      </c>
      <c r="O24" s="15">
        <v>1771</v>
      </c>
      <c r="P24" s="17">
        <v>8295</v>
      </c>
    </row>
    <row r="25" spans="1:17">
      <c r="B25" s="15" t="s">
        <v>30</v>
      </c>
      <c r="N25" s="15" t="s">
        <v>12</v>
      </c>
      <c r="O25" s="15">
        <v>1775</v>
      </c>
      <c r="P25" s="17">
        <v>5250</v>
      </c>
      <c r="Q25" s="15" t="s">
        <v>23</v>
      </c>
    </row>
    <row r="26" spans="1:17">
      <c r="N26" s="15" t="s">
        <v>13</v>
      </c>
      <c r="O26" s="15">
        <v>1775</v>
      </c>
      <c r="P26" s="17">
        <v>5934</v>
      </c>
    </row>
    <row r="27" spans="1:17">
      <c r="A27" s="61" t="s">
        <v>120</v>
      </c>
      <c r="D27" s="15" t="s">
        <v>119</v>
      </c>
      <c r="N27" s="15" t="s">
        <v>14</v>
      </c>
      <c r="O27" s="15">
        <v>1774</v>
      </c>
      <c r="P27" s="17">
        <v>5366</v>
      </c>
    </row>
    <row r="28" spans="1:17">
      <c r="C28" s="63" t="s">
        <v>34</v>
      </c>
      <c r="D28" s="63" t="s">
        <v>33</v>
      </c>
      <c r="E28" s="63" t="s">
        <v>8</v>
      </c>
      <c r="F28" s="63" t="s">
        <v>7</v>
      </c>
      <c r="G28" s="63" t="s">
        <v>3</v>
      </c>
      <c r="H28" s="63" t="s">
        <v>159</v>
      </c>
      <c r="I28" s="63" t="s">
        <v>77</v>
      </c>
      <c r="J28" s="66" t="s">
        <v>122</v>
      </c>
      <c r="K28" s="66" t="s">
        <v>121</v>
      </c>
      <c r="N28" s="15" t="s">
        <v>15</v>
      </c>
      <c r="O28" s="15">
        <v>1776</v>
      </c>
      <c r="P28" s="17">
        <v>5337</v>
      </c>
    </row>
    <row r="29" spans="1:17">
      <c r="A29" s="15" t="s">
        <v>116</v>
      </c>
      <c r="C29" s="17">
        <v>1000</v>
      </c>
      <c r="D29" s="17">
        <v>2977.9355491267202</v>
      </c>
      <c r="E29" s="17">
        <v>5000</v>
      </c>
      <c r="F29" s="17">
        <v>7759.897729870203</v>
      </c>
      <c r="G29" s="17">
        <v>13444.000678540568</v>
      </c>
      <c r="H29" s="17">
        <f>G29*EXP(LN(I29/G29)/14)^10</f>
        <v>20605.871006974612</v>
      </c>
      <c r="I29" s="17">
        <v>24444.207251152566</v>
      </c>
      <c r="J29" s="17">
        <v>32328</v>
      </c>
      <c r="K29" s="17">
        <v>2180</v>
      </c>
      <c r="N29" s="15" t="s">
        <v>16</v>
      </c>
      <c r="O29" s="15">
        <v>1776</v>
      </c>
      <c r="P29" s="17">
        <v>5500</v>
      </c>
      <c r="Q29" s="15" t="s">
        <v>23</v>
      </c>
    </row>
    <row r="30" spans="1:17">
      <c r="A30" s="15" t="s">
        <v>117</v>
      </c>
      <c r="C30" s="17"/>
      <c r="D30" s="62">
        <f>D31-D29</f>
        <v>1088.0644508732798</v>
      </c>
      <c r="E30" s="17">
        <v>5000</v>
      </c>
      <c r="F30" s="17">
        <v>10725.231428455956</v>
      </c>
      <c r="G30" s="17">
        <v>16701.194802761634</v>
      </c>
      <c r="H30" s="17">
        <f t="shared" ref="H30" si="0">G30*EXP(LN(I30/G30)/14)^10</f>
        <v>27020.901687897971</v>
      </c>
      <c r="I30" s="17">
        <v>32755.23771654443</v>
      </c>
      <c r="J30" s="17">
        <v>42520</v>
      </c>
      <c r="K30" s="17">
        <v>273</v>
      </c>
      <c r="N30" s="15" t="s">
        <v>17</v>
      </c>
      <c r="O30" s="15">
        <v>1774</v>
      </c>
      <c r="P30" s="17">
        <v>4881</v>
      </c>
    </row>
    <row r="31" spans="1:17">
      <c r="A31" s="15" t="s">
        <v>118</v>
      </c>
      <c r="C31" s="17"/>
      <c r="D31" s="17">
        <v>4066</v>
      </c>
      <c r="E31" s="17">
        <f t="shared" ref="E31:I31" si="1">E29+E30</f>
        <v>10000</v>
      </c>
      <c r="F31" s="17">
        <f t="shared" si="1"/>
        <v>18485.129158326159</v>
      </c>
      <c r="G31" s="17">
        <f t="shared" si="1"/>
        <v>30145.195481302202</v>
      </c>
      <c r="H31" s="17">
        <f t="shared" si="1"/>
        <v>47626.772694872583</v>
      </c>
      <c r="I31" s="17">
        <f t="shared" si="1"/>
        <v>57199.444967696996</v>
      </c>
      <c r="J31" s="17">
        <f t="shared" ref="J31" si="2">J29+J30</f>
        <v>74848</v>
      </c>
      <c r="K31" s="17">
        <f t="shared" ref="K31" si="3">K29+K30</f>
        <v>2453</v>
      </c>
      <c r="N31" s="15" t="s">
        <v>18</v>
      </c>
      <c r="O31" s="15">
        <v>1775</v>
      </c>
      <c r="P31" s="17">
        <v>4680</v>
      </c>
    </row>
    <row r="32" spans="1:17">
      <c r="C32" s="17"/>
      <c r="D32" s="17"/>
      <c r="E32" s="5"/>
      <c r="F32" s="5"/>
      <c r="G32" s="5"/>
      <c r="H32" s="5"/>
      <c r="I32" s="5"/>
      <c r="J32" s="17"/>
      <c r="K32" s="17"/>
      <c r="N32" s="15" t="s">
        <v>19</v>
      </c>
      <c r="O32" s="15">
        <v>1775</v>
      </c>
      <c r="P32" s="17">
        <v>4590</v>
      </c>
    </row>
    <row r="33" spans="1:17">
      <c r="A33" s="74" t="s">
        <v>135</v>
      </c>
      <c r="B33" s="74"/>
      <c r="C33" s="68"/>
      <c r="D33" s="68"/>
      <c r="E33" s="69"/>
      <c r="F33" s="69"/>
      <c r="G33" s="69"/>
      <c r="H33" s="69"/>
      <c r="I33" s="69"/>
      <c r="J33" s="68"/>
      <c r="K33" s="68"/>
      <c r="N33" s="15" t="s">
        <v>20</v>
      </c>
      <c r="O33" s="15">
        <v>1776</v>
      </c>
      <c r="P33" s="17">
        <v>4386</v>
      </c>
    </row>
    <row r="34" spans="1:17">
      <c r="A34" s="74" t="s">
        <v>136</v>
      </c>
      <c r="B34" s="74"/>
      <c r="C34" s="68"/>
      <c r="D34" s="68"/>
      <c r="E34" s="69"/>
      <c r="F34" s="69"/>
      <c r="G34" s="69"/>
      <c r="H34" s="69"/>
      <c r="I34" s="69"/>
      <c r="J34" s="68"/>
      <c r="K34" s="68"/>
      <c r="N34" s="15" t="s">
        <v>21</v>
      </c>
      <c r="O34" s="15">
        <v>1774</v>
      </c>
      <c r="P34" s="17">
        <v>4361</v>
      </c>
    </row>
    <row r="35" spans="1:17">
      <c r="A35" s="67"/>
      <c r="B35" s="67"/>
      <c r="C35" s="70" t="s">
        <v>134</v>
      </c>
      <c r="D35" s="68"/>
      <c r="E35" s="69"/>
      <c r="F35" s="69"/>
      <c r="G35" s="69"/>
      <c r="H35" s="69"/>
      <c r="I35" s="69"/>
      <c r="J35" s="68"/>
      <c r="K35" s="68"/>
      <c r="N35" s="15" t="s">
        <v>22</v>
      </c>
      <c r="O35" s="15">
        <v>1776</v>
      </c>
      <c r="P35" s="17">
        <v>4000</v>
      </c>
      <c r="Q35" s="15" t="s">
        <v>23</v>
      </c>
    </row>
    <row r="36" spans="1:17">
      <c r="A36" s="71" t="s">
        <v>133</v>
      </c>
      <c r="B36" s="67"/>
      <c r="C36" s="72" t="s">
        <v>34</v>
      </c>
      <c r="D36" s="72" t="s">
        <v>33</v>
      </c>
      <c r="E36" s="72" t="s">
        <v>8</v>
      </c>
      <c r="F36" s="72" t="s">
        <v>7</v>
      </c>
      <c r="G36" s="72" t="s">
        <v>3</v>
      </c>
      <c r="H36" s="72" t="s">
        <v>159</v>
      </c>
      <c r="I36" s="72" t="s">
        <v>77</v>
      </c>
      <c r="J36" s="71" t="s">
        <v>160</v>
      </c>
      <c r="K36" s="68"/>
      <c r="N36" s="15" t="s">
        <v>24</v>
      </c>
      <c r="O36" s="15">
        <v>1775</v>
      </c>
      <c r="P36" s="17">
        <v>3700</v>
      </c>
    </row>
    <row r="37" spans="1:17">
      <c r="A37" s="67" t="s">
        <v>116</v>
      </c>
      <c r="B37" s="67"/>
      <c r="C37" s="73">
        <f t="shared" ref="C37:J37" si="4">C29*$K29/$J29</f>
        <v>67.433803513981687</v>
      </c>
      <c r="D37" s="73">
        <f t="shared" si="4"/>
        <v>200.81352069711241</v>
      </c>
      <c r="E37" s="73">
        <f t="shared" si="4"/>
        <v>337.16901756990842</v>
      </c>
      <c r="F37" s="73">
        <f t="shared" si="4"/>
        <v>523.27941880465983</v>
      </c>
      <c r="G37" s="73">
        <f t="shared" si="4"/>
        <v>906.58010019854112</v>
      </c>
      <c r="H37" s="73">
        <f t="shared" si="4"/>
        <v>1389.5322567187779</v>
      </c>
      <c r="I37" s="73">
        <f t="shared" si="4"/>
        <v>1648.3658688292687</v>
      </c>
      <c r="J37" s="73">
        <f t="shared" si="4"/>
        <v>2180</v>
      </c>
      <c r="K37" s="68"/>
      <c r="N37" s="15" t="s">
        <v>25</v>
      </c>
      <c r="O37" s="15">
        <v>1775</v>
      </c>
      <c r="P37" s="17">
        <v>3200</v>
      </c>
      <c r="Q37" s="15" t="s">
        <v>23</v>
      </c>
    </row>
    <row r="38" spans="1:17">
      <c r="A38" s="67" t="s">
        <v>117</v>
      </c>
      <c r="B38" s="67"/>
      <c r="C38" s="73"/>
      <c r="D38" s="73">
        <f t="shared" ref="D38:J38" si="5">D30*$K30/$J30</f>
        <v>6.9859265072531844</v>
      </c>
      <c r="E38" s="73">
        <f t="shared" si="5"/>
        <v>32.102539981185323</v>
      </c>
      <c r="F38" s="73">
        <f t="shared" si="5"/>
        <v>68.861434147894542</v>
      </c>
      <c r="G38" s="73">
        <f t="shared" si="5"/>
        <v>107.23015477784398</v>
      </c>
      <c r="H38" s="73">
        <f t="shared" si="5"/>
        <v>173.48791535268452</v>
      </c>
      <c r="I38" s="73">
        <f t="shared" si="5"/>
        <v>210.30526567771943</v>
      </c>
      <c r="J38" s="73">
        <f t="shared" si="5"/>
        <v>273</v>
      </c>
      <c r="K38" s="68"/>
      <c r="O38" s="15"/>
      <c r="P38" s="17"/>
    </row>
    <row r="39" spans="1:17">
      <c r="A39" s="67" t="s">
        <v>118</v>
      </c>
      <c r="B39" s="67"/>
      <c r="C39" s="68"/>
      <c r="D39" s="68">
        <f>D37+D38</f>
        <v>207.79944720436561</v>
      </c>
      <c r="E39" s="68">
        <f t="shared" ref="E39:J39" si="6">E37+E38</f>
        <v>369.27155755109374</v>
      </c>
      <c r="F39" s="68">
        <f t="shared" si="6"/>
        <v>592.14085295255438</v>
      </c>
      <c r="G39" s="68">
        <f t="shared" si="6"/>
        <v>1013.8102549763851</v>
      </c>
      <c r="H39" s="68">
        <f t="shared" ref="H39" si="7">H37+H38</f>
        <v>1563.0201720714624</v>
      </c>
      <c r="I39" s="68">
        <f t="shared" si="6"/>
        <v>1858.6711345069882</v>
      </c>
      <c r="J39" s="68">
        <f t="shared" si="6"/>
        <v>2453</v>
      </c>
      <c r="K39" s="68"/>
      <c r="N39" s="15" t="s">
        <v>26</v>
      </c>
      <c r="O39" s="15"/>
      <c r="P39" s="17"/>
    </row>
    <row r="40" spans="1:17">
      <c r="A40" s="67"/>
      <c r="B40" s="67"/>
      <c r="C40" s="68"/>
      <c r="D40" s="68"/>
      <c r="E40" s="69"/>
      <c r="F40" s="69"/>
      <c r="G40" s="69"/>
      <c r="H40" s="69"/>
      <c r="I40" s="69"/>
      <c r="J40" s="68"/>
      <c r="K40" s="68"/>
    </row>
    <row r="41" spans="1:17">
      <c r="A41" s="67" t="s">
        <v>132</v>
      </c>
      <c r="B41" s="67"/>
      <c r="C41" s="72" t="s">
        <v>34</v>
      </c>
      <c r="D41" s="72" t="s">
        <v>33</v>
      </c>
      <c r="E41" s="72" t="s">
        <v>8</v>
      </c>
      <c r="F41" s="72" t="s">
        <v>7</v>
      </c>
      <c r="G41" s="72" t="s">
        <v>3</v>
      </c>
      <c r="H41" s="72" t="s">
        <v>159</v>
      </c>
      <c r="I41" s="72" t="s">
        <v>77</v>
      </c>
      <c r="J41" s="71" t="s">
        <v>161</v>
      </c>
      <c r="K41" s="68"/>
    </row>
    <row r="42" spans="1:17">
      <c r="A42" s="67" t="s">
        <v>116</v>
      </c>
      <c r="B42" s="67"/>
      <c r="C42" s="68">
        <f t="shared" ref="C42:J42" si="8">C29-C37</f>
        <v>932.56619648601827</v>
      </c>
      <c r="D42" s="68">
        <f t="shared" si="8"/>
        <v>2777.1220284296078</v>
      </c>
      <c r="E42" s="68">
        <f t="shared" si="8"/>
        <v>4662.8309824300914</v>
      </c>
      <c r="F42" s="68">
        <f t="shared" si="8"/>
        <v>7236.6183110655429</v>
      </c>
      <c r="G42" s="68">
        <f t="shared" si="8"/>
        <v>12537.420578342026</v>
      </c>
      <c r="H42" s="68">
        <f t="shared" ref="H42" si="9">H29-H37</f>
        <v>19216.338750255833</v>
      </c>
      <c r="I42" s="68">
        <f t="shared" si="8"/>
        <v>22795.841382323299</v>
      </c>
      <c r="J42" s="68">
        <f t="shared" si="8"/>
        <v>30148</v>
      </c>
      <c r="K42" s="68"/>
    </row>
    <row r="43" spans="1:17">
      <c r="A43" s="67" t="s">
        <v>117</v>
      </c>
      <c r="B43" s="67"/>
      <c r="C43" s="68"/>
      <c r="D43" s="68">
        <f t="shared" ref="D43:J43" si="10">D30-D38</f>
        <v>1081.0785243660266</v>
      </c>
      <c r="E43" s="68">
        <f t="shared" si="10"/>
        <v>4967.8974600188149</v>
      </c>
      <c r="F43" s="68">
        <f t="shared" si="10"/>
        <v>10656.369994308061</v>
      </c>
      <c r="G43" s="68">
        <f t="shared" si="10"/>
        <v>16593.96464798379</v>
      </c>
      <c r="H43" s="68">
        <f t="shared" ref="H43" si="11">H30-H38</f>
        <v>26847.413772545286</v>
      </c>
      <c r="I43" s="68">
        <f t="shared" si="10"/>
        <v>32544.932450866712</v>
      </c>
      <c r="J43" s="68">
        <f t="shared" si="10"/>
        <v>42247</v>
      </c>
      <c r="K43" s="68"/>
    </row>
    <row r="44" spans="1:17">
      <c r="A44" s="67" t="s">
        <v>118</v>
      </c>
      <c r="B44" s="67"/>
      <c r="C44" s="68"/>
      <c r="D44" s="68">
        <f>D42+D43</f>
        <v>3858.2005527956344</v>
      </c>
      <c r="E44" s="68">
        <f t="shared" ref="E44:J44" si="12">E42+E43</f>
        <v>9630.7284424489062</v>
      </c>
      <c r="F44" s="68">
        <f t="shared" si="12"/>
        <v>17892.988305373605</v>
      </c>
      <c r="G44" s="68">
        <f t="shared" si="12"/>
        <v>29131.385226325816</v>
      </c>
      <c r="H44" s="68">
        <f t="shared" ref="H44" si="13">H42+H43</f>
        <v>46063.752522801122</v>
      </c>
      <c r="I44" s="68">
        <f t="shared" si="12"/>
        <v>55340.773833190011</v>
      </c>
      <c r="J44" s="68">
        <f t="shared" si="12"/>
        <v>72395</v>
      </c>
      <c r="K44" s="68"/>
    </row>
    <row r="45" spans="1:17">
      <c r="A45" s="67"/>
      <c r="B45" s="67"/>
      <c r="C45" s="68"/>
      <c r="D45" s="68"/>
      <c r="E45" s="68"/>
      <c r="F45" s="68"/>
      <c r="G45" s="68"/>
      <c r="H45" s="68"/>
      <c r="I45" s="68"/>
      <c r="J45" s="68"/>
      <c r="K45" s="68"/>
    </row>
    <row r="46" spans="1:17">
      <c r="A46" s="67" t="s">
        <v>147</v>
      </c>
      <c r="B46" s="67"/>
      <c r="C46" s="68"/>
      <c r="D46" s="68"/>
      <c r="E46" s="68"/>
      <c r="F46" s="68"/>
      <c r="G46" s="68"/>
      <c r="H46" s="68"/>
      <c r="I46" s="68"/>
      <c r="J46" s="68"/>
      <c r="K46" s="68"/>
    </row>
    <row r="47" spans="1:17">
      <c r="A47" s="67" t="s">
        <v>143</v>
      </c>
      <c r="B47" s="67"/>
      <c r="C47" s="68"/>
      <c r="D47" s="68"/>
      <c r="E47" s="68"/>
      <c r="F47" s="68"/>
      <c r="G47" s="68"/>
      <c r="H47" s="68"/>
      <c r="I47" s="68"/>
      <c r="J47" s="68"/>
      <c r="K47" s="68"/>
    </row>
    <row r="48" spans="1:17">
      <c r="A48" s="67"/>
      <c r="B48" s="67"/>
      <c r="C48" s="76">
        <v>1698</v>
      </c>
      <c r="D48" s="76">
        <v>1723</v>
      </c>
      <c r="E48" s="76">
        <v>1731</v>
      </c>
      <c r="F48" s="76">
        <v>1737</v>
      </c>
      <c r="G48" s="76">
        <v>1746</v>
      </c>
      <c r="H48" s="76">
        <v>1756</v>
      </c>
      <c r="I48" s="76">
        <v>1771</v>
      </c>
      <c r="J48" s="68"/>
      <c r="K48" s="68"/>
    </row>
    <row r="49" spans="1:16">
      <c r="A49" s="67" t="s">
        <v>144</v>
      </c>
      <c r="B49" s="67"/>
      <c r="C49" s="68">
        <v>4237</v>
      </c>
      <c r="D49" s="68">
        <v>5886</v>
      </c>
      <c r="E49" s="68">
        <v>7045</v>
      </c>
      <c r="F49" s="68">
        <v>8945</v>
      </c>
      <c r="G49" s="68">
        <v>9273</v>
      </c>
      <c r="H49" s="68">
        <v>10768</v>
      </c>
      <c r="I49" s="68">
        <v>18726</v>
      </c>
      <c r="J49" s="68"/>
      <c r="K49" s="68"/>
    </row>
    <row r="50" spans="1:16">
      <c r="A50" s="67" t="s">
        <v>145</v>
      </c>
      <c r="B50" s="67"/>
      <c r="C50" s="68">
        <v>700</v>
      </c>
      <c r="D50" s="68">
        <v>1362</v>
      </c>
      <c r="E50" s="68">
        <v>1577</v>
      </c>
      <c r="F50" s="68">
        <v>1719</v>
      </c>
      <c r="G50" s="68">
        <v>2444</v>
      </c>
      <c r="H50" s="68">
        <v>2272</v>
      </c>
      <c r="I50" s="68">
        <v>3137</v>
      </c>
      <c r="J50" s="68"/>
      <c r="K50" s="68"/>
    </row>
    <row r="51" spans="1:16">
      <c r="A51" s="67" t="s">
        <v>146</v>
      </c>
      <c r="B51" s="67"/>
      <c r="C51" s="68">
        <v>4937</v>
      </c>
      <c r="D51" s="68">
        <v>7248</v>
      </c>
      <c r="E51" s="68">
        <v>8622</v>
      </c>
      <c r="F51" s="68">
        <v>10664</v>
      </c>
      <c r="G51" s="68">
        <v>11717</v>
      </c>
      <c r="H51" s="68">
        <v>13040</v>
      </c>
      <c r="I51" s="68">
        <v>21863</v>
      </c>
      <c r="J51" s="68"/>
      <c r="K51" s="68"/>
    </row>
    <row r="52" spans="1:16">
      <c r="C52" s="17"/>
      <c r="D52" s="17"/>
      <c r="E52" s="5"/>
      <c r="F52" s="5"/>
      <c r="G52" s="5"/>
      <c r="H52" s="5"/>
      <c r="I52" s="5"/>
      <c r="J52" s="17"/>
      <c r="K52" s="17"/>
      <c r="L52" s="15" t="s">
        <v>151</v>
      </c>
    </row>
    <row r="53" spans="1:16">
      <c r="C53" s="17"/>
      <c r="D53" s="17"/>
      <c r="E53" s="5"/>
      <c r="F53" s="5"/>
      <c r="G53" s="5"/>
      <c r="H53" s="5"/>
      <c r="I53" s="5"/>
      <c r="J53" s="17"/>
      <c r="K53" s="11" t="s">
        <v>149</v>
      </c>
      <c r="L53" s="64" t="s">
        <v>33</v>
      </c>
      <c r="M53" s="64" t="s">
        <v>8</v>
      </c>
      <c r="N53" s="64" t="s">
        <v>7</v>
      </c>
      <c r="O53" s="64" t="s">
        <v>3</v>
      </c>
      <c r="P53" s="64" t="s">
        <v>159</v>
      </c>
    </row>
    <row r="54" spans="1:16">
      <c r="A54" s="61" t="s">
        <v>127</v>
      </c>
      <c r="C54" s="64" t="s">
        <v>34</v>
      </c>
      <c r="D54" s="64" t="s">
        <v>33</v>
      </c>
      <c r="E54" s="64" t="s">
        <v>8</v>
      </c>
      <c r="F54" s="64" t="s">
        <v>7</v>
      </c>
      <c r="G54" s="64" t="s">
        <v>3</v>
      </c>
      <c r="H54" s="64" t="s">
        <v>159</v>
      </c>
      <c r="I54" s="64" t="s">
        <v>77</v>
      </c>
      <c r="J54" s="65">
        <v>1790</v>
      </c>
      <c r="K54" s="11" t="s">
        <v>150</v>
      </c>
      <c r="L54" s="64" t="s">
        <v>8</v>
      </c>
      <c r="M54" s="64" t="s">
        <v>7</v>
      </c>
      <c r="N54" s="64" t="s">
        <v>3</v>
      </c>
      <c r="O54" s="64" t="s">
        <v>159</v>
      </c>
      <c r="P54" s="64" t="s">
        <v>77</v>
      </c>
    </row>
    <row r="55" spans="1:16">
      <c r="A55" s="15" t="s">
        <v>123</v>
      </c>
      <c r="C55" s="17">
        <v>4116</v>
      </c>
      <c r="D55" s="17">
        <f>5754*EXP(LN(9830/5754)/10)^5</f>
        <v>7520.7592701801113</v>
      </c>
      <c r="E55" s="17">
        <v>19107</v>
      </c>
      <c r="F55" s="17">
        <f>36919*EXP(LN(48594/36919)/10)^5</f>
        <v>42356.131622233843</v>
      </c>
      <c r="G55" s="17">
        <v>76696</v>
      </c>
      <c r="H55" s="17">
        <v>162920</v>
      </c>
      <c r="I55" s="17">
        <f>162920*EXP(LN(210541/162920)/10)^4</f>
        <v>180517.50127941807</v>
      </c>
      <c r="J55" s="17">
        <v>340120</v>
      </c>
      <c r="K55" s="17"/>
    </row>
    <row r="56" spans="1:16">
      <c r="A56" s="15" t="s">
        <v>124</v>
      </c>
      <c r="C56" s="17"/>
      <c r="D56" s="17">
        <f>1000*EXP(LN(3400/1000)/10)^5</f>
        <v>1843.9088914585777</v>
      </c>
      <c r="E56" s="17">
        <v>14010</v>
      </c>
      <c r="F56" s="17">
        <f>29818*EXP(LN(37510/29818)/10)^5</f>
        <v>33443.582044990348</v>
      </c>
      <c r="G56" s="17">
        <v>71393</v>
      </c>
      <c r="H56" s="17">
        <v>117431</v>
      </c>
      <c r="I56" s="17">
        <f>117431*EXP(LN(139627/117431)/10)^4</f>
        <v>125851.21662270643</v>
      </c>
      <c r="J56" s="17">
        <v>184139</v>
      </c>
      <c r="K56" s="17"/>
    </row>
    <row r="57" spans="1:16">
      <c r="A57" s="15" t="s">
        <v>125</v>
      </c>
      <c r="C57" s="17"/>
      <c r="D57" s="62">
        <v>320</v>
      </c>
      <c r="E57" s="17">
        <v>17950</v>
      </c>
      <c r="F57" s="17">
        <f>30962*EXP(LN(51707/30962)/10)^5</f>
        <v>40011.899904903308</v>
      </c>
      <c r="G57" s="17">
        <v>119666</v>
      </c>
      <c r="H57" s="17">
        <v>240057</v>
      </c>
      <c r="I57" s="17">
        <f>240057*EXP(LN(327305/240057)/10)^4</f>
        <v>271750.07996048033</v>
      </c>
      <c r="J57" s="17">
        <v>434373</v>
      </c>
      <c r="K57" s="17"/>
    </row>
    <row r="58" spans="1:16">
      <c r="A58" s="15" t="s">
        <v>126</v>
      </c>
      <c r="C58" s="17">
        <v>185</v>
      </c>
      <c r="D58" s="17">
        <f>700*EXP(LN(1005/700)/10)^5</f>
        <v>838.74906855387928</v>
      </c>
      <c r="E58" s="17">
        <v>2470</v>
      </c>
      <c r="F58" s="17">
        <f>5385*EXP(LN(9170/5385)/10)^5</f>
        <v>7027.1224551732421</v>
      </c>
      <c r="G58" s="17">
        <v>28704</v>
      </c>
      <c r="H58" s="17">
        <v>35496</v>
      </c>
      <c r="I58" s="17">
        <f>35496*EXP(LN(45385/35496)/10)^4</f>
        <v>39162.696351832623</v>
      </c>
      <c r="J58" s="17">
        <v>59094</v>
      </c>
      <c r="K58" s="17"/>
    </row>
    <row r="59" spans="1:16">
      <c r="B59" s="15" t="s">
        <v>128</v>
      </c>
      <c r="C59" s="17"/>
      <c r="D59" s="17">
        <f>SUM(D55:D58)</f>
        <v>10523.417230192568</v>
      </c>
      <c r="E59" s="17">
        <f t="shared" ref="E59:J59" si="14">SUM(E55:E58)</f>
        <v>53537</v>
      </c>
      <c r="F59" s="17">
        <f t="shared" si="14"/>
        <v>122838.73602730075</v>
      </c>
      <c r="G59" s="17">
        <f t="shared" si="14"/>
        <v>296459</v>
      </c>
      <c r="H59" s="17">
        <f t="shared" si="14"/>
        <v>555904</v>
      </c>
      <c r="I59" s="17">
        <f t="shared" si="14"/>
        <v>617281.49421443744</v>
      </c>
      <c r="J59" s="17">
        <f t="shared" si="14"/>
        <v>1017726</v>
      </c>
      <c r="K59" s="17"/>
      <c r="L59" s="77">
        <f>100*(EXP(LN(E59/D59)/25)-1)</f>
        <v>6.7234582657169417</v>
      </c>
      <c r="M59" s="77">
        <f>100*(EXP(LN(F59/E59)/25)-1)</f>
        <v>3.3777920657486415</v>
      </c>
      <c r="N59" s="77">
        <f>100*(EXP(LN(G59/F59)/25)-1)</f>
        <v>3.5869800680171871</v>
      </c>
      <c r="O59" s="77">
        <f>100*(EXP(LN(H59/G59)/20)-1)</f>
        <v>3.1933610858323025</v>
      </c>
      <c r="P59" s="77">
        <f>100*(EXP(LN(I59/H59)/4)-1)</f>
        <v>2.6528152912684178</v>
      </c>
    </row>
    <row r="60" spans="1:16">
      <c r="C60" s="17"/>
      <c r="D60" s="17"/>
      <c r="E60" s="17"/>
      <c r="F60" s="17"/>
      <c r="G60" s="17"/>
      <c r="H60" s="17"/>
      <c r="I60" s="17"/>
      <c r="J60" s="17"/>
      <c r="K60" s="17"/>
    </row>
    <row r="61" spans="1:16">
      <c r="A61" s="61" t="s">
        <v>130</v>
      </c>
      <c r="C61" s="64" t="s">
        <v>34</v>
      </c>
      <c r="D61" s="64" t="s">
        <v>33</v>
      </c>
      <c r="E61" s="64" t="s">
        <v>8</v>
      </c>
      <c r="F61" s="64" t="s">
        <v>7</v>
      </c>
      <c r="G61" s="64" t="s">
        <v>3</v>
      </c>
      <c r="H61" s="64" t="s">
        <v>159</v>
      </c>
      <c r="I61" s="64" t="s">
        <v>77</v>
      </c>
      <c r="J61" s="65">
        <v>1790</v>
      </c>
      <c r="K61" s="17"/>
    </row>
    <row r="62" spans="1:16">
      <c r="A62" s="15" t="s">
        <v>123</v>
      </c>
      <c r="C62" s="17">
        <v>500</v>
      </c>
      <c r="D62" s="17">
        <f>690*EXP(LN(1200/690)/10)^5</f>
        <v>909.94505328618618</v>
      </c>
      <c r="E62" s="17">
        <v>2256</v>
      </c>
      <c r="F62" s="17">
        <f>5740*EXP(LN(6956/5740)/10)^5</f>
        <v>6318.8163448544674</v>
      </c>
      <c r="G62" s="17">
        <v>11014</v>
      </c>
      <c r="H62" s="17">
        <v>19112</v>
      </c>
      <c r="I62" s="17">
        <f>19112*EXP(LN(21054/19112)/10)^4</f>
        <v>19866.324703535392</v>
      </c>
      <c r="J62" s="17">
        <v>21324</v>
      </c>
      <c r="K62" s="17"/>
    </row>
    <row r="63" spans="1:16">
      <c r="A63" s="15" t="s">
        <v>124</v>
      </c>
      <c r="C63" s="17"/>
      <c r="D63" s="17">
        <f>60*EXP(LN(200/60)/10)^5</f>
        <v>109.54451150103317</v>
      </c>
      <c r="E63" s="17">
        <v>840</v>
      </c>
      <c r="F63" s="17">
        <f>2385*EXP(LN(3008/2385)/10)^5</f>
        <v>2678.447311410102</v>
      </c>
      <c r="G63" s="17">
        <v>5354</v>
      </c>
      <c r="H63" s="17">
        <v>8220</v>
      </c>
      <c r="I63" s="17">
        <f>8220*EXP(LN(10460/8220)/10)^4</f>
        <v>9051.8169805871421</v>
      </c>
      <c r="J63" s="17">
        <v>11423</v>
      </c>
      <c r="K63" s="17"/>
    </row>
    <row r="64" spans="1:16">
      <c r="A64" s="15" t="s">
        <v>125</v>
      </c>
      <c r="C64" s="17"/>
      <c r="D64" s="17">
        <v>12</v>
      </c>
      <c r="E64" s="17">
        <v>430</v>
      </c>
      <c r="F64" s="17">
        <f>2000*EXP(LN(1241/2000)/10)^5</f>
        <v>1575.4364474646391</v>
      </c>
      <c r="G64" s="17">
        <v>2872</v>
      </c>
      <c r="H64" s="17">
        <v>5761</v>
      </c>
      <c r="I64" s="17">
        <f>5761*EXP(LN(7855/5761)/10)^4</f>
        <v>6521.645693926348</v>
      </c>
      <c r="J64" s="17">
        <v>3737</v>
      </c>
      <c r="K64" s="17"/>
    </row>
    <row r="65" spans="1:16">
      <c r="A65" s="15" t="s">
        <v>126</v>
      </c>
      <c r="C65" s="17">
        <v>15</v>
      </c>
      <c r="D65" s="17">
        <f>40*EXP(LN(55/40)/10)^5</f>
        <v>46.904157598234306</v>
      </c>
      <c r="E65" s="17">
        <v>135</v>
      </c>
      <c r="F65" s="17">
        <f>700*EXP(LN(478/700)/10)^5</f>
        <v>578.4461945591828</v>
      </c>
      <c r="G65" s="17">
        <v>1496</v>
      </c>
      <c r="H65" s="17">
        <v>1836</v>
      </c>
      <c r="I65" s="17">
        <f>1836*EXP(LN(2996/1836)/10)^4</f>
        <v>2233.2653603042422</v>
      </c>
      <c r="J65" s="17">
        <v>8887</v>
      </c>
      <c r="K65" s="17"/>
    </row>
    <row r="66" spans="1:16">
      <c r="B66" s="15" t="s">
        <v>128</v>
      </c>
      <c r="D66" s="17">
        <f>SUM(D62:D65)</f>
        <v>1078.3937223854539</v>
      </c>
      <c r="E66" s="17">
        <f>SUM(E62:E65)</f>
        <v>3661</v>
      </c>
      <c r="F66" s="17">
        <f t="shared" ref="F66:J66" si="15">SUM(F62:F65)</f>
        <v>11151.146298288391</v>
      </c>
      <c r="G66" s="17">
        <f t="shared" si="15"/>
        <v>20736</v>
      </c>
      <c r="H66" s="17">
        <f t="shared" si="15"/>
        <v>34929</v>
      </c>
      <c r="I66" s="17">
        <f t="shared" si="15"/>
        <v>37673.05273835313</v>
      </c>
      <c r="J66" s="17">
        <f t="shared" si="15"/>
        <v>45371</v>
      </c>
      <c r="K66" s="17"/>
      <c r="L66" s="77">
        <f>100*(EXP(LN(E66/D66)/25)-1)</f>
        <v>5.0105408069416768</v>
      </c>
      <c r="M66" s="77">
        <f t="shared" ref="M66" si="16">100*(EXP(LN(F66/E66)/25)-1)</f>
        <v>4.5559593874406668</v>
      </c>
      <c r="N66" s="77">
        <f t="shared" ref="N66" si="17">100*(EXP(LN(G66/F66)/25)-1)</f>
        <v>2.5123569384347011</v>
      </c>
      <c r="O66" s="77">
        <f>100*(EXP(LN(H66/G66)/20)-1)</f>
        <v>2.6415161228921624</v>
      </c>
      <c r="P66" s="77">
        <f>100*(EXP(LN(I66/H66)/4)-1)</f>
        <v>1.9086774273999074</v>
      </c>
    </row>
    <row r="68" spans="1:16">
      <c r="A68" s="61" t="s">
        <v>131</v>
      </c>
      <c r="C68" s="64" t="s">
        <v>34</v>
      </c>
      <c r="D68" s="64" t="s">
        <v>33</v>
      </c>
      <c r="E68" s="64" t="s">
        <v>8</v>
      </c>
      <c r="F68" s="64" t="s">
        <v>7</v>
      </c>
      <c r="G68" s="64" t="s">
        <v>3</v>
      </c>
      <c r="H68" s="64" t="s">
        <v>159</v>
      </c>
      <c r="I68" s="64" t="s">
        <v>77</v>
      </c>
      <c r="J68" s="65">
        <v>1790</v>
      </c>
    </row>
    <row r="69" spans="1:16">
      <c r="A69" s="15" t="s">
        <v>123</v>
      </c>
      <c r="C69" s="17">
        <f>C55-C62</f>
        <v>3616</v>
      </c>
      <c r="D69" s="17">
        <f t="shared" ref="D69:J69" si="18">D55-D62</f>
        <v>6610.8142168939248</v>
      </c>
      <c r="E69" s="17">
        <f t="shared" si="18"/>
        <v>16851</v>
      </c>
      <c r="F69" s="17">
        <f t="shared" si="18"/>
        <v>36037.315277379377</v>
      </c>
      <c r="G69" s="17">
        <f t="shared" si="18"/>
        <v>65682</v>
      </c>
      <c r="H69" s="17">
        <f t="shared" ref="H69" si="19">H55-H62</f>
        <v>143808</v>
      </c>
      <c r="I69" s="17">
        <f t="shared" si="18"/>
        <v>160651.17657588268</v>
      </c>
      <c r="J69" s="17">
        <f t="shared" si="18"/>
        <v>318796</v>
      </c>
    </row>
    <row r="70" spans="1:16">
      <c r="A70" s="15" t="s">
        <v>124</v>
      </c>
      <c r="C70" s="17"/>
      <c r="D70" s="17">
        <f t="shared" ref="D70:J70" si="20">D56-D63</f>
        <v>1734.3643799575445</v>
      </c>
      <c r="E70" s="17">
        <f t="shared" si="20"/>
        <v>13170</v>
      </c>
      <c r="F70" s="17">
        <f t="shared" si="20"/>
        <v>30765.134733580246</v>
      </c>
      <c r="G70" s="17">
        <f t="shared" si="20"/>
        <v>66039</v>
      </c>
      <c r="H70" s="17">
        <f t="shared" ref="H70" si="21">H56-H63</f>
        <v>109211</v>
      </c>
      <c r="I70" s="17">
        <f t="shared" si="20"/>
        <v>116799.39964211929</v>
      </c>
      <c r="J70" s="17">
        <f t="shared" si="20"/>
        <v>172716</v>
      </c>
    </row>
    <row r="71" spans="1:16">
      <c r="A71" s="15" t="s">
        <v>125</v>
      </c>
      <c r="C71" s="17"/>
      <c r="D71" s="17">
        <f t="shared" ref="D71:J71" si="22">D57-D64</f>
        <v>308</v>
      </c>
      <c r="E71" s="17">
        <f t="shared" si="22"/>
        <v>17520</v>
      </c>
      <c r="F71" s="17">
        <f t="shared" si="22"/>
        <v>38436.463457438673</v>
      </c>
      <c r="G71" s="17">
        <f t="shared" si="22"/>
        <v>116794</v>
      </c>
      <c r="H71" s="17">
        <f t="shared" ref="H71" si="23">H57-H64</f>
        <v>234296</v>
      </c>
      <c r="I71" s="17">
        <f t="shared" si="22"/>
        <v>265228.43426655396</v>
      </c>
      <c r="J71" s="17">
        <f t="shared" si="22"/>
        <v>430636</v>
      </c>
    </row>
    <row r="72" spans="1:16">
      <c r="A72" s="15" t="s">
        <v>126</v>
      </c>
      <c r="C72" s="17">
        <f t="shared" ref="C72:J72" si="24">C58-C65</f>
        <v>170</v>
      </c>
      <c r="D72" s="17">
        <f t="shared" si="24"/>
        <v>791.84491095564499</v>
      </c>
      <c r="E72" s="17">
        <f t="shared" si="24"/>
        <v>2335</v>
      </c>
      <c r="F72" s="17">
        <f t="shared" si="24"/>
        <v>6448.6762606140592</v>
      </c>
      <c r="G72" s="17">
        <f t="shared" si="24"/>
        <v>27208</v>
      </c>
      <c r="H72" s="17">
        <f t="shared" ref="H72" si="25">H58-H65</f>
        <v>33660</v>
      </c>
      <c r="I72" s="17">
        <f t="shared" si="24"/>
        <v>36929.430991528381</v>
      </c>
      <c r="J72" s="17">
        <f t="shared" si="24"/>
        <v>50207</v>
      </c>
    </row>
    <row r="73" spans="1:16">
      <c r="B73" s="15" t="s">
        <v>128</v>
      </c>
      <c r="D73" s="17">
        <f>SUM(D69:D72)</f>
        <v>9445.0235078071128</v>
      </c>
      <c r="E73" s="17">
        <f t="shared" ref="E73:J73" si="26">SUM(E69:E72)</f>
        <v>49876</v>
      </c>
      <c r="F73" s="17">
        <f t="shared" si="26"/>
        <v>111687.58972901235</v>
      </c>
      <c r="G73" s="17">
        <f t="shared" si="26"/>
        <v>275723</v>
      </c>
      <c r="H73" s="17">
        <f t="shared" ref="H73" si="27">SUM(H69:H72)</f>
        <v>520975</v>
      </c>
      <c r="I73" s="17">
        <f t="shared" si="26"/>
        <v>579608.44147608429</v>
      </c>
      <c r="J73" s="17">
        <f t="shared" si="26"/>
        <v>972355</v>
      </c>
      <c r="L73" s="77">
        <f>100*(EXP(LN(E73/D73)/25)-1)</f>
        <v>6.8827312047854639</v>
      </c>
      <c r="M73" s="77">
        <f t="shared" ref="M73" si="28">100*(EXP(LN(F73/E73)/25)-1)</f>
        <v>3.2772183245986186</v>
      </c>
      <c r="N73" s="77">
        <f t="shared" ref="N73" si="29">100*(EXP(LN(G73/F73)/25)-1)</f>
        <v>3.6808915558343314</v>
      </c>
      <c r="O73" s="77">
        <f>100*(EXP(LN(H73/G73)/20)-1)</f>
        <v>3.2326781698950091</v>
      </c>
      <c r="P73" s="77">
        <f>100*(EXP(LN(I73/H73)/4)-1)</f>
        <v>2.7021309164491969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C26" sqref="C26"/>
    </sheetView>
  </sheetViews>
  <sheetFormatPr baseColWidth="10" defaultRowHeight="15" x14ac:dyDescent="0"/>
  <cols>
    <col min="4" max="4" width="12" customWidth="1"/>
    <col min="6" max="6" width="10.83203125" customWidth="1"/>
    <col min="7" max="7" width="4.83203125" customWidth="1"/>
  </cols>
  <sheetData>
    <row r="1" spans="1:14">
      <c r="A1" s="92">
        <v>41518</v>
      </c>
    </row>
    <row r="2" spans="1:14" ht="20">
      <c r="B2" s="91" t="s">
        <v>170</v>
      </c>
    </row>
    <row r="3" spans="1:14" ht="20">
      <c r="B3" s="91" t="s">
        <v>171</v>
      </c>
    </row>
    <row r="4" spans="1:14" ht="20">
      <c r="A4" s="91"/>
    </row>
    <row r="5" spans="1:14">
      <c r="A5" t="s">
        <v>102</v>
      </c>
    </row>
    <row r="7" spans="1:14">
      <c r="A7" t="s">
        <v>106</v>
      </c>
      <c r="F7" t="s">
        <v>60</v>
      </c>
      <c r="H7" t="s">
        <v>153</v>
      </c>
      <c r="M7" t="s">
        <v>60</v>
      </c>
    </row>
    <row r="8" spans="1:14">
      <c r="E8" s="35" t="s">
        <v>115</v>
      </c>
      <c r="F8" t="s">
        <v>62</v>
      </c>
      <c r="L8" s="35" t="s">
        <v>115</v>
      </c>
      <c r="M8" s="35" t="s">
        <v>61</v>
      </c>
      <c r="N8" s="35" t="s">
        <v>72</v>
      </c>
    </row>
    <row r="9" spans="1:14">
      <c r="A9" s="30" t="s">
        <v>37</v>
      </c>
      <c r="B9" s="30" t="s">
        <v>113</v>
      </c>
      <c r="E9" s="56">
        <f>SUM(E10:E20)</f>
        <v>13795.452725362811</v>
      </c>
      <c r="H9" s="30" t="s">
        <v>37</v>
      </c>
      <c r="I9" s="30" t="s">
        <v>114</v>
      </c>
      <c r="L9" s="4">
        <f>SUM(L10:L14)+SUM(L18:L23)</f>
        <v>161859.50909360158</v>
      </c>
      <c r="M9" s="36">
        <f>SUM(M10:M23)</f>
        <v>100.00000000000001</v>
      </c>
      <c r="N9" s="36">
        <f>SUM(N10:N22)</f>
        <v>100.00000000000001</v>
      </c>
    </row>
    <row r="10" spans="1:14">
      <c r="A10" s="31" t="s">
        <v>38</v>
      </c>
      <c r="B10" s="32" t="s">
        <v>39</v>
      </c>
      <c r="E10" s="56">
        <v>613.87144256812326</v>
      </c>
      <c r="F10" s="33">
        <f>100*E10/E$9</f>
        <v>4.4498100554505635</v>
      </c>
      <c r="H10" s="31" t="s">
        <v>38</v>
      </c>
      <c r="I10" s="32" t="s">
        <v>39</v>
      </c>
      <c r="L10" s="57">
        <v>1878.4235524619555</v>
      </c>
      <c r="M10" s="34">
        <f t="shared" ref="M10:M23" si="0">100*L10/L$9</f>
        <v>1.1605271528259014</v>
      </c>
      <c r="N10" s="37">
        <f>100*L10/(L$9-L$23)</f>
        <v>1.2899760933776656</v>
      </c>
    </row>
    <row r="11" spans="1:14">
      <c r="A11" s="31" t="s">
        <v>40</v>
      </c>
      <c r="B11" s="32" t="s">
        <v>41</v>
      </c>
      <c r="E11" s="56">
        <v>3502.1229010025154</v>
      </c>
      <c r="F11" s="33">
        <f t="shared" ref="F11:F20" si="1">100*E11/E$9</f>
        <v>25.386067211581214</v>
      </c>
      <c r="H11" s="31" t="s">
        <v>63</v>
      </c>
      <c r="I11" s="32" t="s">
        <v>41</v>
      </c>
      <c r="L11" s="57">
        <v>8816.3896147853629</v>
      </c>
      <c r="M11" s="34">
        <f t="shared" si="0"/>
        <v>5.4469395490918862</v>
      </c>
      <c r="N11" s="37">
        <f>100*L11/(L$9-L$23)</f>
        <v>6.0545087491424994</v>
      </c>
    </row>
    <row r="12" spans="1:14">
      <c r="A12" s="31" t="s">
        <v>42</v>
      </c>
      <c r="B12" s="30" t="s">
        <v>43</v>
      </c>
      <c r="E12" s="56">
        <v>2221.457892282509</v>
      </c>
      <c r="F12" s="33">
        <f t="shared" si="1"/>
        <v>16.102827043859019</v>
      </c>
      <c r="H12" s="31" t="s">
        <v>42</v>
      </c>
      <c r="I12" s="30" t="s">
        <v>43</v>
      </c>
      <c r="L12" s="57">
        <v>24319.008653869379</v>
      </c>
      <c r="M12" s="34">
        <f t="shared" si="0"/>
        <v>15.024763629924246</v>
      </c>
      <c r="N12" s="37">
        <f>100*L12/(L$9-L$23)</f>
        <v>16.700674210041576</v>
      </c>
    </row>
    <row r="13" spans="1:14">
      <c r="A13" s="31" t="s">
        <v>44</v>
      </c>
      <c r="B13" s="30" t="s">
        <v>45</v>
      </c>
      <c r="E13" s="56">
        <v>1006.4232633190234</v>
      </c>
      <c r="F13" s="33">
        <f t="shared" si="1"/>
        <v>7.2953261002353598</v>
      </c>
      <c r="H13" s="31" t="s">
        <v>44</v>
      </c>
      <c r="I13" s="30" t="s">
        <v>45</v>
      </c>
      <c r="L13" s="57">
        <v>14413.417798957922</v>
      </c>
      <c r="M13" s="34">
        <f t="shared" si="0"/>
        <v>8.9048940526705795</v>
      </c>
      <c r="N13" s="37">
        <f>100*L13/(L$9-L$23)</f>
        <v>9.8981746476458881</v>
      </c>
    </row>
    <row r="14" spans="1:14">
      <c r="A14" s="31" t="s">
        <v>46</v>
      </c>
      <c r="B14" s="30" t="s">
        <v>47</v>
      </c>
      <c r="E14" s="56">
        <v>373.68641911311346</v>
      </c>
      <c r="F14" s="33">
        <f t="shared" si="1"/>
        <v>2.7087651746730605</v>
      </c>
      <c r="H14" s="31" t="s">
        <v>64</v>
      </c>
      <c r="I14" s="30" t="s">
        <v>65</v>
      </c>
      <c r="L14" s="58">
        <v>44474.734919777569</v>
      </c>
      <c r="M14" s="34">
        <f t="shared" si="0"/>
        <v>27.477369212863682</v>
      </c>
      <c r="N14" s="34">
        <f>100*L14/(L$9-L$23)</f>
        <v>30.542283571044546</v>
      </c>
    </row>
    <row r="15" spans="1:14">
      <c r="A15" s="31" t="s">
        <v>48</v>
      </c>
      <c r="B15" s="30" t="s">
        <v>49</v>
      </c>
      <c r="E15" s="56">
        <v>1261.8585121287699</v>
      </c>
      <c r="F15" s="33">
        <f t="shared" si="1"/>
        <v>9.1469162864720985</v>
      </c>
      <c r="H15" s="31" t="s">
        <v>66</v>
      </c>
      <c r="I15" s="30" t="s">
        <v>67</v>
      </c>
      <c r="L15" s="59" t="s">
        <v>73</v>
      </c>
      <c r="M15" s="34"/>
      <c r="N15" s="34"/>
    </row>
    <row r="16" spans="1:14">
      <c r="A16" s="31" t="s">
        <v>50</v>
      </c>
      <c r="B16" s="30" t="s">
        <v>51</v>
      </c>
      <c r="E16" s="56">
        <v>235.94180362566135</v>
      </c>
      <c r="F16" s="33">
        <f t="shared" si="1"/>
        <v>1.710286775814791</v>
      </c>
      <c r="H16" s="31" t="s">
        <v>68</v>
      </c>
      <c r="I16" s="30" t="s">
        <v>69</v>
      </c>
      <c r="L16" s="59" t="s">
        <v>74</v>
      </c>
      <c r="M16" s="34"/>
      <c r="N16" s="34"/>
    </row>
    <row r="17" spans="1:14">
      <c r="A17" s="30" t="s">
        <v>52</v>
      </c>
      <c r="B17" s="32" t="s">
        <v>53</v>
      </c>
      <c r="E17" s="56">
        <v>1139.8754213249404</v>
      </c>
      <c r="F17" s="33">
        <f t="shared" si="1"/>
        <v>8.2626894819427719</v>
      </c>
      <c r="H17" s="31" t="s">
        <v>70</v>
      </c>
      <c r="I17" s="30" t="s">
        <v>71</v>
      </c>
      <c r="L17" s="60" t="s">
        <v>75</v>
      </c>
      <c r="M17" s="34"/>
      <c r="N17" s="34"/>
    </row>
    <row r="18" spans="1:14">
      <c r="A18" s="30" t="s">
        <v>54</v>
      </c>
      <c r="B18" s="32" t="s">
        <v>55</v>
      </c>
      <c r="E18" s="56">
        <v>230.56324860782343</v>
      </c>
      <c r="F18" s="33">
        <f t="shared" si="1"/>
        <v>1.6712988924526921</v>
      </c>
      <c r="H18" s="31" t="s">
        <v>48</v>
      </c>
      <c r="I18" s="30" t="s">
        <v>49</v>
      </c>
      <c r="L18" s="57">
        <v>9914.4805205116027</v>
      </c>
      <c r="M18" s="34">
        <f t="shared" si="0"/>
        <v>6.1253617881530626</v>
      </c>
      <c r="N18" s="34">
        <f>100*L18/(L$9-L$23)</f>
        <v>6.8086043922075197</v>
      </c>
    </row>
    <row r="19" spans="1:14">
      <c r="A19" s="31" t="s">
        <v>56</v>
      </c>
      <c r="B19" s="30" t="s">
        <v>57</v>
      </c>
      <c r="E19" s="56">
        <v>672.59682139033032</v>
      </c>
      <c r="F19" s="33">
        <f t="shared" si="1"/>
        <v>4.8754965478861543</v>
      </c>
      <c r="H19" s="31" t="s">
        <v>50</v>
      </c>
      <c r="I19" s="30" t="s">
        <v>51</v>
      </c>
      <c r="L19" s="57">
        <v>415.55032600872619</v>
      </c>
      <c r="M19" s="34">
        <f t="shared" si="0"/>
        <v>0.25673519482158941</v>
      </c>
      <c r="N19" s="34">
        <f>100*L19/(L$9-L$23)</f>
        <v>0.28537226625165457</v>
      </c>
    </row>
    <row r="20" spans="1:14">
      <c r="A20" s="31" t="s">
        <v>58</v>
      </c>
      <c r="B20" s="30" t="s">
        <v>59</v>
      </c>
      <c r="E20" s="56">
        <v>2537.0550000000003</v>
      </c>
      <c r="F20" s="33">
        <f t="shared" si="1"/>
        <v>18.390516429632267</v>
      </c>
      <c r="H20" s="30" t="s">
        <v>52</v>
      </c>
      <c r="I20" s="32" t="s">
        <v>53</v>
      </c>
      <c r="L20" s="57">
        <v>32433.40982316939</v>
      </c>
      <c r="M20" s="34">
        <f t="shared" si="0"/>
        <v>20.038000859383249</v>
      </c>
      <c r="N20" s="37">
        <f>100*L20/(L$9-L$23)</f>
        <v>22.273104084418801</v>
      </c>
    </row>
    <row r="21" spans="1:14">
      <c r="H21" s="30" t="s">
        <v>54</v>
      </c>
      <c r="I21" s="32" t="s">
        <v>55</v>
      </c>
      <c r="L21" s="57">
        <v>2003.1246358252829</v>
      </c>
      <c r="M21" s="34">
        <f t="shared" si="0"/>
        <v>1.2375699438621786</v>
      </c>
      <c r="N21" s="37">
        <f>100*L21/(L$9-L$23)</f>
        <v>1.3756124857377139</v>
      </c>
    </row>
    <row r="22" spans="1:14">
      <c r="E22" s="33"/>
      <c r="F22" s="33"/>
      <c r="H22" s="31" t="s">
        <v>56</v>
      </c>
      <c r="I22" s="30" t="s">
        <v>57</v>
      </c>
      <c r="L22" s="57">
        <v>6948.3876391959402</v>
      </c>
      <c r="M22" s="34">
        <f t="shared" si="0"/>
        <v>4.2928510521910477</v>
      </c>
      <c r="N22" s="34">
        <f>100*L22/(L$9-L$23)</f>
        <v>4.7716895001321467</v>
      </c>
    </row>
    <row r="23" spans="1:14">
      <c r="H23" s="31" t="s">
        <v>58</v>
      </c>
      <c r="I23" s="30" t="s">
        <v>59</v>
      </c>
      <c r="L23" s="57">
        <v>16242.581609038461</v>
      </c>
      <c r="M23" s="34">
        <f t="shared" si="0"/>
        <v>10.034987564212589</v>
      </c>
      <c r="N23" s="34"/>
    </row>
    <row r="25" spans="1:14">
      <c r="L25" s="4" t="s">
        <v>154</v>
      </c>
    </row>
    <row r="26" spans="1:14">
      <c r="K26" s="35" t="s">
        <v>103</v>
      </c>
      <c r="L26" s="4">
        <f>L27-E19-L22</f>
        <v>149254.34074933967</v>
      </c>
    </row>
    <row r="27" spans="1:14">
      <c r="K27" s="35" t="s">
        <v>104</v>
      </c>
      <c r="L27" s="4">
        <f>E9+L9-E20-L23</f>
        <v>156875.32520992594</v>
      </c>
      <c r="M27" s="79" t="s">
        <v>155</v>
      </c>
    </row>
    <row r="28" spans="1:14">
      <c r="K28" s="54" t="s">
        <v>105</v>
      </c>
      <c r="L28" s="4">
        <f>E9+L9</f>
        <v>175654.9618189644</v>
      </c>
      <c r="M28" s="79" t="s">
        <v>156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2"/>
  <sheetViews>
    <sheetView workbookViewId="0">
      <selection activeCell="C19" sqref="C19"/>
    </sheetView>
  </sheetViews>
  <sheetFormatPr baseColWidth="10" defaultRowHeight="15" x14ac:dyDescent="0"/>
  <cols>
    <col min="1" max="1" width="12.5" customWidth="1"/>
    <col min="6" max="6" width="17" bestFit="1" customWidth="1"/>
  </cols>
  <sheetData>
    <row r="4" spans="1:2" ht="17">
      <c r="A4" s="27" t="s">
        <v>76</v>
      </c>
    </row>
    <row r="5" spans="1:2">
      <c r="A5" s="1" t="s">
        <v>100</v>
      </c>
      <c r="B5" t="s">
        <v>109</v>
      </c>
    </row>
    <row r="6" spans="1:2">
      <c r="A6" s="1"/>
      <c r="B6" t="s">
        <v>174</v>
      </c>
    </row>
    <row r="7" spans="1:2">
      <c r="A7" s="1" t="s">
        <v>101</v>
      </c>
      <c r="B7" t="s">
        <v>137</v>
      </c>
    </row>
    <row r="8" spans="1:2">
      <c r="A8" s="1"/>
      <c r="B8" t="s">
        <v>139</v>
      </c>
    </row>
    <row r="9" spans="1:2">
      <c r="A9" s="1"/>
      <c r="B9" s="15" t="s">
        <v>138</v>
      </c>
    </row>
    <row r="10" spans="1:2">
      <c r="A10" s="1"/>
      <c r="B10" t="s">
        <v>140</v>
      </c>
    </row>
    <row r="11" spans="1:2">
      <c r="A11" s="1"/>
      <c r="B11" t="s">
        <v>141</v>
      </c>
    </row>
    <row r="12" spans="1:2">
      <c r="A12" s="1"/>
      <c r="B12" s="96" t="s">
        <v>175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tabSelected="1" workbookViewId="0">
      <selection activeCell="C16" sqref="C16"/>
    </sheetView>
  </sheetViews>
  <sheetFormatPr baseColWidth="10" defaultRowHeight="15" x14ac:dyDescent="0"/>
  <cols>
    <col min="1" max="1" width="10.5" style="1" customWidth="1"/>
    <col min="2" max="2" width="10.83203125" style="5"/>
    <col min="3" max="3" width="13" style="5" customWidth="1"/>
    <col min="4" max="4" width="14.6640625" style="5" customWidth="1"/>
    <col min="5" max="5" width="13" style="5" bestFit="1" customWidth="1"/>
    <col min="6" max="8" width="11.83203125" style="5" customWidth="1"/>
    <col min="9" max="9" width="3.83203125" style="13" customWidth="1"/>
    <col min="10" max="10" width="12.5" style="13" customWidth="1"/>
    <col min="11" max="11" width="11.33203125" style="5" customWidth="1"/>
    <col min="12" max="12" width="13" style="5" customWidth="1"/>
    <col min="13" max="13" width="13.6640625" style="5" customWidth="1"/>
    <col min="14" max="14" width="9.83203125" style="5" customWidth="1"/>
    <col min="15" max="15" width="10.6640625" style="5" customWidth="1"/>
    <col min="16" max="16" width="11.6640625" style="5" customWidth="1"/>
    <col min="17" max="17" width="10.83203125" style="5"/>
    <col min="18" max="18" width="10.83203125" style="1"/>
    <col min="19" max="19" width="10.83203125" style="1" customWidth="1"/>
    <col min="20" max="20" width="15.83203125" style="1" customWidth="1"/>
    <col min="21" max="16384" width="10.83203125" style="1"/>
  </cols>
  <sheetData>
    <row r="1" spans="1:22" ht="18">
      <c r="B1" s="97" t="s">
        <v>177</v>
      </c>
      <c r="C1" s="7" t="s">
        <v>169</v>
      </c>
      <c r="D1" s="7"/>
      <c r="K1" s="13"/>
      <c r="L1" s="13"/>
      <c r="M1" s="13"/>
      <c r="N1" s="3"/>
      <c r="O1" s="1"/>
      <c r="P1" s="3"/>
      <c r="Q1" s="3"/>
      <c r="R1" s="3"/>
      <c r="T1"/>
      <c r="U1"/>
    </row>
    <row r="2" spans="1:22" ht="17">
      <c r="B2" s="97" t="s">
        <v>178</v>
      </c>
      <c r="H2" s="85"/>
      <c r="J2" s="6" t="s">
        <v>89</v>
      </c>
      <c r="L2" s="6"/>
      <c r="O2" s="1"/>
      <c r="R2" s="5"/>
      <c r="S2"/>
      <c r="T2"/>
      <c r="U2"/>
    </row>
    <row r="3" spans="1:22">
      <c r="C3" s="47"/>
      <c r="D3" s="48" t="s">
        <v>86</v>
      </c>
      <c r="E3" s="48"/>
      <c r="F3" s="48"/>
      <c r="K3" s="1" t="s">
        <v>197</v>
      </c>
      <c r="L3" s="1"/>
      <c r="M3" s="1"/>
      <c r="N3" s="1"/>
      <c r="O3" s="1"/>
      <c r="P3" s="1"/>
      <c r="Q3" s="1"/>
      <c r="T3"/>
    </row>
    <row r="4" spans="1:22">
      <c r="C4" s="49" t="s">
        <v>83</v>
      </c>
      <c r="D4" s="50" t="s">
        <v>159</v>
      </c>
      <c r="E4" s="50" t="s">
        <v>3</v>
      </c>
      <c r="F4" s="50" t="s">
        <v>7</v>
      </c>
      <c r="J4" s="41" t="s">
        <v>98</v>
      </c>
      <c r="K4" s="44">
        <v>1774</v>
      </c>
      <c r="L4" s="44" t="s">
        <v>159</v>
      </c>
      <c r="M4" s="44" t="s">
        <v>3</v>
      </c>
      <c r="N4" s="44" t="s">
        <v>7</v>
      </c>
      <c r="O4" s="1"/>
      <c r="P4" s="44"/>
      <c r="Q4" s="1" t="s">
        <v>148</v>
      </c>
      <c r="T4"/>
    </row>
    <row r="5" spans="1:22">
      <c r="C5" s="51">
        <v>23.498420085348634</v>
      </c>
      <c r="D5" s="51">
        <v>24.367832840343674</v>
      </c>
      <c r="E5" s="51">
        <v>26.225630487758846</v>
      </c>
      <c r="F5" s="51">
        <v>23.95998774761626</v>
      </c>
      <c r="J5" s="2" t="s">
        <v>97</v>
      </c>
      <c r="K5" s="25">
        <v>100</v>
      </c>
      <c r="L5" s="24">
        <v>115.67914569667478</v>
      </c>
      <c r="M5" s="38">
        <v>104.53758924447185</v>
      </c>
      <c r="N5" s="38">
        <v>90.820520010507522</v>
      </c>
      <c r="O5" s="1"/>
      <c r="P5" s="44"/>
      <c r="Q5" s="38" t="s">
        <v>162</v>
      </c>
      <c r="R5" s="38"/>
      <c r="S5" s="38"/>
      <c r="T5"/>
    </row>
    <row r="6" spans="1:22">
      <c r="C6" s="47"/>
      <c r="D6" s="48"/>
      <c r="E6" s="48"/>
      <c r="F6" s="48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>
      <c r="C7" s="47"/>
      <c r="D7" s="48" t="s">
        <v>84</v>
      </c>
      <c r="E7" s="48"/>
      <c r="F7" s="48"/>
      <c r="J7" s="42"/>
      <c r="K7" s="1" t="s">
        <v>198</v>
      </c>
      <c r="L7" s="1"/>
      <c r="M7" s="38"/>
      <c r="N7" s="38"/>
      <c r="O7" s="1"/>
      <c r="P7" s="44"/>
      <c r="Q7" s="38"/>
      <c r="R7" s="13"/>
      <c r="S7" s="13"/>
      <c r="T7" s="13"/>
      <c r="U7" s="13"/>
      <c r="V7" s="13"/>
    </row>
    <row r="8" spans="1:22">
      <c r="C8" s="47" t="s">
        <v>85</v>
      </c>
      <c r="D8" s="82">
        <v>1770</v>
      </c>
      <c r="E8" s="82">
        <v>1750</v>
      </c>
      <c r="F8" s="82">
        <v>1725</v>
      </c>
      <c r="K8" s="44">
        <v>1774</v>
      </c>
      <c r="L8" s="44" t="s">
        <v>159</v>
      </c>
      <c r="M8" s="44" t="s">
        <v>3</v>
      </c>
      <c r="N8" s="44" t="s">
        <v>7</v>
      </c>
      <c r="O8" s="1"/>
      <c r="P8" s="44"/>
      <c r="Q8" s="38"/>
      <c r="R8" s="13"/>
      <c r="S8" s="13"/>
      <c r="T8" s="13"/>
      <c r="U8" s="13"/>
      <c r="V8" s="13"/>
    </row>
    <row r="9" spans="1:22">
      <c r="C9" s="52">
        <v>1774</v>
      </c>
      <c r="D9" s="86">
        <f>100*((EXP(LN($C5/D5)/($C9-D8))-1))</f>
        <v>-0.90415639573815376</v>
      </c>
      <c r="E9" s="86">
        <f>100*((EXP(LN($C5/E5)/($C9-E8))-1))</f>
        <v>-0.45647168247603398</v>
      </c>
      <c r="F9" s="86">
        <f>100*((EXP(LN($C5/F5)/($C9-F8))-1))</f>
        <v>-3.9690230321876019E-2</v>
      </c>
      <c r="G9" s="90"/>
      <c r="J9" s="2" t="s">
        <v>99</v>
      </c>
      <c r="K9" s="25">
        <v>100</v>
      </c>
      <c r="L9" s="25">
        <v>100.00000000000001</v>
      </c>
      <c r="M9" s="38">
        <v>34.775750418689888</v>
      </c>
      <c r="N9" s="38">
        <v>14.813330950281498</v>
      </c>
      <c r="O9" s="1"/>
      <c r="P9" s="44"/>
      <c r="Q9" s="38" t="s">
        <v>166</v>
      </c>
      <c r="R9" s="5"/>
      <c r="S9" s="5"/>
      <c r="T9"/>
    </row>
    <row r="10" spans="1:22">
      <c r="C10" s="47">
        <v>1770</v>
      </c>
      <c r="D10" s="87"/>
      <c r="E10" s="86">
        <f>100*((EXP(LN($D5/E5)/($C10-E8))-1))</f>
        <v>-0.36669233130285361</v>
      </c>
      <c r="F10" s="86">
        <f>100*((EXP(LN($D5/F5)/($C10-F8))-1))</f>
        <v>3.7515200632776136E-2</v>
      </c>
      <c r="K10" s="13"/>
      <c r="L10" s="13"/>
      <c r="M10" s="13"/>
      <c r="N10" s="13"/>
      <c r="O10" s="13"/>
      <c r="P10" s="13"/>
      <c r="Q10" s="13"/>
      <c r="R10" s="5"/>
      <c r="S10" s="5"/>
      <c r="T10"/>
    </row>
    <row r="11" spans="1:22">
      <c r="C11" s="47">
        <v>1750</v>
      </c>
      <c r="D11" s="87"/>
      <c r="E11" s="87"/>
      <c r="F11" s="86">
        <f>100*((EXP(LN($E5/F5)/($C11-F8))-1))</f>
        <v>0.36206159959133455</v>
      </c>
      <c r="J11" s="41" t="s">
        <v>78</v>
      </c>
      <c r="K11" s="25">
        <v>100</v>
      </c>
      <c r="L11" s="24">
        <v>109.09183865608894</v>
      </c>
      <c r="M11" s="38">
        <v>88.046480590843601</v>
      </c>
      <c r="N11" s="75">
        <f>100*0.818930862836442</f>
        <v>81.893086283644195</v>
      </c>
      <c r="O11" s="1"/>
      <c r="P11" s="44"/>
      <c r="Q11" s="5" t="s">
        <v>79</v>
      </c>
      <c r="R11" s="5"/>
      <c r="S11" s="5"/>
      <c r="T11"/>
    </row>
    <row r="12" spans="1:22">
      <c r="B12" s="1"/>
      <c r="C12" s="48"/>
      <c r="D12" s="48"/>
      <c r="E12" s="48"/>
      <c r="F12" s="48"/>
      <c r="K12" s="13"/>
      <c r="L12" s="13"/>
      <c r="M12" s="13"/>
      <c r="N12" s="13"/>
      <c r="O12" s="13"/>
      <c r="P12" s="13"/>
      <c r="R12" s="13"/>
      <c r="S12" s="5"/>
      <c r="T12"/>
    </row>
    <row r="13" spans="1:22">
      <c r="A13" s="55"/>
      <c r="B13" s="13"/>
      <c r="C13" s="48"/>
      <c r="D13" s="48"/>
      <c r="E13" s="48"/>
      <c r="F13" s="48"/>
      <c r="G13" s="26"/>
      <c r="K13" s="13"/>
      <c r="L13" s="13"/>
      <c r="M13" s="13"/>
      <c r="N13" s="13"/>
      <c r="O13" s="13"/>
      <c r="P13" s="13"/>
      <c r="R13" s="5"/>
      <c r="S13" s="5"/>
      <c r="T13"/>
    </row>
    <row r="14" spans="1:22">
      <c r="K14" s="13"/>
      <c r="L14" s="13"/>
      <c r="M14" s="13"/>
      <c r="N14" s="13"/>
      <c r="O14" s="13"/>
      <c r="P14" s="13"/>
    </row>
    <row r="15" spans="1:22" ht="18">
      <c r="A15" s="93" t="s">
        <v>172</v>
      </c>
      <c r="B15" s="83"/>
      <c r="C15" s="83"/>
      <c r="D15" s="83"/>
      <c r="E15" s="83"/>
      <c r="F15" s="83"/>
      <c r="G15" s="83"/>
      <c r="H15" s="83"/>
      <c r="K15" s="13"/>
      <c r="L15" s="13"/>
      <c r="M15" s="13"/>
      <c r="N15" s="13"/>
      <c r="O15" s="13"/>
      <c r="P15" s="13"/>
    </row>
    <row r="16" spans="1:22">
      <c r="C16" s="84" t="s">
        <v>199</v>
      </c>
      <c r="D16" s="83"/>
      <c r="E16" s="83"/>
      <c r="F16" s="83"/>
      <c r="G16" s="83"/>
      <c r="H16" s="83"/>
      <c r="K16" s="13"/>
      <c r="L16" s="13"/>
      <c r="M16" s="13"/>
      <c r="N16" s="13"/>
      <c r="O16" s="13"/>
      <c r="P16" s="13"/>
    </row>
    <row r="17" spans="1:18" ht="17">
      <c r="C17" s="8" t="s">
        <v>196</v>
      </c>
      <c r="D17" s="12"/>
      <c r="E17" s="12"/>
      <c r="F17" s="9"/>
      <c r="G17" s="9"/>
      <c r="H17" s="10"/>
      <c r="K17" s="8" t="s">
        <v>195</v>
      </c>
      <c r="L17" s="12"/>
      <c r="M17" s="12"/>
      <c r="N17" s="9"/>
      <c r="O17" s="9"/>
      <c r="P17" s="10"/>
    </row>
    <row r="18" spans="1:18" ht="17">
      <c r="C18" s="6" t="s">
        <v>35</v>
      </c>
      <c r="F18" s="6" t="s">
        <v>36</v>
      </c>
      <c r="I18" s="40"/>
      <c r="K18" s="6" t="s">
        <v>35</v>
      </c>
      <c r="N18" s="6" t="s">
        <v>36</v>
      </c>
    </row>
    <row r="19" spans="1:18">
      <c r="B19" s="14">
        <v>1774</v>
      </c>
      <c r="C19" s="11" t="s">
        <v>5</v>
      </c>
      <c r="D19" s="11" t="s">
        <v>6</v>
      </c>
      <c r="E19" s="11" t="s">
        <v>0</v>
      </c>
      <c r="F19" s="11" t="s">
        <v>5</v>
      </c>
      <c r="G19" s="11" t="s">
        <v>6</v>
      </c>
      <c r="H19" s="11" t="s">
        <v>0</v>
      </c>
      <c r="K19" s="11" t="s">
        <v>5</v>
      </c>
      <c r="L19" s="11" t="s">
        <v>6</v>
      </c>
      <c r="M19" s="11" t="s">
        <v>0</v>
      </c>
      <c r="N19" s="11" t="s">
        <v>5</v>
      </c>
      <c r="O19" s="11" t="s">
        <v>6</v>
      </c>
      <c r="P19" s="11" t="s">
        <v>0</v>
      </c>
    </row>
    <row r="20" spans="1:18">
      <c r="B20" s="11" t="s">
        <v>1</v>
      </c>
      <c r="C20" s="11" t="s">
        <v>2</v>
      </c>
      <c r="D20" s="11" t="s">
        <v>2</v>
      </c>
      <c r="E20" s="11" t="s">
        <v>2</v>
      </c>
      <c r="F20" s="11" t="s">
        <v>2</v>
      </c>
      <c r="G20" s="11" t="s">
        <v>2</v>
      </c>
      <c r="H20" s="11" t="s">
        <v>2</v>
      </c>
      <c r="I20" s="41"/>
      <c r="K20" s="11" t="s">
        <v>2</v>
      </c>
      <c r="L20" s="11" t="s">
        <v>2</v>
      </c>
      <c r="M20" s="11" t="s">
        <v>2</v>
      </c>
      <c r="N20" s="11" t="s">
        <v>2</v>
      </c>
      <c r="O20" s="11" t="s">
        <v>2</v>
      </c>
      <c r="P20" s="11" t="s">
        <v>2</v>
      </c>
    </row>
    <row r="21" spans="1:18">
      <c r="A21" s="2" t="s">
        <v>99</v>
      </c>
      <c r="B21" s="5">
        <f>24458.444967697+32741</f>
        <v>57199.444967696996</v>
      </c>
      <c r="C21" s="83">
        <f>K21/4.44</f>
        <v>1155418.4075583681</v>
      </c>
      <c r="D21" s="83">
        <f>L21/4.44</f>
        <v>218688.42840594318</v>
      </c>
      <c r="E21" s="83">
        <f>C21+D21</f>
        <v>1374106.8359643111</v>
      </c>
      <c r="F21" s="26">
        <f t="shared" ref="F21:G21" si="0">C21/$B21</f>
        <v>20.199818515911875</v>
      </c>
      <c r="G21" s="26">
        <f t="shared" si="0"/>
        <v>3.8232613713200538</v>
      </c>
      <c r="H21" s="24">
        <f>F21+G21</f>
        <v>24.02307988723193</v>
      </c>
      <c r="I21" s="42"/>
      <c r="K21" s="13">
        <v>5130057.7295591542</v>
      </c>
      <c r="L21" s="13">
        <v>970976.62212238775</v>
      </c>
      <c r="M21" s="13">
        <f>K21+L21</f>
        <v>6101034.3516815417</v>
      </c>
      <c r="N21" s="13"/>
      <c r="O21" s="13"/>
      <c r="P21" s="13"/>
    </row>
    <row r="22" spans="1:18">
      <c r="A22" s="2"/>
      <c r="C22" s="80" t="s">
        <v>157</v>
      </c>
      <c r="D22" s="81">
        <f>100*D21/E21</f>
        <v>15.914950910820084</v>
      </c>
      <c r="F22" s="26"/>
      <c r="G22" s="26"/>
      <c r="H22" s="24"/>
      <c r="I22" s="42"/>
    </row>
    <row r="23" spans="1:18" ht="18">
      <c r="A23" s="2"/>
      <c r="E23" s="26"/>
      <c r="F23" s="26"/>
      <c r="K23" s="94" t="s">
        <v>173</v>
      </c>
      <c r="L23" s="95"/>
      <c r="M23" s="95"/>
      <c r="N23" s="95"/>
      <c r="O23" s="95"/>
      <c r="P23" s="95"/>
    </row>
    <row r="24" spans="1:18" ht="17">
      <c r="A24" s="2"/>
      <c r="B24" s="13"/>
      <c r="C24" s="28" t="s">
        <v>176</v>
      </c>
      <c r="D24" s="29"/>
      <c r="E24" s="29"/>
      <c r="F24" s="29"/>
      <c r="G24" s="29"/>
      <c r="H24" s="29"/>
      <c r="K24" s="45" t="s">
        <v>158</v>
      </c>
      <c r="L24" s="46"/>
      <c r="M24" s="46"/>
      <c r="N24" s="46"/>
      <c r="O24" s="46"/>
      <c r="P24" s="46"/>
    </row>
    <row r="25" spans="1:18" ht="17">
      <c r="A25" s="2"/>
      <c r="B25" s="13"/>
      <c r="C25" s="6" t="s">
        <v>35</v>
      </c>
      <c r="F25" s="6" t="s">
        <v>36</v>
      </c>
      <c r="K25" s="6" t="s">
        <v>35</v>
      </c>
      <c r="N25" s="6" t="s">
        <v>36</v>
      </c>
    </row>
    <row r="26" spans="1:18">
      <c r="A26" s="2"/>
      <c r="B26" s="88">
        <v>1770</v>
      </c>
      <c r="C26" s="11" t="s">
        <v>5</v>
      </c>
      <c r="D26" s="11" t="s">
        <v>6</v>
      </c>
      <c r="E26" s="11" t="s">
        <v>0</v>
      </c>
      <c r="F26" s="11" t="s">
        <v>5</v>
      </c>
      <c r="G26" s="11" t="s">
        <v>6</v>
      </c>
      <c r="H26" s="11" t="s">
        <v>0</v>
      </c>
      <c r="K26" s="11" t="s">
        <v>5</v>
      </c>
      <c r="L26" s="11" t="s">
        <v>6</v>
      </c>
      <c r="M26" s="11" t="s">
        <v>0</v>
      </c>
      <c r="N26" s="11" t="s">
        <v>5</v>
      </c>
      <c r="O26" s="11" t="s">
        <v>6</v>
      </c>
      <c r="P26" s="11" t="s">
        <v>0</v>
      </c>
    </row>
    <row r="27" spans="1:18">
      <c r="A27" s="2"/>
      <c r="B27" s="89" t="s">
        <v>1</v>
      </c>
      <c r="C27" s="11" t="s">
        <v>2</v>
      </c>
      <c r="D27" s="11" t="s">
        <v>2</v>
      </c>
      <c r="E27" s="11" t="s">
        <v>2</v>
      </c>
      <c r="F27" s="11" t="s">
        <v>2</v>
      </c>
      <c r="G27" s="11" t="s">
        <v>2</v>
      </c>
      <c r="H27" s="11" t="s">
        <v>2</v>
      </c>
      <c r="J27" s="43"/>
      <c r="K27" s="11" t="s">
        <v>2</v>
      </c>
      <c r="L27" s="11" t="s">
        <v>2</v>
      </c>
      <c r="M27" s="11" t="s">
        <v>2</v>
      </c>
      <c r="N27" s="11" t="s">
        <v>2</v>
      </c>
      <c r="O27" s="11" t="s">
        <v>2</v>
      </c>
      <c r="P27" s="11" t="s">
        <v>2</v>
      </c>
    </row>
    <row r="28" spans="1:18">
      <c r="A28" s="2" t="s">
        <v>99</v>
      </c>
      <c r="B28" s="5">
        <v>47626.772694872583</v>
      </c>
      <c r="C28" s="5">
        <f>F28*B28</f>
        <v>1112893.725553188</v>
      </c>
      <c r="D28" s="5">
        <f>G28*B28</f>
        <v>182089.60028494705</v>
      </c>
      <c r="E28" s="5">
        <f>C28+D28</f>
        <v>1294983.3258381351</v>
      </c>
      <c r="F28" s="26">
        <f>F21*L5/100</f>
        <v>23.366977491485585</v>
      </c>
      <c r="G28" s="26">
        <f>G21</f>
        <v>3.8232613713200538</v>
      </c>
      <c r="H28" s="26">
        <f>F28+G28</f>
        <v>27.190238862805639</v>
      </c>
      <c r="J28" s="2" t="s">
        <v>99</v>
      </c>
      <c r="K28" s="5">
        <f>L5*C21/$L$11</f>
        <v>1225186.1913329696</v>
      </c>
      <c r="L28" s="13">
        <f>L9*D21/$L$11</f>
        <v>200462.68456007654</v>
      </c>
      <c r="M28" s="5">
        <f>K28+L28</f>
        <v>1425648.8758930461</v>
      </c>
      <c r="N28" s="26">
        <f>K28/$B21</f>
        <v>21.419546850933347</v>
      </c>
      <c r="O28" s="26">
        <f>L28/$B21</f>
        <v>3.5046263940722939</v>
      </c>
      <c r="P28" s="26">
        <f>N28+O28</f>
        <v>24.92417324500564</v>
      </c>
    </row>
    <row r="29" spans="1:18">
      <c r="A29" s="2"/>
      <c r="C29" s="80" t="s">
        <v>157</v>
      </c>
      <c r="D29" s="81">
        <f>100*D28/E28</f>
        <v>14.061154043593232</v>
      </c>
      <c r="E29" s="26"/>
      <c r="F29" s="26"/>
    </row>
    <row r="30" spans="1:18">
      <c r="A30" s="2"/>
      <c r="C30" s="80"/>
      <c r="D30" s="81"/>
      <c r="E30" s="26"/>
      <c r="F30" s="26"/>
    </row>
    <row r="31" spans="1:18" ht="17">
      <c r="B31" s="1"/>
      <c r="C31" s="28" t="s">
        <v>80</v>
      </c>
      <c r="D31" s="29"/>
      <c r="E31" s="29"/>
      <c r="F31" s="29"/>
      <c r="G31" s="29"/>
      <c r="H31" s="29"/>
      <c r="J31" s="43"/>
      <c r="K31" s="45" t="s">
        <v>163</v>
      </c>
      <c r="L31" s="46"/>
      <c r="M31" s="46"/>
      <c r="N31" s="46"/>
      <c r="O31" s="46"/>
      <c r="P31" s="46"/>
      <c r="R31" s="5"/>
    </row>
    <row r="32" spans="1:18" ht="17">
      <c r="B32" s="1"/>
      <c r="C32" s="6" t="s">
        <v>35</v>
      </c>
      <c r="F32" s="6" t="s">
        <v>36</v>
      </c>
      <c r="J32" s="43"/>
      <c r="K32" s="6" t="s">
        <v>35</v>
      </c>
      <c r="N32" s="6" t="s">
        <v>36</v>
      </c>
      <c r="R32" s="5"/>
    </row>
    <row r="33" spans="1:18">
      <c r="B33" s="39" t="s">
        <v>3</v>
      </c>
      <c r="C33" s="11" t="s">
        <v>5</v>
      </c>
      <c r="D33" s="11" t="s">
        <v>6</v>
      </c>
      <c r="E33" s="11" t="s">
        <v>0</v>
      </c>
      <c r="F33" s="11" t="s">
        <v>5</v>
      </c>
      <c r="G33" s="11" t="s">
        <v>6</v>
      </c>
      <c r="H33" s="11" t="s">
        <v>0</v>
      </c>
      <c r="I33" s="41"/>
      <c r="J33" s="43"/>
      <c r="K33" s="11" t="s">
        <v>5</v>
      </c>
      <c r="L33" s="11" t="s">
        <v>6</v>
      </c>
      <c r="M33" s="11" t="s">
        <v>0</v>
      </c>
      <c r="N33" s="11" t="s">
        <v>5</v>
      </c>
      <c r="O33" s="11" t="s">
        <v>6</v>
      </c>
      <c r="P33" s="11" t="s">
        <v>0</v>
      </c>
      <c r="R33" s="5"/>
    </row>
    <row r="34" spans="1:18">
      <c r="B34" s="11" t="s">
        <v>4</v>
      </c>
      <c r="C34" s="11" t="s">
        <v>2</v>
      </c>
      <c r="D34" s="11" t="s">
        <v>2</v>
      </c>
      <c r="E34" s="11" t="s">
        <v>2</v>
      </c>
      <c r="F34" s="11" t="s">
        <v>2</v>
      </c>
      <c r="G34" s="11" t="s">
        <v>2</v>
      </c>
      <c r="H34" s="11" t="s">
        <v>2</v>
      </c>
      <c r="I34" s="41"/>
      <c r="J34" s="43"/>
      <c r="K34" s="11" t="s">
        <v>2</v>
      </c>
      <c r="L34" s="11" t="s">
        <v>2</v>
      </c>
      <c r="M34" s="11" t="s">
        <v>2</v>
      </c>
      <c r="N34" s="11" t="s">
        <v>2</v>
      </c>
      <c r="O34" s="11" t="s">
        <v>2</v>
      </c>
      <c r="P34" s="11" t="s">
        <v>2</v>
      </c>
      <c r="R34" s="5"/>
    </row>
    <row r="35" spans="1:18">
      <c r="A35" s="2" t="s">
        <v>99</v>
      </c>
      <c r="B35" s="5">
        <f>24000*EXP(LN(41750/24000)/17)^7</f>
        <v>30145.195481302202</v>
      </c>
      <c r="C35" s="5">
        <f>F35*B35</f>
        <v>636558.10559050075</v>
      </c>
      <c r="D35" s="5">
        <f>D$21*M9/100</f>
        <v>76050.542057006125</v>
      </c>
      <c r="E35" s="5">
        <f>C35+D35</f>
        <v>712608.64764750691</v>
      </c>
      <c r="F35" s="26">
        <f>F21*M5/100</f>
        <v>21.116403308292725</v>
      </c>
      <c r="G35" s="26">
        <f>D35/$B35</f>
        <v>2.5228080575618455</v>
      </c>
      <c r="H35" s="26">
        <f>F35+G35</f>
        <v>23.639211365854571</v>
      </c>
      <c r="I35" s="43"/>
      <c r="J35" s="2" t="s">
        <v>99</v>
      </c>
      <c r="K35" s="5">
        <f t="shared" ref="K35:P35" si="1">100*C35/$M$11</f>
        <v>722979.61408431316</v>
      </c>
      <c r="L35" s="5">
        <f t="shared" si="1"/>
        <v>86375.447998219024</v>
      </c>
      <c r="M35" s="5">
        <f t="shared" si="1"/>
        <v>809355.06208253221</v>
      </c>
      <c r="N35" s="26">
        <f t="shared" si="1"/>
        <v>23.983245175263402</v>
      </c>
      <c r="O35" s="26">
        <f t="shared" si="1"/>
        <v>2.8653139121885642</v>
      </c>
      <c r="P35" s="26">
        <f t="shared" si="1"/>
        <v>26.848559087451967</v>
      </c>
      <c r="R35" s="5"/>
    </row>
    <row r="36" spans="1:18">
      <c r="B36" s="1"/>
      <c r="C36" s="80" t="s">
        <v>157</v>
      </c>
      <c r="D36" s="81">
        <f>100*D35/E35</f>
        <v>10.672132917284587</v>
      </c>
      <c r="E36" s="13"/>
      <c r="F36" s="13"/>
      <c r="G36" s="13"/>
      <c r="H36" s="13"/>
      <c r="J36" s="1"/>
      <c r="R36" s="5"/>
    </row>
    <row r="37" spans="1:18">
      <c r="J37" s="1"/>
      <c r="R37" s="5"/>
    </row>
    <row r="38" spans="1:18" ht="17">
      <c r="C38" s="28" t="s">
        <v>81</v>
      </c>
      <c r="D38" s="29"/>
      <c r="E38" s="29"/>
      <c r="F38" s="29"/>
      <c r="G38" s="29"/>
      <c r="H38" s="29"/>
      <c r="J38" s="1"/>
      <c r="K38" s="45" t="s">
        <v>82</v>
      </c>
      <c r="L38" s="46"/>
      <c r="M38" s="46"/>
      <c r="N38" s="46"/>
      <c r="O38" s="46"/>
      <c r="P38" s="46"/>
    </row>
    <row r="39" spans="1:18" ht="17">
      <c r="C39" s="6" t="s">
        <v>35</v>
      </c>
      <c r="F39" s="6" t="s">
        <v>36</v>
      </c>
      <c r="J39" s="1"/>
      <c r="K39" s="6" t="s">
        <v>35</v>
      </c>
      <c r="N39" s="6" t="s">
        <v>36</v>
      </c>
    </row>
    <row r="40" spans="1:18">
      <c r="B40" s="11" t="s">
        <v>7</v>
      </c>
      <c r="C40" s="11" t="s">
        <v>5</v>
      </c>
      <c r="D40" s="11" t="s">
        <v>6</v>
      </c>
      <c r="E40" s="11" t="s">
        <v>0</v>
      </c>
      <c r="F40" s="11" t="s">
        <v>5</v>
      </c>
      <c r="G40" s="11" t="s">
        <v>6</v>
      </c>
      <c r="H40" s="11" t="s">
        <v>0</v>
      </c>
      <c r="I40" s="41"/>
      <c r="J40" s="1"/>
      <c r="K40" s="11" t="s">
        <v>5</v>
      </c>
      <c r="L40" s="11" t="s">
        <v>6</v>
      </c>
      <c r="M40" s="11" t="s">
        <v>0</v>
      </c>
      <c r="N40" s="11" t="s">
        <v>5</v>
      </c>
      <c r="O40" s="11" t="s">
        <v>6</v>
      </c>
      <c r="P40" s="11" t="s">
        <v>0</v>
      </c>
    </row>
    <row r="41" spans="1:18">
      <c r="B41" s="11" t="s">
        <v>4</v>
      </c>
      <c r="C41" s="11" t="s">
        <v>2</v>
      </c>
      <c r="D41" s="11" t="s">
        <v>2</v>
      </c>
      <c r="E41" s="11" t="s">
        <v>2</v>
      </c>
      <c r="F41" s="11" t="s">
        <v>2</v>
      </c>
      <c r="G41" s="11" t="s">
        <v>2</v>
      </c>
      <c r="H41" s="11" t="s">
        <v>2</v>
      </c>
      <c r="I41" s="41"/>
      <c r="J41" s="1"/>
      <c r="K41" s="11" t="s">
        <v>2</v>
      </c>
      <c r="L41" s="11" t="s">
        <v>2</v>
      </c>
      <c r="M41" s="11" t="s">
        <v>2</v>
      </c>
      <c r="N41" s="11" t="s">
        <v>2</v>
      </c>
      <c r="O41" s="11" t="s">
        <v>2</v>
      </c>
      <c r="P41" s="11" t="s">
        <v>2</v>
      </c>
      <c r="Q41" s="5" t="s">
        <v>152</v>
      </c>
    </row>
    <row r="42" spans="1:18">
      <c r="A42" s="2" t="s">
        <v>99</v>
      </c>
      <c r="B42" s="5">
        <f>17000*EXP(LN(20100/17000)/10)^5</f>
        <v>18485.129158326159</v>
      </c>
      <c r="C42" s="5">
        <f>F42*B42</f>
        <v>339120.4198017774</v>
      </c>
      <c r="D42" s="5">
        <f>D21*N9/100</f>
        <v>32395.040649741775</v>
      </c>
      <c r="E42" s="5">
        <f>C42+D42</f>
        <v>371515.46045151917</v>
      </c>
      <c r="F42" s="26">
        <f>F21*N5/100</f>
        <v>18.34558021732995</v>
      </c>
      <c r="G42" s="26">
        <f>D42/B42</f>
        <v>1.7524919827325225</v>
      </c>
      <c r="H42" s="26">
        <f>F42+G42</f>
        <v>20.098072200062472</v>
      </c>
      <c r="J42" s="2" t="s">
        <v>99</v>
      </c>
      <c r="K42" s="5">
        <f t="shared" ref="K42:P42" si="2">100*C42/$N$11</f>
        <v>414101.40366086923</v>
      </c>
      <c r="L42" s="5">
        <f t="shared" si="2"/>
        <v>39557.723514703779</v>
      </c>
      <c r="M42" s="5">
        <f t="shared" si="2"/>
        <v>453659.12717557308</v>
      </c>
      <c r="N42" s="26">
        <f t="shared" si="2"/>
        <v>22.401866933904962</v>
      </c>
      <c r="O42" s="26">
        <f t="shared" si="2"/>
        <v>2.1399755000838612</v>
      </c>
      <c r="P42" s="26">
        <f t="shared" si="2"/>
        <v>24.541842433988823</v>
      </c>
      <c r="R42" s="78" t="e">
        <f>P42/#REF!</f>
        <v>#REF!</v>
      </c>
    </row>
    <row r="43" spans="1:18">
      <c r="C43" s="80" t="s">
        <v>157</v>
      </c>
      <c r="D43" s="81">
        <f>100*D42/E42</f>
        <v>8.7197018962200517</v>
      </c>
      <c r="J43" s="1"/>
    </row>
    <row r="44" spans="1:18">
      <c r="J44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4" workbookViewId="0">
      <selection activeCell="E19" sqref="E19"/>
    </sheetView>
  </sheetViews>
  <sheetFormatPr baseColWidth="10" defaultRowHeight="15" x14ac:dyDescent="0"/>
  <cols>
    <col min="1" max="1" width="10.83203125" style="1"/>
    <col min="2" max="3" width="10.83203125" style="5"/>
    <col min="4" max="4" width="16.6640625" style="5" customWidth="1"/>
    <col min="5" max="7" width="10.83203125" style="25"/>
    <col min="8" max="16384" width="10.83203125" style="1"/>
  </cols>
  <sheetData>
    <row r="1" spans="1:25" ht="18">
      <c r="A1" s="97" t="s">
        <v>177</v>
      </c>
      <c r="C1" s="7" t="s">
        <v>192</v>
      </c>
    </row>
    <row r="2" spans="1:25">
      <c r="A2" s="97" t="s">
        <v>191</v>
      </c>
    </row>
    <row r="3" spans="1:25">
      <c r="C3" s="47"/>
      <c r="D3" s="48" t="s">
        <v>86</v>
      </c>
      <c r="E3" s="48"/>
      <c r="F3" s="48"/>
      <c r="I3" s="1" t="s">
        <v>89</v>
      </c>
    </row>
    <row r="4" spans="1:25">
      <c r="C4" s="49" t="s">
        <v>83</v>
      </c>
      <c r="D4" s="50" t="s">
        <v>159</v>
      </c>
      <c r="E4" s="50" t="s">
        <v>3</v>
      </c>
      <c r="F4" s="50" t="s">
        <v>7</v>
      </c>
      <c r="J4" s="1" t="s">
        <v>185</v>
      </c>
    </row>
    <row r="5" spans="1:25">
      <c r="C5" s="51">
        <f>H19</f>
        <v>13.466001072196477</v>
      </c>
      <c r="D5" s="51">
        <f>O29</f>
        <v>13.466001072196477</v>
      </c>
      <c r="E5" s="51">
        <f>O37</f>
        <v>13.250408170659405</v>
      </c>
      <c r="F5" s="51">
        <f>O45</f>
        <v>12.785001272103186</v>
      </c>
      <c r="I5" s="1" t="s">
        <v>186</v>
      </c>
    </row>
    <row r="6" spans="1:25">
      <c r="C6" s="47"/>
      <c r="D6" s="48"/>
      <c r="E6" s="48"/>
      <c r="F6" s="48"/>
      <c r="J6" s="44">
        <v>1774</v>
      </c>
      <c r="K6" s="44" t="s">
        <v>159</v>
      </c>
      <c r="L6" s="44" t="s">
        <v>3</v>
      </c>
      <c r="M6" s="44" t="s">
        <v>7</v>
      </c>
    </row>
    <row r="7" spans="1:25">
      <c r="C7" s="47"/>
      <c r="D7" s="48" t="s">
        <v>84</v>
      </c>
      <c r="E7" s="48"/>
      <c r="F7" s="48"/>
      <c r="J7" s="25"/>
      <c r="K7" s="25">
        <v>100</v>
      </c>
      <c r="L7" s="25">
        <f>100*77.44/78.7</f>
        <v>98.398983481575598</v>
      </c>
      <c r="M7" s="25">
        <f>100*74.72/78.7</f>
        <v>94.942820838627696</v>
      </c>
    </row>
    <row r="8" spans="1:25">
      <c r="C8" s="47" t="s">
        <v>85</v>
      </c>
      <c r="D8" s="82">
        <v>1770</v>
      </c>
      <c r="E8" s="82">
        <v>1750</v>
      </c>
      <c r="F8" s="82">
        <v>1725</v>
      </c>
    </row>
    <row r="9" spans="1:25">
      <c r="C9" s="52">
        <v>1774</v>
      </c>
      <c r="D9" s="86">
        <f>100*((EXP(LN($C5/D5)/($C9-D8))-1))</f>
        <v>0</v>
      </c>
      <c r="E9" s="86">
        <f>100*((EXP(LN($C5/E5)/($C9-E8))-1))</f>
        <v>6.7271418972381092E-2</v>
      </c>
      <c r="F9" s="86">
        <f>100*((EXP(LN($C5/F5)/($C9-F8))-1))</f>
        <v>0.10596500430701816</v>
      </c>
      <c r="I9" s="41" t="s">
        <v>78</v>
      </c>
      <c r="J9" s="25">
        <v>100</v>
      </c>
      <c r="K9" s="24">
        <v>109.09183865608894</v>
      </c>
      <c r="L9" s="38">
        <v>88.046480590843601</v>
      </c>
      <c r="M9" s="75">
        <f>100*0.818930862836442</f>
        <v>81.893086283644195</v>
      </c>
    </row>
    <row r="10" spans="1:25">
      <c r="C10" s="47">
        <v>1770</v>
      </c>
      <c r="D10" s="87"/>
      <c r="E10" s="86">
        <f>100*((EXP(LN($D5/E5)/($C10-E8))-1))</f>
        <v>8.0731132325539967E-2</v>
      </c>
      <c r="F10" s="86">
        <f>100*((EXP(LN($D5/F5)/($C10-F8))-1))</f>
        <v>0.11538954813232749</v>
      </c>
    </row>
    <row r="11" spans="1:25">
      <c r="C11" s="47">
        <v>1750</v>
      </c>
      <c r="D11" s="87"/>
      <c r="E11" s="87"/>
      <c r="F11" s="86">
        <f>100*((EXP(LN($E5/F5)/($C11-F8))-1))</f>
        <v>0.14312492228336637</v>
      </c>
    </row>
    <row r="12" spans="1:25">
      <c r="C12" s="48"/>
      <c r="D12" s="48"/>
      <c r="E12" s="48"/>
      <c r="F12" s="48"/>
    </row>
    <row r="13" spans="1:25">
      <c r="C13" s="48"/>
      <c r="D13" s="48"/>
      <c r="E13" s="48"/>
      <c r="F13" s="48"/>
    </row>
    <row r="14" spans="1:25">
      <c r="H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5" ht="17">
      <c r="C15" s="100" t="s">
        <v>194</v>
      </c>
      <c r="D15" s="101"/>
      <c r="E15" s="101"/>
      <c r="F15" s="102"/>
      <c r="G15" s="102"/>
      <c r="H15" s="103"/>
      <c r="I15" s="5"/>
      <c r="J15" s="104" t="s">
        <v>193</v>
      </c>
      <c r="K15" s="105"/>
      <c r="L15" s="105"/>
      <c r="M15" s="106"/>
      <c r="N15" s="106"/>
      <c r="O15" s="107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>
      <c r="B16" s="14">
        <v>1774</v>
      </c>
      <c r="C16" s="5" t="s">
        <v>180</v>
      </c>
      <c r="E16" s="11" t="s">
        <v>0</v>
      </c>
      <c r="F16" s="25" t="s">
        <v>181</v>
      </c>
      <c r="H16" s="25"/>
      <c r="I16" s="5"/>
      <c r="J16" s="5" t="s">
        <v>180</v>
      </c>
      <c r="K16" s="5"/>
      <c r="L16" s="11" t="s">
        <v>0</v>
      </c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>
      <c r="B17" s="11" t="s">
        <v>1</v>
      </c>
      <c r="C17" s="11" t="s">
        <v>182</v>
      </c>
      <c r="D17" s="11" t="s">
        <v>183</v>
      </c>
      <c r="E17" s="11" t="s">
        <v>2</v>
      </c>
      <c r="F17" s="99" t="s">
        <v>182</v>
      </c>
      <c r="G17" s="99" t="s">
        <v>183</v>
      </c>
      <c r="H17" s="99" t="s">
        <v>0</v>
      </c>
      <c r="I17" s="5"/>
      <c r="J17" s="11" t="s">
        <v>182</v>
      </c>
      <c r="K17" s="11" t="s">
        <v>183</v>
      </c>
      <c r="L17" s="11" t="s">
        <v>2</v>
      </c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>
      <c r="A18" s="98" t="s">
        <v>184</v>
      </c>
      <c r="E18" s="5"/>
      <c r="H18" s="25"/>
      <c r="J18" s="5"/>
      <c r="K18" s="5"/>
      <c r="L18" s="5"/>
    </row>
    <row r="19" spans="1:25">
      <c r="A19" s="2" t="s">
        <v>0</v>
      </c>
      <c r="B19" s="5">
        <v>613685.36403909035</v>
      </c>
      <c r="C19" s="5">
        <f>J19/4.44</f>
        <v>6378380.6610100903</v>
      </c>
      <c r="D19" s="5">
        <f>K19/4.44</f>
        <v>1885507.1091315851</v>
      </c>
      <c r="E19" s="5">
        <f>C19+D19</f>
        <v>8263887.7701416751</v>
      </c>
      <c r="F19" s="25">
        <f>C19/$B19</f>
        <v>10.39356816175235</v>
      </c>
      <c r="G19" s="25">
        <f>D19/$B19</f>
        <v>3.0724329104441255</v>
      </c>
      <c r="H19" s="25">
        <f>F19+G19</f>
        <v>13.466001072196477</v>
      </c>
      <c r="J19" s="5">
        <v>28320010.134884804</v>
      </c>
      <c r="K19" s="5">
        <v>8371651.5645442382</v>
      </c>
      <c r="L19" s="5">
        <f>J19+K19</f>
        <v>36691661.699429043</v>
      </c>
    </row>
    <row r="20" spans="1:25">
      <c r="A20" s="2"/>
    </row>
    <row r="21" spans="1:25">
      <c r="A21" s="2"/>
      <c r="B21" s="2"/>
      <c r="E21" s="5"/>
      <c r="H21" s="25"/>
      <c r="J21" s="1" t="s">
        <v>188</v>
      </c>
    </row>
    <row r="22" spans="1:25">
      <c r="A22" s="2"/>
      <c r="B22" s="2"/>
      <c r="E22" s="5"/>
      <c r="H22" s="25"/>
    </row>
    <row r="23" spans="1:25" ht="18">
      <c r="A23" s="2"/>
      <c r="B23" s="2"/>
      <c r="E23" s="5"/>
      <c r="H23" s="25"/>
      <c r="J23" s="94" t="s">
        <v>173</v>
      </c>
      <c r="K23" s="95"/>
      <c r="L23" s="95"/>
      <c r="M23" s="95"/>
      <c r="N23" s="95"/>
      <c r="O23" s="95"/>
    </row>
    <row r="24" spans="1:25" ht="17">
      <c r="B24" s="1"/>
      <c r="C24" s="28" t="s">
        <v>189</v>
      </c>
      <c r="D24" s="29"/>
      <c r="E24" s="29"/>
      <c r="F24" s="29"/>
      <c r="G24" s="29"/>
      <c r="H24" s="29"/>
      <c r="J24" s="45" t="s">
        <v>158</v>
      </c>
      <c r="K24" s="46"/>
      <c r="L24" s="46"/>
      <c r="M24" s="46"/>
      <c r="N24" s="46"/>
      <c r="O24" s="46"/>
    </row>
    <row r="25" spans="1:25" ht="17">
      <c r="B25" s="1"/>
      <c r="C25" s="6" t="s">
        <v>35</v>
      </c>
      <c r="E25" s="5"/>
      <c r="F25" s="6" t="s">
        <v>36</v>
      </c>
      <c r="G25" s="5"/>
      <c r="H25" s="5"/>
      <c r="J25" s="6" t="s">
        <v>35</v>
      </c>
      <c r="K25" s="5"/>
      <c r="L25" s="5"/>
      <c r="M25" s="6" t="s">
        <v>36</v>
      </c>
      <c r="N25" s="5"/>
      <c r="O25" s="5"/>
    </row>
    <row r="26" spans="1:25">
      <c r="B26" s="14">
        <v>1770</v>
      </c>
      <c r="C26" s="11" t="s">
        <v>5</v>
      </c>
      <c r="D26" s="11" t="s">
        <v>6</v>
      </c>
      <c r="E26" s="11" t="s">
        <v>0</v>
      </c>
      <c r="F26" s="11" t="s">
        <v>5</v>
      </c>
      <c r="G26" s="11" t="s">
        <v>6</v>
      </c>
      <c r="H26" s="11" t="s">
        <v>0</v>
      </c>
      <c r="J26" s="11" t="s">
        <v>5</v>
      </c>
      <c r="K26" s="11" t="s">
        <v>6</v>
      </c>
      <c r="L26" s="11" t="s">
        <v>0</v>
      </c>
      <c r="M26" s="11" t="s">
        <v>5</v>
      </c>
      <c r="N26" s="11" t="s">
        <v>6</v>
      </c>
      <c r="O26" s="11" t="s">
        <v>0</v>
      </c>
    </row>
    <row r="27" spans="1:25">
      <c r="B27" s="11" t="s">
        <v>1</v>
      </c>
      <c r="C27" s="11" t="s">
        <v>2</v>
      </c>
      <c r="D27" s="11" t="s">
        <v>2</v>
      </c>
      <c r="E27" s="11" t="s">
        <v>2</v>
      </c>
      <c r="F27" s="11" t="s">
        <v>2</v>
      </c>
      <c r="G27" s="11" t="s">
        <v>2</v>
      </c>
      <c r="H27" s="11" t="s">
        <v>2</v>
      </c>
      <c r="J27" s="11" t="s">
        <v>2</v>
      </c>
      <c r="K27" s="11" t="s">
        <v>2</v>
      </c>
      <c r="L27" s="11" t="s">
        <v>2</v>
      </c>
      <c r="M27" s="11" t="s">
        <v>2</v>
      </c>
      <c r="N27" s="11" t="s">
        <v>2</v>
      </c>
      <c r="O27" s="11" t="s">
        <v>2</v>
      </c>
    </row>
    <row r="28" spans="1:25">
      <c r="A28" s="98" t="s">
        <v>184</v>
      </c>
      <c r="B28" s="98"/>
      <c r="C28" s="1"/>
      <c r="E28" s="5"/>
      <c r="F28" s="5"/>
      <c r="H28" s="25"/>
      <c r="L28" s="5"/>
    </row>
    <row r="29" spans="1:25">
      <c r="A29" s="15" t="s">
        <v>0</v>
      </c>
      <c r="B29" s="5">
        <v>555900</v>
      </c>
      <c r="C29" s="1"/>
      <c r="E29" s="5">
        <f>H29*B29</f>
        <v>8166342.3078716183</v>
      </c>
      <c r="F29" s="5"/>
      <c r="H29" s="25">
        <f>O29*K9/100</f>
        <v>14.690308163107787</v>
      </c>
      <c r="L29" s="5">
        <f>O29*B29</f>
        <v>7485749.9960340215</v>
      </c>
      <c r="O29" s="99">
        <f>H19*K7/100</f>
        <v>13.466001072196477</v>
      </c>
    </row>
    <row r="30" spans="1:25">
      <c r="B30" s="1"/>
      <c r="E30" s="5"/>
      <c r="H30" s="25"/>
      <c r="L30" s="5"/>
    </row>
    <row r="31" spans="1:25">
      <c r="B31" s="1"/>
      <c r="E31" s="5"/>
      <c r="H31" s="25"/>
      <c r="L31" s="5"/>
    </row>
    <row r="32" spans="1:25" ht="17">
      <c r="B32" s="1"/>
      <c r="C32" s="28" t="s">
        <v>179</v>
      </c>
      <c r="D32" s="29"/>
      <c r="E32" s="29"/>
      <c r="F32" s="29"/>
      <c r="G32" s="29"/>
      <c r="H32" s="29"/>
      <c r="I32" s="25"/>
      <c r="J32" s="45" t="s">
        <v>163</v>
      </c>
      <c r="K32" s="46"/>
      <c r="L32" s="46"/>
      <c r="M32" s="46"/>
      <c r="N32" s="46"/>
      <c r="O32" s="46"/>
    </row>
    <row r="33" spans="1:15" ht="17">
      <c r="B33" s="1"/>
      <c r="C33" s="6" t="s">
        <v>35</v>
      </c>
      <c r="E33" s="5"/>
      <c r="F33" s="6" t="s">
        <v>36</v>
      </c>
      <c r="G33" s="5"/>
      <c r="H33" s="5"/>
      <c r="I33" s="25"/>
      <c r="J33" s="6" t="s">
        <v>35</v>
      </c>
      <c r="K33" s="5"/>
      <c r="L33" s="5"/>
      <c r="M33" s="6" t="s">
        <v>36</v>
      </c>
      <c r="N33" s="5"/>
      <c r="O33" s="5"/>
    </row>
    <row r="34" spans="1:15">
      <c r="B34" s="1"/>
      <c r="C34" s="11" t="s">
        <v>5</v>
      </c>
      <c r="D34" s="11" t="s">
        <v>6</v>
      </c>
      <c r="E34" s="11" t="s">
        <v>0</v>
      </c>
      <c r="F34" s="11" t="s">
        <v>5</v>
      </c>
      <c r="G34" s="11" t="s">
        <v>6</v>
      </c>
      <c r="H34" s="11" t="s">
        <v>0</v>
      </c>
      <c r="I34" s="25"/>
      <c r="J34" s="11" t="s">
        <v>5</v>
      </c>
      <c r="K34" s="11" t="s">
        <v>6</v>
      </c>
      <c r="L34" s="11" t="s">
        <v>0</v>
      </c>
      <c r="M34" s="11" t="s">
        <v>5</v>
      </c>
      <c r="N34" s="11" t="s">
        <v>6</v>
      </c>
      <c r="O34" s="11" t="s">
        <v>0</v>
      </c>
    </row>
    <row r="35" spans="1:15">
      <c r="B35" s="1"/>
      <c r="C35" s="11" t="s">
        <v>2</v>
      </c>
      <c r="D35" s="11" t="s">
        <v>2</v>
      </c>
      <c r="E35" s="11" t="s">
        <v>2</v>
      </c>
      <c r="F35" s="11" t="s">
        <v>2</v>
      </c>
      <c r="G35" s="11" t="s">
        <v>2</v>
      </c>
      <c r="H35" s="11" t="s">
        <v>2</v>
      </c>
      <c r="I35" s="25"/>
      <c r="J35" s="11" t="s">
        <v>2</v>
      </c>
      <c r="K35" s="11" t="s">
        <v>2</v>
      </c>
      <c r="L35" s="11" t="s">
        <v>2</v>
      </c>
      <c r="M35" s="11" t="s">
        <v>2</v>
      </c>
      <c r="N35" s="11" t="s">
        <v>2</v>
      </c>
      <c r="O35" s="11" t="s">
        <v>2</v>
      </c>
    </row>
    <row r="36" spans="1:15">
      <c r="A36" s="98" t="s">
        <v>184</v>
      </c>
      <c r="B36" s="98"/>
      <c r="C36" s="1"/>
      <c r="E36" s="5"/>
      <c r="F36" s="5"/>
      <c r="H36" s="25"/>
      <c r="I36" s="25"/>
      <c r="L36" s="5"/>
    </row>
    <row r="37" spans="1:15">
      <c r="A37" s="2" t="s">
        <v>0</v>
      </c>
      <c r="B37" s="5">
        <v>296500</v>
      </c>
      <c r="E37" s="5">
        <f>H37*B37</f>
        <v>3459122.6042525009</v>
      </c>
      <c r="H37" s="25">
        <f>O37*L9/100</f>
        <v>11.666518058187187</v>
      </c>
      <c r="L37" s="5">
        <f>O37*B37</f>
        <v>3928746.0226005134</v>
      </c>
      <c r="O37" s="25">
        <f>H19*L7/100</f>
        <v>13.250408170659405</v>
      </c>
    </row>
    <row r="38" spans="1:15">
      <c r="B38" s="1"/>
      <c r="E38" s="5"/>
      <c r="H38" s="25"/>
      <c r="L38" s="5"/>
    </row>
    <row r="39" spans="1:15">
      <c r="B39" s="1"/>
      <c r="E39" s="5"/>
      <c r="H39" s="25"/>
      <c r="L39" s="5"/>
    </row>
    <row r="40" spans="1:15" ht="17">
      <c r="B40" s="1"/>
      <c r="C40" s="28" t="s">
        <v>187</v>
      </c>
      <c r="D40" s="29"/>
      <c r="E40" s="29"/>
      <c r="F40" s="29"/>
      <c r="G40" s="29"/>
      <c r="H40" s="29"/>
      <c r="J40" s="45" t="s">
        <v>190</v>
      </c>
      <c r="K40" s="46"/>
      <c r="L40" s="46"/>
      <c r="M40" s="46"/>
      <c r="N40" s="46"/>
      <c r="O40" s="46"/>
    </row>
    <row r="41" spans="1:15" ht="17">
      <c r="B41" s="1"/>
      <c r="C41" s="6" t="s">
        <v>35</v>
      </c>
      <c r="E41" s="5"/>
      <c r="F41" s="6" t="s">
        <v>36</v>
      </c>
      <c r="G41" s="5"/>
      <c r="H41" s="5"/>
      <c r="J41" s="6" t="s">
        <v>35</v>
      </c>
      <c r="K41" s="5"/>
      <c r="L41" s="5"/>
      <c r="M41" s="6" t="s">
        <v>36</v>
      </c>
      <c r="N41" s="5"/>
      <c r="O41" s="5"/>
    </row>
    <row r="42" spans="1:15">
      <c r="B42" s="1"/>
      <c r="C42" s="11" t="s">
        <v>5</v>
      </c>
      <c r="D42" s="11" t="s">
        <v>6</v>
      </c>
      <c r="E42" s="11" t="s">
        <v>0</v>
      </c>
      <c r="F42" s="11" t="s">
        <v>5</v>
      </c>
      <c r="G42" s="11" t="s">
        <v>6</v>
      </c>
      <c r="H42" s="11" t="s">
        <v>0</v>
      </c>
      <c r="J42" s="11" t="s">
        <v>5</v>
      </c>
      <c r="K42" s="11" t="s">
        <v>6</v>
      </c>
      <c r="L42" s="11" t="s">
        <v>0</v>
      </c>
      <c r="M42" s="11" t="s">
        <v>5</v>
      </c>
      <c r="N42" s="11" t="s">
        <v>6</v>
      </c>
      <c r="O42" s="11" t="s">
        <v>0</v>
      </c>
    </row>
    <row r="43" spans="1:15">
      <c r="B43" s="1"/>
      <c r="C43" s="11" t="s">
        <v>2</v>
      </c>
      <c r="D43" s="11" t="s">
        <v>2</v>
      </c>
      <c r="E43" s="11" t="s">
        <v>2</v>
      </c>
      <c r="F43" s="11" t="s">
        <v>2</v>
      </c>
      <c r="G43" s="11" t="s">
        <v>2</v>
      </c>
      <c r="H43" s="11" t="s">
        <v>2</v>
      </c>
      <c r="J43" s="11" t="s">
        <v>2</v>
      </c>
      <c r="K43" s="11" t="s">
        <v>2</v>
      </c>
      <c r="L43" s="11" t="s">
        <v>2</v>
      </c>
      <c r="M43" s="11" t="s">
        <v>2</v>
      </c>
      <c r="N43" s="11" t="s">
        <v>2</v>
      </c>
      <c r="O43" s="11" t="s">
        <v>2</v>
      </c>
    </row>
    <row r="44" spans="1:15">
      <c r="A44" s="98" t="s">
        <v>184</v>
      </c>
      <c r="B44" s="98"/>
      <c r="C44" s="1"/>
      <c r="E44" s="5"/>
      <c r="F44" s="5"/>
      <c r="H44" s="25"/>
      <c r="L44" s="5"/>
    </row>
    <row r="45" spans="1:15">
      <c r="A45" s="2" t="s">
        <v>0</v>
      </c>
      <c r="B45" s="11">
        <f>103100*(EXP(LN(147000/103100)/10)^5)</f>
        <v>123108.48874062259</v>
      </c>
      <c r="E45" s="5">
        <f>H45*B45</f>
        <v>1288949.8317441179</v>
      </c>
      <c r="H45" s="25">
        <f>O45*M9/100</f>
        <v>10.470032123128469</v>
      </c>
      <c r="L45" s="5">
        <f>O45*B45</f>
        <v>1573942.1851555605</v>
      </c>
      <c r="O45" s="25">
        <f>H19*M7/100</f>
        <v>12.785001272103186</v>
      </c>
    </row>
    <row r="46" spans="1:15">
      <c r="B46" s="1"/>
      <c r="E46" s="5"/>
      <c r="H46" s="25"/>
      <c r="L46" s="5"/>
    </row>
    <row r="47" spans="1:15">
      <c r="B47" s="1"/>
      <c r="E47" s="5"/>
      <c r="H47" s="25"/>
      <c r="L47" s="5"/>
    </row>
    <row r="48" spans="1:15">
      <c r="B48" s="1"/>
      <c r="E48" s="5"/>
      <c r="H48" s="25"/>
      <c r="L48" s="5"/>
    </row>
    <row r="49" spans="3:12" s="1" customFormat="1">
      <c r="C49" s="5"/>
      <c r="D49" s="5"/>
      <c r="E49" s="5"/>
      <c r="F49" s="25"/>
      <c r="G49" s="25"/>
      <c r="H49" s="25"/>
      <c r="L49" s="5"/>
    </row>
    <row r="50" spans="3:12" s="1" customFormat="1">
      <c r="C50" s="5"/>
      <c r="D50" s="5"/>
      <c r="E50" s="5"/>
      <c r="F50" s="25"/>
      <c r="G50" s="25"/>
      <c r="H50" s="25"/>
      <c r="L50" s="5"/>
    </row>
    <row r="51" spans="3:12" s="1" customFormat="1">
      <c r="C51" s="5"/>
      <c r="D51" s="5"/>
      <c r="E51" s="5"/>
      <c r="F51" s="25"/>
      <c r="G51" s="25"/>
      <c r="H51" s="25"/>
    </row>
    <row r="52" spans="3:12" s="1" customFormat="1">
      <c r="C52" s="5"/>
      <c r="D52" s="5"/>
      <c r="E52" s="5"/>
      <c r="F52" s="25"/>
      <c r="G52" s="25"/>
      <c r="H52" s="25"/>
    </row>
    <row r="53" spans="3:12" s="1" customFormat="1">
      <c r="C53" s="5"/>
      <c r="D53" s="5"/>
      <c r="E53" s="5"/>
      <c r="F53" s="25"/>
      <c r="G53" s="25"/>
      <c r="H53" s="25"/>
    </row>
    <row r="54" spans="3:12" s="1" customFormat="1">
      <c r="C54" s="5"/>
      <c r="D54" s="5"/>
      <c r="E54" s="5"/>
      <c r="F54" s="25"/>
      <c r="G54" s="25"/>
      <c r="H54" s="25"/>
    </row>
    <row r="55" spans="3:12" s="1" customFormat="1">
      <c r="C55" s="5"/>
      <c r="D55" s="5"/>
      <c r="E55" s="5"/>
      <c r="F55" s="25"/>
      <c r="G55" s="25"/>
      <c r="H55" s="25"/>
    </row>
    <row r="56" spans="3:12" s="1" customFormat="1">
      <c r="C56" s="5"/>
      <c r="D56" s="5"/>
      <c r="E56" s="5"/>
      <c r="F56" s="25"/>
      <c r="G56" s="25"/>
      <c r="H56" s="25"/>
    </row>
    <row r="57" spans="3:12" s="1" customFormat="1">
      <c r="C57" s="5"/>
      <c r="D57" s="5"/>
      <c r="E57" s="5"/>
      <c r="F57" s="25"/>
      <c r="G57" s="25"/>
      <c r="H57" s="25"/>
    </row>
    <row r="58" spans="3:12" s="1" customFormat="1">
      <c r="C58" s="5"/>
      <c r="D58" s="5"/>
      <c r="E58" s="5"/>
      <c r="F58" s="25"/>
      <c r="G58" s="25"/>
      <c r="H58" s="25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Sources &amp; general notes</vt:lpstr>
      <vt:lpstr>1774 group weights</vt:lpstr>
      <vt:lpstr>detailed notes</vt:lpstr>
      <vt:lpstr>RESULT - MidCol urban backcasts</vt:lpstr>
      <vt:lpstr>All MidCols, using RW</vt:lpstr>
    </vt:vector>
  </TitlesOfParts>
  <Company>University of California Davis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Lindert</dc:creator>
  <cp:lastModifiedBy>Peter Lindert</cp:lastModifiedBy>
  <dcterms:created xsi:type="dcterms:W3CDTF">2013-06-27T20:41:58Z</dcterms:created>
  <dcterms:modified xsi:type="dcterms:W3CDTF">2013-11-24T23:12:24Z</dcterms:modified>
</cp:coreProperties>
</file>