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1700" yWindow="540" windowWidth="22900" windowHeight="12960" tabRatio="500" firstSheet="1" activeTab="3"/>
  </bookViews>
  <sheets>
    <sheet name="Sources &amp; general notes" sheetId="4" r:id="rId1"/>
    <sheet name="1774 group weights" sheetId="7" r:id="rId2"/>
    <sheet name="detailed notes" sheetId="8" r:id="rId3"/>
    <sheet name="RESULT - Chesapeake backcasts" sheetId="1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D23" i="1"/>
  <c r="E23" i="1"/>
  <c r="C24" i="1"/>
  <c r="D24" i="1"/>
  <c r="E24" i="1"/>
  <c r="D22" i="1"/>
  <c r="E22" i="1"/>
  <c r="C22" i="1"/>
  <c r="M23" i="1"/>
  <c r="M24" i="1"/>
  <c r="M22" i="1"/>
  <c r="K23" i="1"/>
  <c r="F23" i="1"/>
  <c r="F69" i="1"/>
  <c r="H69" i="1"/>
  <c r="P69" i="1"/>
  <c r="F22" i="1"/>
  <c r="F61" i="1"/>
  <c r="C61" i="1"/>
  <c r="C59" i="1"/>
  <c r="F59" i="1"/>
  <c r="H59" i="1"/>
  <c r="P59" i="1"/>
  <c r="F70" i="1"/>
  <c r="C70" i="1"/>
  <c r="C68" i="1"/>
  <c r="F68" i="1"/>
  <c r="H68" i="1"/>
  <c r="P68" i="1"/>
  <c r="H70" i="1"/>
  <c r="P70" i="1"/>
  <c r="H61" i="1"/>
  <c r="P61" i="1"/>
  <c r="F33" i="1"/>
  <c r="C33" i="1"/>
  <c r="K33" i="1"/>
  <c r="N33" i="1"/>
  <c r="H6" i="1"/>
  <c r="K70" i="1"/>
  <c r="E70" i="1"/>
  <c r="M70" i="1"/>
  <c r="N70" i="1"/>
  <c r="G6" i="1"/>
  <c r="K61" i="1"/>
  <c r="E61" i="1"/>
  <c r="M61" i="1"/>
  <c r="N61" i="1"/>
  <c r="F51" i="1"/>
  <c r="H51" i="1"/>
  <c r="P51" i="1"/>
  <c r="F6" i="1"/>
  <c r="N51" i="1"/>
  <c r="C51" i="1"/>
  <c r="E51" i="1"/>
  <c r="M51" i="1"/>
  <c r="K51" i="1"/>
  <c r="C49" i="1"/>
  <c r="F49" i="1"/>
  <c r="F42" i="1"/>
  <c r="C42" i="1"/>
  <c r="C40" i="1"/>
  <c r="F40" i="1"/>
  <c r="C31" i="1"/>
  <c r="F31" i="1"/>
  <c r="H33" i="1"/>
  <c r="P33" i="1"/>
  <c r="D6" i="1"/>
  <c r="K31" i="1"/>
  <c r="M31" i="1"/>
  <c r="M33" i="1"/>
  <c r="E31" i="1"/>
  <c r="E33" i="1"/>
  <c r="N31" i="1"/>
  <c r="P31" i="1"/>
  <c r="G11" i="1"/>
  <c r="H11" i="1"/>
  <c r="H24" i="1"/>
  <c r="C6" i="1"/>
  <c r="H10" i="1"/>
  <c r="G10" i="1"/>
  <c r="H49" i="1"/>
  <c r="P49" i="1"/>
  <c r="F10" i="1"/>
  <c r="D10" i="1"/>
  <c r="N68" i="1"/>
  <c r="N69" i="1"/>
  <c r="E68" i="1"/>
  <c r="M68" i="1"/>
  <c r="C69" i="1"/>
  <c r="E69" i="1"/>
  <c r="M69" i="1"/>
  <c r="K68" i="1"/>
  <c r="K69" i="1"/>
  <c r="F60" i="1"/>
  <c r="H60" i="1"/>
  <c r="P60" i="1"/>
  <c r="N59" i="1"/>
  <c r="N60" i="1"/>
  <c r="E59" i="1"/>
  <c r="M59" i="1"/>
  <c r="C60" i="1"/>
  <c r="E60" i="1"/>
  <c r="M60" i="1"/>
  <c r="K59" i="1"/>
  <c r="K60" i="1"/>
  <c r="F50" i="1"/>
  <c r="H50" i="1"/>
  <c r="P50" i="1"/>
  <c r="N49" i="1"/>
  <c r="N50" i="1"/>
  <c r="E49" i="1"/>
  <c r="M49" i="1"/>
  <c r="C50" i="1"/>
  <c r="E50" i="1"/>
  <c r="M50" i="1"/>
  <c r="K49" i="1"/>
  <c r="K50" i="1"/>
  <c r="F41" i="1"/>
  <c r="H41" i="1"/>
  <c r="P41" i="1"/>
  <c r="N41" i="1"/>
  <c r="B41" i="1"/>
  <c r="C41" i="1"/>
  <c r="E41" i="1"/>
  <c r="M41" i="1"/>
  <c r="K41" i="1"/>
  <c r="F32" i="1"/>
  <c r="N32" i="1"/>
  <c r="P32" i="1"/>
  <c r="C32" i="1"/>
  <c r="K32" i="1"/>
  <c r="M32" i="1"/>
  <c r="E32" i="1"/>
  <c r="H31" i="1"/>
  <c r="H32" i="1"/>
  <c r="G23" i="1"/>
  <c r="H23" i="1"/>
  <c r="F24" i="1"/>
  <c r="G24" i="1"/>
  <c r="G22" i="1"/>
  <c r="H22" i="1"/>
  <c r="D14" i="8"/>
  <c r="D15" i="8"/>
  <c r="D16" i="8"/>
  <c r="D17" i="8"/>
  <c r="D18" i="8"/>
  <c r="D13" i="8"/>
  <c r="L26" i="7"/>
  <c r="E9" i="7"/>
  <c r="L9" i="7"/>
  <c r="L28" i="7"/>
  <c r="L27" i="7"/>
  <c r="F11" i="1"/>
  <c r="N10" i="7"/>
  <c r="N11" i="7"/>
  <c r="N12" i="7"/>
  <c r="N13" i="7"/>
  <c r="N14" i="7"/>
  <c r="N20" i="7"/>
  <c r="N21" i="7"/>
  <c r="M10" i="7"/>
  <c r="M11" i="7"/>
  <c r="M12" i="7"/>
  <c r="M13" i="7"/>
  <c r="M14" i="7"/>
  <c r="M18" i="7"/>
  <c r="M19" i="7"/>
  <c r="M20" i="7"/>
  <c r="M21" i="7"/>
  <c r="M22" i="7"/>
  <c r="M23" i="7"/>
  <c r="M9" i="7"/>
  <c r="N18" i="7"/>
  <c r="N19" i="7"/>
  <c r="N22" i="7"/>
  <c r="N9" i="7"/>
  <c r="F11" i="7"/>
  <c r="F12" i="7"/>
  <c r="F13" i="7"/>
  <c r="F14" i="7"/>
  <c r="F15" i="7"/>
  <c r="F16" i="7"/>
  <c r="F17" i="7"/>
  <c r="F18" i="7"/>
  <c r="F19" i="7"/>
  <c r="F20" i="7"/>
  <c r="F10" i="7"/>
  <c r="H40" i="1"/>
  <c r="P40" i="1"/>
  <c r="N40" i="1"/>
  <c r="E40" i="1"/>
  <c r="E42" i="1"/>
  <c r="M42" i="1"/>
  <c r="H42" i="1"/>
  <c r="K42" i="1"/>
  <c r="N42" i="1"/>
  <c r="P42" i="1"/>
  <c r="E6" i="1"/>
  <c r="H14" i="1"/>
  <c r="H13" i="1"/>
  <c r="G13" i="1"/>
  <c r="G12" i="1"/>
  <c r="H12" i="1"/>
  <c r="E10" i="1"/>
  <c r="M40" i="1"/>
  <c r="K40" i="1"/>
  <c r="F12" i="1"/>
  <c r="E11" i="1"/>
</calcChain>
</file>

<file path=xl/sharedStrings.xml><?xml version="1.0" encoding="utf-8"?>
<sst xmlns="http://schemas.openxmlformats.org/spreadsheetml/2006/main" count="393" uniqueCount="168">
  <si>
    <t>Total</t>
  </si>
  <si>
    <t>Population</t>
  </si>
  <si>
    <t>income</t>
  </si>
  <si>
    <t>c1750</t>
  </si>
  <si>
    <t>population</t>
  </si>
  <si>
    <t>Labor</t>
  </si>
  <si>
    <t>Property</t>
  </si>
  <si>
    <t>c1725</t>
  </si>
  <si>
    <t>Populations are interpolated logarithmically between the two nearest years' estimates.</t>
  </si>
  <si>
    <t>The top four cities are Boston, New York (Manhattan), Philadelphia, and Charleston.</t>
  </si>
  <si>
    <r>
      <rPr>
        <u/>
        <sz val="12"/>
        <color theme="1"/>
        <rFont val="Arial"/>
      </rPr>
      <t>Population, colony totals by race</t>
    </r>
    <r>
      <rPr>
        <sz val="12"/>
        <color theme="1"/>
        <rFont val="Arial"/>
      </rPr>
      <t xml:space="preserve">: </t>
    </r>
    <r>
      <rPr>
        <i/>
        <sz val="12"/>
        <color theme="1"/>
        <rFont val="Arial"/>
      </rPr>
      <t>Historical Statistics</t>
    </r>
    <r>
      <rPr>
        <sz val="12"/>
        <color theme="1"/>
        <rFont val="Arial"/>
      </rPr>
      <t xml:space="preserve"> (2006), Series Eg1-59.</t>
    </r>
  </si>
  <si>
    <r>
      <rPr>
        <u/>
        <sz val="12"/>
        <color theme="1"/>
        <rFont val="Arial"/>
      </rPr>
      <t>Population, urban all races</t>
    </r>
    <r>
      <rPr>
        <sz val="12"/>
        <color theme="1"/>
        <rFont val="Arial"/>
      </rPr>
      <t xml:space="preserve">: Carl Bridenbaugh, </t>
    </r>
    <r>
      <rPr>
        <i/>
        <sz val="12"/>
        <color theme="1"/>
        <rFont val="Arial"/>
      </rPr>
      <t>Cities in the Wilderness</t>
    </r>
    <r>
      <rPr>
        <sz val="12"/>
        <color theme="1"/>
        <rFont val="Arial"/>
      </rPr>
      <t xml:space="preserve"> (1938, p. 143) and </t>
    </r>
    <r>
      <rPr>
        <i/>
        <sz val="12"/>
        <color theme="1"/>
        <rFont val="Arial"/>
      </rPr>
      <t>Cities in Revolt</t>
    </r>
    <r>
      <rPr>
        <sz val="12"/>
        <color theme="1"/>
        <rFont val="Arial"/>
      </rPr>
      <t xml:space="preserve"> (1955, pp. 216-217)</t>
    </r>
  </si>
  <si>
    <t>Aggregate</t>
  </si>
  <si>
    <t>per capita</t>
  </si>
  <si>
    <t>All</t>
    <phoneticPr fontId="0" type="noConversion"/>
  </si>
  <si>
    <t>Group 1</t>
    <phoneticPr fontId="0" type="noConversion"/>
  </si>
  <si>
    <t>Officials, titled, professions</t>
  </si>
  <si>
    <t>Group 2-3</t>
    <phoneticPr fontId="0" type="noConversion"/>
  </si>
  <si>
    <t>Merchant &amp; shopkeepers</t>
    <phoneticPr fontId="0" type="noConversion"/>
  </si>
  <si>
    <t>Group 4A</t>
    <phoneticPr fontId="0" type="noConversion"/>
  </si>
  <si>
    <t>Artisans (manufacturing trades)</t>
    <phoneticPr fontId="0" type="noConversion"/>
  </si>
  <si>
    <t>Group 4B</t>
    <phoneticPr fontId="0" type="noConversion"/>
  </si>
  <si>
    <t>Construction</t>
  </si>
  <si>
    <t>Group 5</t>
    <phoneticPr fontId="0" type="noConversion"/>
  </si>
  <si>
    <t>Farm operators or farm LF</t>
    <phoneticPr fontId="0" type="noConversion"/>
  </si>
  <si>
    <t>Group 6A</t>
    <phoneticPr fontId="0" type="noConversion"/>
  </si>
  <si>
    <t>Unskilled male workers</t>
    <phoneticPr fontId="0" type="noConversion"/>
  </si>
  <si>
    <t>Group 6B</t>
    <phoneticPr fontId="0" type="noConversion"/>
  </si>
  <si>
    <t>Unskilled female workers</t>
    <phoneticPr fontId="0" type="noConversion"/>
  </si>
  <si>
    <t>Group 7</t>
    <phoneticPr fontId="0" type="noConversion"/>
  </si>
  <si>
    <t>Male HHs w/wealth, no occ stated</t>
    <phoneticPr fontId="0" type="noConversion"/>
  </si>
  <si>
    <t>Group 8</t>
    <phoneticPr fontId="0" type="noConversion"/>
  </si>
  <si>
    <t>Female HHs w/wealth, no occ stated</t>
    <phoneticPr fontId="0" type="noConversion"/>
  </si>
  <si>
    <t>Group 9</t>
    <phoneticPr fontId="0" type="noConversion"/>
  </si>
  <si>
    <t>Zero-wealth free HHs</t>
    <phoneticPr fontId="0" type="noConversion"/>
  </si>
  <si>
    <t>Group 19</t>
    <phoneticPr fontId="0" type="noConversion"/>
  </si>
  <si>
    <t>Slaves ages 10 up, retained earnings</t>
    <phoneticPr fontId="0" type="noConversion"/>
  </si>
  <si>
    <t>% shares</t>
  </si>
  <si>
    <t>total LF</t>
  </si>
  <si>
    <t>total LF = free LF</t>
  </si>
  <si>
    <t>Groups 2-3</t>
    <phoneticPr fontId="0" type="noConversion"/>
  </si>
  <si>
    <t>Group 5A</t>
    <phoneticPr fontId="0" type="noConversion"/>
  </si>
  <si>
    <t>Farm operators - top 2% in property**</t>
    <phoneticPr fontId="0" type="noConversion"/>
  </si>
  <si>
    <t>Group 5B</t>
    <phoneticPr fontId="0" type="noConversion"/>
  </si>
  <si>
    <t>Farm operators - next 18%**</t>
    <phoneticPr fontId="0" type="noConversion"/>
  </si>
  <si>
    <t>Group 5C</t>
    <phoneticPr fontId="0" type="noConversion"/>
  </si>
  <si>
    <t>Farm operators - 40th-79th%**</t>
    <phoneticPr fontId="0" type="noConversion"/>
  </si>
  <si>
    <t>Group 5D</t>
    <phoneticPr fontId="0" type="noConversion"/>
  </si>
  <si>
    <t>Farm operators - 0-39th%**</t>
    <phoneticPr fontId="0" type="noConversion"/>
  </si>
  <si>
    <t>free LF</t>
  </si>
  <si>
    <t>(for all</t>
  </si>
  <si>
    <t>farm-op</t>
  </si>
  <si>
    <t>households)</t>
  </si>
  <si>
    <r>
      <rPr>
        <b/>
        <u/>
        <sz val="14"/>
        <color theme="1"/>
        <rFont val="Arial"/>
      </rPr>
      <t>Detailed notes</t>
    </r>
    <r>
      <rPr>
        <b/>
        <sz val="14"/>
        <color theme="1"/>
        <rFont val="Arial"/>
      </rPr>
      <t>:</t>
    </r>
  </si>
  <si>
    <t>Allen &amp;c CPI</t>
  </si>
  <si>
    <t>Year 1774 = 100.0.</t>
  </si>
  <si>
    <t>Implied nominal incomes circa 1750 (current £ sterling)</t>
  </si>
  <si>
    <t>Implied nominal incomes circa 1725 (current £ sterling)</t>
  </si>
  <si>
    <t>Implied real incomes circa 1725 (1774 £ sterling)</t>
  </si>
  <si>
    <t>year 1774</t>
  </si>
  <si>
    <t>Growth rate (% per annum) from --</t>
  </si>
  <si>
    <t>to --</t>
  </si>
  <si>
    <t>Real per capita results (£ sterling of 1774)</t>
  </si>
  <si>
    <r>
      <rPr>
        <u/>
        <sz val="12"/>
        <color theme="1"/>
        <rFont val="Arial"/>
      </rPr>
      <t>Sources</t>
    </r>
    <r>
      <rPr>
        <sz val="12"/>
        <color theme="1"/>
        <rFont val="Arial"/>
      </rPr>
      <t>:</t>
    </r>
  </si>
  <si>
    <t>Tommy E. Murphy, and Eric B. Schneider. 2012. "The Colonial Origins of the Divergence in the Americas: A Labor Market Approach,"</t>
  </si>
  <si>
    <t>The pre-1774 nominal income estimates are implied by these ratio parameters, earlier eras versus c1774</t>
  </si>
  <si>
    <t>(2) The rate of return on wealth remained at 5%, from c1774 back to c1650.</t>
  </si>
  <si>
    <t>(3) Slaves' retained earnings remained the same shares of the corresponding free labor ranges in earlier years as in 1774.</t>
  </si>
  <si>
    <r>
      <rPr>
        <b/>
        <u/>
        <sz val="12"/>
        <color theme="1"/>
        <rFont val="Arial"/>
      </rPr>
      <t>Some key backcasting assumptions</t>
    </r>
    <r>
      <rPr>
        <sz val="12"/>
        <color theme="1"/>
        <rFont val="Arial"/>
      </rPr>
      <t>:</t>
    </r>
  </si>
  <si>
    <t>"In the northern colonies they employ few slaves, and tho' they are in a very fluorishing</t>
  </si>
  <si>
    <t>condition in these colonies, the lands are generaly cultivated by the proprietors,</t>
  </si>
  <si>
    <t>which is the most favourable method to the progress of agriculture."</t>
  </si>
  <si>
    <r>
      <t xml:space="preserve">  -- Adam Smith, </t>
    </r>
    <r>
      <rPr>
        <i/>
        <sz val="12"/>
        <color theme="1"/>
        <rFont val="Arial"/>
      </rPr>
      <t xml:space="preserve">Lectures on Jurisprudence </t>
    </r>
    <r>
      <rPr>
        <sz val="12"/>
        <color theme="1"/>
        <rFont val="Arial"/>
      </rPr>
      <t xml:space="preserve">(1978 </t>
    </r>
    <r>
      <rPr>
        <sz val="12"/>
        <color indexed="206"/>
        <rFont val="Arial"/>
      </rPr>
      <t>(</t>
    </r>
    <r>
      <rPr>
        <sz val="12"/>
        <color theme="1"/>
        <rFont val="Arial"/>
      </rPr>
      <t>1766</t>
    </r>
    <r>
      <rPr>
        <sz val="12"/>
        <color indexed="206"/>
        <rFont val="Arial"/>
      </rPr>
      <t>)</t>
    </r>
    <r>
      <rPr>
        <sz val="12"/>
        <color theme="1"/>
        <rFont val="Arial"/>
      </rPr>
      <t>), p. 523.</t>
    </r>
  </si>
  <si>
    <t>Middle Colony labor force shares (from file "American incomes 1774j"):</t>
  </si>
  <si>
    <t>Free HHs with property</t>
  </si>
  <si>
    <t>All free households</t>
  </si>
  <si>
    <t>All households</t>
    <phoneticPr fontId="15" type="noConversion"/>
  </si>
  <si>
    <r>
      <rPr>
        <b/>
        <u/>
        <sz val="12"/>
        <color theme="1"/>
        <rFont val="Calibri"/>
        <scheme val="minor"/>
      </rPr>
      <t>NYC + Philly</t>
    </r>
    <r>
      <rPr>
        <sz val="12"/>
        <color theme="1"/>
        <rFont val="Calibri"/>
        <family val="2"/>
        <scheme val="minor"/>
      </rPr>
      <t>: Negligible farm sector. Estimated LF shares 1774 =</t>
    </r>
  </si>
  <si>
    <t>(2) The baseline estimates for 1774 are from Lindert, Peter H. and Jeffrey G. Williamson. 2013. ”American Incomes</t>
  </si>
  <si>
    <r>
      <rPr>
        <i/>
        <sz val="12"/>
        <color theme="1"/>
        <rFont val="Arial"/>
      </rPr>
      <t>Journal of Economic History</t>
    </r>
    <r>
      <rPr>
        <sz val="12"/>
        <color theme="1"/>
        <rFont val="Arial"/>
      </rPr>
      <t xml:space="preserve"> 72, 4 (December): 863-894; with "supplementary materials" available on the</t>
    </r>
    <r>
      <rPr>
        <i/>
        <sz val="12"/>
        <color theme="1"/>
        <rFont val="Arial"/>
      </rPr>
      <t xml:space="preserve"> Journal</t>
    </r>
    <r>
      <rPr>
        <sz val="12"/>
        <color theme="1"/>
        <rFont val="Arial"/>
      </rPr>
      <t>'s internet site.</t>
    </r>
  </si>
  <si>
    <t>(1) The consumer price index uses the Philadelphia cost of a "bare bones" bundle, as explained in Allen, Robert C. Allen</t>
  </si>
  <si>
    <r>
      <t>Before and After the Revolution,”</t>
    </r>
    <r>
      <rPr>
        <i/>
        <sz val="12"/>
        <color theme="1"/>
        <rFont val="Arial"/>
      </rPr>
      <t xml:space="preserve"> Journal of Economic History</t>
    </r>
    <r>
      <rPr>
        <sz val="12"/>
        <color theme="1"/>
        <rFont val="Arial"/>
      </rPr>
      <t xml:space="preserve"> 73, 3 (September): 725-765;</t>
    </r>
  </si>
  <si>
    <t>and the detail in gpih.ucdavis.edu, American incomes 1650-1870 folder, file "American incomes 1774, an xlsx version".</t>
  </si>
  <si>
    <t>All HH occupational groups, urban</t>
  </si>
  <si>
    <t>All HH occup'l groups, town-rural</t>
  </si>
  <si>
    <t>Labor force</t>
  </si>
  <si>
    <r>
      <rPr>
        <b/>
        <u/>
        <sz val="14"/>
        <color theme="1"/>
        <rFont val="Arial"/>
      </rPr>
      <t>Population estimates</t>
    </r>
    <r>
      <rPr>
        <u/>
        <sz val="12"/>
        <color theme="1"/>
        <rFont val="Arial"/>
      </rPr>
      <t xml:space="preserve"> for all colonial regions</t>
    </r>
    <r>
      <rPr>
        <sz val="12"/>
        <color theme="1"/>
        <rFont val="Arial"/>
      </rPr>
      <t>:</t>
    </r>
  </si>
  <si>
    <t>(4) Unemployment rates, and the resulting deviations from wage-based estimates of labor income, were comparable in each quarter-century.</t>
  </si>
  <si>
    <t>Detailed notes (see "Detailed notes" worksheet)</t>
  </si>
  <si>
    <r>
      <rPr>
        <b/>
        <u/>
        <sz val="12"/>
        <color theme="1"/>
        <rFont val="Calibri"/>
        <scheme val="minor"/>
      </rPr>
      <t>Rural Middle Colonies</t>
    </r>
    <r>
      <rPr>
        <sz val="12"/>
        <color theme="1"/>
        <rFont val="Calibri"/>
        <family val="2"/>
        <scheme val="minor"/>
      </rPr>
      <t>: Estimated LF shares 1774 =</t>
    </r>
  </si>
  <si>
    <t>Regional totals</t>
  </si>
  <si>
    <t>Matches file "American incomes 1774j"</t>
  </si>
  <si>
    <t xml:space="preserve">    "</t>
  </si>
  <si>
    <r>
      <t xml:space="preserve">Parameters relating to nominal </t>
    </r>
    <r>
      <rPr>
        <b/>
        <u/>
        <sz val="12"/>
        <color theme="1"/>
        <rFont val="Arial"/>
      </rPr>
      <t>property income</t>
    </r>
  </si>
  <si>
    <t>Implied real incomes "c1770" = 1763-1775 (1774 £ sterling)</t>
  </si>
  <si>
    <t>c1770</t>
  </si>
  <si>
    <r>
      <t xml:space="preserve">Implied real incomes circa 1750 (1774 £ sterling) </t>
    </r>
    <r>
      <rPr>
        <sz val="14"/>
        <color rgb="FFFF0000"/>
        <rFont val="Arial"/>
      </rPr>
      <t>(incl 7 Yrs' War)</t>
    </r>
  </si>
  <si>
    <t>(1) The 1774 occupational mix at each location applies to all earlier years as well.</t>
  </si>
  <si>
    <r>
      <t xml:space="preserve">(3) Wage rates and probate wealth trends from Nash, Gary B. 1979. </t>
    </r>
    <r>
      <rPr>
        <i/>
        <sz val="12"/>
        <color theme="1"/>
        <rFont val="Arial"/>
      </rPr>
      <t>The Urban Crucible: Social Change,</t>
    </r>
  </si>
  <si>
    <r>
      <rPr>
        <i/>
        <sz val="12"/>
        <color theme="1"/>
        <rFont val="Arial"/>
      </rPr>
      <t>Political Consciousness, and the Origins of the American Revolution</t>
    </r>
    <r>
      <rPr>
        <sz val="12"/>
        <color theme="1"/>
        <rFont val="Arial"/>
      </rPr>
      <t xml:space="preserve"> (Cambridge, Mass.: Harvard University Press).</t>
    </r>
  </si>
  <si>
    <t>This worksheet merely pastes information from an earlier 1774 project, for readers seeking</t>
  </si>
  <si>
    <t xml:space="preserve"> a sense of the socio-occupational mix underlying the 1774 basis for the backcasts</t>
  </si>
  <si>
    <t>Rural free</t>
  </si>
  <si>
    <t>Rural slave</t>
  </si>
  <si>
    <t>Rural total</t>
  </si>
  <si>
    <t>Backcasting Chesapeake incomes from 1774 to c1725</t>
  </si>
  <si>
    <t>[No urban places in the Chesapeake before 1774.]</t>
  </si>
  <si>
    <t>Implied nominal incomes circa 1700 (current £ sterling)</t>
  </si>
  <si>
    <t>Implied real incomes circa 1700 (1774 £ sterling)</t>
  </si>
  <si>
    <t>Implied nominal incomes circa 1675 (current £ sterling)</t>
  </si>
  <si>
    <t>Implied real incomes circa 1675 (1774 £ sterling)</t>
  </si>
  <si>
    <t>Chesapeake = Maryland plus Virginia</t>
  </si>
  <si>
    <t>1674-1688</t>
  </si>
  <si>
    <t>1689-1712</t>
  </si>
  <si>
    <t>1713-1737</t>
  </si>
  <si>
    <t>1738-1762</t>
  </si>
  <si>
    <t>1763-1774</t>
  </si>
  <si>
    <t>Slave prices:</t>
  </si>
  <si>
    <t>(1774=100)</t>
  </si>
  <si>
    <t>(Chesapeake.a), using MD slave prices.</t>
  </si>
  <si>
    <t>(Chesapeake.a)</t>
  </si>
  <si>
    <t>Assume that the 1774 ratio of slave retained earnings to slave purchase price remained the same in the century up to 1774.</t>
  </si>
  <si>
    <t>to £ sterling using HSUS  Series Eg.319, with exchange-rate extrapolations before 1702.</t>
  </si>
  <si>
    <t xml:space="preserve">Maryland slave prices from Kulikoff thesis, pp. 485-488; converted from Maryland currency </t>
  </si>
  <si>
    <t>c1700</t>
  </si>
  <si>
    <t>c1675</t>
  </si>
  <si>
    <r>
      <t xml:space="preserve">Parameters relating to </t>
    </r>
    <r>
      <rPr>
        <b/>
        <u/>
        <sz val="12"/>
        <color theme="1"/>
        <rFont val="Arial"/>
      </rPr>
      <t>slave retained earnings per capita</t>
    </r>
  </si>
  <si>
    <t>(Chesapeake.b), Walsh-Menard family farm income</t>
  </si>
  <si>
    <t>Gross farm</t>
  </si>
  <si>
    <t>(all labor plus</t>
  </si>
  <si>
    <t>property) =</t>
  </si>
  <si>
    <t>[Here the slave retained earnings are already an implicit part of the gross farm earnings.]</t>
  </si>
  <si>
    <t>Nominal (current-price) estimates</t>
  </si>
  <si>
    <t>Real (constant-price) estimates</t>
  </si>
  <si>
    <t xml:space="preserve">and (local and export) market income as a share of total income (where the latter includes non-market income = food, shelter, fuel, washing, and other services produced </t>
  </si>
  <si>
    <t>and export = (.333)(.333) = .111 or 11.1%, and the non-market share 66.7%.</t>
  </si>
  <si>
    <t>Corn was a subsistence crop. It dominated grain output, and very little was marketed. While wheat was a small share of output, that share rose, and a large share was marketed.</t>
  </si>
  <si>
    <t xml:space="preserve">The relative price of wheat (relative to tobacco: Bezanson) rose by 0.76% per annum 1720-1775. Walsh (1999: p. 66) states that "outputs of grains per laborer … remained at </t>
  </si>
  <si>
    <t xml:space="preserve">roughly the same low levels", so there was little productivity change. All of this suggests that "other income" must have grown very slowly in the 18th century, say 0.1% per </t>
  </si>
  <si>
    <t>Chesapeake.b): The gross farm incomes of a Maryland or Virginia farm family:</t>
  </si>
  <si>
    <r>
      <t xml:space="preserve">Walsh, Lorena S. 1999. “Summing the Parts: Implications for Estimating the Chesapeake Output and Income Subregionally,” </t>
    </r>
    <r>
      <rPr>
        <i/>
        <sz val="12"/>
        <color rgb="FF000000"/>
        <rFont val="Calibri"/>
        <scheme val="minor"/>
      </rPr>
      <t>William and Mary Quarterly</t>
    </r>
    <r>
      <rPr>
        <sz val="12"/>
        <color rgb="FF000000"/>
        <rFont val="Calibri"/>
        <scheme val="minor"/>
      </rPr>
      <t>, Third Series, 56, 1 (January): 53-94.</t>
    </r>
  </si>
  <si>
    <t>For related farm account evidence, see also:</t>
  </si>
  <si>
    <r>
      <t xml:space="preserve">Carr, Lois Green, Russell R. Menard, and Lorena S. Walsh. 1991. </t>
    </r>
    <r>
      <rPr>
        <i/>
        <sz val="12"/>
        <color theme="1"/>
        <rFont val="Calibri"/>
        <scheme val="minor"/>
      </rPr>
      <t>Robert Cole's World: Agriculture and Society in Early Maryland</t>
    </r>
    <r>
      <rPr>
        <sz val="12"/>
        <color theme="1"/>
        <rFont val="Calibri"/>
        <family val="2"/>
        <scheme val="minor"/>
      </rPr>
      <t xml:space="preserve"> (Chapel Hill, N.C.: University North Carolina Press).</t>
    </r>
  </si>
  <si>
    <r>
      <t xml:space="preserve">Walsh, Lorena S. 2010. </t>
    </r>
    <r>
      <rPr>
        <i/>
        <sz val="12"/>
        <color theme="1"/>
        <rFont val="Calibri"/>
        <scheme val="minor"/>
      </rPr>
      <t xml:space="preserve">Motives of Honor, Pleasure, and Profit </t>
    </r>
    <r>
      <rPr>
        <sz val="12"/>
        <color theme="1"/>
        <rFont val="Calibri"/>
        <family val="2"/>
        <scheme val="minor"/>
      </rPr>
      <t>(Chapel Hill, NC: University of North Caroline Press).</t>
    </r>
  </si>
  <si>
    <t>Sources and general notes to "Backcast Chesapeake to 1675"</t>
  </si>
  <si>
    <t>(5) Gross farm income per farm was in the same ratio to total regional income over the whole period c1675-1774.</t>
  </si>
  <si>
    <r>
      <rPr>
        <i/>
        <sz val="12"/>
        <color theme="1"/>
        <rFont val="Arial"/>
      </rPr>
      <t>Robert Cole's World: Agriculture and Society in Early Maryland (Chapel Hill, N.C.: University North Carolina Press);</t>
    </r>
  </si>
  <si>
    <r>
      <t xml:space="preserve">For related farm account evidence, see also: 
Walsh, Lorena S. 2010. </t>
    </r>
    <r>
      <rPr>
        <i/>
        <sz val="12"/>
        <color theme="1"/>
        <rFont val="Arial"/>
      </rPr>
      <t>Motives of Honor, Pleasure, and Profit</t>
    </r>
    <r>
      <rPr>
        <sz val="12"/>
        <color theme="1"/>
        <rFont val="Arial"/>
      </rPr>
      <t xml:space="preserve"> (Chapel Hill, NC: University of North Caroline Press). </t>
    </r>
  </si>
  <si>
    <r>
      <t xml:space="preserve">and (b.) Walsh, Lorena S. 1999. “Summing the Parts: Implications for Estimating the Chesapeake Output and Income Subregionally,” </t>
    </r>
    <r>
      <rPr>
        <i/>
        <sz val="12"/>
        <color theme="1"/>
        <rFont val="Arial"/>
      </rPr>
      <t>William and Mary Quarterly</t>
    </r>
    <r>
      <rPr>
        <sz val="12"/>
        <color theme="1"/>
        <rFont val="Arial"/>
      </rPr>
      <t xml:space="preserve">, Third Series, 56, 1 (January): 53-94. </t>
    </r>
  </si>
  <si>
    <t xml:space="preserve">(4) The estimates of movements in gross farm income are taken from  these two sources: (a.) Carr, Lois Green, Russell R. Menard, and Lorena S. Walsh. 1991, </t>
  </si>
  <si>
    <t>This is used as something proportional to the income per capita of this still-rural region.</t>
  </si>
  <si>
    <r>
      <rPr>
        <b/>
        <u/>
        <sz val="12"/>
        <color theme="1"/>
        <rFont val="Arial"/>
      </rPr>
      <t>Weights</t>
    </r>
    <r>
      <rPr>
        <sz val="12"/>
        <color theme="1"/>
        <rFont val="Arial"/>
      </rPr>
      <t xml:space="preserve">: A family of middling means 1662-1672 (Walsh: 1999, p. 57, citing Robert Cole's World 1991: Chp. 4): tobacco income = 66.7% of total (local and export) market income; </t>
    </r>
  </si>
  <si>
    <r>
      <rPr>
        <b/>
        <u/>
        <sz val="12"/>
        <color theme="1"/>
        <rFont val="Arial"/>
      </rPr>
      <t>Tobacco (22.2%) performance</t>
    </r>
    <r>
      <rPr>
        <sz val="12"/>
        <color theme="1"/>
        <rFont val="Arial"/>
      </rPr>
      <t>: Use income per taxable from Walsh 1672-1725 and income per farm laborer Kulikoff 1726-1774.</t>
    </r>
  </si>
  <si>
    <r>
      <rPr>
        <b/>
        <u/>
        <sz val="12"/>
        <color theme="1"/>
        <rFont val="Arial"/>
      </rPr>
      <t>Other marketed goods (11.1%) performance</t>
    </r>
    <r>
      <rPr>
        <sz val="12"/>
        <color theme="1"/>
        <rFont val="Arial"/>
      </rPr>
      <t>: Assume as tobacco.</t>
    </r>
  </si>
  <si>
    <r>
      <rPr>
        <b/>
        <u/>
        <sz val="12"/>
        <color theme="1"/>
        <rFont val="Arial"/>
      </rPr>
      <t>Non-marketed goods and services (66.7%) performance</t>
    </r>
    <r>
      <rPr>
        <sz val="12"/>
        <color theme="1"/>
        <rFont val="Arial"/>
      </rPr>
      <t>: Assume income per taxable constant.</t>
    </r>
  </si>
  <si>
    <t>Rural total pop</t>
  </si>
  <si>
    <t xml:space="preserve">and consumed on the plantation [p. 57]) was about 33.3%. So, it appears as though the tobacco income share = (.667)(.333) = .222 or 22.2%, income from other marketed goods local </t>
  </si>
  <si>
    <t>Walsh and others imply a price elasticity of demand = 1, so that Chesapeake output increase was matched by falling price.</t>
  </si>
  <si>
    <t>Thus, tobacco weight constant. But other marketed share probably rose in settled regions. Assume that was offset by rising share of population in the hinterland with low marketed shares.</t>
  </si>
  <si>
    <r>
      <t xml:space="preserve">Parameters relating to nominal </t>
    </r>
    <r>
      <rPr>
        <b/>
        <u/>
        <sz val="12"/>
        <color theme="1"/>
        <rFont val="Arial"/>
      </rPr>
      <t>gross farm income per capita</t>
    </r>
    <r>
      <rPr>
        <sz val="12"/>
        <color theme="1"/>
        <rFont val="Arial"/>
      </rPr>
      <t xml:space="preserve"> of total population</t>
    </r>
  </si>
  <si>
    <t xml:space="preserve">Here urban = four top cities only.  Could add Newport across the 18th century, and could add 15 others for 1774.  </t>
  </si>
  <si>
    <t>Lindert</t>
  </si>
  <si>
    <t>calc's 8oct'13</t>
  </si>
  <si>
    <t>Implied nominal incomes "c1770" = 1763-1775 (current £ sterling)</t>
  </si>
  <si>
    <t xml:space="preserve">annum, and not at all in the 17th, the "Variant 4" assumption used here. </t>
  </si>
  <si>
    <t>For the variants, see the file "Chesapeake income clues".</t>
  </si>
  <si>
    <t>Income levels in 1774 (Lindert-Williamson, current £ sterling) Full time</t>
  </si>
  <si>
    <t>These come from the estimates in "American incomes 1774k Split South"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</si>
</sst>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"/>
  </numFmts>
  <fonts count="2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4"/>
      <color theme="1"/>
      <name val="Arial"/>
    </font>
    <font>
      <b/>
      <sz val="16"/>
      <color rgb="FFFF0000"/>
      <name val="Arial"/>
    </font>
    <font>
      <i/>
      <sz val="12"/>
      <color theme="1"/>
      <name val="Arial"/>
    </font>
    <font>
      <u/>
      <sz val="12"/>
      <color theme="1"/>
      <name val="Arial"/>
    </font>
    <font>
      <b/>
      <u/>
      <sz val="14"/>
      <color theme="1"/>
      <name val="Arial"/>
    </font>
    <font>
      <b/>
      <u/>
      <sz val="12"/>
      <color theme="1"/>
      <name val="Calibri"/>
      <scheme val="minor"/>
    </font>
    <font>
      <sz val="12"/>
      <name val="Arial"/>
    </font>
    <font>
      <sz val="12"/>
      <color rgb="FFFF0000"/>
      <name val="Calibri"/>
      <family val="2"/>
      <scheme val="minor"/>
    </font>
    <font>
      <b/>
      <u/>
      <sz val="12"/>
      <color theme="1"/>
      <name val="Arial"/>
    </font>
    <font>
      <b/>
      <sz val="12"/>
      <color rgb="FFFF0000"/>
      <name val="Arial"/>
    </font>
    <font>
      <b/>
      <u/>
      <sz val="14"/>
      <color theme="1"/>
      <name val="Calibri"/>
      <scheme val="minor"/>
    </font>
    <font>
      <sz val="12"/>
      <color indexed="206"/>
      <name val="Arial"/>
    </font>
    <font>
      <sz val="12"/>
      <color rgb="FFFF0000"/>
      <name val="Arial"/>
    </font>
    <font>
      <sz val="14"/>
      <color rgb="FFFF0000"/>
      <name val="Arial"/>
    </font>
    <font>
      <sz val="16"/>
      <color theme="1"/>
      <name val="Calibri"/>
      <scheme val="minor"/>
    </font>
    <font>
      <sz val="16"/>
      <color theme="1"/>
      <name val="Arial"/>
    </font>
    <font>
      <sz val="12"/>
      <color rgb="FF000000"/>
      <name val="Calibri"/>
      <scheme val="minor"/>
    </font>
    <font>
      <i/>
      <sz val="12"/>
      <color rgb="FF000000"/>
      <name val="Calibri"/>
      <scheme val="minor"/>
    </font>
    <font>
      <i/>
      <sz val="12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48E"/>
        <bgColor indexed="64"/>
      </patternFill>
    </fill>
    <fill>
      <patternFill patternType="solid">
        <fgColor rgb="FFF6A7CF"/>
        <bgColor indexed="64"/>
      </patternFill>
    </fill>
    <fill>
      <patternFill patternType="solid">
        <fgColor rgb="FF82FF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3" fontId="0" fillId="0" borderId="0" xfId="0" applyNumberFormat="1"/>
    <xf numFmtId="3" fontId="3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5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0" xfId="0" applyNumberFormat="1" applyFont="1" applyAlignment="1">
      <alignment horizontal="right"/>
    </xf>
    <xf numFmtId="3" fontId="5" fillId="0" borderId="2" xfId="0" applyNumberFormat="1" applyFont="1" applyBorder="1"/>
    <xf numFmtId="3" fontId="3" fillId="0" borderId="0" xfId="0" applyNumberFormat="1" applyFont="1" applyFill="1"/>
    <xf numFmtId="1" fontId="3" fillId="0" borderId="0" xfId="0" applyNumberFormat="1" applyFont="1"/>
    <xf numFmtId="0" fontId="3" fillId="0" borderId="0" xfId="0" applyFont="1" applyAlignment="1"/>
    <xf numFmtId="0" fontId="6" fillId="0" borderId="0" xfId="0" applyFont="1" applyAlignment="1"/>
    <xf numFmtId="3" fontId="3" fillId="0" borderId="0" xfId="0" applyNumberFormat="1" applyFont="1" applyAlignment="1"/>
    <xf numFmtId="164" fontId="3" fillId="0" borderId="0" xfId="0" applyNumberFormat="1" applyFont="1"/>
    <xf numFmtId="165" fontId="3" fillId="0" borderId="0" xfId="0" applyNumberFormat="1" applyFont="1"/>
    <xf numFmtId="4" fontId="3" fillId="0" borderId="0" xfId="0" applyNumberFormat="1" applyFont="1"/>
    <xf numFmtId="0" fontId="5" fillId="0" borderId="0" xfId="0" applyFont="1"/>
    <xf numFmtId="3" fontId="5" fillId="2" borderId="0" xfId="0" applyNumberFormat="1" applyFont="1" applyFill="1"/>
    <xf numFmtId="3" fontId="3" fillId="2" borderId="0" xfId="0" applyNumberFormat="1" applyFont="1" applyFill="1"/>
    <xf numFmtId="0" fontId="11" fillId="0" borderId="0" xfId="0" applyFont="1" applyAlignment="1"/>
    <xf numFmtId="0" fontId="11" fillId="0" borderId="0" xfId="0" applyFont="1" applyFill="1" applyBorder="1" applyAlignment="1"/>
    <xf numFmtId="1" fontId="11" fillId="0" borderId="0" xfId="0" applyNumberFormat="1" applyFont="1" applyAlignmen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2" fontId="12" fillId="0" borderId="0" xfId="0" applyNumberFormat="1" applyFont="1"/>
    <xf numFmtId="2" fontId="0" fillId="3" borderId="0" xfId="0" applyNumberFormat="1" applyFill="1"/>
    <xf numFmtId="164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3" fontId="3" fillId="0" borderId="0" xfId="0" applyNumberFormat="1" applyFont="1" applyFill="1" applyBorder="1"/>
    <xf numFmtId="3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4" fontId="3" fillId="0" borderId="0" xfId="0" applyNumberFormat="1" applyFont="1" applyFill="1"/>
    <xf numFmtId="0" fontId="8" fillId="0" borderId="0" xfId="0" applyFont="1" applyAlignment="1">
      <alignment horizontal="right"/>
    </xf>
    <xf numFmtId="3" fontId="5" fillId="4" borderId="0" xfId="0" applyNumberFormat="1" applyFont="1" applyFill="1"/>
    <xf numFmtId="3" fontId="3" fillId="4" borderId="0" xfId="0" applyNumberFormat="1" applyFont="1" applyFill="1"/>
    <xf numFmtId="0" fontId="3" fillId="5" borderId="0" xfId="0" applyFont="1" applyFill="1"/>
    <xf numFmtId="3" fontId="3" fillId="5" borderId="0" xfId="0" applyNumberFormat="1" applyFont="1" applyFill="1"/>
    <xf numFmtId="3" fontId="8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right"/>
    </xf>
    <xf numFmtId="164" fontId="4" fillId="5" borderId="0" xfId="0" applyNumberFormat="1" applyFont="1" applyFill="1"/>
    <xf numFmtId="1" fontId="3" fillId="5" borderId="0" xfId="0" applyNumberFormat="1" applyFont="1" applyFill="1"/>
    <xf numFmtId="0" fontId="14" fillId="0" borderId="0" xfId="0" applyFont="1" applyAlignment="1"/>
    <xf numFmtId="0" fontId="11" fillId="0" borderId="0" xfId="0" applyFont="1" applyAlignment="1">
      <alignment horizontal="right"/>
    </xf>
    <xf numFmtId="0" fontId="3" fillId="0" borderId="0" xfId="0" applyFont="1" applyFill="1"/>
    <xf numFmtId="165" fontId="0" fillId="6" borderId="0" xfId="0" applyNumberFormat="1" applyFill="1"/>
    <xf numFmtId="3" fontId="0" fillId="6" borderId="0" xfId="0" applyNumberFormat="1" applyFill="1"/>
    <xf numFmtId="3" fontId="0" fillId="6" borderId="4" xfId="0" applyNumberFormat="1" applyFill="1" applyBorder="1"/>
    <xf numFmtId="3" fontId="0" fillId="6" borderId="5" xfId="0" applyNumberFormat="1" applyFill="1" applyBorder="1" applyAlignment="1">
      <alignment horizontal="right"/>
    </xf>
    <xf numFmtId="3" fontId="0" fillId="6" borderId="6" xfId="0" applyNumberFormat="1" applyFill="1" applyBorder="1" applyAlignment="1">
      <alignment horizontal="right"/>
    </xf>
    <xf numFmtId="0" fontId="12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0" applyNumberFormat="1" applyFont="1"/>
    <xf numFmtId="1" fontId="8" fillId="5" borderId="0" xfId="0" applyNumberFormat="1" applyFont="1" applyFill="1" applyAlignment="1">
      <alignment horizontal="right"/>
    </xf>
    <xf numFmtId="3" fontId="3" fillId="7" borderId="0" xfId="0" applyNumberFormat="1" applyFont="1" applyFill="1"/>
    <xf numFmtId="3" fontId="17" fillId="7" borderId="0" xfId="0" applyNumberFormat="1" applyFont="1" applyFill="1"/>
    <xf numFmtId="166" fontId="3" fillId="0" borderId="0" xfId="0" applyNumberFormat="1" applyFont="1"/>
    <xf numFmtId="164" fontId="3" fillId="5" borderId="0" xfId="0" applyNumberFormat="1" applyFont="1" applyFill="1" applyBorder="1"/>
    <xf numFmtId="3" fontId="3" fillId="5" borderId="0" xfId="0" applyNumberFormat="1" applyFont="1" applyFill="1" applyBorder="1"/>
    <xf numFmtId="1" fontId="3" fillId="0" borderId="0" xfId="0" applyNumberFormat="1" applyFont="1" applyFill="1"/>
    <xf numFmtId="4" fontId="3" fillId="0" borderId="0" xfId="0" applyNumberFormat="1" applyFont="1" applyFill="1" applyAlignment="1">
      <alignment horizontal="right"/>
    </xf>
    <xf numFmtId="0" fontId="19" fillId="0" borderId="0" xfId="0" applyFont="1"/>
    <xf numFmtId="17" fontId="0" fillId="0" borderId="0" xfId="0" applyNumberFormat="1"/>
    <xf numFmtId="0" fontId="17" fillId="0" borderId="0" xfId="0" applyFont="1" applyAlignment="1"/>
    <xf numFmtId="3" fontId="0" fillId="0" borderId="0" xfId="0" applyNumberFormat="1" applyFont="1"/>
    <xf numFmtId="3" fontId="17" fillId="0" borderId="0" xfId="0" applyNumberFormat="1" applyFont="1"/>
    <xf numFmtId="0" fontId="3" fillId="8" borderId="0" xfId="0" applyFont="1" applyFill="1"/>
    <xf numFmtId="164" fontId="3" fillId="8" borderId="0" xfId="0" applyNumberFormat="1" applyFont="1" applyFill="1" applyAlignment="1"/>
    <xf numFmtId="0" fontId="8" fillId="8" borderId="0" xfId="0" applyFont="1" applyFill="1" applyAlignment="1">
      <alignment horizontal="right"/>
    </xf>
    <xf numFmtId="165" fontId="3" fillId="2" borderId="0" xfId="0" applyNumberFormat="1" applyFont="1" applyFill="1"/>
    <xf numFmtId="165" fontId="5" fillId="0" borderId="0" xfId="0" applyNumberFormat="1" applyFont="1"/>
    <xf numFmtId="165" fontId="3" fillId="0" borderId="0" xfId="0" applyNumberFormat="1" applyFont="1" applyAlignment="1">
      <alignment horizontal="right"/>
    </xf>
    <xf numFmtId="4" fontId="3" fillId="5" borderId="0" xfId="0" applyNumberFormat="1" applyFont="1" applyFill="1"/>
    <xf numFmtId="1" fontId="8" fillId="5" borderId="0" xfId="0" applyNumberFormat="1" applyFont="1" applyFill="1"/>
    <xf numFmtId="0" fontId="17" fillId="0" borderId="0" xfId="0" applyFont="1" applyAlignment="1">
      <alignment horizontal="left"/>
    </xf>
    <xf numFmtId="3" fontId="12" fillId="0" borderId="0" xfId="0" applyNumberFormat="1" applyFont="1"/>
    <xf numFmtId="165" fontId="17" fillId="0" borderId="0" xfId="0" applyNumberFormat="1" applyFont="1"/>
    <xf numFmtId="4" fontId="17" fillId="0" borderId="0" xfId="0" applyNumberFormat="1" applyFont="1"/>
    <xf numFmtId="0" fontId="20" fillId="7" borderId="0" xfId="0" applyFont="1" applyFill="1"/>
    <xf numFmtId="3" fontId="3" fillId="9" borderId="0" xfId="0" applyNumberFormat="1" applyFont="1" applyFill="1"/>
    <xf numFmtId="3" fontId="20" fillId="9" borderId="0" xfId="0" applyNumberFormat="1" applyFont="1" applyFill="1"/>
    <xf numFmtId="0" fontId="0" fillId="0" borderId="0" xfId="0" applyAlignment="1"/>
    <xf numFmtId="0" fontId="0" fillId="0" borderId="0" xfId="0" applyFont="1"/>
    <xf numFmtId="0" fontId="21" fillId="0" borderId="0" xfId="0" applyFont="1" applyAlignment="1">
      <alignment vertical="center"/>
    </xf>
    <xf numFmtId="165" fontId="3" fillId="10" borderId="7" xfId="0" applyNumberFormat="1" applyFont="1" applyFill="1" applyBorder="1"/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Border="1"/>
    <xf numFmtId="165" fontId="3" fillId="0" borderId="0" xfId="0" applyNumberFormat="1" applyFont="1" applyFill="1"/>
    <xf numFmtId="0" fontId="17" fillId="0" borderId="0" xfId="0" applyFont="1"/>
  </cellXfs>
  <cellStyles count="11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12" workbookViewId="0">
      <selection activeCell="K18" sqref="K18"/>
    </sheetView>
  </sheetViews>
  <sheetFormatPr baseColWidth="10" defaultRowHeight="15" x14ac:dyDescent="0"/>
  <cols>
    <col min="1" max="1" width="4.33203125" style="15" customWidth="1"/>
    <col min="2" max="2" width="12.83203125" style="15" customWidth="1"/>
    <col min="3" max="3" width="10.83203125" style="15"/>
    <col min="4" max="4" width="11.1640625" style="15" bestFit="1" customWidth="1"/>
    <col min="5" max="5" width="10.83203125" style="15"/>
    <col min="6" max="7" width="12.33203125" style="15" bestFit="1" customWidth="1"/>
    <col min="8" max="8" width="12.33203125" style="15" customWidth="1"/>
    <col min="9" max="10" width="10.83203125" style="15"/>
    <col min="11" max="11" width="11.83203125" style="15" customWidth="1"/>
    <col min="12" max="12" width="10.83203125" style="15"/>
    <col min="13" max="13" width="8.5" style="15" customWidth="1"/>
    <col min="14" max="14" width="14.83203125" style="15" customWidth="1"/>
    <col min="15" max="15" width="9" style="17" customWidth="1"/>
    <col min="16" max="16" width="13.33203125" style="15" customWidth="1"/>
    <col min="17" max="16384" width="10.83203125" style="15"/>
  </cols>
  <sheetData>
    <row r="1" spans="1:15" ht="18">
      <c r="B1" s="16" t="s">
        <v>144</v>
      </c>
      <c r="N1" s="15" t="s">
        <v>69</v>
      </c>
    </row>
    <row r="2" spans="1:15">
      <c r="B2" s="47"/>
      <c r="N2" s="15" t="s">
        <v>70</v>
      </c>
    </row>
    <row r="3" spans="1:15">
      <c r="A3" s="15" t="s">
        <v>63</v>
      </c>
      <c r="B3" s="47"/>
      <c r="N3" s="15" t="s">
        <v>71</v>
      </c>
    </row>
    <row r="4" spans="1:15">
      <c r="A4" s="15" t="s">
        <v>80</v>
      </c>
      <c r="B4" s="47"/>
      <c r="O4" s="17" t="s">
        <v>72</v>
      </c>
    </row>
    <row r="5" spans="1:15">
      <c r="A5" s="15" t="s">
        <v>64</v>
      </c>
      <c r="B5" s="47"/>
    </row>
    <row r="6" spans="1:15">
      <c r="A6" s="15" t="s">
        <v>79</v>
      </c>
      <c r="B6" s="47"/>
    </row>
    <row r="7" spans="1:15">
      <c r="A7" s="15" t="s">
        <v>78</v>
      </c>
    </row>
    <row r="8" spans="1:15">
      <c r="A8" s="15" t="s">
        <v>81</v>
      </c>
    </row>
    <row r="9" spans="1:15">
      <c r="A9" s="15" t="s">
        <v>82</v>
      </c>
    </row>
    <row r="10" spans="1:15" ht="15" customHeight="1">
      <c r="A10" s="15" t="s">
        <v>98</v>
      </c>
    </row>
    <row r="11" spans="1:15">
      <c r="A11" s="15" t="s">
        <v>99</v>
      </c>
    </row>
    <row r="12" spans="1:15">
      <c r="A12" s="15" t="s">
        <v>149</v>
      </c>
    </row>
    <row r="13" spans="1:15">
      <c r="A13" s="15" t="s">
        <v>146</v>
      </c>
    </row>
    <row r="14" spans="1:15">
      <c r="A14" s="15" t="s">
        <v>148</v>
      </c>
    </row>
    <row r="15" spans="1:15">
      <c r="A15" s="15" t="s">
        <v>147</v>
      </c>
    </row>
    <row r="17" spans="1:2">
      <c r="A17" s="15" t="s">
        <v>68</v>
      </c>
    </row>
    <row r="18" spans="1:2">
      <c r="A18" s="15" t="s">
        <v>97</v>
      </c>
    </row>
    <row r="19" spans="1:2">
      <c r="A19" s="15" t="s">
        <v>66</v>
      </c>
    </row>
    <row r="20" spans="1:2">
      <c r="A20" s="15" t="s">
        <v>67</v>
      </c>
    </row>
    <row r="21" spans="1:2">
      <c r="A21" s="15" t="s">
        <v>87</v>
      </c>
    </row>
    <row r="22" spans="1:2">
      <c r="A22" s="15" t="s">
        <v>145</v>
      </c>
    </row>
    <row r="24" spans="1:2" ht="17">
      <c r="A24" s="15" t="s">
        <v>86</v>
      </c>
    </row>
    <row r="25" spans="1:2">
      <c r="A25" s="15" t="s">
        <v>10</v>
      </c>
    </row>
    <row r="26" spans="1:2">
      <c r="B26" s="15" t="s">
        <v>8</v>
      </c>
    </row>
    <row r="27" spans="1:2">
      <c r="A27" s="15" t="s">
        <v>11</v>
      </c>
    </row>
    <row r="28" spans="1:2">
      <c r="B28" s="17" t="s">
        <v>160</v>
      </c>
    </row>
    <row r="29" spans="1:2">
      <c r="B29" s="15" t="s">
        <v>9</v>
      </c>
    </row>
    <row r="30" spans="1:2">
      <c r="B30" s="68" t="s">
        <v>106</v>
      </c>
    </row>
    <row r="33" spans="1:1">
      <c r="A33" s="87" t="s">
        <v>142</v>
      </c>
    </row>
    <row r="34" spans="1:1">
      <c r="A34" s="88" t="s">
        <v>140</v>
      </c>
    </row>
    <row r="35" spans="1:1">
      <c r="A35" s="87" t="s">
        <v>141</v>
      </c>
    </row>
    <row r="36" spans="1:1">
      <c r="A36" s="87" t="s">
        <v>143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sqref="A1:B3"/>
    </sheetView>
  </sheetViews>
  <sheetFormatPr baseColWidth="10" defaultRowHeight="15" x14ac:dyDescent="0"/>
  <cols>
    <col min="4" max="4" width="12" customWidth="1"/>
    <col min="6" max="6" width="10.83203125" customWidth="1"/>
    <col min="7" max="7" width="4.83203125" customWidth="1"/>
  </cols>
  <sheetData>
    <row r="1" spans="1:14">
      <c r="A1" s="67">
        <v>41518</v>
      </c>
    </row>
    <row r="2" spans="1:14" ht="20">
      <c r="B2" s="66" t="s">
        <v>100</v>
      </c>
    </row>
    <row r="3" spans="1:14" ht="20">
      <c r="B3" s="66" t="s">
        <v>101</v>
      </c>
    </row>
    <row r="4" spans="1:14" ht="20">
      <c r="A4" s="66"/>
    </row>
    <row r="5" spans="1:14">
      <c r="A5" t="s">
        <v>73</v>
      </c>
    </row>
    <row r="7" spans="1:14">
      <c r="A7" t="s">
        <v>77</v>
      </c>
      <c r="F7" t="s">
        <v>37</v>
      </c>
      <c r="H7" t="s">
        <v>89</v>
      </c>
      <c r="M7" t="s">
        <v>37</v>
      </c>
    </row>
    <row r="8" spans="1:14">
      <c r="E8" s="29" t="s">
        <v>85</v>
      </c>
      <c r="F8" t="s">
        <v>39</v>
      </c>
      <c r="L8" s="29" t="s">
        <v>85</v>
      </c>
      <c r="M8" s="29" t="s">
        <v>38</v>
      </c>
      <c r="N8" s="29" t="s">
        <v>49</v>
      </c>
    </row>
    <row r="9" spans="1:14">
      <c r="A9" s="24" t="s">
        <v>14</v>
      </c>
      <c r="B9" s="24" t="s">
        <v>83</v>
      </c>
      <c r="E9" s="50">
        <f>SUM(E10:E20)</f>
        <v>13795.452725362811</v>
      </c>
      <c r="H9" s="24" t="s">
        <v>14</v>
      </c>
      <c r="I9" s="24" t="s">
        <v>84</v>
      </c>
      <c r="L9" s="4">
        <f>SUM(L10:L14)+SUM(L18:L23)</f>
        <v>161859.50909360158</v>
      </c>
      <c r="M9" s="30">
        <f>SUM(M10:M23)</f>
        <v>100.00000000000001</v>
      </c>
      <c r="N9" s="30">
        <f>SUM(N10:N22)</f>
        <v>100.00000000000001</v>
      </c>
    </row>
    <row r="10" spans="1:14">
      <c r="A10" s="25" t="s">
        <v>15</v>
      </c>
      <c r="B10" s="26" t="s">
        <v>16</v>
      </c>
      <c r="E10" s="50">
        <v>613.87144256812326</v>
      </c>
      <c r="F10" s="27">
        <f>100*E10/E$9</f>
        <v>4.4498100554505635</v>
      </c>
      <c r="H10" s="25" t="s">
        <v>15</v>
      </c>
      <c r="I10" s="26" t="s">
        <v>16</v>
      </c>
      <c r="L10" s="51">
        <v>1878.4235524619555</v>
      </c>
      <c r="M10" s="28">
        <f t="shared" ref="M10:M23" si="0">100*L10/L$9</f>
        <v>1.1605271528259014</v>
      </c>
      <c r="N10" s="31">
        <f>100*L10/(L$9-L$23)</f>
        <v>1.2899760933776656</v>
      </c>
    </row>
    <row r="11" spans="1:14">
      <c r="A11" s="25" t="s">
        <v>17</v>
      </c>
      <c r="B11" s="26" t="s">
        <v>18</v>
      </c>
      <c r="E11" s="50">
        <v>3502.1229010025154</v>
      </c>
      <c r="F11" s="27">
        <f t="shared" ref="F11:F20" si="1">100*E11/E$9</f>
        <v>25.386067211581214</v>
      </c>
      <c r="H11" s="25" t="s">
        <v>40</v>
      </c>
      <c r="I11" s="26" t="s">
        <v>18</v>
      </c>
      <c r="L11" s="51">
        <v>8816.3896147853629</v>
      </c>
      <c r="M11" s="28">
        <f t="shared" si="0"/>
        <v>5.4469395490918862</v>
      </c>
      <c r="N11" s="31">
        <f>100*L11/(L$9-L$23)</f>
        <v>6.0545087491424994</v>
      </c>
    </row>
    <row r="12" spans="1:14">
      <c r="A12" s="25" t="s">
        <v>19</v>
      </c>
      <c r="B12" s="24" t="s">
        <v>20</v>
      </c>
      <c r="E12" s="50">
        <v>2221.457892282509</v>
      </c>
      <c r="F12" s="27">
        <f t="shared" si="1"/>
        <v>16.102827043859019</v>
      </c>
      <c r="H12" s="25" t="s">
        <v>19</v>
      </c>
      <c r="I12" s="24" t="s">
        <v>20</v>
      </c>
      <c r="L12" s="51">
        <v>24319.008653869379</v>
      </c>
      <c r="M12" s="28">
        <f t="shared" si="0"/>
        <v>15.024763629924246</v>
      </c>
      <c r="N12" s="31">
        <f>100*L12/(L$9-L$23)</f>
        <v>16.700674210041576</v>
      </c>
    </row>
    <row r="13" spans="1:14">
      <c r="A13" s="25" t="s">
        <v>21</v>
      </c>
      <c r="B13" s="24" t="s">
        <v>22</v>
      </c>
      <c r="E13" s="50">
        <v>1006.4232633190234</v>
      </c>
      <c r="F13" s="27">
        <f t="shared" si="1"/>
        <v>7.2953261002353598</v>
      </c>
      <c r="H13" s="25" t="s">
        <v>21</v>
      </c>
      <c r="I13" s="24" t="s">
        <v>22</v>
      </c>
      <c r="L13" s="51">
        <v>14413.417798957922</v>
      </c>
      <c r="M13" s="28">
        <f t="shared" si="0"/>
        <v>8.9048940526705795</v>
      </c>
      <c r="N13" s="31">
        <f>100*L13/(L$9-L$23)</f>
        <v>9.8981746476458881</v>
      </c>
    </row>
    <row r="14" spans="1:14">
      <c r="A14" s="25" t="s">
        <v>23</v>
      </c>
      <c r="B14" s="24" t="s">
        <v>24</v>
      </c>
      <c r="E14" s="50">
        <v>373.68641911311346</v>
      </c>
      <c r="F14" s="27">
        <f t="shared" si="1"/>
        <v>2.7087651746730605</v>
      </c>
      <c r="H14" s="25" t="s">
        <v>41</v>
      </c>
      <c r="I14" s="24" t="s">
        <v>42</v>
      </c>
      <c r="L14" s="52">
        <v>44474.734919777569</v>
      </c>
      <c r="M14" s="28">
        <f t="shared" si="0"/>
        <v>27.477369212863682</v>
      </c>
      <c r="N14" s="28">
        <f>100*L14/(L$9-L$23)</f>
        <v>30.542283571044546</v>
      </c>
    </row>
    <row r="15" spans="1:14">
      <c r="A15" s="25" t="s">
        <v>25</v>
      </c>
      <c r="B15" s="24" t="s">
        <v>26</v>
      </c>
      <c r="E15" s="50">
        <v>1261.8585121287699</v>
      </c>
      <c r="F15" s="27">
        <f t="shared" si="1"/>
        <v>9.1469162864720985</v>
      </c>
      <c r="H15" s="25" t="s">
        <v>43</v>
      </c>
      <c r="I15" s="24" t="s">
        <v>44</v>
      </c>
      <c r="L15" s="53" t="s">
        <v>50</v>
      </c>
      <c r="M15" s="28"/>
      <c r="N15" s="28"/>
    </row>
    <row r="16" spans="1:14">
      <c r="A16" s="25" t="s">
        <v>27</v>
      </c>
      <c r="B16" s="24" t="s">
        <v>28</v>
      </c>
      <c r="E16" s="50">
        <v>235.94180362566135</v>
      </c>
      <c r="F16" s="27">
        <f t="shared" si="1"/>
        <v>1.710286775814791</v>
      </c>
      <c r="H16" s="25" t="s">
        <v>45</v>
      </c>
      <c r="I16" s="24" t="s">
        <v>46</v>
      </c>
      <c r="L16" s="53" t="s">
        <v>51</v>
      </c>
      <c r="M16" s="28"/>
      <c r="N16" s="28"/>
    </row>
    <row r="17" spans="1:14">
      <c r="A17" s="24" t="s">
        <v>29</v>
      </c>
      <c r="B17" s="26" t="s">
        <v>30</v>
      </c>
      <c r="E17" s="50">
        <v>1139.8754213249404</v>
      </c>
      <c r="F17" s="27">
        <f t="shared" si="1"/>
        <v>8.2626894819427719</v>
      </c>
      <c r="H17" s="25" t="s">
        <v>47</v>
      </c>
      <c r="I17" s="24" t="s">
        <v>48</v>
      </c>
      <c r="L17" s="54" t="s">
        <v>52</v>
      </c>
      <c r="M17" s="28"/>
      <c r="N17" s="28"/>
    </row>
    <row r="18" spans="1:14">
      <c r="A18" s="24" t="s">
        <v>31</v>
      </c>
      <c r="B18" s="26" t="s">
        <v>32</v>
      </c>
      <c r="E18" s="50">
        <v>230.56324860782343</v>
      </c>
      <c r="F18" s="27">
        <f t="shared" si="1"/>
        <v>1.6712988924526921</v>
      </c>
      <c r="H18" s="25" t="s">
        <v>25</v>
      </c>
      <c r="I18" s="24" t="s">
        <v>26</v>
      </c>
      <c r="L18" s="51">
        <v>9914.4805205116027</v>
      </c>
      <c r="M18" s="28">
        <f t="shared" si="0"/>
        <v>6.1253617881530626</v>
      </c>
      <c r="N18" s="28">
        <f>100*L18/(L$9-L$23)</f>
        <v>6.8086043922075197</v>
      </c>
    </row>
    <row r="19" spans="1:14">
      <c r="A19" s="25" t="s">
        <v>33</v>
      </c>
      <c r="B19" s="24" t="s">
        <v>34</v>
      </c>
      <c r="E19" s="50">
        <v>672.59682139033032</v>
      </c>
      <c r="F19" s="27">
        <f t="shared" si="1"/>
        <v>4.8754965478861543</v>
      </c>
      <c r="H19" s="25" t="s">
        <v>27</v>
      </c>
      <c r="I19" s="24" t="s">
        <v>28</v>
      </c>
      <c r="L19" s="51">
        <v>415.55032600872619</v>
      </c>
      <c r="M19" s="28">
        <f t="shared" si="0"/>
        <v>0.25673519482158941</v>
      </c>
      <c r="N19" s="28">
        <f>100*L19/(L$9-L$23)</f>
        <v>0.28537226625165457</v>
      </c>
    </row>
    <row r="20" spans="1:14">
      <c r="A20" s="25" t="s">
        <v>35</v>
      </c>
      <c r="B20" s="24" t="s">
        <v>36</v>
      </c>
      <c r="E20" s="50">
        <v>2537.0550000000003</v>
      </c>
      <c r="F20" s="27">
        <f t="shared" si="1"/>
        <v>18.390516429632267</v>
      </c>
      <c r="H20" s="24" t="s">
        <v>29</v>
      </c>
      <c r="I20" s="26" t="s">
        <v>30</v>
      </c>
      <c r="L20" s="51">
        <v>32433.40982316939</v>
      </c>
      <c r="M20" s="28">
        <f t="shared" si="0"/>
        <v>20.038000859383249</v>
      </c>
      <c r="N20" s="31">
        <f>100*L20/(L$9-L$23)</f>
        <v>22.273104084418801</v>
      </c>
    </row>
    <row r="21" spans="1:14">
      <c r="H21" s="24" t="s">
        <v>31</v>
      </c>
      <c r="I21" s="26" t="s">
        <v>32</v>
      </c>
      <c r="L21" s="51">
        <v>2003.1246358252829</v>
      </c>
      <c r="M21" s="28">
        <f t="shared" si="0"/>
        <v>1.2375699438621786</v>
      </c>
      <c r="N21" s="31">
        <f>100*L21/(L$9-L$23)</f>
        <v>1.3756124857377139</v>
      </c>
    </row>
    <row r="22" spans="1:14">
      <c r="E22" s="27"/>
      <c r="F22" s="27"/>
      <c r="H22" s="25" t="s">
        <v>33</v>
      </c>
      <c r="I22" s="24" t="s">
        <v>34</v>
      </c>
      <c r="L22" s="51">
        <v>6948.3876391959402</v>
      </c>
      <c r="M22" s="28">
        <f t="shared" si="0"/>
        <v>4.2928510521910477</v>
      </c>
      <c r="N22" s="28">
        <f>100*L22/(L$9-L$23)</f>
        <v>4.7716895001321467</v>
      </c>
    </row>
    <row r="23" spans="1:14">
      <c r="H23" s="25" t="s">
        <v>35</v>
      </c>
      <c r="I23" s="24" t="s">
        <v>36</v>
      </c>
      <c r="L23" s="51">
        <v>16242.581609038461</v>
      </c>
      <c r="M23" s="28">
        <f t="shared" si="0"/>
        <v>10.034987564212589</v>
      </c>
      <c r="N23" s="28"/>
    </row>
    <row r="25" spans="1:14">
      <c r="L25" s="4" t="s">
        <v>90</v>
      </c>
    </row>
    <row r="26" spans="1:14">
      <c r="K26" s="29" t="s">
        <v>74</v>
      </c>
      <c r="L26" s="4">
        <f>L27-E19-L22</f>
        <v>149254.34074933967</v>
      </c>
    </row>
    <row r="27" spans="1:14">
      <c r="K27" s="29" t="s">
        <v>75</v>
      </c>
      <c r="L27" s="4">
        <f>E9+L9-E20-L23</f>
        <v>156875.32520992594</v>
      </c>
      <c r="M27" s="55" t="s">
        <v>91</v>
      </c>
    </row>
    <row r="28" spans="1:14">
      <c r="K28" s="48" t="s">
        <v>76</v>
      </c>
      <c r="L28" s="4">
        <f>E9+L9</f>
        <v>175654.9618189644</v>
      </c>
      <c r="M28" s="55" t="s">
        <v>92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7"/>
  <sheetViews>
    <sheetView topLeftCell="A2" workbookViewId="0">
      <selection activeCell="B38" sqref="B38"/>
    </sheetView>
  </sheetViews>
  <sheetFormatPr baseColWidth="10" defaultRowHeight="15" x14ac:dyDescent="0"/>
  <cols>
    <col min="1" max="1" width="14.6640625" style="1" customWidth="1"/>
    <col min="2" max="5" width="10.83203125" style="1"/>
    <col min="6" max="6" width="17" style="1" bestFit="1" customWidth="1"/>
    <col min="7" max="16384" width="10.83203125" style="1"/>
  </cols>
  <sheetData>
    <row r="4" spans="1:4" ht="17">
      <c r="A4" s="21" t="s">
        <v>53</v>
      </c>
    </row>
    <row r="8" spans="1:4">
      <c r="A8" s="1" t="s">
        <v>120</v>
      </c>
      <c r="B8" s="1" t="s">
        <v>117</v>
      </c>
    </row>
    <row r="9" spans="1:4">
      <c r="B9" s="1" t="s">
        <v>121</v>
      </c>
    </row>
    <row r="10" spans="1:4">
      <c r="B10" s="1" t="s">
        <v>123</v>
      </c>
    </row>
    <row r="11" spans="1:4">
      <c r="B11" s="1" t="s">
        <v>122</v>
      </c>
    </row>
    <row r="12" spans="1:4">
      <c r="D12" s="1" t="s">
        <v>118</v>
      </c>
    </row>
    <row r="13" spans="1:4">
      <c r="B13" s="1" t="s">
        <v>112</v>
      </c>
      <c r="C13" s="19">
        <v>21.240212402124019</v>
      </c>
      <c r="D13" s="19">
        <f>100*C13/C$18</f>
        <v>64.433784083757345</v>
      </c>
    </row>
    <row r="14" spans="1:4">
      <c r="B14" s="1" t="s">
        <v>113</v>
      </c>
      <c r="C14" s="19">
        <v>23.37214880061498</v>
      </c>
      <c r="D14" s="19">
        <f t="shared" ref="D14:D18" si="0">100*C14/C$18</f>
        <v>70.901173720921847</v>
      </c>
    </row>
    <row r="15" spans="1:4">
      <c r="B15" s="1" t="s">
        <v>114</v>
      </c>
      <c r="C15" s="19">
        <v>23.79689071104071</v>
      </c>
      <c r="D15" s="19">
        <f t="shared" si="0"/>
        <v>72.189660296741465</v>
      </c>
    </row>
    <row r="16" spans="1:4">
      <c r="B16" s="1" t="s">
        <v>115</v>
      </c>
      <c r="C16" s="19">
        <v>32.860179897608496</v>
      </c>
      <c r="D16" s="19">
        <f t="shared" si="0"/>
        <v>99.683830669423955</v>
      </c>
    </row>
    <row r="17" spans="1:4">
      <c r="B17" s="1" t="s">
        <v>116</v>
      </c>
      <c r="C17" s="19">
        <v>32.679297075142507</v>
      </c>
      <c r="D17" s="19">
        <f t="shared" si="0"/>
        <v>99.135109003812531</v>
      </c>
    </row>
    <row r="18" spans="1:4">
      <c r="B18" s="1">
        <v>1774</v>
      </c>
      <c r="C18" s="19">
        <v>32.96440323063117</v>
      </c>
      <c r="D18" s="19">
        <f t="shared" si="0"/>
        <v>100</v>
      </c>
    </row>
    <row r="21" spans="1:4">
      <c r="A21" s="1" t="s">
        <v>139</v>
      </c>
    </row>
    <row r="22" spans="1:4">
      <c r="B22" s="1" t="s">
        <v>150</v>
      </c>
    </row>
    <row r="23" spans="1:4">
      <c r="B23" s="15" t="s">
        <v>151</v>
      </c>
      <c r="C23" s="86"/>
    </row>
    <row r="24" spans="1:4">
      <c r="B24" s="15" t="s">
        <v>134</v>
      </c>
      <c r="C24" s="86"/>
    </row>
    <row r="25" spans="1:4">
      <c r="B25" s="15" t="s">
        <v>156</v>
      </c>
      <c r="C25" s="86"/>
    </row>
    <row r="26" spans="1:4">
      <c r="B26" s="15" t="s">
        <v>135</v>
      </c>
      <c r="C26" s="86"/>
    </row>
    <row r="27" spans="1:4">
      <c r="B27" s="15" t="s">
        <v>157</v>
      </c>
      <c r="C27" s="86"/>
    </row>
    <row r="28" spans="1:4">
      <c r="B28" s="15" t="s">
        <v>158</v>
      </c>
      <c r="C28" s="86"/>
    </row>
    <row r="29" spans="1:4">
      <c r="B29" s="15"/>
      <c r="C29" s="86"/>
    </row>
    <row r="30" spans="1:4">
      <c r="B30" s="15" t="s">
        <v>152</v>
      </c>
      <c r="C30" s="86"/>
    </row>
    <row r="31" spans="1:4">
      <c r="B31" s="15" t="s">
        <v>153</v>
      </c>
      <c r="C31" s="86"/>
    </row>
    <row r="32" spans="1:4">
      <c r="B32" s="15" t="s">
        <v>154</v>
      </c>
      <c r="C32" s="86"/>
    </row>
    <row r="33" spans="2:3">
      <c r="B33" s="15" t="s">
        <v>136</v>
      </c>
      <c r="C33" s="86"/>
    </row>
    <row r="34" spans="2:3">
      <c r="B34" s="15" t="s">
        <v>137</v>
      </c>
      <c r="C34" s="86"/>
    </row>
    <row r="35" spans="2:3">
      <c r="B35" s="15" t="s">
        <v>138</v>
      </c>
      <c r="C35" s="86"/>
    </row>
    <row r="36" spans="2:3">
      <c r="B36" s="15" t="s">
        <v>164</v>
      </c>
      <c r="C36" s="86"/>
    </row>
    <row r="37" spans="2:3">
      <c r="B37" s="15" t="s">
        <v>165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workbookViewId="0">
      <selection activeCell="A5" sqref="A5"/>
    </sheetView>
  </sheetViews>
  <sheetFormatPr baseColWidth="10" defaultRowHeight="15" x14ac:dyDescent="0"/>
  <cols>
    <col min="1" max="1" width="13" style="1" customWidth="1"/>
    <col min="2" max="2" width="10.83203125" style="5"/>
    <col min="3" max="5" width="14.33203125" style="5" customWidth="1"/>
    <col min="6" max="8" width="11.83203125" style="5" customWidth="1"/>
    <col min="9" max="9" width="3.83203125" style="13" customWidth="1"/>
    <col min="10" max="10" width="12.5" style="13" customWidth="1"/>
    <col min="11" max="11" width="11.33203125" style="5" customWidth="1"/>
    <col min="12" max="12" width="13" style="5" customWidth="1"/>
    <col min="13" max="13" width="13.6640625" style="5" customWidth="1"/>
    <col min="14" max="14" width="9.83203125" style="5" customWidth="1"/>
    <col min="15" max="15" width="10.6640625" style="5" customWidth="1"/>
    <col min="16" max="16" width="11.6640625" style="5" customWidth="1"/>
    <col min="17" max="17" width="10.83203125" style="5"/>
    <col min="18" max="18" width="10.83203125" style="1"/>
    <col min="19" max="19" width="10.83203125" style="1" customWidth="1"/>
    <col min="20" max="20" width="15.83203125" style="1" customWidth="1"/>
    <col min="21" max="16384" width="10.83203125" style="1"/>
  </cols>
  <sheetData>
    <row r="1" spans="1:22" ht="18">
      <c r="A1" s="93" t="s">
        <v>161</v>
      </c>
      <c r="B1" s="7" t="s">
        <v>105</v>
      </c>
      <c r="C1" s="7"/>
    </row>
    <row r="2" spans="1:22" ht="18">
      <c r="A2" s="93" t="s">
        <v>162</v>
      </c>
      <c r="C2" s="70" t="s">
        <v>111</v>
      </c>
      <c r="D2" s="7"/>
      <c r="K2" s="13"/>
      <c r="L2" s="13"/>
      <c r="M2" s="13"/>
      <c r="N2" s="3"/>
      <c r="O2" s="1"/>
      <c r="P2" s="3"/>
      <c r="Q2" s="3"/>
      <c r="R2" s="3"/>
      <c r="T2"/>
      <c r="U2"/>
    </row>
    <row r="3" spans="1:22" ht="17">
      <c r="H3" s="61"/>
      <c r="J3" s="6" t="s">
        <v>65</v>
      </c>
      <c r="L3" s="6"/>
      <c r="O3" s="1"/>
      <c r="R3" s="5"/>
      <c r="S3"/>
      <c r="T3"/>
      <c r="U3"/>
    </row>
    <row r="4" spans="1:22">
      <c r="C4" s="41"/>
      <c r="D4" s="42" t="s">
        <v>62</v>
      </c>
      <c r="E4" s="42"/>
      <c r="F4" s="42"/>
      <c r="G4" s="42"/>
      <c r="H4" s="42"/>
      <c r="K4" s="1" t="s">
        <v>159</v>
      </c>
      <c r="L4" s="1"/>
      <c r="M4" s="1"/>
      <c r="N4" s="1"/>
      <c r="O4" s="1"/>
      <c r="P4" s="1"/>
      <c r="Q4" s="1"/>
      <c r="T4"/>
    </row>
    <row r="5" spans="1:22">
      <c r="C5" s="43" t="s">
        <v>59</v>
      </c>
      <c r="D5" s="44" t="s">
        <v>95</v>
      </c>
      <c r="E5" s="44" t="s">
        <v>3</v>
      </c>
      <c r="F5" s="44" t="s">
        <v>7</v>
      </c>
      <c r="G5" s="43" t="s">
        <v>124</v>
      </c>
      <c r="H5" s="43" t="s">
        <v>125</v>
      </c>
      <c r="K5" s="38">
        <v>1774</v>
      </c>
      <c r="L5" s="38" t="s">
        <v>95</v>
      </c>
      <c r="M5" s="38" t="s">
        <v>3</v>
      </c>
      <c r="N5" s="38" t="s">
        <v>7</v>
      </c>
      <c r="O5" s="38" t="s">
        <v>124</v>
      </c>
      <c r="P5" s="38" t="s">
        <v>125</v>
      </c>
      <c r="Q5" s="1" t="s">
        <v>88</v>
      </c>
      <c r="T5"/>
    </row>
    <row r="6" spans="1:22">
      <c r="C6" s="45">
        <f>H24</f>
        <v>16.524882298385734</v>
      </c>
      <c r="D6" s="45">
        <f>P33</f>
        <v>17.721297447795948</v>
      </c>
      <c r="E6" s="45">
        <f>P42</f>
        <v>17.655465153438755</v>
      </c>
      <c r="F6" s="45">
        <f>P51</f>
        <v>18.712137035517419</v>
      </c>
      <c r="G6" s="45">
        <f>P61</f>
        <v>22.141123506341529</v>
      </c>
      <c r="H6" s="45">
        <f>P70</f>
        <v>25.563466860937048</v>
      </c>
      <c r="K6" s="36">
        <v>100</v>
      </c>
      <c r="L6" s="36">
        <v>113.53255232548747</v>
      </c>
      <c r="M6" s="36">
        <v>98.902591129203017</v>
      </c>
      <c r="N6" s="36">
        <v>98.631968721714287</v>
      </c>
      <c r="O6" s="36">
        <v>113.37922233845495</v>
      </c>
      <c r="P6" s="36">
        <v>113.59256523443298</v>
      </c>
      <c r="Q6" s="2" t="s">
        <v>127</v>
      </c>
      <c r="R6" s="32"/>
      <c r="S6" s="32"/>
      <c r="T6"/>
    </row>
    <row r="7" spans="1:22">
      <c r="C7" s="41"/>
      <c r="D7" s="42"/>
      <c r="E7" s="42"/>
      <c r="F7" s="42"/>
      <c r="G7" s="42"/>
      <c r="H7" s="42"/>
      <c r="K7" s="1" t="s">
        <v>126</v>
      </c>
      <c r="L7" s="1"/>
      <c r="M7" s="32"/>
      <c r="N7" s="32"/>
      <c r="O7" s="13"/>
      <c r="P7" s="13"/>
      <c r="Q7" s="13"/>
      <c r="R7" s="13"/>
      <c r="S7" s="13"/>
      <c r="T7" s="13"/>
      <c r="U7" s="13"/>
      <c r="V7" s="13"/>
    </row>
    <row r="8" spans="1:22">
      <c r="C8" s="41"/>
      <c r="D8" s="42" t="s">
        <v>60</v>
      </c>
      <c r="E8" s="42"/>
      <c r="F8" s="42"/>
      <c r="G8" s="42"/>
      <c r="H8" s="42"/>
      <c r="J8" s="36"/>
      <c r="K8" s="38">
        <v>1774</v>
      </c>
      <c r="L8" s="38" t="s">
        <v>95</v>
      </c>
      <c r="M8" s="38" t="s">
        <v>3</v>
      </c>
      <c r="N8" s="38" t="s">
        <v>7</v>
      </c>
      <c r="O8" s="38" t="s">
        <v>124</v>
      </c>
      <c r="P8" s="38" t="s">
        <v>125</v>
      </c>
      <c r="Q8" s="38"/>
      <c r="R8" s="13"/>
      <c r="S8" s="13"/>
      <c r="T8" s="13"/>
      <c r="U8" s="13"/>
      <c r="V8" s="13"/>
    </row>
    <row r="9" spans="1:22">
      <c r="C9" s="41" t="s">
        <v>61</v>
      </c>
      <c r="D9" s="58">
        <v>1770</v>
      </c>
      <c r="E9" s="58">
        <v>1750</v>
      </c>
      <c r="F9" s="58">
        <v>1725</v>
      </c>
      <c r="G9" s="78">
        <v>1700</v>
      </c>
      <c r="H9" s="78">
        <v>1675</v>
      </c>
      <c r="K9" s="19">
        <v>100</v>
      </c>
      <c r="L9" s="19">
        <v>99.135109003812531</v>
      </c>
      <c r="M9" s="19">
        <v>99.683830669423955</v>
      </c>
      <c r="N9" s="19">
        <v>72.189660296741465</v>
      </c>
      <c r="O9" s="19">
        <v>70.901173720921847</v>
      </c>
      <c r="P9" s="19">
        <v>64.433784083757345</v>
      </c>
      <c r="Q9" s="5" t="s">
        <v>119</v>
      </c>
      <c r="R9" s="13"/>
      <c r="S9" s="13"/>
      <c r="T9" s="13"/>
      <c r="U9" s="13"/>
      <c r="V9" s="13"/>
    </row>
    <row r="10" spans="1:22">
      <c r="C10" s="46">
        <v>1774</v>
      </c>
      <c r="D10" s="62">
        <f>100*((EXP(LN($C6/D6)/($C10-D$9))-1))</f>
        <v>-1.7323172866374303</v>
      </c>
      <c r="E10" s="62">
        <f>100*((EXP(LN($C6/E6)/($C10-E$9))-1))</f>
        <v>-0.2753623172203401</v>
      </c>
      <c r="F10" s="62">
        <f>100*((EXP(LN($C6/F6)/($C10-F$9))-1))</f>
        <v>-0.25336235072788149</v>
      </c>
      <c r="G10" s="62">
        <f>100*((EXP(LN($C6/G6)/($C10-G$9))-1))</f>
        <v>-0.39458353076027297</v>
      </c>
      <c r="H10" s="62">
        <f>100*((EXP(LN($C6/H6)/($C10-H$9))-1))</f>
        <v>-0.43973435852507903</v>
      </c>
      <c r="K10" s="71" t="s">
        <v>93</v>
      </c>
      <c r="L10" s="71"/>
      <c r="M10" s="72"/>
      <c r="N10" s="72"/>
      <c r="O10" s="71"/>
      <c r="P10" s="73"/>
      <c r="Q10" s="38"/>
      <c r="R10" s="5"/>
      <c r="S10" s="5"/>
      <c r="T10"/>
    </row>
    <row r="11" spans="1:22">
      <c r="C11" s="41">
        <v>1770</v>
      </c>
      <c r="D11" s="63"/>
      <c r="E11" s="62">
        <f>100*((EXP(LN($D6/E6)/($C11-E9))-1))</f>
        <v>1.8610661699014486E-2</v>
      </c>
      <c r="F11" s="62">
        <f>100*((EXP(LN($D6/F6)/($C11-F9))-1))</f>
        <v>-0.12082736879285294</v>
      </c>
      <c r="G11" s="62">
        <f t="shared" ref="G11:H11" si="0">100*((EXP(LN($D6/G6)/($C11-G9))-1))</f>
        <v>-0.31759389969536755</v>
      </c>
      <c r="H11" s="62">
        <f t="shared" si="0"/>
        <v>-0.38493835770138096</v>
      </c>
      <c r="K11" s="73">
        <v>1774</v>
      </c>
      <c r="L11" s="73" t="s">
        <v>95</v>
      </c>
      <c r="M11" s="73" t="s">
        <v>3</v>
      </c>
      <c r="N11" s="73" t="s">
        <v>7</v>
      </c>
      <c r="O11" s="73" t="s">
        <v>124</v>
      </c>
      <c r="P11" s="73" t="s">
        <v>125</v>
      </c>
      <c r="Q11" s="38"/>
      <c r="R11" s="5"/>
      <c r="S11" s="5"/>
      <c r="T11"/>
    </row>
    <row r="12" spans="1:22">
      <c r="C12" s="41">
        <v>1750</v>
      </c>
      <c r="D12" s="63"/>
      <c r="E12" s="63"/>
      <c r="F12" s="62">
        <f>100*((EXP(LN($E6/F6)/($C12-F9))-1))</f>
        <v>-0.23223781687730094</v>
      </c>
      <c r="G12" s="62">
        <f>100*((EXP(LN($E6/G6)/($C12-G9))-1))</f>
        <v>-0.45175907630318202</v>
      </c>
      <c r="H12" s="62">
        <f t="shared" ref="H12" si="1">100*((EXP(LN($E6/H6)/($C12-H9))-1))</f>
        <v>-0.49227617041724958</v>
      </c>
      <c r="K12" s="13"/>
      <c r="L12" s="13"/>
      <c r="M12" s="13"/>
      <c r="N12" s="13"/>
      <c r="O12" s="13"/>
      <c r="P12" s="13"/>
      <c r="Q12" s="13"/>
      <c r="R12" s="5"/>
      <c r="S12" s="5"/>
      <c r="T12"/>
    </row>
    <row r="13" spans="1:22">
      <c r="B13" s="1"/>
      <c r="C13" s="46">
        <v>1725</v>
      </c>
      <c r="D13" s="42"/>
      <c r="E13" s="42"/>
      <c r="F13" s="42"/>
      <c r="G13" s="62">
        <f>100*((EXP(LN($E6/G6)/($C13-G9))-1))</f>
        <v>-0.90147728997614918</v>
      </c>
      <c r="H13" s="62">
        <f>100*((EXP(LN($E6/H6)/($C13-H9))-1))</f>
        <v>-0.737504749290252</v>
      </c>
      <c r="J13" s="35" t="s">
        <v>54</v>
      </c>
      <c r="K13" s="19">
        <v>100</v>
      </c>
      <c r="L13" s="36">
        <v>103.66715049492558</v>
      </c>
      <c r="M13" s="36">
        <v>90.645193576174989</v>
      </c>
      <c r="N13" s="36">
        <v>85.292449613211815</v>
      </c>
      <c r="O13" s="36">
        <v>82.860985535450396</v>
      </c>
      <c r="P13" s="36">
        <v>71.902903967424649</v>
      </c>
      <c r="Q13" s="5" t="s">
        <v>55</v>
      </c>
      <c r="R13" s="13"/>
      <c r="S13" s="5"/>
      <c r="T13"/>
    </row>
    <row r="14" spans="1:22">
      <c r="A14" s="49"/>
      <c r="B14" s="13"/>
      <c r="C14" s="46">
        <v>1700</v>
      </c>
      <c r="D14" s="42"/>
      <c r="E14" s="42"/>
      <c r="F14" s="42"/>
      <c r="G14" s="77"/>
      <c r="H14" s="62">
        <f>100*((EXP(LN($E6/H6)/($C14-H9))-1))</f>
        <v>-1.46957036602825</v>
      </c>
      <c r="K14" s="13"/>
      <c r="L14" s="13"/>
      <c r="M14" s="13"/>
      <c r="N14" s="13"/>
      <c r="O14" s="13"/>
      <c r="P14" s="13"/>
      <c r="R14" s="5"/>
      <c r="S14" s="5"/>
      <c r="T14"/>
    </row>
    <row r="15" spans="1:22">
      <c r="K15" s="13"/>
      <c r="L15" s="13"/>
      <c r="M15" s="13"/>
      <c r="N15" s="13"/>
      <c r="O15" s="13"/>
      <c r="P15" s="13"/>
    </row>
    <row r="16" spans="1:22" ht="18">
      <c r="A16" s="83" t="s">
        <v>132</v>
      </c>
      <c r="B16" s="59"/>
      <c r="C16" s="59"/>
      <c r="D16" s="59"/>
      <c r="E16" s="59"/>
      <c r="F16" s="59"/>
      <c r="G16" s="59"/>
      <c r="H16" s="59"/>
      <c r="K16" s="13"/>
      <c r="L16" s="13"/>
      <c r="M16" s="13"/>
      <c r="N16" s="13"/>
      <c r="O16" s="13"/>
      <c r="P16" s="13"/>
    </row>
    <row r="17" spans="1:16">
      <c r="C17" s="60" t="s">
        <v>167</v>
      </c>
      <c r="D17" s="59"/>
      <c r="E17" s="59"/>
      <c r="F17" s="59"/>
      <c r="G17" s="59"/>
      <c r="H17" s="59"/>
      <c r="K17" s="60" t="s">
        <v>167</v>
      </c>
      <c r="L17" s="59"/>
      <c r="M17" s="59"/>
      <c r="N17" s="59"/>
      <c r="O17" s="59"/>
      <c r="P17" s="59"/>
    </row>
    <row r="18" spans="1:16" ht="17">
      <c r="C18" s="8" t="s">
        <v>166</v>
      </c>
      <c r="D18" s="12"/>
      <c r="E18" s="12"/>
      <c r="F18" s="9"/>
      <c r="G18" s="9"/>
      <c r="H18" s="10"/>
      <c r="K18" s="8" t="s">
        <v>166</v>
      </c>
      <c r="L18" s="12"/>
      <c r="M18" s="12"/>
      <c r="N18" s="13"/>
      <c r="O18" s="13"/>
      <c r="P18" s="13"/>
    </row>
    <row r="19" spans="1:16" ht="17">
      <c r="C19" s="6" t="s">
        <v>12</v>
      </c>
      <c r="F19" s="6" t="s">
        <v>13</v>
      </c>
      <c r="I19" s="34"/>
      <c r="K19" s="6" t="s">
        <v>12</v>
      </c>
      <c r="N19" s="13"/>
      <c r="O19" s="13"/>
      <c r="P19" s="13"/>
    </row>
    <row r="20" spans="1:16">
      <c r="B20" s="14">
        <v>1774</v>
      </c>
      <c r="C20" s="11" t="s">
        <v>5</v>
      </c>
      <c r="D20" s="11" t="s">
        <v>6</v>
      </c>
      <c r="E20" s="11" t="s">
        <v>0</v>
      </c>
      <c r="F20" s="11" t="s">
        <v>5</v>
      </c>
      <c r="G20" s="11" t="s">
        <v>6</v>
      </c>
      <c r="H20" s="11" t="s">
        <v>0</v>
      </c>
      <c r="K20" s="11" t="s">
        <v>5</v>
      </c>
      <c r="L20" s="11" t="s">
        <v>6</v>
      </c>
      <c r="M20" s="11" t="s">
        <v>0</v>
      </c>
      <c r="N20" s="13"/>
      <c r="O20" s="13"/>
      <c r="P20" s="13"/>
    </row>
    <row r="21" spans="1:16">
      <c r="B21" s="11" t="s">
        <v>1</v>
      </c>
      <c r="C21" s="11" t="s">
        <v>2</v>
      </c>
      <c r="D21" s="11" t="s">
        <v>2</v>
      </c>
      <c r="E21" s="11" t="s">
        <v>2</v>
      </c>
      <c r="F21" s="11" t="s">
        <v>2</v>
      </c>
      <c r="G21" s="11" t="s">
        <v>2</v>
      </c>
      <c r="H21" s="11" t="s">
        <v>2</v>
      </c>
      <c r="I21" s="35"/>
      <c r="K21" s="11" t="s">
        <v>2</v>
      </c>
      <c r="L21" s="11" t="s">
        <v>2</v>
      </c>
      <c r="M21" s="11" t="s">
        <v>2</v>
      </c>
      <c r="N21" s="13"/>
      <c r="O21" s="13"/>
      <c r="P21" s="13"/>
    </row>
    <row r="22" spans="1:16">
      <c r="A22" s="2" t="s">
        <v>102</v>
      </c>
      <c r="B22" s="69">
        <v>449792.73405345611</v>
      </c>
      <c r="C22" s="5">
        <f>K22/4.44</f>
        <v>7278279.1866441034</v>
      </c>
      <c r="D22" s="5">
        <f t="shared" ref="D22:E22" si="2">L22/4.44</f>
        <v>2355092.1681432161</v>
      </c>
      <c r="E22" s="5">
        <f t="shared" si="2"/>
        <v>9633371.3547873199</v>
      </c>
      <c r="F22" s="18">
        <f>C22/$B22</f>
        <v>16.181406758293939</v>
      </c>
      <c r="G22" s="18">
        <f t="shared" ref="G22:H22" si="3">D22/$B22</f>
        <v>5.2359497827355357</v>
      </c>
      <c r="H22" s="18">
        <f t="shared" si="3"/>
        <v>21.417356541029477</v>
      </c>
      <c r="I22" s="5"/>
      <c r="J22" s="5"/>
      <c r="K22" s="5">
        <v>32315559.588699821</v>
      </c>
      <c r="L22" s="5">
        <v>10456609.22655588</v>
      </c>
      <c r="M22" s="5">
        <f>K22+L22</f>
        <v>42772168.815255702</v>
      </c>
    </row>
    <row r="23" spans="1:16">
      <c r="A23" s="2" t="s">
        <v>103</v>
      </c>
      <c r="B23" s="69">
        <v>250431.21939374332</v>
      </c>
      <c r="C23" s="5">
        <f t="shared" ref="C23:C24" si="4">K23/4.44</f>
        <v>1937747.0584379835</v>
      </c>
      <c r="D23" s="5">
        <f t="shared" ref="D23:D24" si="5">L23/4.44</f>
        <v>0</v>
      </c>
      <c r="E23" s="5">
        <f t="shared" ref="E23:E24" si="6">M23/4.44</f>
        <v>1937747.0584379835</v>
      </c>
      <c r="F23" s="18">
        <f t="shared" ref="F23:F24" si="7">C23/$B23</f>
        <v>7.7376417490158795</v>
      </c>
      <c r="G23" s="5">
        <f t="shared" ref="G23:G24" si="8">D23/$B23</f>
        <v>0</v>
      </c>
      <c r="H23" s="18">
        <f t="shared" ref="H23:H24" si="9">E23/$B23</f>
        <v>7.7376417490158795</v>
      </c>
      <c r="I23" s="36"/>
      <c r="K23" s="5">
        <f>K24-K22</f>
        <v>8603596.9394646473</v>
      </c>
      <c r="L23" s="5">
        <v>0</v>
      </c>
      <c r="M23" s="5">
        <f t="shared" ref="M23:M24" si="10">K23+L23</f>
        <v>8603596.9394646473</v>
      </c>
    </row>
    <row r="24" spans="1:16">
      <c r="A24" s="2" t="s">
        <v>104</v>
      </c>
      <c r="B24" s="69">
        <v>700223.95344719943</v>
      </c>
      <c r="C24" s="5">
        <f t="shared" si="4"/>
        <v>9216026.245082086</v>
      </c>
      <c r="D24" s="5">
        <f t="shared" si="5"/>
        <v>2355092.1681432161</v>
      </c>
      <c r="E24" s="5">
        <f t="shared" si="6"/>
        <v>11571118.413225302</v>
      </c>
      <c r="F24" s="18">
        <f t="shared" si="7"/>
        <v>13.161540960876344</v>
      </c>
      <c r="G24" s="18">
        <f t="shared" si="8"/>
        <v>3.3633413375093895</v>
      </c>
      <c r="H24" s="18">
        <f t="shared" si="9"/>
        <v>16.524882298385734</v>
      </c>
      <c r="K24" s="5">
        <v>40919156.528164469</v>
      </c>
      <c r="L24" s="5">
        <v>10456609.22655588</v>
      </c>
      <c r="M24" s="5">
        <f t="shared" si="10"/>
        <v>51375765.754720345</v>
      </c>
    </row>
    <row r="25" spans="1:16">
      <c r="A25" s="2"/>
      <c r="B25" s="69"/>
      <c r="F25" s="18"/>
      <c r="G25" s="18"/>
      <c r="H25" s="18"/>
    </row>
    <row r="26" spans="1:16" ht="18">
      <c r="A26" s="2"/>
      <c r="E26" s="20"/>
      <c r="F26" s="20"/>
      <c r="K26" s="85" t="s">
        <v>133</v>
      </c>
      <c r="L26" s="84"/>
      <c r="M26" s="84"/>
      <c r="N26" s="84"/>
      <c r="O26" s="84"/>
      <c r="P26" s="84"/>
    </row>
    <row r="27" spans="1:16" ht="17">
      <c r="A27" s="2"/>
      <c r="B27" s="13"/>
      <c r="C27" s="22" t="s">
        <v>163</v>
      </c>
      <c r="D27" s="23"/>
      <c r="E27" s="23"/>
      <c r="F27" s="23"/>
      <c r="G27" s="23"/>
      <c r="H27" s="23"/>
      <c r="K27" s="39" t="s">
        <v>94</v>
      </c>
      <c r="L27" s="40"/>
      <c r="M27" s="40"/>
      <c r="N27" s="40"/>
      <c r="O27" s="40"/>
      <c r="P27" s="84"/>
    </row>
    <row r="28" spans="1:16" ht="17">
      <c r="A28" s="2"/>
      <c r="B28" s="13"/>
      <c r="C28" s="6" t="s">
        <v>12</v>
      </c>
      <c r="F28" s="6" t="s">
        <v>13</v>
      </c>
      <c r="K28" s="6" t="s">
        <v>12</v>
      </c>
      <c r="N28" s="6" t="s">
        <v>13</v>
      </c>
    </row>
    <row r="29" spans="1:16">
      <c r="A29" s="2"/>
      <c r="B29" s="64">
        <v>1770</v>
      </c>
      <c r="C29" s="11" t="s">
        <v>128</v>
      </c>
      <c r="D29" s="11" t="s">
        <v>129</v>
      </c>
      <c r="E29" s="11" t="s">
        <v>0</v>
      </c>
      <c r="F29" s="11" t="s">
        <v>128</v>
      </c>
      <c r="G29" s="11"/>
      <c r="H29" s="11" t="s">
        <v>0</v>
      </c>
      <c r="K29" s="11" t="s">
        <v>5</v>
      </c>
      <c r="L29" s="11" t="s">
        <v>6</v>
      </c>
      <c r="M29" s="11" t="s">
        <v>0</v>
      </c>
      <c r="N29" s="11" t="s">
        <v>5</v>
      </c>
      <c r="O29" s="11" t="s">
        <v>6</v>
      </c>
      <c r="P29" s="11" t="s">
        <v>0</v>
      </c>
    </row>
    <row r="30" spans="1:16">
      <c r="A30" s="2"/>
      <c r="B30" s="65" t="s">
        <v>1</v>
      </c>
      <c r="C30" s="11" t="s">
        <v>2</v>
      </c>
      <c r="D30" s="11" t="s">
        <v>130</v>
      </c>
      <c r="E30" s="11" t="s">
        <v>2</v>
      </c>
      <c r="F30" s="11" t="s">
        <v>2</v>
      </c>
      <c r="G30" s="11"/>
      <c r="H30" s="11" t="s">
        <v>2</v>
      </c>
      <c r="K30" s="11" t="s">
        <v>2</v>
      </c>
      <c r="L30" s="11" t="s">
        <v>2</v>
      </c>
      <c r="M30" s="11" t="s">
        <v>2</v>
      </c>
      <c r="N30" s="11" t="s">
        <v>2</v>
      </c>
      <c r="O30" s="11" t="s">
        <v>2</v>
      </c>
      <c r="P30" s="11" t="s">
        <v>2</v>
      </c>
    </row>
    <row r="31" spans="1:16">
      <c r="A31" s="90" t="s">
        <v>102</v>
      </c>
      <c r="B31" s="13">
        <v>398192</v>
      </c>
      <c r="C31" s="13">
        <f>C33</f>
        <v>11934183.7634825</v>
      </c>
      <c r="D31" s="13"/>
      <c r="E31" s="34">
        <f>C31+D31</f>
        <v>11934183.7634825</v>
      </c>
      <c r="F31" s="91">
        <f>C31/B31</f>
        <v>29.970928003281081</v>
      </c>
      <c r="G31" s="37"/>
      <c r="H31" s="92">
        <f>F31+G31</f>
        <v>29.970928003281081</v>
      </c>
      <c r="J31" s="2" t="s">
        <v>102</v>
      </c>
      <c r="K31" s="5">
        <f>100*C31/$M$13</f>
        <v>13165820.814816216</v>
      </c>
      <c r="L31" s="13"/>
      <c r="M31" s="5">
        <f>K31+L31</f>
        <v>13165820.814816216</v>
      </c>
      <c r="N31" s="20">
        <f>100*F31/$M$13</f>
        <v>33.064001323020598</v>
      </c>
      <c r="O31" s="20"/>
      <c r="P31" s="20">
        <f>N31+O31</f>
        <v>33.064001323020598</v>
      </c>
    </row>
    <row r="32" spans="1:16" ht="16" thickBot="1">
      <c r="A32" s="90" t="s">
        <v>103</v>
      </c>
      <c r="B32" s="13">
        <v>251423</v>
      </c>
      <c r="C32" s="13">
        <f>F32*$B32</f>
        <v>1928595.3295183366</v>
      </c>
      <c r="D32" s="13"/>
      <c r="E32" s="13">
        <f>C32+D32</f>
        <v>1928595.3295183366</v>
      </c>
      <c r="F32" s="92">
        <f>F23*L9/100</f>
        <v>7.6707195822113992</v>
      </c>
      <c r="G32" s="37"/>
      <c r="H32" s="92">
        <f>F32+G32</f>
        <v>7.6707195822113992</v>
      </c>
      <c r="J32" s="2" t="s">
        <v>103</v>
      </c>
      <c r="K32" s="5">
        <f>100*C32/$M$13</f>
        <v>2127631.1003711564</v>
      </c>
      <c r="L32" s="13"/>
      <c r="M32" s="5">
        <f>K32+L32</f>
        <v>2127631.1003711564</v>
      </c>
      <c r="N32" s="20">
        <f>100*F32/$M$13</f>
        <v>8.4623566673341593</v>
      </c>
      <c r="O32" s="20"/>
      <c r="P32" s="20">
        <f>N32+O32</f>
        <v>8.4623566673341593</v>
      </c>
    </row>
    <row r="33" spans="1:18" ht="16" thickBot="1">
      <c r="A33" s="90" t="s">
        <v>155</v>
      </c>
      <c r="B33" s="13">
        <v>649615</v>
      </c>
      <c r="C33" s="13">
        <f>F33*B33</f>
        <v>11934183.7634825</v>
      </c>
      <c r="D33" s="13"/>
      <c r="E33" s="34">
        <f>E31</f>
        <v>11934183.7634825</v>
      </c>
      <c r="F33" s="89">
        <f>F$22*L6/100</f>
        <v>18.371164094860031</v>
      </c>
      <c r="G33" s="37"/>
      <c r="H33" s="92">
        <f>F33+G33</f>
        <v>18.371164094860031</v>
      </c>
      <c r="J33" s="2" t="s">
        <v>155</v>
      </c>
      <c r="K33" s="5">
        <f>100*C33/$L$13</f>
        <v>11512020.641549965</v>
      </c>
      <c r="L33" s="13"/>
      <c r="M33" s="5">
        <f>M31</f>
        <v>13165820.814816216</v>
      </c>
      <c r="N33" s="20">
        <f>100*F33/$L$13</f>
        <v>17.721297447795948</v>
      </c>
      <c r="O33" s="20"/>
      <c r="P33" s="20">
        <f>N33+O33</f>
        <v>17.721297447795948</v>
      </c>
    </row>
    <row r="34" spans="1:18">
      <c r="A34" s="79"/>
      <c r="B34" s="80" t="s">
        <v>131</v>
      </c>
      <c r="C34" s="70"/>
      <c r="D34" s="70"/>
      <c r="E34" s="70"/>
      <c r="F34" s="81"/>
      <c r="G34" s="82"/>
      <c r="H34" s="81"/>
      <c r="J34" s="79"/>
      <c r="K34" s="80" t="s">
        <v>131</v>
      </c>
      <c r="L34" s="70"/>
      <c r="M34" s="70"/>
      <c r="N34" s="70"/>
      <c r="O34" s="81"/>
      <c r="P34" s="82"/>
      <c r="Q34" s="81"/>
    </row>
    <row r="35" spans="1:18">
      <c r="A35" s="2"/>
      <c r="C35" s="56"/>
      <c r="D35" s="57"/>
      <c r="E35" s="20"/>
      <c r="F35" s="19"/>
      <c r="H35" s="19"/>
    </row>
    <row r="36" spans="1:18" ht="17">
      <c r="B36" s="1"/>
      <c r="C36" s="22" t="s">
        <v>56</v>
      </c>
      <c r="D36" s="23"/>
      <c r="E36" s="23"/>
      <c r="F36" s="74"/>
      <c r="G36" s="23"/>
      <c r="H36" s="74"/>
      <c r="J36" s="37"/>
      <c r="K36" s="39" t="s">
        <v>96</v>
      </c>
      <c r="L36" s="40"/>
      <c r="M36" s="40"/>
      <c r="N36" s="40"/>
      <c r="O36" s="40"/>
      <c r="P36" s="40"/>
      <c r="R36" s="5"/>
    </row>
    <row r="37" spans="1:18" ht="17">
      <c r="B37" s="1"/>
      <c r="C37" s="6" t="s">
        <v>12</v>
      </c>
      <c r="F37" s="75" t="s">
        <v>13</v>
      </c>
      <c r="H37" s="19"/>
      <c r="J37" s="37"/>
      <c r="K37" s="6" t="s">
        <v>12</v>
      </c>
      <c r="N37" s="6" t="s">
        <v>13</v>
      </c>
      <c r="R37" s="5"/>
    </row>
    <row r="38" spans="1:18">
      <c r="B38" s="33" t="s">
        <v>3</v>
      </c>
      <c r="C38" s="11" t="s">
        <v>128</v>
      </c>
      <c r="D38" s="11" t="s">
        <v>129</v>
      </c>
      <c r="E38" s="11" t="s">
        <v>0</v>
      </c>
      <c r="F38" s="11" t="s">
        <v>128</v>
      </c>
      <c r="G38" s="11"/>
      <c r="H38" s="76" t="s">
        <v>0</v>
      </c>
      <c r="I38" s="35"/>
      <c r="J38" s="37"/>
      <c r="K38" s="11" t="s">
        <v>5</v>
      </c>
      <c r="L38" s="11" t="s">
        <v>6</v>
      </c>
      <c r="M38" s="11" t="s">
        <v>0</v>
      </c>
      <c r="N38" s="11" t="s">
        <v>5</v>
      </c>
      <c r="O38" s="11" t="s">
        <v>6</v>
      </c>
      <c r="P38" s="11" t="s">
        <v>0</v>
      </c>
      <c r="R38" s="5"/>
    </row>
    <row r="39" spans="1:18">
      <c r="B39" s="11" t="s">
        <v>4</v>
      </c>
      <c r="C39" s="11" t="s">
        <v>2</v>
      </c>
      <c r="D39" s="11" t="s">
        <v>130</v>
      </c>
      <c r="E39" s="11" t="s">
        <v>2</v>
      </c>
      <c r="F39" s="11" t="s">
        <v>2</v>
      </c>
      <c r="G39" s="11"/>
      <c r="H39" s="76" t="s">
        <v>2</v>
      </c>
      <c r="I39" s="35"/>
      <c r="J39" s="37"/>
      <c r="K39" s="11" t="s">
        <v>2</v>
      </c>
      <c r="L39" s="11" t="s">
        <v>2</v>
      </c>
      <c r="M39" s="11" t="s">
        <v>2</v>
      </c>
      <c r="N39" s="11" t="s">
        <v>2</v>
      </c>
      <c r="O39" s="11" t="s">
        <v>2</v>
      </c>
      <c r="P39" s="11" t="s">
        <v>2</v>
      </c>
      <c r="R39" s="5"/>
    </row>
    <row r="40" spans="1:18">
      <c r="A40" s="2" t="s">
        <v>102</v>
      </c>
      <c r="B40" s="69">
        <v>227204</v>
      </c>
      <c r="C40" s="5">
        <f>C42</f>
        <v>6045511.0112920636</v>
      </c>
      <c r="E40" s="5">
        <f>C40+D40</f>
        <v>6045511.0112920636</v>
      </c>
      <c r="F40" s="19">
        <f>C40/B40</f>
        <v>26.608294798032006</v>
      </c>
      <c r="G40" s="11"/>
      <c r="H40" s="19">
        <f>F40+G40</f>
        <v>26.608294798032006</v>
      </c>
      <c r="I40" s="37"/>
      <c r="J40" s="2" t="s">
        <v>102</v>
      </c>
      <c r="K40" s="5">
        <f>100*C40/$M$13</f>
        <v>6669422.5835721036</v>
      </c>
      <c r="M40" s="5">
        <f>100*E40/$M$13</f>
        <v>6669422.5835721036</v>
      </c>
      <c r="N40" s="20">
        <f>100*F40/$M$13</f>
        <v>29.354336118959626</v>
      </c>
      <c r="O40" s="20"/>
      <c r="P40" s="20">
        <f>100*H40/$M$13</f>
        <v>29.354336118959626</v>
      </c>
      <c r="R40" s="5"/>
    </row>
    <row r="41" spans="1:18" ht="16" thickBot="1">
      <c r="A41" s="2" t="s">
        <v>103</v>
      </c>
      <c r="B41" s="69">
        <f>43450+107100</f>
        <v>150550</v>
      </c>
      <c r="C41" s="5">
        <f>F41*$B41</f>
        <v>1161218.9025687391</v>
      </c>
      <c r="E41" s="5">
        <f>C41+D41</f>
        <v>1161218.9025687391</v>
      </c>
      <c r="F41" s="19">
        <f>F23*M9/100</f>
        <v>7.7131776988956435</v>
      </c>
      <c r="G41" s="11"/>
      <c r="H41" s="19">
        <f>F41+G41</f>
        <v>7.7131776988956435</v>
      </c>
      <c r="I41" s="37"/>
      <c r="J41" s="2" t="s">
        <v>103</v>
      </c>
      <c r="K41" s="5">
        <f>100*C41/$M$13</f>
        <v>1281059.5429893283</v>
      </c>
      <c r="M41" s="5">
        <f>100*E41/$M$13</f>
        <v>1281059.5429893283</v>
      </c>
      <c r="N41" s="20">
        <f>100*F41/$M$13</f>
        <v>8.5091965658540563</v>
      </c>
      <c r="O41" s="20"/>
      <c r="P41" s="20">
        <f>100*H41/$M$13</f>
        <v>8.5091965658540563</v>
      </c>
      <c r="R41" s="5"/>
    </row>
    <row r="42" spans="1:18" ht="16" thickBot="1">
      <c r="A42" s="2" t="s">
        <v>155</v>
      </c>
      <c r="B42" s="69">
        <v>377754</v>
      </c>
      <c r="C42" s="5">
        <f>F42*B42</f>
        <v>6045511.0112920636</v>
      </c>
      <c r="E42" s="5">
        <f>E40</f>
        <v>6045511.0112920636</v>
      </c>
      <c r="F42" s="89">
        <f>F$22*M6/100</f>
        <v>16.003830565108679</v>
      </c>
      <c r="G42" s="11"/>
      <c r="H42" s="19">
        <f>E42/B42</f>
        <v>16.003830565108679</v>
      </c>
      <c r="I42" s="37"/>
      <c r="J42" s="2" t="s">
        <v>155</v>
      </c>
      <c r="K42" s="5">
        <f>100*C42/$M$13</f>
        <v>6669422.5835721036</v>
      </c>
      <c r="M42" s="5">
        <f>100*E42/$M$13</f>
        <v>6669422.5835721036</v>
      </c>
      <c r="N42" s="20">
        <f>K42/B42</f>
        <v>17.655465153438755</v>
      </c>
      <c r="O42" s="20"/>
      <c r="P42" s="20">
        <f>N42</f>
        <v>17.655465153438755</v>
      </c>
      <c r="R42" s="5"/>
    </row>
    <row r="43" spans="1:18">
      <c r="A43" s="79"/>
      <c r="B43" s="80" t="s">
        <v>131</v>
      </c>
      <c r="C43" s="70"/>
      <c r="D43" s="70"/>
      <c r="E43" s="70"/>
      <c r="F43" s="81"/>
      <c r="G43" s="82"/>
      <c r="H43" s="81"/>
      <c r="I43" s="37"/>
      <c r="J43" s="79"/>
      <c r="K43" s="80" t="s">
        <v>131</v>
      </c>
      <c r="L43" s="70"/>
      <c r="M43" s="70"/>
      <c r="N43" s="70"/>
      <c r="O43" s="81"/>
      <c r="P43" s="82"/>
      <c r="Q43" s="81"/>
      <c r="R43" s="5"/>
    </row>
    <row r="44" spans="1:18">
      <c r="A44" s="49"/>
      <c r="B44" s="13"/>
      <c r="C44" s="13"/>
      <c r="D44" s="13"/>
      <c r="E44" s="13"/>
      <c r="F44" s="92"/>
      <c r="G44" s="35"/>
      <c r="H44" s="92"/>
      <c r="J44" s="49"/>
      <c r="K44" s="13"/>
      <c r="L44" s="13"/>
      <c r="M44" s="13"/>
      <c r="N44" s="13"/>
      <c r="O44" s="13"/>
      <c r="P44" s="13"/>
      <c r="Q44" s="13"/>
      <c r="R44" s="5"/>
    </row>
    <row r="45" spans="1:18" ht="17">
      <c r="C45" s="22" t="s">
        <v>57</v>
      </c>
      <c r="D45" s="23"/>
      <c r="E45" s="23"/>
      <c r="F45" s="74"/>
      <c r="G45" s="23"/>
      <c r="H45" s="74"/>
      <c r="J45" s="1"/>
      <c r="K45" s="39" t="s">
        <v>58</v>
      </c>
      <c r="L45" s="40"/>
      <c r="M45" s="40"/>
      <c r="N45" s="40"/>
      <c r="O45" s="40"/>
      <c r="P45" s="40"/>
    </row>
    <row r="46" spans="1:18" ht="17">
      <c r="C46" s="6" t="s">
        <v>12</v>
      </c>
      <c r="F46" s="75" t="s">
        <v>13</v>
      </c>
      <c r="H46" s="19"/>
      <c r="J46" s="1"/>
      <c r="K46" s="6" t="s">
        <v>12</v>
      </c>
      <c r="N46" s="6" t="s">
        <v>13</v>
      </c>
    </row>
    <row r="47" spans="1:18">
      <c r="B47" s="11" t="s">
        <v>7</v>
      </c>
      <c r="C47" s="11" t="s">
        <v>128</v>
      </c>
      <c r="D47" s="11" t="s">
        <v>129</v>
      </c>
      <c r="E47" s="11" t="s">
        <v>0</v>
      </c>
      <c r="F47" s="11" t="s">
        <v>128</v>
      </c>
      <c r="G47" s="11"/>
      <c r="H47" s="76" t="s">
        <v>0</v>
      </c>
      <c r="I47" s="35"/>
      <c r="J47" s="1"/>
      <c r="K47" s="11" t="s">
        <v>5</v>
      </c>
      <c r="L47" s="11" t="s">
        <v>6</v>
      </c>
      <c r="M47" s="11" t="s">
        <v>0</v>
      </c>
      <c r="N47" s="11" t="s">
        <v>5</v>
      </c>
      <c r="O47" s="11" t="s">
        <v>6</v>
      </c>
      <c r="P47" s="11" t="s">
        <v>0</v>
      </c>
    </row>
    <row r="48" spans="1:18">
      <c r="B48" s="11" t="s">
        <v>4</v>
      </c>
      <c r="C48" s="11" t="s">
        <v>2</v>
      </c>
      <c r="D48" s="11" t="s">
        <v>130</v>
      </c>
      <c r="E48" s="11" t="s">
        <v>2</v>
      </c>
      <c r="F48" s="11" t="s">
        <v>2</v>
      </c>
      <c r="G48" s="11"/>
      <c r="H48" s="76" t="s">
        <v>2</v>
      </c>
      <c r="I48" s="35"/>
      <c r="J48" s="1"/>
      <c r="K48" s="11" t="s">
        <v>2</v>
      </c>
      <c r="L48" s="11" t="s">
        <v>2</v>
      </c>
      <c r="M48" s="11" t="s">
        <v>2</v>
      </c>
      <c r="N48" s="11" t="s">
        <v>2</v>
      </c>
      <c r="O48" s="11" t="s">
        <v>2</v>
      </c>
      <c r="P48" s="11" t="s">
        <v>2</v>
      </c>
    </row>
    <row r="49" spans="1:17">
      <c r="A49" s="2" t="s">
        <v>102</v>
      </c>
      <c r="B49" s="69">
        <v>134652.01381820932</v>
      </c>
      <c r="C49" s="5">
        <f>C51</f>
        <v>2880798.319342453</v>
      </c>
      <c r="E49" s="5">
        <f>C49+D49</f>
        <v>2880798.319342453</v>
      </c>
      <c r="F49" s="19">
        <f>C49/B49</f>
        <v>21.394394615083549</v>
      </c>
      <c r="G49" s="20"/>
      <c r="H49" s="19">
        <f>F49+G49</f>
        <v>21.394394615083549</v>
      </c>
      <c r="J49" s="2" t="s">
        <v>102</v>
      </c>
      <c r="K49" s="5">
        <f>100*C49/$N$13</f>
        <v>3377553.7370616412</v>
      </c>
      <c r="M49" s="5">
        <f t="shared" ref="M49:N51" si="11">100*E49/$N$13</f>
        <v>3377553.7370616412</v>
      </c>
      <c r="N49" s="20">
        <f t="shared" si="11"/>
        <v>25.083573882686977</v>
      </c>
      <c r="O49" s="20"/>
      <c r="P49" s="20">
        <f>100*H49/$N$13</f>
        <v>25.083573882686977</v>
      </c>
    </row>
    <row r="50" spans="1:17" ht="16" thickBot="1">
      <c r="A50" s="2" t="s">
        <v>103</v>
      </c>
      <c r="B50" s="69">
        <v>45848.681032983928</v>
      </c>
      <c r="C50" s="5">
        <f>F50*B50</f>
        <v>256100.52145524841</v>
      </c>
      <c r="E50" s="5">
        <f>C50+D50</f>
        <v>256100.52145524841</v>
      </c>
      <c r="F50" s="19">
        <f>F23*N9/100</f>
        <v>5.5857772935934085</v>
      </c>
      <c r="H50" s="19">
        <f>F50+G50</f>
        <v>5.5857772935934085</v>
      </c>
      <c r="J50" s="2" t="s">
        <v>103</v>
      </c>
      <c r="K50" s="5">
        <f>100*C50/$N$13</f>
        <v>300261.65576979559</v>
      </c>
      <c r="M50" s="5">
        <f t="shared" si="11"/>
        <v>300261.65576979559</v>
      </c>
      <c r="N50" s="20">
        <f t="shared" si="11"/>
        <v>6.5489704175739503</v>
      </c>
      <c r="P50" s="20">
        <f>100*H50/$N$13</f>
        <v>6.5489704175739503</v>
      </c>
    </row>
    <row r="51" spans="1:17" ht="16" thickBot="1">
      <c r="A51" s="2" t="s">
        <v>155</v>
      </c>
      <c r="B51" s="4">
        <v>180500.69485119326</v>
      </c>
      <c r="C51" s="5">
        <f>F51*B51</f>
        <v>2880798.319342453</v>
      </c>
      <c r="E51" s="5">
        <f>C51+D51</f>
        <v>2880798.319342453</v>
      </c>
      <c r="F51" s="89">
        <f>F$22*N6/100</f>
        <v>15.96004005257384</v>
      </c>
      <c r="G51" s="20"/>
      <c r="H51" s="19">
        <f>F51+G51</f>
        <v>15.96004005257384</v>
      </c>
      <c r="J51" s="2" t="s">
        <v>155</v>
      </c>
      <c r="K51" s="5">
        <f>100*C51/$N$13</f>
        <v>3377553.7370616412</v>
      </c>
      <c r="M51" s="5">
        <f t="shared" si="11"/>
        <v>3377553.7370616412</v>
      </c>
      <c r="N51" s="20">
        <f t="shared" si="11"/>
        <v>18.712137035517419</v>
      </c>
      <c r="O51" s="20"/>
      <c r="P51" s="20">
        <f>100*H51/$N$13</f>
        <v>18.712137035517419</v>
      </c>
    </row>
    <row r="53" spans="1:17">
      <c r="A53" s="79"/>
      <c r="B53" s="80" t="s">
        <v>131</v>
      </c>
      <c r="C53" s="70"/>
      <c r="D53" s="70"/>
      <c r="E53" s="70"/>
      <c r="F53" s="81"/>
      <c r="G53" s="82"/>
      <c r="H53" s="81"/>
      <c r="J53" s="79"/>
      <c r="K53" s="80" t="s">
        <v>131</v>
      </c>
      <c r="L53" s="70"/>
      <c r="M53" s="70"/>
      <c r="N53" s="70"/>
      <c r="O53" s="81"/>
      <c r="P53" s="82"/>
      <c r="Q53" s="81"/>
    </row>
    <row r="54" spans="1:17">
      <c r="F54" s="19"/>
      <c r="H54" s="19"/>
    </row>
    <row r="55" spans="1:17" ht="17">
      <c r="C55" s="22" t="s">
        <v>107</v>
      </c>
      <c r="D55" s="23"/>
      <c r="E55" s="23"/>
      <c r="F55" s="74"/>
      <c r="G55" s="23"/>
      <c r="H55" s="74"/>
      <c r="J55" s="1"/>
      <c r="K55" s="39" t="s">
        <v>108</v>
      </c>
      <c r="L55" s="40"/>
      <c r="M55" s="40"/>
      <c r="N55" s="40"/>
      <c r="O55" s="40"/>
      <c r="P55" s="40"/>
    </row>
    <row r="56" spans="1:17" ht="17">
      <c r="C56" s="6" t="s">
        <v>12</v>
      </c>
      <c r="F56" s="75" t="s">
        <v>13</v>
      </c>
      <c r="H56" s="19"/>
      <c r="J56" s="1"/>
      <c r="K56" s="6" t="s">
        <v>12</v>
      </c>
      <c r="N56" s="6" t="s">
        <v>13</v>
      </c>
    </row>
    <row r="57" spans="1:17">
      <c r="B57" s="11" t="s">
        <v>7</v>
      </c>
      <c r="C57" s="11" t="s">
        <v>128</v>
      </c>
      <c r="D57" s="11"/>
      <c r="E57" s="11" t="s">
        <v>0</v>
      </c>
      <c r="F57" s="11" t="s">
        <v>128</v>
      </c>
      <c r="G57" s="11"/>
      <c r="H57" s="76" t="s">
        <v>0</v>
      </c>
      <c r="I57" s="35"/>
      <c r="J57" s="1"/>
      <c r="K57" s="11" t="s">
        <v>5</v>
      </c>
      <c r="L57" s="11" t="s">
        <v>6</v>
      </c>
      <c r="M57" s="11" t="s">
        <v>0</v>
      </c>
      <c r="N57" s="11" t="s">
        <v>5</v>
      </c>
      <c r="O57" s="11" t="s">
        <v>6</v>
      </c>
      <c r="P57" s="11" t="s">
        <v>0</v>
      </c>
    </row>
    <row r="58" spans="1:17">
      <c r="B58" s="11" t="s">
        <v>4</v>
      </c>
      <c r="C58" s="11" t="s">
        <v>2</v>
      </c>
      <c r="D58" s="11"/>
      <c r="E58" s="11" t="s">
        <v>2</v>
      </c>
      <c r="F58" s="11" t="s">
        <v>2</v>
      </c>
      <c r="G58" s="11"/>
      <c r="H58" s="76" t="s">
        <v>2</v>
      </c>
      <c r="I58" s="35"/>
      <c r="J58" s="1"/>
      <c r="K58" s="11" t="s">
        <v>2</v>
      </c>
      <c r="L58" s="11" t="s">
        <v>2</v>
      </c>
      <c r="M58" s="11" t="s">
        <v>2</v>
      </c>
      <c r="N58" s="11" t="s">
        <v>2</v>
      </c>
      <c r="O58" s="11" t="s">
        <v>2</v>
      </c>
      <c r="P58" s="11" t="s">
        <v>2</v>
      </c>
    </row>
    <row r="59" spans="1:17">
      <c r="A59" s="2" t="s">
        <v>102</v>
      </c>
      <c r="B59" s="69">
        <v>68547</v>
      </c>
      <c r="C59" s="5">
        <f>C61</f>
        <v>1617487.8787618158</v>
      </c>
      <c r="D59" s="11"/>
      <c r="E59" s="5">
        <f>C59+D59</f>
        <v>1617487.8787618158</v>
      </c>
      <c r="F59" s="19">
        <f>C59/B59</f>
        <v>23.596771248367045</v>
      </c>
      <c r="G59" s="20"/>
      <c r="H59" s="19">
        <f>F59+G59</f>
        <v>23.596771248367045</v>
      </c>
      <c r="J59" s="2" t="s">
        <v>102</v>
      </c>
      <c r="K59" s="5">
        <f>100*C59/$O$13</f>
        <v>1952050.0128130943</v>
      </c>
      <c r="M59" s="5">
        <f t="shared" ref="M59:N61" si="12">100*E59/$O$13</f>
        <v>1952050.0128130943</v>
      </c>
      <c r="N59" s="20">
        <f t="shared" si="12"/>
        <v>28.47754114422359</v>
      </c>
      <c r="O59" s="20"/>
      <c r="P59" s="20">
        <f>100*H59/$O$13</f>
        <v>28.47754114422359</v>
      </c>
    </row>
    <row r="60" spans="1:17" ht="16" thickBot="1">
      <c r="A60" s="2" t="s">
        <v>103</v>
      </c>
      <c r="B60" s="69">
        <v>19617</v>
      </c>
      <c r="C60" s="5">
        <f>F60*$B60</f>
        <v>107620.40818000988</v>
      </c>
      <c r="D60" s="11"/>
      <c r="E60" s="5">
        <f>C60+D60</f>
        <v>107620.40818000988</v>
      </c>
      <c r="F60" s="19">
        <f>F23*O9/100</f>
        <v>5.4860788183723237</v>
      </c>
      <c r="H60" s="19">
        <f>F60+G60</f>
        <v>5.4860788183723237</v>
      </c>
      <c r="J60" s="2" t="s">
        <v>103</v>
      </c>
      <c r="K60" s="5">
        <f>100*C60/$O$13</f>
        <v>129880.67603174555</v>
      </c>
      <c r="M60" s="5">
        <f t="shared" si="12"/>
        <v>129880.67603174555</v>
      </c>
      <c r="N60" s="20">
        <f t="shared" si="12"/>
        <v>6.6208225534865459</v>
      </c>
      <c r="P60" s="20">
        <f>100*H60/$N$13</f>
        <v>6.4320802641392651</v>
      </c>
    </row>
    <row r="61" spans="1:17" ht="16" thickBot="1">
      <c r="A61" s="2" t="s">
        <v>155</v>
      </c>
      <c r="B61" s="4">
        <v>88164</v>
      </c>
      <c r="C61" s="5">
        <f>F61*B61</f>
        <v>1617487.8787618158</v>
      </c>
      <c r="D61" s="11"/>
      <c r="E61" s="5">
        <f>C61+D61</f>
        <v>1617487.8787618158</v>
      </c>
      <c r="F61" s="89">
        <f>F$22*O6/100</f>
        <v>18.346353145975861</v>
      </c>
      <c r="G61" s="20"/>
      <c r="H61" s="19">
        <f>F61+G61</f>
        <v>18.346353145975861</v>
      </c>
      <c r="J61" s="2" t="s">
        <v>155</v>
      </c>
      <c r="K61" s="5">
        <f>100*C61/$O$13</f>
        <v>1952050.0128130943</v>
      </c>
      <c r="M61" s="5">
        <f t="shared" si="12"/>
        <v>1952050.0128130943</v>
      </c>
      <c r="N61" s="20">
        <f t="shared" si="12"/>
        <v>22.141123506341529</v>
      </c>
      <c r="O61" s="20"/>
      <c r="P61" s="20">
        <f>100*H61/$O$13</f>
        <v>22.141123506341529</v>
      </c>
    </row>
    <row r="62" spans="1:17">
      <c r="A62" s="79"/>
      <c r="B62" s="80" t="s">
        <v>131</v>
      </c>
      <c r="C62" s="70"/>
      <c r="D62" s="70"/>
      <c r="E62" s="70"/>
      <c r="F62" s="81"/>
      <c r="G62" s="82"/>
      <c r="H62" s="81"/>
      <c r="J62" s="79"/>
      <c r="K62" s="80" t="s">
        <v>131</v>
      </c>
      <c r="L62" s="70"/>
      <c r="M62" s="70"/>
      <c r="N62" s="70"/>
      <c r="O62" s="81"/>
      <c r="P62" s="82"/>
      <c r="Q62" s="81"/>
    </row>
    <row r="63" spans="1:17">
      <c r="F63" s="19"/>
      <c r="H63" s="19"/>
    </row>
    <row r="64" spans="1:17" ht="17">
      <c r="C64" s="22" t="s">
        <v>109</v>
      </c>
      <c r="D64" s="23"/>
      <c r="E64" s="23"/>
      <c r="F64" s="74"/>
      <c r="G64" s="23"/>
      <c r="H64" s="74"/>
      <c r="J64" s="1"/>
      <c r="K64" s="39" t="s">
        <v>110</v>
      </c>
      <c r="L64" s="40"/>
      <c r="M64" s="40"/>
      <c r="N64" s="40"/>
      <c r="O64" s="40"/>
      <c r="P64" s="40"/>
    </row>
    <row r="65" spans="1:17" ht="17">
      <c r="C65" s="6" t="s">
        <v>12</v>
      </c>
      <c r="F65" s="75" t="s">
        <v>13</v>
      </c>
      <c r="H65" s="19"/>
      <c r="J65" s="1"/>
      <c r="K65" s="6" t="s">
        <v>12</v>
      </c>
      <c r="N65" s="6" t="s">
        <v>13</v>
      </c>
    </row>
    <row r="66" spans="1:17">
      <c r="B66" s="11" t="s">
        <v>7</v>
      </c>
      <c r="C66" s="11" t="s">
        <v>128</v>
      </c>
      <c r="D66" s="11" t="s">
        <v>129</v>
      </c>
      <c r="E66" s="11" t="s">
        <v>0</v>
      </c>
      <c r="F66" s="11" t="s">
        <v>128</v>
      </c>
      <c r="G66" s="11"/>
      <c r="H66" s="76" t="s">
        <v>0</v>
      </c>
      <c r="I66" s="35"/>
      <c r="J66" s="1"/>
      <c r="K66" s="11" t="s">
        <v>5</v>
      </c>
      <c r="L66" s="11" t="s">
        <v>6</v>
      </c>
      <c r="M66" s="11" t="s">
        <v>0</v>
      </c>
      <c r="N66" s="11" t="s">
        <v>5</v>
      </c>
      <c r="O66" s="11" t="s">
        <v>6</v>
      </c>
      <c r="P66" s="11" t="s">
        <v>0</v>
      </c>
    </row>
    <row r="67" spans="1:17">
      <c r="B67" s="11" t="s">
        <v>4</v>
      </c>
      <c r="C67" s="11" t="s">
        <v>2</v>
      </c>
      <c r="D67" s="11" t="s">
        <v>130</v>
      </c>
      <c r="E67" s="11" t="s">
        <v>2</v>
      </c>
      <c r="F67" s="11" t="s">
        <v>2</v>
      </c>
      <c r="G67" s="11"/>
      <c r="H67" s="76" t="s">
        <v>2</v>
      </c>
      <c r="I67" s="35"/>
      <c r="J67" s="1"/>
      <c r="K67" s="11" t="s">
        <v>2</v>
      </c>
      <c r="L67" s="11" t="s">
        <v>2</v>
      </c>
      <c r="M67" s="11" t="s">
        <v>2</v>
      </c>
      <c r="N67" s="11" t="s">
        <v>2</v>
      </c>
      <c r="O67" s="11" t="s">
        <v>2</v>
      </c>
      <c r="P67" s="11" t="s">
        <v>2</v>
      </c>
    </row>
    <row r="68" spans="1:17">
      <c r="A68" s="2" t="s">
        <v>102</v>
      </c>
      <c r="B68" s="69">
        <v>50950.524089551793</v>
      </c>
      <c r="C68" s="5">
        <f>C70</f>
        <v>1004639.2576423006</v>
      </c>
      <c r="E68" s="5">
        <f>C68+D68</f>
        <v>1004639.2576423006</v>
      </c>
      <c r="F68" s="19">
        <f>C68/B68</f>
        <v>19.717937658041041</v>
      </c>
      <c r="G68" s="20"/>
      <c r="H68" s="19">
        <f>F68+G68</f>
        <v>19.717937658041041</v>
      </c>
      <c r="J68" s="2" t="s">
        <v>102</v>
      </c>
      <c r="K68" s="5">
        <f>100*C68/$P$13</f>
        <v>1397216.5270229541</v>
      </c>
      <c r="M68" s="5">
        <f t="shared" ref="M68:N70" si="13">100*E68/$P$13</f>
        <v>1397216.5270229541</v>
      </c>
      <c r="N68" s="20">
        <f t="shared" si="13"/>
        <v>27.423005984534619</v>
      </c>
      <c r="O68" s="20"/>
      <c r="P68" s="20">
        <f>100*H68/$P$13</f>
        <v>27.423005984534619</v>
      </c>
    </row>
    <row r="69" spans="1:17" ht="16" thickBot="1">
      <c r="A69" s="2" t="s">
        <v>103</v>
      </c>
      <c r="B69" s="69">
        <v>3706.2458479408815</v>
      </c>
      <c r="C69" s="5">
        <f>F69*B69</f>
        <v>18478.064542996537</v>
      </c>
      <c r="E69" s="5">
        <f>C69+D69</f>
        <v>18478.064542996537</v>
      </c>
      <c r="F69" s="19">
        <f>F23*P9/100</f>
        <v>4.985655377735557</v>
      </c>
      <c r="H69" s="19">
        <f>F69+G69</f>
        <v>4.985655377735557</v>
      </c>
      <c r="J69" s="2" t="s">
        <v>103</v>
      </c>
      <c r="K69" s="5">
        <f>100*C69/$P$13</f>
        <v>25698.634579999656</v>
      </c>
      <c r="M69" s="5">
        <f t="shared" si="13"/>
        <v>25698.634579999656</v>
      </c>
      <c r="N69" s="20">
        <f t="shared" si="13"/>
        <v>6.9338720728084784</v>
      </c>
      <c r="P69" s="20">
        <f>100*H69/$P$13</f>
        <v>6.9338720728084784</v>
      </c>
    </row>
    <row r="70" spans="1:17" ht="16" thickBot="1">
      <c r="A70" s="2" t="s">
        <v>155</v>
      </c>
      <c r="B70" s="69">
        <v>54656.769937492674</v>
      </c>
      <c r="C70" s="5">
        <f>F70*B70</f>
        <v>1004639.2576423006</v>
      </c>
      <c r="E70" s="5">
        <f>C70+D70</f>
        <v>1004639.2576423006</v>
      </c>
      <c r="F70" s="89">
        <f>F$22*P6/100</f>
        <v>18.380875027763988</v>
      </c>
      <c r="G70" s="20"/>
      <c r="H70" s="19">
        <f>F70+G70</f>
        <v>18.380875027763988</v>
      </c>
      <c r="J70" s="2" t="s">
        <v>155</v>
      </c>
      <c r="K70" s="5">
        <f>100*C70/$P$13</f>
        <v>1397216.5270229541</v>
      </c>
      <c r="M70" s="5">
        <f t="shared" si="13"/>
        <v>1397216.5270229541</v>
      </c>
      <c r="N70" s="20">
        <f t="shared" si="13"/>
        <v>25.563466860937048</v>
      </c>
      <c r="O70" s="20"/>
      <c r="P70" s="20">
        <f>100*H70/$P$13</f>
        <v>25.563466860937048</v>
      </c>
    </row>
    <row r="71" spans="1:17">
      <c r="A71" s="79"/>
      <c r="B71" s="80" t="s">
        <v>131</v>
      </c>
      <c r="C71" s="70"/>
      <c r="D71" s="70"/>
      <c r="E71" s="70"/>
      <c r="F71" s="81"/>
      <c r="G71" s="82"/>
      <c r="H71" s="81"/>
      <c r="J71" s="79"/>
      <c r="K71" s="80" t="s">
        <v>131</v>
      </c>
      <c r="L71" s="70"/>
      <c r="M71" s="70"/>
      <c r="N71" s="70"/>
      <c r="O71" s="81"/>
      <c r="P71" s="82"/>
      <c r="Q71" s="8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Sources &amp; general notes</vt:lpstr>
      <vt:lpstr>1774 group weights</vt:lpstr>
      <vt:lpstr>detailed notes</vt:lpstr>
      <vt:lpstr>RESULT - Chesapeake backcasts</vt:lpstr>
    </vt:vector>
  </TitlesOfParts>
  <Company>University of California Davis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Lindert</dc:creator>
  <cp:lastModifiedBy>Peter Lindert</cp:lastModifiedBy>
  <dcterms:created xsi:type="dcterms:W3CDTF">2013-06-27T20:41:58Z</dcterms:created>
  <dcterms:modified xsi:type="dcterms:W3CDTF">2013-11-24T23:11:47Z</dcterms:modified>
</cp:coreProperties>
</file>