
<file path=[Content_Types].xml><?xml version="1.0" encoding="utf-8"?>
<Types xmlns="http://schemas.openxmlformats.org/package/2006/content-types">
  <Override PartName="/xl/diagrams/colors1.xml" ContentType="application/vnd.openxmlformats-officedocument.drawingml.diagramColors+xml"/>
  <Override PartName="/xl/diagrams/data1.xml" ContentType="application/vnd.openxmlformats-officedocument.drawingml.diagramData+xml"/>
  <Override PartName="/xl/worksheets/sheet7.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xl/diagrams/quickStyle1.xml" ContentType="application/vnd.openxmlformats-officedocument.drawingml.diagramStyle+xml"/>
  <Default Extension="xml" ContentType="application/xml"/>
  <Override PartName="/xl/worksheets/sheet6.xml" ContentType="application/vnd.openxmlformats-officedocument.spreadsheetml.worksheet+xml"/>
  <Override PartName="/xl/diagrams/layout1.xml" ContentType="application/vnd.openxmlformats-officedocument.drawingml.diagramLayout+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styles.xml" ContentType="application/vnd.openxmlformats-officedocument.spreadsheetml.styles+xml"/>
  <Override PartName="/xl/worksheets/sheet3.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autoCompressPictures="0"/>
  <bookViews>
    <workbookView xWindow="-20" yWindow="-20" windowWidth="24800" windowHeight="15360" tabRatio="849" firstSheet="2" activeTab="3"/>
  </bookViews>
  <sheets>
    <sheet name="Sources &amp; notes" sheetId="14" r:id="rId1"/>
    <sheet name="(1) Household LF size hints" sheetId="20" r:id="rId2"/>
    <sheet name="(2) Homes for non-HH earners" sheetId="21" r:id="rId3"/>
    <sheet name="(3) household income summary" sheetId="15" r:id="rId4"/>
    <sheet name="(4) New Eng size dist" sheetId="17" r:id="rId5"/>
    <sheet name="(5) Mid Cols size dist" sheetId="18" r:id="rId6"/>
    <sheet name="(6) South size dist" sheetId="16" r:id="rId7"/>
    <sheet name="(7) All 13, size dist" sheetId="19" r:id="rId8"/>
    <sheet name="(8) inequality summary" sheetId="22" r:id="rId9"/>
  </sheets>
  <calcPr calcId="130404" calcMode="manual" calcCompleted="0" calcOnSave="0"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O31" i="20"/>
  <c r="N31"/>
  <c r="M31"/>
  <c r="L31"/>
  <c r="K31"/>
  <c r="J31"/>
  <c r="I31"/>
  <c r="H31"/>
  <c r="G31"/>
  <c r="F31"/>
  <c r="E31"/>
  <c r="O30"/>
  <c r="N30"/>
  <c r="M30"/>
  <c r="L30"/>
  <c r="O29"/>
  <c r="N29"/>
  <c r="M29"/>
  <c r="L29"/>
  <c r="O28"/>
  <c r="N28"/>
  <c r="M28"/>
  <c r="L28"/>
  <c r="O27"/>
  <c r="N27"/>
  <c r="M27"/>
  <c r="L27"/>
  <c r="I27"/>
  <c r="F27"/>
  <c r="G18"/>
  <c r="F18"/>
  <c r="E18"/>
  <c r="AE53" i="21"/>
  <c r="CF51"/>
  <c r="CE51"/>
  <c r="CD51"/>
  <c r="CC51"/>
  <c r="BG51"/>
  <c r="BF51"/>
  <c r="BE51"/>
  <c r="BD51"/>
  <c r="AN51"/>
  <c r="AE51"/>
  <c r="CF49"/>
  <c r="CE49"/>
  <c r="CD49"/>
  <c r="CC49"/>
  <c r="BQ49"/>
  <c r="BP49"/>
  <c r="BO49"/>
  <c r="BN49"/>
  <c r="AS49"/>
  <c r="AN49"/>
  <c r="AI49"/>
  <c r="AH49"/>
  <c r="AG49"/>
  <c r="AI48"/>
  <c r="AH48"/>
  <c r="AG48"/>
  <c r="BG47"/>
  <c r="BF47"/>
  <c r="BE47"/>
  <c r="BD47"/>
  <c r="AS47"/>
  <c r="AR47"/>
  <c r="AQ47"/>
  <c r="AP47"/>
  <c r="AN47"/>
  <c r="AM47"/>
  <c r="AL47"/>
  <c r="AK47"/>
  <c r="AE47"/>
  <c r="AD47"/>
  <c r="AC47"/>
  <c r="AB47"/>
  <c r="S47"/>
  <c r="R47"/>
  <c r="Q47"/>
  <c r="P47"/>
  <c r="J47"/>
  <c r="I47"/>
  <c r="H47"/>
  <c r="G47"/>
  <c r="CF46"/>
  <c r="CE46"/>
  <c r="CD46"/>
  <c r="CC46"/>
  <c r="CA46"/>
  <c r="BZ46"/>
  <c r="BY46"/>
  <c r="BX46"/>
  <c r="BV46"/>
  <c r="BU46"/>
  <c r="BT46"/>
  <c r="BS46"/>
  <c r="BQ46"/>
  <c r="BP46"/>
  <c r="BO46"/>
  <c r="BN46"/>
  <c r="BL46"/>
  <c r="BK46"/>
  <c r="BJ46"/>
  <c r="BI46"/>
  <c r="BG46"/>
  <c r="BF46"/>
  <c r="BE46"/>
  <c r="BD46"/>
  <c r="AW46"/>
  <c r="AV46"/>
  <c r="AU46"/>
  <c r="AS46"/>
  <c r="AR46"/>
  <c r="AQ46"/>
  <c r="AP46"/>
  <c r="AN46"/>
  <c r="AM46"/>
  <c r="AL46"/>
  <c r="AK46"/>
  <c r="AI46"/>
  <c r="AH46"/>
  <c r="AG46"/>
  <c r="AE46"/>
  <c r="AD46"/>
  <c r="AC46"/>
  <c r="AB46"/>
  <c r="Z46"/>
  <c r="Y46"/>
  <c r="X46"/>
  <c r="W46"/>
  <c r="S46"/>
  <c r="R46"/>
  <c r="Q46"/>
  <c r="P46"/>
  <c r="N46"/>
  <c r="M46"/>
  <c r="L46"/>
  <c r="J46"/>
  <c r="I46"/>
  <c r="H46"/>
  <c r="G46"/>
  <c r="CF45"/>
  <c r="CE45"/>
  <c r="CD45"/>
  <c r="CC45"/>
  <c r="CA45"/>
  <c r="BZ45"/>
  <c r="BY45"/>
  <c r="BX45"/>
  <c r="BV45"/>
  <c r="BU45"/>
  <c r="BT45"/>
  <c r="BS45"/>
  <c r="BQ45"/>
  <c r="BP45"/>
  <c r="BO45"/>
  <c r="BN45"/>
  <c r="BL45"/>
  <c r="BK45"/>
  <c r="BJ45"/>
  <c r="BI45"/>
  <c r="BG45"/>
  <c r="BF45"/>
  <c r="BE45"/>
  <c r="BD45"/>
  <c r="AW45"/>
  <c r="AV45"/>
  <c r="AU45"/>
  <c r="AS45"/>
  <c r="AR45"/>
  <c r="AQ45"/>
  <c r="AP45"/>
  <c r="AN45"/>
  <c r="AM45"/>
  <c r="AL45"/>
  <c r="AK45"/>
  <c r="AI45"/>
  <c r="AH45"/>
  <c r="AG45"/>
  <c r="AE45"/>
  <c r="AD45"/>
  <c r="AC45"/>
  <c r="AB45"/>
  <c r="Z45"/>
  <c r="Y45"/>
  <c r="X45"/>
  <c r="W45"/>
  <c r="S45"/>
  <c r="R45"/>
  <c r="Q45"/>
  <c r="P45"/>
  <c r="N45"/>
  <c r="M45"/>
  <c r="L45"/>
  <c r="J45"/>
  <c r="I45"/>
  <c r="H45"/>
  <c r="G45"/>
  <c r="BL44"/>
  <c r="BK44"/>
  <c r="BJ44"/>
  <c r="BI44"/>
  <c r="J44"/>
  <c r="I44"/>
  <c r="H44"/>
  <c r="G44"/>
  <c r="CF42"/>
  <c r="CE42"/>
  <c r="CD42"/>
  <c r="CC42"/>
  <c r="CA42"/>
  <c r="BZ42"/>
  <c r="BY42"/>
  <c r="BX42"/>
  <c r="BV42"/>
  <c r="BU42"/>
  <c r="BT42"/>
  <c r="BS42"/>
  <c r="BQ42"/>
  <c r="BP42"/>
  <c r="BO42"/>
  <c r="BN42"/>
  <c r="BL42"/>
  <c r="BK42"/>
  <c r="BJ42"/>
  <c r="BI42"/>
  <c r="BG42"/>
  <c r="BF42"/>
  <c r="BE42"/>
  <c r="BD42"/>
  <c r="BA42"/>
  <c r="AZ42"/>
  <c r="AY42"/>
  <c r="AW42"/>
  <c r="AV42"/>
  <c r="AU42"/>
  <c r="AS42"/>
  <c r="AR42"/>
  <c r="AQ42"/>
  <c r="AP42"/>
  <c r="AN42"/>
  <c r="AM42"/>
  <c r="AL42"/>
  <c r="AK42"/>
  <c r="AI42"/>
  <c r="AH42"/>
  <c r="AG42"/>
  <c r="AE42"/>
  <c r="AD42"/>
  <c r="AC42"/>
  <c r="AB42"/>
  <c r="Z42"/>
  <c r="S42"/>
  <c r="R42"/>
  <c r="Q42"/>
  <c r="P42"/>
  <c r="J42"/>
  <c r="I42"/>
  <c r="H42"/>
  <c r="CF41"/>
  <c r="CE41"/>
  <c r="CA41"/>
  <c r="BZ41"/>
  <c r="BV41"/>
  <c r="BU41"/>
  <c r="BQ41"/>
  <c r="BP41"/>
  <c r="BL41"/>
  <c r="BK41"/>
  <c r="Z41"/>
  <c r="S41"/>
  <c r="R41"/>
  <c r="Q41"/>
  <c r="P41"/>
  <c r="J41"/>
  <c r="CF40"/>
  <c r="CE40"/>
  <c r="CA40"/>
  <c r="BZ40"/>
  <c r="BV40"/>
  <c r="BU40"/>
  <c r="BQ40"/>
  <c r="BP40"/>
  <c r="BL40"/>
  <c r="BK40"/>
  <c r="Z40"/>
  <c r="S40"/>
  <c r="R40"/>
  <c r="Q40"/>
  <c r="P40"/>
  <c r="J40"/>
  <c r="CF39"/>
  <c r="CD39"/>
  <c r="CC39"/>
  <c r="CA39"/>
  <c r="BY39"/>
  <c r="BX39"/>
  <c r="BV39"/>
  <c r="BT39"/>
  <c r="BS39"/>
  <c r="BQ39"/>
  <c r="BP39"/>
  <c r="BO39"/>
  <c r="BN39"/>
  <c r="Z39"/>
  <c r="S39"/>
  <c r="R39"/>
  <c r="Q39"/>
  <c r="P39"/>
  <c r="J39"/>
  <c r="CF38"/>
  <c r="CE38"/>
  <c r="CD38"/>
  <c r="CC38"/>
  <c r="CA38"/>
  <c r="BZ38"/>
  <c r="BY38"/>
  <c r="BX38"/>
  <c r="BV38"/>
  <c r="BU38"/>
  <c r="BT38"/>
  <c r="BS38"/>
  <c r="BQ38"/>
  <c r="BP38"/>
  <c r="BO38"/>
  <c r="BN38"/>
  <c r="Z38"/>
  <c r="S38"/>
  <c r="R38"/>
  <c r="Q38"/>
  <c r="P38"/>
  <c r="J38"/>
  <c r="CF37"/>
  <c r="CE37"/>
  <c r="CD37"/>
  <c r="CC37"/>
  <c r="CA37"/>
  <c r="BZ37"/>
  <c r="BY37"/>
  <c r="BX37"/>
  <c r="BV37"/>
  <c r="BU37"/>
  <c r="BT37"/>
  <c r="BS37"/>
  <c r="BQ37"/>
  <c r="BP37"/>
  <c r="BO37"/>
  <c r="BN37"/>
  <c r="Z37"/>
  <c r="S37"/>
  <c r="R37"/>
  <c r="Q37"/>
  <c r="P37"/>
  <c r="J37"/>
  <c r="CF36"/>
  <c r="CE36"/>
  <c r="CD36"/>
  <c r="CC36"/>
  <c r="CA36"/>
  <c r="BZ36"/>
  <c r="BY36"/>
  <c r="BX36"/>
  <c r="BV36"/>
  <c r="BU36"/>
  <c r="BT36"/>
  <c r="BS36"/>
  <c r="BQ36"/>
  <c r="BP36"/>
  <c r="BO36"/>
  <c r="BN36"/>
  <c r="BL36"/>
  <c r="BK36"/>
  <c r="BJ36"/>
  <c r="BI36"/>
  <c r="AN36"/>
  <c r="AM36"/>
  <c r="AL36"/>
  <c r="AK36"/>
  <c r="AI36"/>
  <c r="AH36"/>
  <c r="AG36"/>
  <c r="AE36"/>
  <c r="AD36"/>
  <c r="AC36"/>
  <c r="AB36"/>
  <c r="Z36"/>
  <c r="S36"/>
  <c r="R36"/>
  <c r="Q36"/>
  <c r="P36"/>
  <c r="J36"/>
  <c r="CF35"/>
  <c r="CE35"/>
  <c r="CD35"/>
  <c r="CC35"/>
  <c r="CA35"/>
  <c r="BZ35"/>
  <c r="BY35"/>
  <c r="BX35"/>
  <c r="BV35"/>
  <c r="BU35"/>
  <c r="BT35"/>
  <c r="BS35"/>
  <c r="BQ35"/>
  <c r="BP35"/>
  <c r="BO35"/>
  <c r="BN35"/>
  <c r="BL35"/>
  <c r="BK35"/>
  <c r="BJ35"/>
  <c r="BI35"/>
  <c r="BG35"/>
  <c r="BF35"/>
  <c r="BE35"/>
  <c r="BD35"/>
  <c r="AW35"/>
  <c r="AV35"/>
  <c r="AU35"/>
  <c r="AS35"/>
  <c r="AR35"/>
  <c r="AQ35"/>
  <c r="AP35"/>
  <c r="AN35"/>
  <c r="AM35"/>
  <c r="AL35"/>
  <c r="AK35"/>
  <c r="AI35"/>
  <c r="AH35"/>
  <c r="AG35"/>
  <c r="AE35"/>
  <c r="AD35"/>
  <c r="AC35"/>
  <c r="AB35"/>
  <c r="Z35"/>
  <c r="S35"/>
  <c r="R35"/>
  <c r="Q35"/>
  <c r="P35"/>
  <c r="J35"/>
  <c r="CF34"/>
  <c r="CE34"/>
  <c r="CD34"/>
  <c r="CC34"/>
  <c r="CA34"/>
  <c r="BZ34"/>
  <c r="BY34"/>
  <c r="BX34"/>
  <c r="BV34"/>
  <c r="BU34"/>
  <c r="BT34"/>
  <c r="BS34"/>
  <c r="BQ34"/>
  <c r="BP34"/>
  <c r="BO34"/>
  <c r="BN34"/>
  <c r="BL34"/>
  <c r="BK34"/>
  <c r="BJ34"/>
  <c r="BI34"/>
  <c r="BG34"/>
  <c r="BF34"/>
  <c r="BE34"/>
  <c r="BD34"/>
  <c r="AW34"/>
  <c r="AV34"/>
  <c r="AU34"/>
  <c r="AS34"/>
  <c r="AR34"/>
  <c r="AQ34"/>
  <c r="AP34"/>
  <c r="AN34"/>
  <c r="AM34"/>
  <c r="AL34"/>
  <c r="AK34"/>
  <c r="AI34"/>
  <c r="AH34"/>
  <c r="AG34"/>
  <c r="AE34"/>
  <c r="AD34"/>
  <c r="AC34"/>
  <c r="AB34"/>
  <c r="Z34"/>
  <c r="S34"/>
  <c r="R34"/>
  <c r="Q34"/>
  <c r="P34"/>
  <c r="J34"/>
  <c r="CF33"/>
  <c r="CE33"/>
  <c r="CD33"/>
  <c r="CC33"/>
  <c r="CA33"/>
  <c r="BZ33"/>
  <c r="BY33"/>
  <c r="BX33"/>
  <c r="BV33"/>
  <c r="BU33"/>
  <c r="BT33"/>
  <c r="BS33"/>
  <c r="BQ33"/>
  <c r="BP33"/>
  <c r="BO33"/>
  <c r="BN33"/>
  <c r="BL33"/>
  <c r="BK33"/>
  <c r="BJ33"/>
  <c r="BI33"/>
  <c r="BG33"/>
  <c r="BF33"/>
  <c r="BE33"/>
  <c r="BD33"/>
  <c r="AW33"/>
  <c r="AV33"/>
  <c r="AU33"/>
  <c r="AS33"/>
  <c r="AR33"/>
  <c r="AQ33"/>
  <c r="AP33"/>
  <c r="AN33"/>
  <c r="AM33"/>
  <c r="AL33"/>
  <c r="AK33"/>
  <c r="AI33"/>
  <c r="AH33"/>
  <c r="AG33"/>
  <c r="AE33"/>
  <c r="AD33"/>
  <c r="AC33"/>
  <c r="AB33"/>
  <c r="Z33"/>
  <c r="S33"/>
  <c r="R33"/>
  <c r="Q33"/>
  <c r="P33"/>
  <c r="J33"/>
  <c r="CF32"/>
  <c r="CE32"/>
  <c r="CD32"/>
  <c r="CC32"/>
  <c r="CA32"/>
  <c r="BZ32"/>
  <c r="BY32"/>
  <c r="BX32"/>
  <c r="BV32"/>
  <c r="BU32"/>
  <c r="BT32"/>
  <c r="BS32"/>
  <c r="BQ32"/>
  <c r="BP32"/>
  <c r="BO32"/>
  <c r="BN32"/>
  <c r="BL32"/>
  <c r="BK32"/>
  <c r="BJ32"/>
  <c r="BI32"/>
  <c r="BG32"/>
  <c r="BF32"/>
  <c r="BE32"/>
  <c r="BD32"/>
  <c r="AW32"/>
  <c r="AV32"/>
  <c r="AU32"/>
  <c r="AS32"/>
  <c r="AR32"/>
  <c r="AQ32"/>
  <c r="AP32"/>
  <c r="AN32"/>
  <c r="AM32"/>
  <c r="AL32"/>
  <c r="AK32"/>
  <c r="AI32"/>
  <c r="AH32"/>
  <c r="AG32"/>
  <c r="AE32"/>
  <c r="AD32"/>
  <c r="AC32"/>
  <c r="AB32"/>
  <c r="Z32"/>
  <c r="S32"/>
  <c r="R32"/>
  <c r="Q32"/>
  <c r="P32"/>
  <c r="J32"/>
  <c r="CF31"/>
  <c r="CE31"/>
  <c r="CD31"/>
  <c r="CC31"/>
  <c r="CA31"/>
  <c r="BZ31"/>
  <c r="BY31"/>
  <c r="BX31"/>
  <c r="BV31"/>
  <c r="BU31"/>
  <c r="BT31"/>
  <c r="BS31"/>
  <c r="BQ31"/>
  <c r="BP31"/>
  <c r="BO31"/>
  <c r="BN31"/>
  <c r="BL31"/>
  <c r="BK31"/>
  <c r="BJ31"/>
  <c r="BI31"/>
  <c r="BG31"/>
  <c r="BF31"/>
  <c r="BE31"/>
  <c r="BD31"/>
  <c r="AW31"/>
  <c r="AV31"/>
  <c r="AU31"/>
  <c r="AS31"/>
  <c r="AR31"/>
  <c r="AQ31"/>
  <c r="AP31"/>
  <c r="AN31"/>
  <c r="AM31"/>
  <c r="AL31"/>
  <c r="AK31"/>
  <c r="AI31"/>
  <c r="AH31"/>
  <c r="AG31"/>
  <c r="AE31"/>
  <c r="AD31"/>
  <c r="AC31"/>
  <c r="AB31"/>
  <c r="Z31"/>
  <c r="S31"/>
  <c r="R31"/>
  <c r="Q31"/>
  <c r="P31"/>
  <c r="J31"/>
  <c r="CF30"/>
  <c r="CE30"/>
  <c r="CD30"/>
  <c r="CC30"/>
  <c r="CA30"/>
  <c r="BZ30"/>
  <c r="BY30"/>
  <c r="BX30"/>
  <c r="BV30"/>
  <c r="BU30"/>
  <c r="BT30"/>
  <c r="BS30"/>
  <c r="BQ30"/>
  <c r="BP30"/>
  <c r="BO30"/>
  <c r="BN30"/>
  <c r="BL30"/>
  <c r="BK30"/>
  <c r="BJ30"/>
  <c r="BI30"/>
  <c r="BG30"/>
  <c r="BF30"/>
  <c r="BE30"/>
  <c r="BD30"/>
  <c r="AW30"/>
  <c r="AV30"/>
  <c r="AU30"/>
  <c r="AS30"/>
  <c r="AR30"/>
  <c r="AQ30"/>
  <c r="AP30"/>
  <c r="Z30"/>
  <c r="S30"/>
  <c r="R30"/>
  <c r="Q30"/>
  <c r="P30"/>
  <c r="J30"/>
  <c r="CF29"/>
  <c r="CE29"/>
  <c r="CD29"/>
  <c r="CC29"/>
  <c r="BQ29"/>
  <c r="BP29"/>
  <c r="BO29"/>
  <c r="BN29"/>
  <c r="BL29"/>
  <c r="BK29"/>
  <c r="BJ29"/>
  <c r="BI29"/>
  <c r="BG29"/>
  <c r="BF29"/>
  <c r="BE29"/>
  <c r="BD29"/>
  <c r="AS29"/>
  <c r="AR29"/>
  <c r="AQ29"/>
  <c r="AP29"/>
  <c r="AN29"/>
  <c r="AM29"/>
  <c r="AL29"/>
  <c r="AK29"/>
  <c r="AI29"/>
  <c r="AH29"/>
  <c r="AG29"/>
  <c r="AE29"/>
  <c r="AD29"/>
  <c r="AC29"/>
  <c r="AB29"/>
  <c r="Z29"/>
  <c r="Y29"/>
  <c r="X29"/>
  <c r="W29"/>
  <c r="S29"/>
  <c r="R29"/>
  <c r="Q29"/>
  <c r="P29"/>
  <c r="N29"/>
  <c r="M29"/>
  <c r="L29"/>
  <c r="J29"/>
  <c r="I29"/>
  <c r="H29"/>
  <c r="G29"/>
  <c r="AS28"/>
  <c r="AS27"/>
  <c r="AR27"/>
  <c r="AQ27"/>
  <c r="AP27"/>
  <c r="CF26"/>
  <c r="CD26"/>
  <c r="CC26"/>
  <c r="CA26"/>
  <c r="BY26"/>
  <c r="BV26"/>
  <c r="BT26"/>
  <c r="BQ26"/>
  <c r="BO26"/>
  <c r="BN26"/>
  <c r="BE26"/>
  <c r="BD26"/>
  <c r="AV26"/>
  <c r="AS26"/>
  <c r="AR26"/>
  <c r="AQ26"/>
  <c r="AP26"/>
  <c r="AN26"/>
  <c r="AL26"/>
  <c r="AH26"/>
  <c r="AE26"/>
  <c r="AC26"/>
  <c r="S26"/>
  <c r="Q26"/>
  <c r="J26"/>
  <c r="H26"/>
  <c r="CF25"/>
  <c r="CD25"/>
  <c r="CC25"/>
  <c r="CA25"/>
  <c r="BY25"/>
  <c r="BX25"/>
  <c r="BV25"/>
  <c r="BT25"/>
  <c r="BS25"/>
  <c r="BQ25"/>
  <c r="BP25"/>
  <c r="BO25"/>
  <c r="BN25"/>
  <c r="AS25"/>
  <c r="S25"/>
  <c r="Q25"/>
  <c r="P25"/>
  <c r="J25"/>
  <c r="CF24"/>
  <c r="CE24"/>
  <c r="CD24"/>
  <c r="CC24"/>
  <c r="CA24"/>
  <c r="BZ24"/>
  <c r="BY24"/>
  <c r="BX24"/>
  <c r="BV24"/>
  <c r="BU24"/>
  <c r="BT24"/>
  <c r="BS24"/>
  <c r="BQ24"/>
  <c r="BP24"/>
  <c r="BO24"/>
  <c r="BN24"/>
  <c r="AS24"/>
  <c r="S24"/>
  <c r="R24"/>
  <c r="Q24"/>
  <c r="P24"/>
  <c r="J24"/>
  <c r="CF23"/>
  <c r="CE23"/>
  <c r="CD23"/>
  <c r="CC23"/>
  <c r="CA23"/>
  <c r="BZ23"/>
  <c r="BY23"/>
  <c r="BX23"/>
  <c r="BV23"/>
  <c r="BU23"/>
  <c r="BT23"/>
  <c r="BS23"/>
  <c r="BQ23"/>
  <c r="BP23"/>
  <c r="BO23"/>
  <c r="BN23"/>
  <c r="AS23"/>
  <c r="S23"/>
  <c r="R23"/>
  <c r="Q23"/>
  <c r="P23"/>
  <c r="J23"/>
  <c r="CF22"/>
  <c r="CE22"/>
  <c r="CD22"/>
  <c r="CC22"/>
  <c r="CA22"/>
  <c r="BZ22"/>
  <c r="BY22"/>
  <c r="BX22"/>
  <c r="BV22"/>
  <c r="BU22"/>
  <c r="BT22"/>
  <c r="BS22"/>
  <c r="BQ22"/>
  <c r="BP22"/>
  <c r="BO22"/>
  <c r="BN22"/>
  <c r="BL22"/>
  <c r="BK22"/>
  <c r="BJ22"/>
  <c r="BI22"/>
  <c r="AS22"/>
  <c r="AN22"/>
  <c r="AM22"/>
  <c r="AL22"/>
  <c r="AK22"/>
  <c r="AI22"/>
  <c r="AH22"/>
  <c r="AG22"/>
  <c r="AE22"/>
  <c r="AD22"/>
  <c r="AC22"/>
  <c r="AB22"/>
  <c r="S22"/>
  <c r="R22"/>
  <c r="Q22"/>
  <c r="P22"/>
  <c r="J22"/>
  <c r="CF21"/>
  <c r="CE21"/>
  <c r="CD21"/>
  <c r="CC21"/>
  <c r="CA21"/>
  <c r="BZ21"/>
  <c r="BY21"/>
  <c r="BX21"/>
  <c r="BV21"/>
  <c r="BU21"/>
  <c r="BT21"/>
  <c r="BS21"/>
  <c r="BQ21"/>
  <c r="BP21"/>
  <c r="BO21"/>
  <c r="BN21"/>
  <c r="BL21"/>
  <c r="BK21"/>
  <c r="BJ21"/>
  <c r="BI21"/>
  <c r="BG21"/>
  <c r="BF21"/>
  <c r="BE21"/>
  <c r="BD21"/>
  <c r="AW21"/>
  <c r="AV21"/>
  <c r="AU21"/>
  <c r="AS21"/>
  <c r="AR21"/>
  <c r="AQ21"/>
  <c r="AP21"/>
  <c r="AN21"/>
  <c r="AM21"/>
  <c r="AL21"/>
  <c r="AK21"/>
  <c r="AI21"/>
  <c r="AH21"/>
  <c r="AG21"/>
  <c r="AE21"/>
  <c r="AD21"/>
  <c r="AC21"/>
  <c r="AB21"/>
  <c r="S21"/>
  <c r="R21"/>
  <c r="Q21"/>
  <c r="P21"/>
  <c r="J21"/>
  <c r="CF20"/>
  <c r="CE20"/>
  <c r="CD20"/>
  <c r="CC20"/>
  <c r="CA20"/>
  <c r="BZ20"/>
  <c r="BY20"/>
  <c r="BX20"/>
  <c r="BV20"/>
  <c r="BU20"/>
  <c r="BT20"/>
  <c r="BS20"/>
  <c r="BQ20"/>
  <c r="BP20"/>
  <c r="BO20"/>
  <c r="BN20"/>
  <c r="BL20"/>
  <c r="BK20"/>
  <c r="BJ20"/>
  <c r="BI20"/>
  <c r="BG20"/>
  <c r="BF20"/>
  <c r="BE20"/>
  <c r="BD20"/>
  <c r="AW20"/>
  <c r="AV20"/>
  <c r="AU20"/>
  <c r="AS20"/>
  <c r="AR20"/>
  <c r="AQ20"/>
  <c r="AP20"/>
  <c r="AN20"/>
  <c r="AM20"/>
  <c r="AL20"/>
  <c r="AK20"/>
  <c r="AI20"/>
  <c r="AH20"/>
  <c r="AG20"/>
  <c r="AE20"/>
  <c r="AD20"/>
  <c r="AC20"/>
  <c r="AB20"/>
  <c r="S20"/>
  <c r="R20"/>
  <c r="Q20"/>
  <c r="P20"/>
  <c r="J20"/>
  <c r="CF19"/>
  <c r="CE19"/>
  <c r="CD19"/>
  <c r="CC19"/>
  <c r="CA19"/>
  <c r="BZ19"/>
  <c r="BY19"/>
  <c r="BX19"/>
  <c r="BV19"/>
  <c r="BU19"/>
  <c r="BT19"/>
  <c r="BS19"/>
  <c r="BQ19"/>
  <c r="BP19"/>
  <c r="BO19"/>
  <c r="BN19"/>
  <c r="BL19"/>
  <c r="BK19"/>
  <c r="BJ19"/>
  <c r="BI19"/>
  <c r="BG19"/>
  <c r="BF19"/>
  <c r="BE19"/>
  <c r="BD19"/>
  <c r="AW19"/>
  <c r="AV19"/>
  <c r="AU19"/>
  <c r="AS19"/>
  <c r="AR19"/>
  <c r="AQ19"/>
  <c r="AP19"/>
  <c r="AN19"/>
  <c r="AM19"/>
  <c r="AL19"/>
  <c r="AK19"/>
  <c r="AI19"/>
  <c r="AH19"/>
  <c r="AG19"/>
  <c r="AE19"/>
  <c r="AD19"/>
  <c r="AC19"/>
  <c r="AB19"/>
  <c r="S19"/>
  <c r="R19"/>
  <c r="Q19"/>
  <c r="P19"/>
  <c r="J19"/>
  <c r="CF18"/>
  <c r="CE18"/>
  <c r="CD18"/>
  <c r="CC18"/>
  <c r="CA18"/>
  <c r="BZ18"/>
  <c r="BY18"/>
  <c r="BX18"/>
  <c r="BV18"/>
  <c r="BU18"/>
  <c r="BT18"/>
  <c r="BS18"/>
  <c r="BQ18"/>
  <c r="BP18"/>
  <c r="BO18"/>
  <c r="BN18"/>
  <c r="BL18"/>
  <c r="BK18"/>
  <c r="BJ18"/>
  <c r="BI18"/>
  <c r="BG18"/>
  <c r="BF18"/>
  <c r="BE18"/>
  <c r="BD18"/>
  <c r="AW18"/>
  <c r="AV18"/>
  <c r="AU18"/>
  <c r="AS18"/>
  <c r="AR18"/>
  <c r="AQ18"/>
  <c r="AP18"/>
  <c r="AN18"/>
  <c r="AM18"/>
  <c r="AL18"/>
  <c r="AK18"/>
  <c r="AI18"/>
  <c r="AH18"/>
  <c r="AG18"/>
  <c r="AE18"/>
  <c r="AD18"/>
  <c r="AC18"/>
  <c r="AB18"/>
  <c r="S18"/>
  <c r="R18"/>
  <c r="Q18"/>
  <c r="P18"/>
  <c r="J18"/>
  <c r="CF17"/>
  <c r="CE17"/>
  <c r="CD17"/>
  <c r="CC17"/>
  <c r="CA17"/>
  <c r="BZ17"/>
  <c r="BY17"/>
  <c r="BX17"/>
  <c r="BV17"/>
  <c r="BU17"/>
  <c r="BT17"/>
  <c r="BS17"/>
  <c r="BQ17"/>
  <c r="BP17"/>
  <c r="BO17"/>
  <c r="BN17"/>
  <c r="BL17"/>
  <c r="BK17"/>
  <c r="BJ17"/>
  <c r="BI17"/>
  <c r="BG17"/>
  <c r="BF17"/>
  <c r="BE17"/>
  <c r="BD17"/>
  <c r="AW17"/>
  <c r="AV17"/>
  <c r="AU17"/>
  <c r="AS17"/>
  <c r="AR17"/>
  <c r="AQ17"/>
  <c r="AP17"/>
  <c r="AN17"/>
  <c r="AM17"/>
  <c r="AL17"/>
  <c r="AK17"/>
  <c r="AI17"/>
  <c r="AH17"/>
  <c r="AG17"/>
  <c r="AE17"/>
  <c r="AD17"/>
  <c r="AC17"/>
  <c r="AB17"/>
  <c r="S17"/>
  <c r="R17"/>
  <c r="Q17"/>
  <c r="P17"/>
  <c r="J17"/>
  <c r="CF16"/>
  <c r="CE16"/>
  <c r="CD16"/>
  <c r="CC16"/>
  <c r="CA16"/>
  <c r="BZ16"/>
  <c r="BY16"/>
  <c r="BX16"/>
  <c r="BV16"/>
  <c r="BU16"/>
  <c r="BT16"/>
  <c r="BS16"/>
  <c r="BQ16"/>
  <c r="BP16"/>
  <c r="BO16"/>
  <c r="BN16"/>
  <c r="BL16"/>
  <c r="BK16"/>
  <c r="BJ16"/>
  <c r="BI16"/>
  <c r="BG16"/>
  <c r="BF16"/>
  <c r="BE16"/>
  <c r="BD16"/>
  <c r="AW16"/>
  <c r="AV16"/>
  <c r="AU16"/>
  <c r="AS16"/>
  <c r="AR16"/>
  <c r="AQ16"/>
  <c r="AP16"/>
  <c r="S16"/>
  <c r="R16"/>
  <c r="Q16"/>
  <c r="P16"/>
  <c r="J16"/>
  <c r="CF15"/>
  <c r="CE15"/>
  <c r="CD15"/>
  <c r="CC15"/>
  <c r="CA15"/>
  <c r="BZ15"/>
  <c r="BY15"/>
  <c r="BX15"/>
  <c r="BV15"/>
  <c r="BU15"/>
  <c r="BT15"/>
  <c r="BS15"/>
  <c r="BQ15"/>
  <c r="BP15"/>
  <c r="BO15"/>
  <c r="BN15"/>
  <c r="BL15"/>
  <c r="BK15"/>
  <c r="BJ15"/>
  <c r="BI15"/>
  <c r="BG15"/>
  <c r="BF15"/>
  <c r="BE15"/>
  <c r="BD15"/>
  <c r="AS15"/>
  <c r="AR15"/>
  <c r="AQ15"/>
  <c r="AP15"/>
  <c r="AN15"/>
  <c r="AM15"/>
  <c r="AL15"/>
  <c r="AK15"/>
  <c r="AI15"/>
  <c r="AH15"/>
  <c r="AG15"/>
  <c r="AE15"/>
  <c r="AD15"/>
  <c r="AC15"/>
  <c r="AB15"/>
  <c r="Z15"/>
  <c r="Y15"/>
  <c r="X15"/>
  <c r="S15"/>
  <c r="R15"/>
  <c r="Q15"/>
  <c r="P15"/>
  <c r="N15"/>
  <c r="M15"/>
  <c r="L15"/>
  <c r="J15"/>
  <c r="I15"/>
  <c r="H15"/>
  <c r="G15"/>
  <c r="Z4"/>
  <c r="Y4"/>
  <c r="X4"/>
  <c r="W4"/>
  <c r="BQ3"/>
  <c r="BP3"/>
  <c r="BO3"/>
  <c r="BN3"/>
  <c r="G66" i="15"/>
  <c r="G65"/>
  <c r="G64"/>
  <c r="G63"/>
  <c r="AN55"/>
  <c r="AL55"/>
  <c r="AN54"/>
  <c r="AL54"/>
  <c r="O53"/>
  <c r="N53"/>
  <c r="M53"/>
  <c r="L53"/>
  <c r="O52"/>
  <c r="N52"/>
  <c r="M52"/>
  <c r="L52"/>
  <c r="AJ51"/>
  <c r="O51"/>
  <c r="N51"/>
  <c r="M51"/>
  <c r="L51"/>
  <c r="AJ50"/>
  <c r="AI50"/>
  <c r="AH50"/>
  <c r="AG50"/>
  <c r="M50"/>
  <c r="H50"/>
  <c r="AJ49"/>
  <c r="AI49"/>
  <c r="AH49"/>
  <c r="AG49"/>
  <c r="Z49"/>
  <c r="Y49"/>
  <c r="X49"/>
  <c r="W49"/>
  <c r="M49"/>
  <c r="M48"/>
  <c r="O47"/>
  <c r="N47"/>
  <c r="M47"/>
  <c r="L47"/>
  <c r="J47"/>
  <c r="I47"/>
  <c r="H47"/>
  <c r="G47"/>
  <c r="AT46"/>
  <c r="AS46"/>
  <c r="AR46"/>
  <c r="AQ46"/>
  <c r="AO46"/>
  <c r="AN46"/>
  <c r="AM46"/>
  <c r="AL46"/>
  <c r="AJ46"/>
  <c r="AI46"/>
  <c r="AH46"/>
  <c r="AG46"/>
  <c r="AE46"/>
  <c r="AD46"/>
  <c r="AC46"/>
  <c r="AB46"/>
  <c r="Z46"/>
  <c r="Y46"/>
  <c r="X46"/>
  <c r="W46"/>
  <c r="T46"/>
  <c r="S46"/>
  <c r="R46"/>
  <c r="Q46"/>
  <c r="O46"/>
  <c r="N46"/>
  <c r="M46"/>
  <c r="L46"/>
  <c r="J46"/>
  <c r="I46"/>
  <c r="H46"/>
  <c r="G46"/>
  <c r="AT45"/>
  <c r="AS45"/>
  <c r="AR45"/>
  <c r="AQ45"/>
  <c r="AO45"/>
  <c r="AN45"/>
  <c r="AM45"/>
  <c r="AL45"/>
  <c r="AJ45"/>
  <c r="AI45"/>
  <c r="AH45"/>
  <c r="AG45"/>
  <c r="AE45"/>
  <c r="AD45"/>
  <c r="AC45"/>
  <c r="AB45"/>
  <c r="Z45"/>
  <c r="Y45"/>
  <c r="X45"/>
  <c r="W45"/>
  <c r="T45"/>
  <c r="S45"/>
  <c r="R45"/>
  <c r="Q45"/>
  <c r="O45"/>
  <c r="N45"/>
  <c r="M45"/>
  <c r="L45"/>
  <c r="J45"/>
  <c r="I45"/>
  <c r="H45"/>
  <c r="G45"/>
  <c r="AJ44"/>
  <c r="AI44"/>
  <c r="AH44"/>
  <c r="AG44"/>
  <c r="AE44"/>
  <c r="AD44"/>
  <c r="AC44"/>
  <c r="AB44"/>
  <c r="J44"/>
  <c r="I44"/>
  <c r="H44"/>
  <c r="G44"/>
  <c r="AT43"/>
  <c r="AS43"/>
  <c r="AR43"/>
  <c r="AQ43"/>
  <c r="AT41"/>
  <c r="AS41"/>
  <c r="AR41"/>
  <c r="AQ41"/>
  <c r="AO41"/>
  <c r="AN41"/>
  <c r="AM41"/>
  <c r="AL41"/>
  <c r="Y41"/>
  <c r="X41"/>
  <c r="W41"/>
  <c r="T41"/>
  <c r="O41"/>
  <c r="J41"/>
  <c r="I41"/>
  <c r="H41"/>
  <c r="AT40"/>
  <c r="AS40"/>
  <c r="AO40"/>
  <c r="AN40"/>
  <c r="Z40"/>
  <c r="Y40"/>
  <c r="T40"/>
  <c r="O40"/>
  <c r="N40"/>
  <c r="J40"/>
  <c r="AT39"/>
  <c r="AS39"/>
  <c r="AO39"/>
  <c r="AN39"/>
  <c r="Z39"/>
  <c r="Y39"/>
  <c r="T39"/>
  <c r="O39"/>
  <c r="N39"/>
  <c r="J39"/>
  <c r="AT38"/>
  <c r="AR38"/>
  <c r="AQ38"/>
  <c r="AO38"/>
  <c r="AM38"/>
  <c r="AL38"/>
  <c r="Z38"/>
  <c r="X38"/>
  <c r="W38"/>
  <c r="U38"/>
  <c r="T38"/>
  <c r="O38"/>
  <c r="N38"/>
  <c r="M38"/>
  <c r="L38"/>
  <c r="J38"/>
  <c r="H38"/>
  <c r="AT37"/>
  <c r="AS37"/>
  <c r="AR37"/>
  <c r="AQ37"/>
  <c r="AO37"/>
  <c r="AN37"/>
  <c r="AM37"/>
  <c r="AL37"/>
  <c r="AJ37"/>
  <c r="AI37"/>
  <c r="AH37"/>
  <c r="AG37"/>
  <c r="Z37"/>
  <c r="Y37"/>
  <c r="X37"/>
  <c r="W37"/>
  <c r="T37"/>
  <c r="O37"/>
  <c r="N37"/>
  <c r="M37"/>
  <c r="L37"/>
  <c r="J37"/>
  <c r="H37"/>
  <c r="AT36"/>
  <c r="AS36"/>
  <c r="AR36"/>
  <c r="AQ36"/>
  <c r="AO36"/>
  <c r="AN36"/>
  <c r="AM36"/>
  <c r="AL36"/>
  <c r="AJ36"/>
  <c r="AI36"/>
  <c r="AH36"/>
  <c r="AG36"/>
  <c r="Z36"/>
  <c r="Y36"/>
  <c r="X36"/>
  <c r="W36"/>
  <c r="T36"/>
  <c r="O36"/>
  <c r="N36"/>
  <c r="M36"/>
  <c r="L36"/>
  <c r="J36"/>
  <c r="H36"/>
  <c r="AT35"/>
  <c r="AS35"/>
  <c r="AR35"/>
  <c r="AQ35"/>
  <c r="AO35"/>
  <c r="AN35"/>
  <c r="AM35"/>
  <c r="AL35"/>
  <c r="Z35"/>
  <c r="Y35"/>
  <c r="X35"/>
  <c r="W35"/>
  <c r="U35"/>
  <c r="O35"/>
  <c r="N35"/>
  <c r="M35"/>
  <c r="L35"/>
  <c r="J35"/>
  <c r="H35"/>
  <c r="AT34"/>
  <c r="AS34"/>
  <c r="AR34"/>
  <c r="AQ34"/>
  <c r="AO34"/>
  <c r="AN34"/>
  <c r="AM34"/>
  <c r="AL34"/>
  <c r="AJ34"/>
  <c r="AI34"/>
  <c r="AH34"/>
  <c r="AG34"/>
  <c r="Z34"/>
  <c r="Y34"/>
  <c r="X34"/>
  <c r="W34"/>
  <c r="U34"/>
  <c r="T34"/>
  <c r="O34"/>
  <c r="N34"/>
  <c r="M34"/>
  <c r="L34"/>
  <c r="J34"/>
  <c r="H34"/>
  <c r="AT33"/>
  <c r="AR33"/>
  <c r="AO33"/>
  <c r="AM33"/>
  <c r="AJ33"/>
  <c r="AH33"/>
  <c r="AA33"/>
  <c r="Z33"/>
  <c r="X33"/>
  <c r="U33"/>
  <c r="T33"/>
  <c r="O33"/>
  <c r="J33"/>
  <c r="AT32"/>
  <c r="AS32"/>
  <c r="AR32"/>
  <c r="AQ32"/>
  <c r="AO32"/>
  <c r="AN32"/>
  <c r="AM32"/>
  <c r="AL32"/>
  <c r="AJ32"/>
  <c r="AI32"/>
  <c r="AH32"/>
  <c r="AG32"/>
  <c r="Z32"/>
  <c r="Y32"/>
  <c r="X32"/>
  <c r="W32"/>
  <c r="U32"/>
  <c r="T32"/>
  <c r="O32"/>
  <c r="J32"/>
  <c r="I32"/>
  <c r="H32"/>
  <c r="AT31"/>
  <c r="AS31"/>
  <c r="AR31"/>
  <c r="AQ31"/>
  <c r="AO31"/>
  <c r="AN31"/>
  <c r="AM31"/>
  <c r="AL31"/>
  <c r="AJ31"/>
  <c r="AI31"/>
  <c r="AH31"/>
  <c r="AG31"/>
  <c r="Z31"/>
  <c r="Y31"/>
  <c r="X31"/>
  <c r="W31"/>
  <c r="U31"/>
  <c r="T31"/>
  <c r="O31"/>
  <c r="J31"/>
  <c r="I31"/>
  <c r="H31"/>
  <c r="AV30"/>
  <c r="AT30"/>
  <c r="AS30"/>
  <c r="AR30"/>
  <c r="AQ30"/>
  <c r="AO30"/>
  <c r="AN30"/>
  <c r="AM30"/>
  <c r="AL30"/>
  <c r="AJ30"/>
  <c r="AI30"/>
  <c r="AH30"/>
  <c r="AG30"/>
  <c r="Z30"/>
  <c r="Y30"/>
  <c r="X30"/>
  <c r="W30"/>
  <c r="U30"/>
  <c r="T30"/>
  <c r="O30"/>
  <c r="J30"/>
  <c r="I30"/>
  <c r="H30"/>
  <c r="AT29"/>
  <c r="AS29"/>
  <c r="AR29"/>
  <c r="AQ29"/>
  <c r="AO29"/>
  <c r="AN29"/>
  <c r="AM29"/>
  <c r="AL29"/>
  <c r="AJ29"/>
  <c r="AI29"/>
  <c r="AH29"/>
  <c r="AG29"/>
  <c r="Z29"/>
  <c r="Y29"/>
  <c r="X29"/>
  <c r="W29"/>
  <c r="U29"/>
  <c r="T29"/>
  <c r="O29"/>
  <c r="J29"/>
  <c r="I29"/>
  <c r="H29"/>
  <c r="AT28"/>
  <c r="AS28"/>
  <c r="AR28"/>
  <c r="AQ28"/>
  <c r="AO28"/>
  <c r="AN28"/>
  <c r="AM28"/>
  <c r="AL28"/>
  <c r="AJ28"/>
  <c r="AI28"/>
  <c r="AH28"/>
  <c r="AG28"/>
  <c r="Z28"/>
  <c r="Y28"/>
  <c r="X28"/>
  <c r="W28"/>
  <c r="U28"/>
  <c r="T28"/>
  <c r="O28"/>
  <c r="N28"/>
  <c r="M28"/>
  <c r="L28"/>
  <c r="J28"/>
  <c r="H28"/>
  <c r="AT27"/>
  <c r="AS27"/>
  <c r="AR27"/>
  <c r="AQ27"/>
  <c r="AO27"/>
  <c r="AN27"/>
  <c r="AM27"/>
  <c r="AL27"/>
  <c r="AJ27"/>
  <c r="AI27"/>
  <c r="AH27"/>
  <c r="AG27"/>
  <c r="Z27"/>
  <c r="Y27"/>
  <c r="X27"/>
  <c r="W27"/>
  <c r="T27"/>
  <c r="O27"/>
  <c r="N27"/>
  <c r="M27"/>
  <c r="L27"/>
  <c r="J27"/>
  <c r="H27"/>
  <c r="AT26"/>
  <c r="AS26"/>
  <c r="AR26"/>
  <c r="AQ26"/>
  <c r="AO26"/>
  <c r="AN26"/>
  <c r="AM26"/>
  <c r="AL26"/>
  <c r="AJ26"/>
  <c r="AI26"/>
  <c r="AH26"/>
  <c r="AG26"/>
  <c r="Z26"/>
  <c r="Y26"/>
  <c r="X26"/>
  <c r="W26"/>
  <c r="T26"/>
  <c r="O26"/>
  <c r="N26"/>
  <c r="M26"/>
  <c r="L26"/>
  <c r="J26"/>
  <c r="H26"/>
  <c r="AT25"/>
  <c r="AS25"/>
  <c r="AR25"/>
  <c r="AQ25"/>
  <c r="AO25"/>
  <c r="AN25"/>
  <c r="AM25"/>
  <c r="AL25"/>
  <c r="AJ25"/>
  <c r="AI25"/>
  <c r="AH25"/>
  <c r="AG25"/>
  <c r="Z25"/>
  <c r="Y25"/>
  <c r="X25"/>
  <c r="W25"/>
  <c r="T25"/>
  <c r="O25"/>
  <c r="N25"/>
  <c r="M25"/>
  <c r="L25"/>
  <c r="J25"/>
  <c r="H25"/>
  <c r="AT24"/>
  <c r="AS24"/>
  <c r="AR24"/>
  <c r="AQ24"/>
  <c r="AO24"/>
  <c r="AN24"/>
  <c r="AM24"/>
  <c r="AL24"/>
  <c r="AJ24"/>
  <c r="AI24"/>
  <c r="AH24"/>
  <c r="AG24"/>
  <c r="AE24"/>
  <c r="AD24"/>
  <c r="AC24"/>
  <c r="AB24"/>
  <c r="Z24"/>
  <c r="Y24"/>
  <c r="X24"/>
  <c r="W24"/>
  <c r="T24"/>
  <c r="S24"/>
  <c r="R24"/>
  <c r="Q24"/>
  <c r="O24"/>
  <c r="N24"/>
  <c r="M24"/>
  <c r="L24"/>
  <c r="J24"/>
  <c r="I24"/>
  <c r="H24"/>
  <c r="G24"/>
  <c r="AT22"/>
  <c r="AR22"/>
  <c r="AO22"/>
  <c r="AM22"/>
  <c r="Z22"/>
  <c r="X22"/>
  <c r="T22"/>
  <c r="O22"/>
  <c r="J22"/>
  <c r="H22"/>
  <c r="AT21"/>
  <c r="AR21"/>
  <c r="AQ21"/>
  <c r="AO21"/>
  <c r="AM21"/>
  <c r="AL21"/>
  <c r="Z21"/>
  <c r="X21"/>
  <c r="W21"/>
  <c r="U21"/>
  <c r="T21"/>
  <c r="O21"/>
  <c r="J21"/>
  <c r="H21"/>
  <c r="G21"/>
  <c r="AT20"/>
  <c r="AS20"/>
  <c r="AR20"/>
  <c r="AQ20"/>
  <c r="AO20"/>
  <c r="AN20"/>
  <c r="AM20"/>
  <c r="AL20"/>
  <c r="AJ20"/>
  <c r="AI20"/>
  <c r="AH20"/>
  <c r="AG20"/>
  <c r="Z20"/>
  <c r="Y20"/>
  <c r="X20"/>
  <c r="W20"/>
  <c r="T20"/>
  <c r="O20"/>
  <c r="J20"/>
  <c r="I20"/>
  <c r="H20"/>
  <c r="G20"/>
  <c r="AT19"/>
  <c r="AS19"/>
  <c r="AR19"/>
  <c r="AQ19"/>
  <c r="AO19"/>
  <c r="AN19"/>
  <c r="AM19"/>
  <c r="AL19"/>
  <c r="AJ19"/>
  <c r="AI19"/>
  <c r="AH19"/>
  <c r="AG19"/>
  <c r="Z19"/>
  <c r="Y19"/>
  <c r="X19"/>
  <c r="W19"/>
  <c r="T19"/>
  <c r="O19"/>
  <c r="J19"/>
  <c r="I19"/>
  <c r="H19"/>
  <c r="G19"/>
  <c r="AT18"/>
  <c r="AS18"/>
  <c r="AR18"/>
  <c r="AQ18"/>
  <c r="AO18"/>
  <c r="AN18"/>
  <c r="AM18"/>
  <c r="AL18"/>
  <c r="Z18"/>
  <c r="Y18"/>
  <c r="X18"/>
  <c r="W18"/>
  <c r="U18"/>
  <c r="T18"/>
  <c r="O18"/>
  <c r="J18"/>
  <c r="I18"/>
  <c r="H18"/>
  <c r="G18"/>
  <c r="AT17"/>
  <c r="AS17"/>
  <c r="AR17"/>
  <c r="AQ17"/>
  <c r="AO17"/>
  <c r="AN17"/>
  <c r="AM17"/>
  <c r="AL17"/>
  <c r="AJ17"/>
  <c r="AI17"/>
  <c r="AH17"/>
  <c r="AG17"/>
  <c r="Z17"/>
  <c r="Y17"/>
  <c r="X17"/>
  <c r="W17"/>
  <c r="U17"/>
  <c r="T17"/>
  <c r="O17"/>
  <c r="J17"/>
  <c r="I17"/>
  <c r="H17"/>
  <c r="G17"/>
  <c r="AT16"/>
  <c r="AS16"/>
  <c r="AR16"/>
  <c r="AQ16"/>
  <c r="AO16"/>
  <c r="AN16"/>
  <c r="AM16"/>
  <c r="AL16"/>
  <c r="AJ16"/>
  <c r="AI16"/>
  <c r="AH16"/>
  <c r="AG16"/>
  <c r="Z16"/>
  <c r="Y16"/>
  <c r="X16"/>
  <c r="W16"/>
  <c r="U16"/>
  <c r="T16"/>
  <c r="O16"/>
  <c r="J16"/>
  <c r="I16"/>
  <c r="H16"/>
  <c r="G16"/>
  <c r="AT15"/>
  <c r="AS15"/>
  <c r="AR15"/>
  <c r="AQ15"/>
  <c r="AO15"/>
  <c r="AN15"/>
  <c r="AM15"/>
  <c r="AL15"/>
  <c r="AJ15"/>
  <c r="AI15"/>
  <c r="AH15"/>
  <c r="AG15"/>
  <c r="Z15"/>
  <c r="Y15"/>
  <c r="X15"/>
  <c r="W15"/>
  <c r="U15"/>
  <c r="T15"/>
  <c r="O15"/>
  <c r="J15"/>
  <c r="I15"/>
  <c r="H15"/>
  <c r="G15"/>
  <c r="AT14"/>
  <c r="AS14"/>
  <c r="AR14"/>
  <c r="AQ14"/>
  <c r="AO14"/>
  <c r="AN14"/>
  <c r="AM14"/>
  <c r="AL14"/>
  <c r="AJ14"/>
  <c r="AI14"/>
  <c r="AH14"/>
  <c r="AG14"/>
  <c r="Z14"/>
  <c r="Y14"/>
  <c r="X14"/>
  <c r="W14"/>
  <c r="T14"/>
  <c r="O14"/>
  <c r="J14"/>
  <c r="I14"/>
  <c r="H14"/>
  <c r="G14"/>
  <c r="AT13"/>
  <c r="AS13"/>
  <c r="AR13"/>
  <c r="AQ13"/>
  <c r="AO13"/>
  <c r="AN13"/>
  <c r="AM13"/>
  <c r="AL13"/>
  <c r="AJ13"/>
  <c r="AI13"/>
  <c r="AH13"/>
  <c r="AG13"/>
  <c r="Z13"/>
  <c r="Y13"/>
  <c r="X13"/>
  <c r="W13"/>
  <c r="T13"/>
  <c r="O13"/>
  <c r="J13"/>
  <c r="I13"/>
  <c r="H13"/>
  <c r="G13"/>
  <c r="AT12"/>
  <c r="AS12"/>
  <c r="AR12"/>
  <c r="AQ12"/>
  <c r="AO12"/>
  <c r="AN12"/>
  <c r="AM12"/>
  <c r="AL12"/>
  <c r="AJ12"/>
  <c r="AI12"/>
  <c r="AH12"/>
  <c r="AG12"/>
  <c r="Z12"/>
  <c r="Y12"/>
  <c r="X12"/>
  <c r="W12"/>
  <c r="T12"/>
  <c r="O12"/>
  <c r="J12"/>
  <c r="I12"/>
  <c r="H12"/>
  <c r="G12"/>
  <c r="AT11"/>
  <c r="AS11"/>
  <c r="AR11"/>
  <c r="AQ11"/>
  <c r="AO11"/>
  <c r="AN11"/>
  <c r="AM11"/>
  <c r="AL11"/>
  <c r="AJ11"/>
  <c r="AI11"/>
  <c r="AH11"/>
  <c r="AG11"/>
  <c r="AE11"/>
  <c r="AD11"/>
  <c r="AC11"/>
  <c r="AB11"/>
  <c r="Z11"/>
  <c r="Y11"/>
  <c r="X11"/>
  <c r="W11"/>
  <c r="T11"/>
  <c r="S11"/>
  <c r="R11"/>
  <c r="Q11"/>
  <c r="O11"/>
  <c r="N11"/>
  <c r="M11"/>
  <c r="L11"/>
  <c r="J11"/>
  <c r="I11"/>
  <c r="H11"/>
  <c r="G11"/>
  <c r="AJ2"/>
  <c r="AI2"/>
  <c r="AH2"/>
  <c r="AG2"/>
  <c r="Z2"/>
  <c r="Y2"/>
  <c r="X2"/>
  <c r="W2"/>
  <c r="U43" i="17"/>
  <c r="R43"/>
  <c r="R37"/>
  <c r="S34"/>
  <c r="U32"/>
  <c r="S32"/>
  <c r="R32"/>
  <c r="Q32"/>
  <c r="V31"/>
  <c r="S31"/>
  <c r="R31"/>
  <c r="Q31"/>
  <c r="V30"/>
  <c r="U30"/>
  <c r="S30"/>
  <c r="R30"/>
  <c r="Q30"/>
  <c r="U29"/>
  <c r="S29"/>
  <c r="R29"/>
  <c r="Q29"/>
  <c r="V28"/>
  <c r="S28"/>
  <c r="R28"/>
  <c r="Q28"/>
  <c r="V27"/>
  <c r="U27"/>
  <c r="S27"/>
  <c r="R27"/>
  <c r="Q27"/>
  <c r="U26"/>
  <c r="S26"/>
  <c r="R26"/>
  <c r="Q26"/>
  <c r="U25"/>
  <c r="S25"/>
  <c r="R25"/>
  <c r="Q25"/>
  <c r="V24"/>
  <c r="S24"/>
  <c r="R24"/>
  <c r="Q24"/>
  <c r="V23"/>
  <c r="U23"/>
  <c r="S23"/>
  <c r="R23"/>
  <c r="Q23"/>
  <c r="S22"/>
  <c r="R22"/>
  <c r="Q22"/>
  <c r="S21"/>
  <c r="R21"/>
  <c r="Q21"/>
  <c r="V20"/>
  <c r="U20"/>
  <c r="S20"/>
  <c r="R20"/>
  <c r="Q20"/>
  <c r="S19"/>
  <c r="R19"/>
  <c r="Q19"/>
  <c r="S18"/>
  <c r="R18"/>
  <c r="Q18"/>
  <c r="S17"/>
  <c r="R17"/>
  <c r="Q17"/>
  <c r="U16"/>
  <c r="S16"/>
  <c r="R16"/>
  <c r="Q16"/>
  <c r="V15"/>
  <c r="S15"/>
  <c r="R15"/>
  <c r="Q15"/>
  <c r="V14"/>
  <c r="U14"/>
  <c r="S14"/>
  <c r="R14"/>
  <c r="Q14"/>
  <c r="S13"/>
  <c r="R13"/>
  <c r="Q13"/>
  <c r="S12"/>
  <c r="R12"/>
  <c r="Q12"/>
  <c r="S11"/>
  <c r="R11"/>
  <c r="Q11"/>
  <c r="S10"/>
  <c r="R10"/>
  <c r="Q10"/>
  <c r="S9"/>
  <c r="R9"/>
  <c r="Q9"/>
  <c r="T44" i="18"/>
  <c r="R44"/>
  <c r="O38"/>
  <c r="N38"/>
  <c r="L38"/>
  <c r="K38"/>
  <c r="I38"/>
  <c r="H38"/>
  <c r="G38"/>
  <c r="F38"/>
  <c r="O37"/>
  <c r="N37"/>
  <c r="L37"/>
  <c r="K37"/>
  <c r="U36"/>
  <c r="S36"/>
  <c r="V35"/>
  <c r="S35"/>
  <c r="R35"/>
  <c r="Q35"/>
  <c r="O35"/>
  <c r="N35"/>
  <c r="H35"/>
  <c r="V34"/>
  <c r="U34"/>
  <c r="S34"/>
  <c r="R34"/>
  <c r="Q34"/>
  <c r="O34"/>
  <c r="N34"/>
  <c r="H34"/>
  <c r="S33"/>
  <c r="R33"/>
  <c r="Q33"/>
  <c r="O33"/>
  <c r="N33"/>
  <c r="H33"/>
  <c r="U32"/>
  <c r="S32"/>
  <c r="R32"/>
  <c r="Q32"/>
  <c r="O32"/>
  <c r="N32"/>
  <c r="H32"/>
  <c r="V31"/>
  <c r="S31"/>
  <c r="R31"/>
  <c r="Q31"/>
  <c r="O31"/>
  <c r="N31"/>
  <c r="H31"/>
  <c r="V30"/>
  <c r="U30"/>
  <c r="S30"/>
  <c r="R30"/>
  <c r="Q30"/>
  <c r="O30"/>
  <c r="N30"/>
  <c r="H30"/>
  <c r="V29"/>
  <c r="S29"/>
  <c r="R29"/>
  <c r="Q29"/>
  <c r="O29"/>
  <c r="N29"/>
  <c r="H29"/>
  <c r="V28"/>
  <c r="U28"/>
  <c r="S28"/>
  <c r="R28"/>
  <c r="Q28"/>
  <c r="O28"/>
  <c r="N28"/>
  <c r="H28"/>
  <c r="S27"/>
  <c r="R27"/>
  <c r="Q27"/>
  <c r="O27"/>
  <c r="N27"/>
  <c r="H27"/>
  <c r="S26"/>
  <c r="R26"/>
  <c r="Q26"/>
  <c r="O26"/>
  <c r="N26"/>
  <c r="H26"/>
  <c r="S25"/>
  <c r="R25"/>
  <c r="Q25"/>
  <c r="O25"/>
  <c r="N25"/>
  <c r="H25"/>
  <c r="S24"/>
  <c r="R24"/>
  <c r="Q24"/>
  <c r="O24"/>
  <c r="N24"/>
  <c r="H24"/>
  <c r="S23"/>
  <c r="R23"/>
  <c r="Q23"/>
  <c r="O23"/>
  <c r="N23"/>
  <c r="H23"/>
  <c r="S22"/>
  <c r="R22"/>
  <c r="Q22"/>
  <c r="O22"/>
  <c r="N22"/>
  <c r="H22"/>
  <c r="S21"/>
  <c r="R21"/>
  <c r="Q21"/>
  <c r="O21"/>
  <c r="N21"/>
  <c r="H21"/>
  <c r="V20"/>
  <c r="U20"/>
  <c r="S20"/>
  <c r="R20"/>
  <c r="Q20"/>
  <c r="O20"/>
  <c r="N20"/>
  <c r="H20"/>
  <c r="U19"/>
  <c r="S19"/>
  <c r="R19"/>
  <c r="Q19"/>
  <c r="O19"/>
  <c r="N19"/>
  <c r="H19"/>
  <c r="V18"/>
  <c r="S18"/>
  <c r="R18"/>
  <c r="Q18"/>
  <c r="O18"/>
  <c r="N18"/>
  <c r="H18"/>
  <c r="V17"/>
  <c r="U17"/>
  <c r="S17"/>
  <c r="R17"/>
  <c r="Q17"/>
  <c r="O17"/>
  <c r="N17"/>
  <c r="H17"/>
  <c r="S16"/>
  <c r="R16"/>
  <c r="Q16"/>
  <c r="O16"/>
  <c r="N16"/>
  <c r="H16"/>
  <c r="S15"/>
  <c r="R15"/>
  <c r="Q15"/>
  <c r="O15"/>
  <c r="N15"/>
  <c r="H15"/>
  <c r="S14"/>
  <c r="R14"/>
  <c r="Q14"/>
  <c r="O14"/>
  <c r="N14"/>
  <c r="H14"/>
  <c r="S13"/>
  <c r="R13"/>
  <c r="Q13"/>
  <c r="O13"/>
  <c r="N13"/>
  <c r="H13"/>
  <c r="S12"/>
  <c r="R12"/>
  <c r="Q12"/>
  <c r="O12"/>
  <c r="N12"/>
  <c r="H12"/>
  <c r="S11"/>
  <c r="R11"/>
  <c r="Q11"/>
  <c r="O11"/>
  <c r="N11"/>
  <c r="H11"/>
  <c r="S10"/>
  <c r="R10"/>
  <c r="Q10"/>
  <c r="O10"/>
  <c r="N10"/>
  <c r="H10"/>
  <c r="Z45" i="16"/>
  <c r="X45"/>
  <c r="S45"/>
  <c r="R45"/>
  <c r="G39"/>
  <c r="G38"/>
  <c r="Y37"/>
  <c r="S37"/>
  <c r="AA34"/>
  <c r="U34"/>
  <c r="AB33"/>
  <c r="Y33"/>
  <c r="X33"/>
  <c r="W33"/>
  <c r="V33"/>
  <c r="S33"/>
  <c r="R33"/>
  <c r="Q33"/>
  <c r="AB32"/>
  <c r="AA32"/>
  <c r="Y32"/>
  <c r="X32"/>
  <c r="W32"/>
  <c r="V32"/>
  <c r="U32"/>
  <c r="S32"/>
  <c r="R32"/>
  <c r="Q32"/>
  <c r="Y31"/>
  <c r="X31"/>
  <c r="W31"/>
  <c r="V31"/>
  <c r="S31"/>
  <c r="R31"/>
  <c r="Q31"/>
  <c r="AA30"/>
  <c r="Y30"/>
  <c r="X30"/>
  <c r="W30"/>
  <c r="U30"/>
  <c r="S30"/>
  <c r="R30"/>
  <c r="Q30"/>
  <c r="AB29"/>
  <c r="Y29"/>
  <c r="X29"/>
  <c r="W29"/>
  <c r="V29"/>
  <c r="S29"/>
  <c r="R29"/>
  <c r="Q29"/>
  <c r="AB28"/>
  <c r="AA28"/>
  <c r="Y28"/>
  <c r="X28"/>
  <c r="W28"/>
  <c r="V28"/>
  <c r="U28"/>
  <c r="S28"/>
  <c r="R28"/>
  <c r="Q28"/>
  <c r="Y27"/>
  <c r="X27"/>
  <c r="W27"/>
  <c r="U27"/>
  <c r="S27"/>
  <c r="R27"/>
  <c r="Q27"/>
  <c r="Y26"/>
  <c r="X26"/>
  <c r="W26"/>
  <c r="V26"/>
  <c r="S26"/>
  <c r="R26"/>
  <c r="Q26"/>
  <c r="AA25"/>
  <c r="Y25"/>
  <c r="X25"/>
  <c r="W25"/>
  <c r="V25"/>
  <c r="U25"/>
  <c r="S25"/>
  <c r="R25"/>
  <c r="Q25"/>
  <c r="AB24"/>
  <c r="Y24"/>
  <c r="X24"/>
  <c r="W24"/>
  <c r="S24"/>
  <c r="R24"/>
  <c r="Q24"/>
  <c r="AB23"/>
  <c r="AA23"/>
  <c r="Y23"/>
  <c r="X23"/>
  <c r="W23"/>
  <c r="S23"/>
  <c r="R23"/>
  <c r="Q23"/>
  <c r="Y22"/>
  <c r="X22"/>
  <c r="W22"/>
  <c r="S22"/>
  <c r="R22"/>
  <c r="Q22"/>
  <c r="Y21"/>
  <c r="X21"/>
  <c r="W21"/>
  <c r="S21"/>
  <c r="R21"/>
  <c r="Q21"/>
  <c r="Y20"/>
  <c r="X20"/>
  <c r="W20"/>
  <c r="V20"/>
  <c r="U20"/>
  <c r="S20"/>
  <c r="R20"/>
  <c r="Q20"/>
  <c r="Y19"/>
  <c r="X19"/>
  <c r="W19"/>
  <c r="S19"/>
  <c r="R19"/>
  <c r="Q19"/>
  <c r="Y18"/>
  <c r="X18"/>
  <c r="W18"/>
  <c r="S18"/>
  <c r="R18"/>
  <c r="Q18"/>
  <c r="Y17"/>
  <c r="X17"/>
  <c r="W17"/>
  <c r="S17"/>
  <c r="R17"/>
  <c r="Q17"/>
  <c r="Y16"/>
  <c r="X16"/>
  <c r="W16"/>
  <c r="S16"/>
  <c r="R16"/>
  <c r="Q16"/>
  <c r="Y15"/>
  <c r="X15"/>
  <c r="W15"/>
  <c r="U15"/>
  <c r="S15"/>
  <c r="R15"/>
  <c r="Q15"/>
  <c r="Y14"/>
  <c r="X14"/>
  <c r="W14"/>
  <c r="V14"/>
  <c r="S14"/>
  <c r="R14"/>
  <c r="Q14"/>
  <c r="Y13"/>
  <c r="X13"/>
  <c r="W13"/>
  <c r="V13"/>
  <c r="U13"/>
  <c r="S13"/>
  <c r="R13"/>
  <c r="Q13"/>
  <c r="Y12"/>
  <c r="X12"/>
  <c r="W12"/>
  <c r="S12"/>
  <c r="R12"/>
  <c r="Q12"/>
  <c r="Y11"/>
  <c r="X11"/>
  <c r="W11"/>
  <c r="S11"/>
  <c r="R11"/>
  <c r="Q11"/>
  <c r="Y10"/>
  <c r="X10"/>
  <c r="W10"/>
  <c r="S10"/>
  <c r="R10"/>
  <c r="Q10"/>
  <c r="AC93" i="19"/>
  <c r="AA93"/>
  <c r="Z93"/>
  <c r="V93"/>
  <c r="T93"/>
  <c r="S93"/>
  <c r="AE87"/>
  <c r="O87"/>
  <c r="N87"/>
  <c r="L87"/>
  <c r="K87"/>
  <c r="I87"/>
  <c r="H87"/>
  <c r="F87"/>
  <c r="AE86"/>
  <c r="AD86"/>
  <c r="O86"/>
  <c r="N86"/>
  <c r="L86"/>
  <c r="K86"/>
  <c r="I86"/>
  <c r="H86"/>
  <c r="F86"/>
  <c r="Z85"/>
  <c r="S85"/>
  <c r="Z83"/>
  <c r="Y83"/>
  <c r="X83"/>
  <c r="S83"/>
  <c r="R83"/>
  <c r="Q83"/>
  <c r="Z82"/>
  <c r="Y82"/>
  <c r="X82"/>
  <c r="U82"/>
  <c r="S82"/>
  <c r="R82"/>
  <c r="Q82"/>
  <c r="AC81"/>
  <c r="AB81"/>
  <c r="Z81"/>
  <c r="Y81"/>
  <c r="X81"/>
  <c r="V81"/>
  <c r="S81"/>
  <c r="R81"/>
  <c r="Q81"/>
  <c r="AC80"/>
  <c r="AB80"/>
  <c r="Z80"/>
  <c r="Y80"/>
  <c r="X80"/>
  <c r="V80"/>
  <c r="U80"/>
  <c r="S80"/>
  <c r="R80"/>
  <c r="Q80"/>
  <c r="Z79"/>
  <c r="Y79"/>
  <c r="X79"/>
  <c r="S79"/>
  <c r="R79"/>
  <c r="Q79"/>
  <c r="Z78"/>
  <c r="Y78"/>
  <c r="X78"/>
  <c r="S78"/>
  <c r="R78"/>
  <c r="Q78"/>
  <c r="Z77"/>
  <c r="Y77"/>
  <c r="X77"/>
  <c r="S77"/>
  <c r="R77"/>
  <c r="Q77"/>
  <c r="Z76"/>
  <c r="Y76"/>
  <c r="X76"/>
  <c r="S76"/>
  <c r="R76"/>
  <c r="Q76"/>
  <c r="Z75"/>
  <c r="Y75"/>
  <c r="X75"/>
  <c r="S75"/>
  <c r="R75"/>
  <c r="Q75"/>
  <c r="Z74"/>
  <c r="Y74"/>
  <c r="X74"/>
  <c r="U74"/>
  <c r="S74"/>
  <c r="R74"/>
  <c r="Q74"/>
  <c r="AC73"/>
  <c r="AB73"/>
  <c r="Z73"/>
  <c r="Y73"/>
  <c r="X73"/>
  <c r="V73"/>
  <c r="S73"/>
  <c r="R73"/>
  <c r="Q73"/>
  <c r="AC72"/>
  <c r="AB72"/>
  <c r="Z72"/>
  <c r="Y72"/>
  <c r="X72"/>
  <c r="V72"/>
  <c r="U72"/>
  <c r="S72"/>
  <c r="R72"/>
  <c r="Q72"/>
  <c r="Z71"/>
  <c r="Y71"/>
  <c r="X71"/>
  <c r="S71"/>
  <c r="R71"/>
  <c r="Q71"/>
  <c r="Z70"/>
  <c r="Y70"/>
  <c r="X70"/>
  <c r="S70"/>
  <c r="R70"/>
  <c r="Q70"/>
  <c r="Z69"/>
  <c r="Y69"/>
  <c r="X69"/>
  <c r="U69"/>
  <c r="S69"/>
  <c r="R69"/>
  <c r="Q69"/>
  <c r="AC68"/>
  <c r="AB68"/>
  <c r="Z68"/>
  <c r="Y68"/>
  <c r="X68"/>
  <c r="V68"/>
  <c r="S68"/>
  <c r="R68"/>
  <c r="Q68"/>
  <c r="AC67"/>
  <c r="AB67"/>
  <c r="Z67"/>
  <c r="Y67"/>
  <c r="X67"/>
  <c r="V67"/>
  <c r="U67"/>
  <c r="S67"/>
  <c r="R67"/>
  <c r="Q67"/>
  <c r="AC66"/>
  <c r="AB66"/>
  <c r="Z66"/>
  <c r="Y66"/>
  <c r="X66"/>
  <c r="S66"/>
  <c r="R66"/>
  <c r="Q66"/>
  <c r="AC65"/>
  <c r="AB65"/>
  <c r="Z65"/>
  <c r="Y65"/>
  <c r="X65"/>
  <c r="S65"/>
  <c r="R65"/>
  <c r="Q65"/>
  <c r="Z64"/>
  <c r="Y64"/>
  <c r="X64"/>
  <c r="S64"/>
  <c r="R64"/>
  <c r="Q64"/>
  <c r="Z63"/>
  <c r="Y63"/>
  <c r="X63"/>
  <c r="S63"/>
  <c r="R63"/>
  <c r="Q63"/>
  <c r="Z62"/>
  <c r="Y62"/>
  <c r="X62"/>
  <c r="U62"/>
  <c r="S62"/>
  <c r="R62"/>
  <c r="Q62"/>
  <c r="Z61"/>
  <c r="Y61"/>
  <c r="X61"/>
  <c r="V61"/>
  <c r="S61"/>
  <c r="R61"/>
  <c r="Q61"/>
  <c r="Z60"/>
  <c r="Y60"/>
  <c r="X60"/>
  <c r="V60"/>
  <c r="U60"/>
  <c r="S60"/>
  <c r="R60"/>
  <c r="Q60"/>
  <c r="Z59"/>
  <c r="Y59"/>
  <c r="X59"/>
  <c r="S59"/>
  <c r="R59"/>
  <c r="Q59"/>
  <c r="Z58"/>
  <c r="Y58"/>
  <c r="X58"/>
  <c r="S58"/>
  <c r="R58"/>
  <c r="Q58"/>
  <c r="Z57"/>
  <c r="Y57"/>
  <c r="X57"/>
  <c r="S57"/>
  <c r="R57"/>
  <c r="Q57"/>
  <c r="Z56"/>
  <c r="Y56"/>
  <c r="X56"/>
  <c r="S56"/>
  <c r="R56"/>
  <c r="Q56"/>
  <c r="Z55"/>
  <c r="Y55"/>
  <c r="X55"/>
  <c r="S55"/>
  <c r="R55"/>
  <c r="Q55"/>
  <c r="Z54"/>
  <c r="Y54"/>
  <c r="X54"/>
  <c r="S54"/>
  <c r="R54"/>
  <c r="Q54"/>
  <c r="Z53"/>
  <c r="Y53"/>
  <c r="X53"/>
  <c r="S53"/>
  <c r="R53"/>
  <c r="Q53"/>
  <c r="Z52"/>
  <c r="Y52"/>
  <c r="X52"/>
  <c r="S52"/>
  <c r="R52"/>
  <c r="Q52"/>
  <c r="Z51"/>
  <c r="Y51"/>
  <c r="X51"/>
  <c r="S51"/>
  <c r="R51"/>
  <c r="Q51"/>
  <c r="Z50"/>
  <c r="Y50"/>
  <c r="X50"/>
  <c r="S50"/>
  <c r="R50"/>
  <c r="Q50"/>
  <c r="Z49"/>
  <c r="Y49"/>
  <c r="X49"/>
  <c r="S49"/>
  <c r="R49"/>
  <c r="Q49"/>
  <c r="AC48"/>
  <c r="AB48"/>
  <c r="Z48"/>
  <c r="Y48"/>
  <c r="X48"/>
  <c r="S48"/>
  <c r="R48"/>
  <c r="Q48"/>
  <c r="Z47"/>
  <c r="Y47"/>
  <c r="X47"/>
  <c r="S47"/>
  <c r="R47"/>
  <c r="Q47"/>
  <c r="Z46"/>
  <c r="Y46"/>
  <c r="X46"/>
  <c r="S46"/>
  <c r="R46"/>
  <c r="Q46"/>
  <c r="AB45"/>
  <c r="Z45"/>
  <c r="Y45"/>
  <c r="X45"/>
  <c r="S45"/>
  <c r="R45"/>
  <c r="Q45"/>
  <c r="AC44"/>
  <c r="Z44"/>
  <c r="Y44"/>
  <c r="X44"/>
  <c r="S44"/>
  <c r="R44"/>
  <c r="Q44"/>
  <c r="AC43"/>
  <c r="AB43"/>
  <c r="Z43"/>
  <c r="Y43"/>
  <c r="X43"/>
  <c r="S43"/>
  <c r="R43"/>
  <c r="Q43"/>
  <c r="Z42"/>
  <c r="Y42"/>
  <c r="X42"/>
  <c r="S42"/>
  <c r="R42"/>
  <c r="Q42"/>
  <c r="Z41"/>
  <c r="Y41"/>
  <c r="X41"/>
  <c r="V41"/>
  <c r="U41"/>
  <c r="S41"/>
  <c r="R41"/>
  <c r="Q41"/>
  <c r="Z40"/>
  <c r="Y40"/>
  <c r="X40"/>
  <c r="S40"/>
  <c r="R40"/>
  <c r="Q40"/>
  <c r="Z39"/>
  <c r="Y39"/>
  <c r="X39"/>
  <c r="S39"/>
  <c r="R39"/>
  <c r="Q39"/>
  <c r="Z38"/>
  <c r="Y38"/>
  <c r="X38"/>
  <c r="S38"/>
  <c r="R38"/>
  <c r="Q38"/>
  <c r="Z37"/>
  <c r="Y37"/>
  <c r="X37"/>
  <c r="S37"/>
  <c r="R37"/>
  <c r="Q37"/>
  <c r="Z36"/>
  <c r="Y36"/>
  <c r="X36"/>
  <c r="S36"/>
  <c r="R36"/>
  <c r="Q36"/>
  <c r="Z35"/>
  <c r="Y35"/>
  <c r="X35"/>
  <c r="S35"/>
  <c r="R35"/>
  <c r="Q35"/>
  <c r="Z34"/>
  <c r="Y34"/>
  <c r="X34"/>
  <c r="S34"/>
  <c r="R34"/>
  <c r="Q34"/>
  <c r="Z33"/>
  <c r="Y33"/>
  <c r="X33"/>
  <c r="S33"/>
  <c r="R33"/>
  <c r="Q33"/>
  <c r="Z32"/>
  <c r="Y32"/>
  <c r="X32"/>
  <c r="S32"/>
  <c r="R32"/>
  <c r="Q32"/>
  <c r="Z31"/>
  <c r="Y31"/>
  <c r="X31"/>
  <c r="S31"/>
  <c r="R31"/>
  <c r="Q31"/>
  <c r="Z30"/>
  <c r="Y30"/>
  <c r="X30"/>
  <c r="U30"/>
  <c r="S30"/>
  <c r="R30"/>
  <c r="Q30"/>
  <c r="Z29"/>
  <c r="Y29"/>
  <c r="X29"/>
  <c r="V29"/>
  <c r="S29"/>
  <c r="R29"/>
  <c r="Q29"/>
  <c r="Z28"/>
  <c r="Y28"/>
  <c r="X28"/>
  <c r="V28"/>
  <c r="U28"/>
  <c r="S28"/>
  <c r="R28"/>
  <c r="Q28"/>
  <c r="Z27"/>
  <c r="Y27"/>
  <c r="X27"/>
  <c r="S27"/>
  <c r="R27"/>
  <c r="Q27"/>
  <c r="Z26"/>
  <c r="Y26"/>
  <c r="X26"/>
  <c r="S26"/>
  <c r="R26"/>
  <c r="Q26"/>
  <c r="Z25"/>
  <c r="Y25"/>
  <c r="X25"/>
  <c r="S25"/>
  <c r="R25"/>
  <c r="Q25"/>
  <c r="Z24"/>
  <c r="Y24"/>
  <c r="X24"/>
  <c r="S24"/>
  <c r="R24"/>
  <c r="Q24"/>
  <c r="Z23"/>
  <c r="Y23"/>
  <c r="X23"/>
  <c r="S23"/>
  <c r="R23"/>
  <c r="Q23"/>
  <c r="Z22"/>
  <c r="Y22"/>
  <c r="X22"/>
  <c r="S22"/>
  <c r="R22"/>
  <c r="Q22"/>
  <c r="Z21"/>
  <c r="Y21"/>
  <c r="X21"/>
  <c r="S21"/>
  <c r="R21"/>
  <c r="Q21"/>
  <c r="Z20"/>
  <c r="Y20"/>
  <c r="X20"/>
  <c r="S20"/>
  <c r="R20"/>
  <c r="Q20"/>
  <c r="Z19"/>
  <c r="Y19"/>
  <c r="X19"/>
  <c r="S19"/>
  <c r="R19"/>
  <c r="Q19"/>
  <c r="Z18"/>
  <c r="Y18"/>
  <c r="X18"/>
  <c r="S18"/>
  <c r="R18"/>
  <c r="Q18"/>
  <c r="Z17"/>
  <c r="Y17"/>
  <c r="X17"/>
  <c r="S17"/>
  <c r="R17"/>
  <c r="Q17"/>
  <c r="Z16"/>
  <c r="Y16"/>
  <c r="X16"/>
  <c r="S16"/>
  <c r="R16"/>
  <c r="Q16"/>
  <c r="Z15"/>
  <c r="Y15"/>
  <c r="X15"/>
  <c r="S15"/>
  <c r="R15"/>
  <c r="Q15"/>
  <c r="Z14"/>
  <c r="Y14"/>
  <c r="X14"/>
  <c r="S14"/>
  <c r="R14"/>
  <c r="Q14"/>
  <c r="Z13"/>
  <c r="Y13"/>
  <c r="X13"/>
  <c r="S13"/>
  <c r="R13"/>
  <c r="Q13"/>
  <c r="Z12"/>
  <c r="Y12"/>
  <c r="X12"/>
  <c r="S12"/>
  <c r="R12"/>
  <c r="Q12"/>
  <c r="Z11"/>
  <c r="Y11"/>
  <c r="X11"/>
  <c r="S11"/>
  <c r="R11"/>
  <c r="Q11"/>
  <c r="Z10"/>
  <c r="Y10"/>
  <c r="X10"/>
  <c r="S10"/>
  <c r="R10"/>
  <c r="Q10"/>
  <c r="G55" i="22"/>
</calcChain>
</file>

<file path=xl/sharedStrings.xml><?xml version="1.0" encoding="utf-8"?>
<sst xmlns="http://schemas.openxmlformats.org/spreadsheetml/2006/main" count="1708" uniqueCount="736">
  <si>
    <t>Slave annual earnings: Derived as free labor force average location/occupation earnings times the assumed slave retention rate (see " Slave earnings divided"</t>
    <phoneticPr fontId="20" type="noConversion"/>
  </si>
  <si>
    <r>
      <t xml:space="preserve">This guess seems consistent with the age and sex distributions given for slves in Maryland, New Jersey, and New York around 1774 (in </t>
    </r>
    <r>
      <rPr>
        <i/>
        <sz val="12"/>
        <rFont val="Arial"/>
      </rPr>
      <t>HSUS Millennial</t>
    </r>
    <r>
      <rPr>
        <sz val="12"/>
        <rFont val="Arial"/>
      </rPr>
      <t>).</t>
    </r>
    <phoneticPr fontId="20" type="noConversion"/>
  </si>
  <si>
    <t>Two corrections, May 2015</t>
    <phoneticPr fontId="20" type="noConversion"/>
  </si>
  <si>
    <r>
      <t>(B.) Labor force</t>
    </r>
    <r>
      <rPr>
        <sz val="12"/>
        <rFont val="Arial"/>
      </rPr>
      <t xml:space="preserve">: Lindert-Williamson estimates, in the "1774 occupations by region" Excel file, January 2011. Based on the colonial censuses in </t>
    </r>
    <r>
      <rPr>
        <i/>
        <sz val="12"/>
        <rFont val="Arial"/>
      </rPr>
      <t>Historical Statistics,</t>
    </r>
    <r>
      <rPr>
        <sz val="12"/>
        <rFont val="Arial"/>
      </rPr>
      <t xml:space="preserve"> </t>
    </r>
    <phoneticPr fontId="20" type="noConversion"/>
  </si>
  <si>
    <t>MD white female servants</t>
    <phoneticPr fontId="20" type="noConversion"/>
  </si>
  <si>
    <t>Top 20%:</t>
  </si>
  <si>
    <t>New Eng</t>
    <phoneticPr fontId="20" type="noConversion"/>
  </si>
  <si>
    <t>rural, towns</t>
  </si>
  <si>
    <t>Boston</t>
  </si>
  <si>
    <t>Occupational group</t>
    <phoneticPr fontId="20" type="noConversion"/>
  </si>
  <si>
    <t>All free households</t>
    <phoneticPr fontId="20" type="noConversion"/>
  </si>
  <si>
    <t>*See "Sources &amp; notes" worksheet for the colony-specific exchange rates.</t>
    <phoneticPr fontId="20" type="noConversion"/>
  </si>
  <si>
    <t>(rural only)</t>
  </si>
  <si>
    <t>% error</t>
    <phoneticPr fontId="20" type="noConversion"/>
  </si>
  <si>
    <t>Free</t>
  </si>
  <si>
    <t>Total</t>
  </si>
  <si>
    <t>(Boston,</t>
    <phoneticPr fontId="20" type="noConversion"/>
  </si>
  <si>
    <t>Group 4A</t>
    <phoneticPr fontId="20" type="noConversion"/>
  </si>
  <si>
    <t>% share</t>
    <phoneticPr fontId="20" type="noConversion"/>
  </si>
  <si>
    <t>Group 8</t>
    <phoneticPr fontId="20" type="noConversion"/>
  </si>
  <si>
    <t>Landholders (assumed to be part of the farm population)</t>
    <phoneticPr fontId="20" type="noConversion"/>
  </si>
  <si>
    <t>from the "Own-Labor Incomes 1774" file -&gt;</t>
    <phoneticPr fontId="20" type="noConversion"/>
  </si>
  <si>
    <t>Average household size, 13 colonies 1774</t>
    <phoneticPr fontId="20" type="noConversion"/>
  </si>
  <si>
    <t>In 1759</t>
    <phoneticPr fontId="20" type="noConversion"/>
  </si>
  <si>
    <r>
      <t>Versus</t>
    </r>
    <r>
      <rPr>
        <u/>
        <sz val="12"/>
        <rFont val="Arial"/>
      </rPr>
      <t xml:space="preserve"> England and Wales</t>
    </r>
    <r>
      <rPr>
        <sz val="12"/>
        <rFont val="Arial"/>
      </rPr>
      <t>:</t>
    </r>
    <phoneticPr fontId="20" type="noConversion"/>
  </si>
  <si>
    <t>in 1801</t>
    <phoneticPr fontId="20" type="noConversion"/>
  </si>
  <si>
    <t>NewEng</t>
  </si>
  <si>
    <t>MidAtl</t>
  </si>
  <si>
    <t>All 13</t>
  </si>
  <si>
    <t>69.06  in $ =</t>
  </si>
  <si>
    <t>15.55  in £</t>
  </si>
  <si>
    <r>
      <t>Per capita incomes, in current prices, 1774</t>
    </r>
    <r>
      <rPr>
        <sz val="12"/>
        <rFont val="Arial"/>
      </rPr>
      <t>:</t>
    </r>
    <phoneticPr fontId="20" type="noConversion"/>
  </si>
  <si>
    <r>
      <t xml:space="preserve">Versus these incomes per capita in </t>
    </r>
    <r>
      <rPr>
        <u/>
        <sz val="12"/>
        <rFont val="Arial"/>
      </rPr>
      <t>England-Wales</t>
    </r>
    <r>
      <rPr>
        <sz val="12"/>
        <rFont val="Arial"/>
      </rPr>
      <t>, in current £ </t>
    </r>
    <phoneticPr fontId="20" type="noConversion"/>
  </si>
  <si>
    <t>[Sample too small to be used.]</t>
    <phoneticPr fontId="20" type="noConversion"/>
  </si>
  <si>
    <t>LF per</t>
    <phoneticPr fontId="20" type="noConversion"/>
  </si>
  <si>
    <t>no. of HHs</t>
    <phoneticPr fontId="20" type="noConversion"/>
  </si>
  <si>
    <t>free LF</t>
    <phoneticPr fontId="20" type="noConversion"/>
  </si>
  <si>
    <t>Colonies</t>
    <phoneticPr fontId="20" type="noConversion"/>
  </si>
  <si>
    <t>New Eng</t>
    <phoneticPr fontId="20" type="noConversion"/>
  </si>
  <si>
    <t>worksheet in the "Own labor incomes 1774" Excel file). The retention rates (%) are:</t>
    <phoneticPr fontId="20" type="noConversion"/>
  </si>
  <si>
    <t>Group 918B</t>
    <phoneticPr fontId="20" type="noConversion"/>
  </si>
  <si>
    <t>Group 919</t>
    <phoneticPr fontId="20" type="noConversion"/>
  </si>
  <si>
    <t>P10*(P10-Q10)</t>
    <phoneticPr fontId="20" type="noConversion"/>
  </si>
  <si>
    <t>Note that in all cases, we continued to estimate that some female unskilled laborers were household heads,</t>
    <phoneticPr fontId="20" type="noConversion"/>
  </si>
  <si>
    <t>with positive labor earnings.  The only difference between the two assumptions just described is a difference between zero</t>
    <phoneticPr fontId="20" type="noConversion"/>
  </si>
  <si>
    <t xml:space="preserve">(current assumption) and near-zero property earnings(earlier assumption) for their households.  </t>
    <phoneticPr fontId="20" type="noConversion"/>
  </si>
  <si>
    <t>AVE. GROSS NIPA PROPERTY INCOME PER HOUSEHOLD</t>
    <phoneticPr fontId="20" type="noConversion"/>
  </si>
  <si>
    <t>Free HHs with property</t>
    <phoneticPr fontId="20" type="noConversion"/>
  </si>
  <si>
    <t>•• NON-HEADS IMPORTED BY HOUSEHOLDS</t>
    <phoneticPr fontId="20" type="noConversion"/>
  </si>
  <si>
    <t xml:space="preserve">  ==&gt;</t>
    <phoneticPr fontId="20" type="noConversion"/>
  </si>
  <si>
    <t>All</t>
    <phoneticPr fontId="20" type="noConversion"/>
  </si>
  <si>
    <t>All 13 col's</t>
    <phoneticPr fontId="20" type="noConversion"/>
  </si>
  <si>
    <t>Rates of imported LF per household</t>
    <phoneticPr fontId="20" type="noConversion"/>
  </si>
  <si>
    <t>Males 13-21</t>
    <phoneticPr fontId="20" type="noConversion"/>
  </si>
  <si>
    <t>Fem 13-18</t>
    <phoneticPr fontId="20" type="noConversion"/>
  </si>
  <si>
    <t>Colonies</t>
    <phoneticPr fontId="20" type="noConversion"/>
  </si>
  <si>
    <t>Farm operators - 40th-79th%</t>
  </si>
  <si>
    <t>sterling (UK)</t>
  </si>
  <si>
    <t>Artisans (manufacturing trades)</t>
    <phoneticPr fontId="20" type="noConversion"/>
  </si>
  <si>
    <t>(Matches Panel (L.) on Worksheet (2).)</t>
    <phoneticPr fontId="20" type="noConversion"/>
  </si>
  <si>
    <t>Totals for this Philadelphia sub-sample</t>
    <phoneticPr fontId="20" type="noConversion"/>
  </si>
  <si>
    <t>INEQUALITY AMONG FREE HOUSEHOLDS</t>
    <phoneticPr fontId="20" type="noConversion"/>
  </si>
  <si>
    <t>Group 2-3</t>
  </si>
  <si>
    <t>All</t>
    <phoneticPr fontId="20" type="noConversion"/>
  </si>
  <si>
    <t>It seems plausible that the household headship rate could have been 35 percent of those over 10.</t>
    <phoneticPr fontId="20" type="noConversion"/>
  </si>
  <si>
    <t>From the three files "Aggreg Property 1774 [name of region]"</t>
    <phoneticPr fontId="20" type="noConversion"/>
  </si>
  <si>
    <t>worker can be in a farmer's household, and a farm worker in a</t>
    <phoneticPr fontId="20" type="noConversion"/>
  </si>
  <si>
    <t xml:space="preserve">non-farmer's household.  </t>
    <phoneticPr fontId="20" type="noConversion"/>
  </si>
  <si>
    <t>LABOR FORCE</t>
    <phoneticPr fontId="20" type="noConversion"/>
  </si>
  <si>
    <t>From "Wage data" via "Own-labor incomes 1774"</t>
    <phoneticPr fontId="20" type="noConversion"/>
  </si>
  <si>
    <t>This (B.) panel re-checked against "Own-Labor</t>
    <phoneticPr fontId="20" type="noConversion"/>
  </si>
  <si>
    <t>These match the total LF numbers</t>
    <phoneticPr fontId="20" type="noConversion"/>
  </si>
  <si>
    <t>in the "Own-labor incomes 1774" file</t>
    <phoneticPr fontId="20" type="noConversion"/>
  </si>
  <si>
    <t>Charleston)</t>
    <phoneticPr fontId="20" type="noConversion"/>
  </si>
  <si>
    <t>Group 6A</t>
    <phoneticPr fontId="20" type="noConversion"/>
  </si>
  <si>
    <t>Unskilled male workers</t>
    <phoneticPr fontId="20" type="noConversion"/>
  </si>
  <si>
    <t>(See note at the bottom of these columns.)</t>
    <phoneticPr fontId="20" type="noConversion"/>
  </si>
  <si>
    <t>Check:</t>
    <phoneticPr fontId="20" type="noConversion"/>
  </si>
  <si>
    <t>incomes 1774 d" file, 23 apr'2011. No changes.</t>
    <phoneticPr fontId="20" type="noConversion"/>
  </si>
  <si>
    <t>Slaves ages 10 up, retained earnings*</t>
  </si>
  <si>
    <t>Free HHs with property</t>
    <phoneticPr fontId="20" type="noConversion"/>
  </si>
  <si>
    <t>For the skilled labor Group 4 in manufacturing and construction, we assume that property</t>
    <phoneticPr fontId="20" type="noConversion"/>
  </si>
  <si>
    <t>"North" = New</t>
    <phoneticPr fontId="20" type="noConversion"/>
  </si>
  <si>
    <t>Group 19</t>
    <phoneticPr fontId="20" type="noConversion"/>
  </si>
  <si>
    <t>Total</t>
    <phoneticPr fontId="20" type="noConversion"/>
  </si>
  <si>
    <t>income share</t>
    <phoneticPr fontId="20" type="noConversion"/>
  </si>
  <si>
    <t>The</t>
    <phoneticPr fontId="20" type="noConversion"/>
  </si>
  <si>
    <t>Merchant &amp; shopkeepers</t>
    <phoneticPr fontId="20" type="noConversion"/>
  </si>
  <si>
    <t>Group 4A</t>
    <phoneticPr fontId="20" type="noConversion"/>
  </si>
  <si>
    <t>Merchant &amp; shopkeepers</t>
    <phoneticPr fontId="20" type="noConversion"/>
  </si>
  <si>
    <t>Eng + Middle together</t>
    <phoneticPr fontId="20" type="noConversion"/>
  </si>
  <si>
    <t>Income ratio,</t>
    <phoneticPr fontId="20" type="noConversion"/>
  </si>
  <si>
    <t>South/North</t>
    <phoneticPr fontId="20" type="noConversion"/>
  </si>
  <si>
    <r>
      <t>(C.) Occupation Notes</t>
    </r>
    <r>
      <rPr>
        <sz val="12"/>
        <rFont val="Arial"/>
      </rPr>
      <t>:</t>
    </r>
    <phoneticPr fontId="20" type="noConversion"/>
  </si>
  <si>
    <t>Reminder: No error ranges are given here, and of course the figures are not imagined to be accurate to the last digit.</t>
    <phoneticPr fontId="20" type="noConversion"/>
  </si>
  <si>
    <t>to gini</t>
    <phoneticPr fontId="20" type="noConversion"/>
  </si>
  <si>
    <t>Group 5E</t>
  </si>
  <si>
    <t>$</t>
    <phoneticPr fontId="20" type="noConversion"/>
  </si>
  <si>
    <r>
      <t>(E.) Slave earnings</t>
    </r>
    <r>
      <rPr>
        <sz val="12"/>
        <rFont val="Arial"/>
      </rPr>
      <t>:</t>
    </r>
    <phoneticPr fontId="20" type="noConversion"/>
  </si>
  <si>
    <t>(Assume the exported non-HHs have the same average rates of earnings</t>
    <phoneticPr fontId="20" type="noConversion"/>
  </si>
  <si>
    <t>Unskilled female workers</t>
    <phoneticPr fontId="20" type="noConversion"/>
  </si>
  <si>
    <t>Group 7</t>
    <phoneticPr fontId="20" type="noConversion"/>
  </si>
  <si>
    <t>Out of 575 fuller-record households,</t>
    <phoneticPr fontId="20" type="noConversion"/>
  </si>
  <si>
    <t>The previous-step files leading to this one = "Own-Labor Incomes 1774" and the three "Aggreg Property 1774 [New England, Mid Col's, South]" files.</t>
    <phoneticPr fontId="20" type="noConversion"/>
  </si>
  <si>
    <t>Sources and notes to the "Total incomes 1774" file</t>
    <phoneticPr fontId="20" type="noConversion"/>
  </si>
  <si>
    <t>average earnings for white-collar groups in rural areas were assumed to equal the documented earnings of the same groups in small cities of each same region.</t>
    <phoneticPr fontId="20" type="noConversion"/>
  </si>
  <si>
    <t>In the Middle Colonies, there were only 1.26 LF members</t>
    <phoneticPr fontId="20" type="noConversion"/>
  </si>
  <si>
    <t>Farm operators - all, New York</t>
  </si>
  <si>
    <t>rural, towns</t>
    <phoneticPr fontId="20" type="noConversion"/>
  </si>
  <si>
    <t>NYC, Philly</t>
    <phoneticPr fontId="20" type="noConversion"/>
  </si>
  <si>
    <t>Region</t>
    <phoneticPr fontId="20" type="noConversion"/>
  </si>
  <si>
    <t>rural</t>
    <phoneticPr fontId="20" type="noConversion"/>
  </si>
  <si>
    <t>Groups</t>
    <phoneticPr fontId="20" type="noConversion"/>
  </si>
  <si>
    <t>Group definition</t>
    <phoneticPr fontId="20" type="noConversion"/>
  </si>
  <si>
    <t xml:space="preserve"> &lt;- from the "Own-Labor Incomes 1774" file</t>
    <phoneticPr fontId="20" type="noConversion"/>
  </si>
  <si>
    <t>was</t>
    <phoneticPr fontId="20" type="noConversion"/>
  </si>
  <si>
    <t>(AL29-AL42)/(AC29-AC42)</t>
    <phoneticPr fontId="20" type="noConversion"/>
  </si>
  <si>
    <t>August 2012: Adjusted to assume no depre-</t>
    <phoneticPr fontId="20" type="noConversion"/>
  </si>
  <si>
    <t>Special assumption about average property income:</t>
    <phoneticPr fontId="20" type="noConversion"/>
  </si>
  <si>
    <t>colonies</t>
    <phoneticPr fontId="20" type="noConversion"/>
  </si>
  <si>
    <t>Four</t>
    <phoneticPr fontId="20" type="noConversion"/>
  </si>
  <si>
    <t>Female HHs w/wealth, no occ stated</t>
    <phoneticPr fontId="20" type="noConversion"/>
  </si>
  <si>
    <t>All free HHs</t>
    <phoneticPr fontId="20" type="noConversion"/>
  </si>
  <si>
    <t>South</t>
  </si>
  <si>
    <r>
      <t>EXTRA EARNERS IMPORTED</t>
    </r>
    <r>
      <rPr>
        <sz val="12"/>
        <rFont val="Arial"/>
      </rPr>
      <t xml:space="preserve"> (using assumptions described in the "sources and notes" note (G.).)</t>
    </r>
    <phoneticPr fontId="20" type="noConversion"/>
  </si>
  <si>
    <t>Free LF imports = sum of LF-HH, whole place</t>
    <phoneticPr fontId="20" type="noConversion"/>
  </si>
  <si>
    <t>Adult male</t>
    <phoneticPr fontId="20" type="noConversion"/>
  </si>
  <si>
    <t>Adult female</t>
    <phoneticPr fontId="20" type="noConversion"/>
  </si>
  <si>
    <t>Single white males, 21 years and older</t>
    <phoneticPr fontId="20" type="noConversion"/>
  </si>
  <si>
    <t xml:space="preserve">imported into free families is the same for all free families in that place.  We assume no correlation between earning power of </t>
    <phoneticPr fontId="20" type="noConversion"/>
  </si>
  <si>
    <t>and towns</t>
    <phoneticPr fontId="20" type="noConversion"/>
  </si>
  <si>
    <t>13 Colonies</t>
    <phoneticPr fontId="20" type="noConversion"/>
  </si>
  <si>
    <t>again</t>
    <phoneticPr fontId="20" type="noConversion"/>
  </si>
  <si>
    <t>HHs + Ms =</t>
    <phoneticPr fontId="20" type="noConversion"/>
  </si>
  <si>
    <t>South</t>
    <phoneticPr fontId="20" type="noConversion"/>
  </si>
  <si>
    <t>Group 8</t>
    <phoneticPr fontId="20" type="noConversion"/>
  </si>
  <si>
    <t xml:space="preserve">Thus in terms of income per LF member, the </t>
    <phoneticPr fontId="20" type="noConversion"/>
  </si>
  <si>
    <t>This file is a building block in estimating total incomes, from property as well as from own-labor sources, in the "Total incomes 1774" file.</t>
    <phoneticPr fontId="20" type="noConversion"/>
  </si>
  <si>
    <r>
      <t>(G.) Exchange rates for converting colony-specific £sd into the dollars shown here</t>
    </r>
    <r>
      <rPr>
        <sz val="12"/>
        <rFont val="Arial"/>
      </rPr>
      <t>:</t>
    </r>
    <phoneticPr fontId="20" type="noConversion"/>
  </si>
  <si>
    <t>Adjusted Aug'12</t>
    <phoneticPr fontId="20" type="noConversion"/>
  </si>
  <si>
    <t>All-occ totals are zero, as they should be.</t>
    <phoneticPr fontId="20" type="noConversion"/>
  </si>
  <si>
    <t>Farm operators - next 18%</t>
  </si>
  <si>
    <t>INEQUALITY AMONG ALL HOUSEHOLDS</t>
    <phoneticPr fontId="20" type="noConversion"/>
  </si>
  <si>
    <t>check HHs + Xs =</t>
    <phoneticPr fontId="20" type="noConversion"/>
  </si>
  <si>
    <t>Farm operators - top 2% in property</t>
  </si>
  <si>
    <t>NYC, Philly</t>
  </si>
  <si>
    <t>*Slaves ages 10 up, retained earnings</t>
  </si>
  <si>
    <t>Charleston</t>
  </si>
  <si>
    <t>Reminder from the "Occ's 1774" file: These group by HH's occ,</t>
    <phoneticPr fontId="20" type="noConversion"/>
  </si>
  <si>
    <t>Reminder: These are incomes per household,</t>
    <phoneticPr fontId="20" type="noConversion"/>
  </si>
  <si>
    <t>Lindert-</t>
    <phoneticPr fontId="20" type="noConversion"/>
  </si>
  <si>
    <t>$/HH-year</t>
    <phoneticPr fontId="20" type="noConversion"/>
  </si>
  <si>
    <t>$/year</t>
    <phoneticPr fontId="20" type="noConversion"/>
  </si>
  <si>
    <t>HH share</t>
    <phoneticPr fontId="20" type="noConversion"/>
  </si>
  <si>
    <t>cities</t>
    <phoneticPr fontId="20" type="noConversion"/>
  </si>
  <si>
    <t>Big</t>
    <phoneticPr fontId="20" type="noConversion"/>
  </si>
  <si>
    <t>All</t>
    <phoneticPr fontId="20" type="noConversion"/>
  </si>
  <si>
    <t>Big</t>
    <phoneticPr fontId="20" type="noConversion"/>
  </si>
  <si>
    <t>For other, more narrowly focused, assumptions about earnings, see the accompanying worksheets.  Example: For New England or for Middle Colonies, the undocumented</t>
    <phoneticPr fontId="20" type="noConversion"/>
  </si>
  <si>
    <r>
      <t>(F.) Slave headship rates</t>
    </r>
    <r>
      <rPr>
        <sz val="12"/>
        <rFont val="Arial"/>
      </rPr>
      <t>:  Worksheet (2) assumed that of the slave population over age 10, which is also used as the slave labor force, 35 percent were household heads.</t>
    </r>
    <phoneticPr fontId="20" type="noConversion"/>
  </si>
  <si>
    <t>Revised aug 2012</t>
    <phoneticPr fontId="20" type="noConversion"/>
  </si>
  <si>
    <t>Group 918A</t>
    <phoneticPr fontId="20" type="noConversion"/>
  </si>
  <si>
    <t>Williamson</t>
    <phoneticPr fontId="20" type="noConversion"/>
  </si>
  <si>
    <t>error check =</t>
    <phoneticPr fontId="20" type="noConversion"/>
  </si>
  <si>
    <t>Group 9</t>
    <phoneticPr fontId="20" type="noConversion"/>
  </si>
  <si>
    <t>Group 7</t>
    <phoneticPr fontId="20" type="noConversion"/>
  </si>
  <si>
    <t>Philadelphia,</t>
    <phoneticPr fontId="20" type="noConversion"/>
  </si>
  <si>
    <t>Group 1</t>
    <phoneticPr fontId="20" type="noConversion"/>
  </si>
  <si>
    <t>(6) Size distribution of total incomes in the South in 1774</t>
    <phoneticPr fontId="20" type="noConversion"/>
  </si>
  <si>
    <t>LF</t>
    <phoneticPr fontId="20" type="noConversion"/>
  </si>
  <si>
    <t>labor force</t>
    <phoneticPr fontId="20" type="noConversion"/>
  </si>
  <si>
    <t>Number of</t>
    <phoneticPr fontId="20" type="noConversion"/>
  </si>
  <si>
    <t>Group 5</t>
    <phoneticPr fontId="20" type="noConversion"/>
  </si>
  <si>
    <t>Farm operators' individual earnings</t>
    <phoneticPr fontId="20" type="noConversion"/>
  </si>
  <si>
    <t>Total labor force</t>
    <phoneticPr fontId="20" type="noConversion"/>
  </si>
  <si>
    <t>Groups 2-3</t>
    <phoneticPr fontId="20" type="noConversion"/>
  </si>
  <si>
    <t>Farm operators</t>
    <phoneticPr fontId="20" type="noConversion"/>
  </si>
  <si>
    <t>Pennsylvania</t>
  </si>
  <si>
    <t>Virginia</t>
  </si>
  <si>
    <t>dollars</t>
  </si>
  <si>
    <t>Group 4B</t>
    <phoneticPr fontId="20" type="noConversion"/>
  </si>
  <si>
    <t>NON-HEADS BEING EXPORTED</t>
    <phoneticPr fontId="20" type="noConversion"/>
  </si>
  <si>
    <t>Big</t>
    <phoneticPr fontId="20" type="noConversion"/>
  </si>
  <si>
    <t>All</t>
    <phoneticPr fontId="20" type="noConversion"/>
  </si>
  <si>
    <t>North</t>
  </si>
  <si>
    <t>(C.) The heads' own total $ earnings</t>
    <phoneticPr fontId="20" type="noConversion"/>
  </si>
  <si>
    <t>RANKED BY</t>
    <phoneticPr fontId="20" type="noConversion"/>
  </si>
  <si>
    <t>Average</t>
    <phoneticPr fontId="20" type="noConversion"/>
  </si>
  <si>
    <t>Unskilled female workers</t>
    <phoneticPr fontId="20" type="noConversion"/>
  </si>
  <si>
    <t>(See "sources &amp; notes" worksheet for assumption about who lived with whom.)</t>
    <phoneticPr fontId="20" type="noConversion"/>
  </si>
  <si>
    <t>Top 10%:</t>
  </si>
  <si>
    <t>Group 4A</t>
    <phoneticPr fontId="20" type="noConversion"/>
  </si>
  <si>
    <t>Mass</t>
  </si>
  <si>
    <t>Group 9</t>
    <phoneticPr fontId="20" type="noConversion"/>
  </si>
  <si>
    <t>value of a £ of</t>
  </si>
  <si>
    <t>Cottagers, married</t>
    <phoneticPr fontId="20" type="noConversion"/>
  </si>
  <si>
    <t>Farm operators - 0-39th%</t>
  </si>
  <si>
    <t xml:space="preserve">3-col non-city farm op HHs = </t>
    <phoneticPr fontId="20" type="noConversion"/>
  </si>
  <si>
    <t xml:space="preserve">NY non-city farm op HHs = </t>
    <phoneticPr fontId="20" type="noConversion"/>
  </si>
  <si>
    <t>Slave LF, HH revised.</t>
    <phoneticPr fontId="20" type="noConversion"/>
  </si>
  <si>
    <t xml:space="preserve">the household head and the earning power of the non-head LF participants.  </t>
    <phoneticPr fontId="20" type="noConversion"/>
  </si>
  <si>
    <t xml:space="preserve">vs. </t>
    <phoneticPr fontId="20" type="noConversion"/>
  </si>
  <si>
    <t>of silver</t>
  </si>
  <si>
    <t>(P11-P10)*(P11-Q11+P10-Q10)</t>
    <phoneticPr fontId="20" type="noConversion"/>
  </si>
  <si>
    <t>Group 2</t>
    <phoneticPr fontId="20" type="noConversion"/>
  </si>
  <si>
    <t>Group 3</t>
    <phoneticPr fontId="20" type="noConversion"/>
  </si>
  <si>
    <t>(I.) Special assumptions about average property income:</t>
    <phoneticPr fontId="20" type="noConversion"/>
  </si>
  <si>
    <t>Free</t>
    <phoneticPr fontId="20" type="noConversion"/>
  </si>
  <si>
    <t>Thus for slaves, it includes only what they retained, and not what the part of their earnings (or marginal product) that was expropriated by the owner or renter.</t>
    <phoneticPr fontId="20" type="noConversion"/>
  </si>
  <si>
    <t>[For £ sterling, divide by $4.44/£.]</t>
    <phoneticPr fontId="20" type="noConversion"/>
  </si>
  <si>
    <t>HHs</t>
    <phoneticPr fontId="20" type="noConversion"/>
  </si>
  <si>
    <t>What one unit of each colony's currency was worth in 1774 --</t>
  </si>
  <si>
    <t>Group 2-3</t>
    <phoneticPr fontId="20" type="noConversion"/>
  </si>
  <si>
    <t>free, prop</t>
    <phoneticPr fontId="20" type="noConversion"/>
  </si>
  <si>
    <t>ciation on crops or producer perishables</t>
    <phoneticPr fontId="20" type="noConversion"/>
  </si>
  <si>
    <t>August 2012: Adjusted to assume no depre-</t>
    <phoneticPr fontId="20" type="noConversion"/>
  </si>
  <si>
    <t>ciation on crops or producer perishables</t>
    <phoneticPr fontId="20" type="noConversion"/>
  </si>
  <si>
    <t>Total</t>
    <phoneticPr fontId="20" type="noConversion"/>
  </si>
  <si>
    <t>All</t>
    <phoneticPr fontId="20" type="noConversion"/>
  </si>
  <si>
    <t>thirteen</t>
    <phoneticPr fontId="20" type="noConversion"/>
  </si>
  <si>
    <r>
      <t>(D.) Annual earnings rates</t>
    </r>
    <r>
      <rPr>
        <sz val="12"/>
        <rFont val="Arial"/>
      </rPr>
      <t xml:space="preserve"> by occupation/region are described in the "Wage data survey 1774" file. The wage data supply by colony is very thin, and thus the table reports only averages across colonies for each of the three regions.</t>
    </r>
    <phoneticPr fontId="20" type="noConversion"/>
  </si>
  <si>
    <t>(Q11-Q10)*(Q11-R11+Q10-R10)</t>
    <phoneticPr fontId="20" type="noConversion"/>
  </si>
  <si>
    <t>Ave income</t>
    <phoneticPr fontId="20" type="noConversion"/>
  </si>
  <si>
    <t>The sets of columns here, each in the format "persons, average earnings, total earnings":</t>
    <phoneticPr fontId="20" type="noConversion"/>
  </si>
  <si>
    <t>[For £ sterling,</t>
    <phoneticPr fontId="20" type="noConversion"/>
  </si>
  <si>
    <t>divide $ by 4.44.]</t>
    <phoneticPr fontId="20" type="noConversion"/>
  </si>
  <si>
    <t>Officials, titled, professions</t>
  </si>
  <si>
    <t>Thirteen</t>
    <phoneticPr fontId="20" type="noConversion"/>
  </si>
  <si>
    <t>rural</t>
    <phoneticPr fontId="20" type="noConversion"/>
  </si>
  <si>
    <t>prop income</t>
    <phoneticPr fontId="20" type="noConversion"/>
  </si>
  <si>
    <t>INEQUALITY AMONG ALL HOUSEHOLDS</t>
    <phoneticPr fontId="20" type="noConversion"/>
  </si>
  <si>
    <t>households</t>
    <phoneticPr fontId="20" type="noConversion"/>
  </si>
  <si>
    <t>income</t>
    <phoneticPr fontId="20" type="noConversion"/>
  </si>
  <si>
    <t>Total own-</t>
  </si>
  <si>
    <t>Household heads</t>
    <phoneticPr fontId="20" type="noConversion"/>
  </si>
  <si>
    <t>Imported</t>
    <phoneticPr fontId="20" type="noConversion"/>
  </si>
  <si>
    <t>OWN-LABOR EARNINGS</t>
    <phoneticPr fontId="20" type="noConversion"/>
  </si>
  <si>
    <t>(D1.) Labor force (LF), by their own occupations</t>
    <phoneticPr fontId="20" type="noConversion"/>
  </si>
  <si>
    <t>(3) For each region and urban/rural (e.g. New England big cities, or rural South), the non-heads and their individual earnings are absorbed into the same region and place.</t>
    <phoneticPr fontId="20" type="noConversion"/>
  </si>
  <si>
    <t>Female</t>
    <phoneticPr fontId="20" type="noConversion"/>
  </si>
  <si>
    <t>Both</t>
    <phoneticPr fontId="20" type="noConversion"/>
  </si>
  <si>
    <t>It is also approximately the share of the over-10 slve population that were males over 21 on small plantations in Prince Groege's County Maryland in 1776.</t>
    <phoneticPr fontId="20" type="noConversion"/>
  </si>
  <si>
    <r>
      <t xml:space="preserve">According to Allan Kulikoff, </t>
    </r>
    <r>
      <rPr>
        <i/>
        <sz val="12"/>
        <rFont val="Arial"/>
      </rPr>
      <t>Tobacco and Slaves</t>
    </r>
    <r>
      <rPr>
        <sz val="12"/>
        <rFont val="Arial"/>
      </rPr>
      <t xml:space="preserve"> (1986, p. 372), the share of those over 10 who were males over 15 was 38.6 percent.  </t>
    </r>
    <phoneticPr fontId="20" type="noConversion"/>
  </si>
  <si>
    <t xml:space="preserve">the average household head with positive wealth in the same places, though the same assumption will not be made about their property incomes in the separate Excel files on "Aggregate Property 1774 [name of region]".  </t>
    <phoneticPr fontId="20" type="noConversion"/>
  </si>
  <si>
    <t>Philadelphia,</t>
    <phoneticPr fontId="20" type="noConversion"/>
  </si>
  <si>
    <t>LF per household</t>
    <phoneticPr fontId="20" type="noConversion"/>
  </si>
  <si>
    <t xml:space="preserve">Excluding </t>
    <phoneticPr fontId="20" type="noConversion"/>
  </si>
  <si>
    <t>Groups 2-3</t>
    <phoneticPr fontId="20" type="noConversion"/>
  </si>
  <si>
    <t>labor earnings</t>
    <phoneticPr fontId="20" type="noConversion"/>
  </si>
  <si>
    <t>Q10*(Q10-R10)</t>
    <phoneticPr fontId="20" type="noConversion"/>
  </si>
  <si>
    <t>Assume that of the adult farm females reported by Simler, 5% were household heads, a share near the headship rates for the probate records and in the 1800 labor force calculations by Thomas Weiss.</t>
    <phoneticPr fontId="20" type="noConversion"/>
  </si>
  <si>
    <t>labor earnings</t>
  </si>
  <si>
    <t>Total labor force</t>
    <phoneticPr fontId="20" type="noConversion"/>
  </si>
  <si>
    <r>
      <t xml:space="preserve">We rely mainly on John J. McCusker, </t>
    </r>
    <r>
      <rPr>
        <i/>
        <sz val="12"/>
        <rFont val="Arial"/>
      </rPr>
      <t>How Much is That in Real Money? …</t>
    </r>
    <r>
      <rPr>
        <sz val="12"/>
        <rFont val="Arial"/>
      </rPr>
      <t xml:space="preserve"> (Worcester MA: American Antiquarian Society, 2001), especially Appendix B,</t>
    </r>
    <phoneticPr fontId="20" type="noConversion"/>
  </si>
  <si>
    <t>Group 5A</t>
    <phoneticPr fontId="20" type="noConversion"/>
  </si>
  <si>
    <t>Median $:</t>
    <phoneticPr fontId="20" type="noConversion"/>
  </si>
  <si>
    <t>All these groups, assumed to be farms</t>
    <phoneticPr fontId="20" type="noConversion"/>
  </si>
  <si>
    <t>income</t>
    <phoneticPr fontId="20" type="noConversion"/>
  </si>
  <si>
    <t>PROPERTY INCOME</t>
    <phoneticPr fontId="20" type="noConversion"/>
  </si>
  <si>
    <r>
      <t>See also Lawrence Officer's Series Ee612-Ee620 in Carter </t>
    </r>
    <r>
      <rPr>
        <i/>
        <sz val="12"/>
        <rFont val="Arial"/>
      </rPr>
      <t>et al., Historical Statistics of the United States (2006)</t>
    </r>
    <r>
      <rPr>
        <sz val="12"/>
        <rFont val="Arial"/>
      </rPr>
      <t>, volume 5, which gives</t>
    </r>
    <phoneticPr fontId="20" type="noConversion"/>
  </si>
  <si>
    <t>MD white male servants</t>
    <phoneticPr fontId="20" type="noConversion"/>
  </si>
  <si>
    <t>Unskilled male workers</t>
    <phoneticPr fontId="20" type="noConversion"/>
  </si>
  <si>
    <t>Group 6B</t>
    <phoneticPr fontId="20" type="noConversion"/>
  </si>
  <si>
    <t>England</t>
    <phoneticPr fontId="20" type="noConversion"/>
  </si>
  <si>
    <t>Next 40%:</t>
  </si>
  <si>
    <t>Bottom 40%:</t>
  </si>
  <si>
    <t>Median $:</t>
    <phoneticPr fontId="20" type="noConversion"/>
  </si>
  <si>
    <t>Mean $:</t>
    <phoneticPr fontId="20" type="noConversion"/>
  </si>
  <si>
    <t>Group 19</t>
    <phoneticPr fontId="20" type="noConversion"/>
  </si>
  <si>
    <t>Male HHs w/wealth, no occ stated</t>
    <phoneticPr fontId="20" type="noConversion"/>
  </si>
  <si>
    <t>(4) Size distribution of total incomes in New England in 1774</t>
    <phoneticPr fontId="20" type="noConversion"/>
  </si>
  <si>
    <t>not per capita or per member of LF</t>
    <phoneticPr fontId="20" type="noConversion"/>
  </si>
  <si>
    <t>Implied property income shares (%) of total income</t>
    <phoneticPr fontId="20" type="noConversion"/>
  </si>
  <si>
    <t>•• TOTAL RE-CONSTITUTED HOUSEHOLDS</t>
    <phoneticPr fontId="20" type="noConversion"/>
  </si>
  <si>
    <t>Thirteen</t>
    <phoneticPr fontId="20" type="noConversion"/>
  </si>
  <si>
    <t>Adjustments for property incomes,</t>
    <phoneticPr fontId="20" type="noConversion"/>
  </si>
  <si>
    <t>free</t>
    <phoneticPr fontId="20" type="noConversion"/>
  </si>
  <si>
    <t>all</t>
    <phoneticPr fontId="20" type="noConversion"/>
  </si>
  <si>
    <t>implied by other authors for 1774? Provisionally, we set £1 sterling = $4.44 in 1774.</t>
    <phoneticPr fontId="20" type="noConversion"/>
  </si>
  <si>
    <t xml:space="preserve"> = HHs + Xs</t>
    <phoneticPr fontId="20" type="noConversion"/>
  </si>
  <si>
    <t>$M-$X =</t>
    <phoneticPr fontId="20" type="noConversion"/>
  </si>
  <si>
    <t>(H.) Assumptions about the non-head earners "imported" or "taken into" the households of others</t>
    <phoneticPr fontId="20" type="noConversion"/>
  </si>
  <si>
    <t>(Fr worksheet (2), expanded for rural MCol's)</t>
    <phoneticPr fontId="20" type="noConversion"/>
  </si>
  <si>
    <t>(1) Slave non-heads are taken into slave households only, leaving household income the same as the retained earnings of all slaves.</t>
    <phoneticPr fontId="20" type="noConversion"/>
  </si>
  <si>
    <t>Maryland (hard)</t>
  </si>
  <si>
    <t>NC</t>
  </si>
  <si>
    <t>SC</t>
  </si>
  <si>
    <r>
      <t>RECONSTITUTED HOUSEHOLDS</t>
    </r>
    <r>
      <rPr>
        <sz val="12"/>
        <rFont val="Arial"/>
      </rPr>
      <t>, grouped by occ of HH, continued</t>
    </r>
    <phoneticPr fontId="20" type="noConversion"/>
  </si>
  <si>
    <t>participants</t>
    <phoneticPr fontId="20" type="noConversion"/>
  </si>
  <si>
    <t>Charleston</t>
    <phoneticPr fontId="20" type="noConversion"/>
  </si>
  <si>
    <t>% error</t>
  </si>
  <si>
    <t>Middle</t>
    <phoneticPr fontId="20" type="noConversion"/>
  </si>
  <si>
    <t>Each of these implies an average devaluation of the 1774 colonial currency when combined with Alice's US$4.15 per local (inter-) colonial pounds.  </t>
    <phoneticPr fontId="20" type="noConversion"/>
  </si>
  <si>
    <t>HH =</t>
    <phoneticPr fontId="20" type="noConversion"/>
  </si>
  <si>
    <t>Non-HH labor force</t>
    <phoneticPr fontId="20" type="noConversion"/>
  </si>
  <si>
    <t>If this cannot be sustained, then the average colonial pound might have been worth more than the $4.14 Jones implies.  Perhaps closer to the $4.444</t>
    <phoneticPr fontId="20" type="noConversion"/>
  </si>
  <si>
    <t>Contrib's</t>
    <phoneticPr fontId="20" type="noConversion"/>
  </si>
  <si>
    <t>HOUSEHOLD HEADS (HHs) BY THEMSELVES</t>
    <phoneticPr fontId="20" type="noConversion"/>
  </si>
  <si>
    <t>TOTAL INCOME</t>
    <phoneticPr fontId="20" type="noConversion"/>
  </si>
  <si>
    <r>
      <t>Millennial Edition</t>
    </r>
    <r>
      <rPr>
        <sz val="12"/>
        <rFont val="Arial"/>
      </rPr>
      <t xml:space="preserve"> (2006), interpolating from the US censuses of 1790 and 1800, and on Thomas Weiss's estimates of labor force participation rates.</t>
    </r>
    <phoneticPr fontId="20" type="noConversion"/>
  </si>
  <si>
    <t>MD white male servants</t>
    <phoneticPr fontId="20" type="noConversion"/>
  </si>
  <si>
    <t>Group 18B</t>
    <phoneticPr fontId="20" type="noConversion"/>
  </si>
  <si>
    <t>MD white female servants</t>
    <phoneticPr fontId="20" type="noConversion"/>
  </si>
  <si>
    <t>labor force</t>
    <phoneticPr fontId="20" type="noConversion"/>
  </si>
  <si>
    <t>LF</t>
    <phoneticPr fontId="20" type="noConversion"/>
  </si>
  <si>
    <t>Region</t>
    <phoneticPr fontId="20" type="noConversion"/>
  </si>
  <si>
    <t>rural</t>
    <phoneticPr fontId="20" type="noConversion"/>
  </si>
  <si>
    <t>Groups</t>
    <phoneticPr fontId="20" type="noConversion"/>
  </si>
  <si>
    <t>Number of</t>
    <phoneticPr fontId="20" type="noConversion"/>
  </si>
  <si>
    <t>% share</t>
    <phoneticPr fontId="20" type="noConversion"/>
  </si>
  <si>
    <t>Contrib's</t>
    <phoneticPr fontId="20" type="noConversion"/>
  </si>
  <si>
    <t>Gini =</t>
    <phoneticPr fontId="20" type="noConversion"/>
  </si>
  <si>
    <t>Memo: (Net LF imports) per HH of this occ</t>
    <phoneticPr fontId="20" type="noConversion"/>
  </si>
  <si>
    <t>Difference from Worksheet (2)</t>
    <phoneticPr fontId="20" type="noConversion"/>
  </si>
  <si>
    <t>Middle</t>
    <phoneticPr fontId="20" type="noConversion"/>
  </si>
  <si>
    <t>(Boston,</t>
    <phoneticPr fontId="20" type="noConversion"/>
  </si>
  <si>
    <t>South</t>
    <phoneticPr fontId="20" type="noConversion"/>
  </si>
  <si>
    <t>Group definition</t>
    <phoneticPr fontId="20" type="noConversion"/>
  </si>
  <si>
    <t>South</t>
    <phoneticPr fontId="20" type="noConversion"/>
  </si>
  <si>
    <t>HH share</t>
    <phoneticPr fontId="20" type="noConversion"/>
  </si>
  <si>
    <t>income share</t>
    <phoneticPr fontId="20" type="noConversion"/>
  </si>
  <si>
    <t>Ave income</t>
    <phoneticPr fontId="20" type="noConversion"/>
  </si>
  <si>
    <t>$</t>
    <phoneticPr fontId="20" type="noConversion"/>
  </si>
  <si>
    <t>to gini</t>
    <phoneticPr fontId="20" type="noConversion"/>
  </si>
  <si>
    <t>Re-checking farm operators' LF by persons' OWN occ's (Variant B)</t>
    <phoneticPr fontId="20" type="noConversion"/>
  </si>
  <si>
    <t>New York,</t>
    <phoneticPr fontId="20" type="noConversion"/>
  </si>
  <si>
    <t>Mean $:</t>
    <phoneticPr fontId="20" type="noConversion"/>
  </si>
  <si>
    <t>Re-checking labor force in farmer-headed households (urban + rural)</t>
    <phoneticPr fontId="20" type="noConversion"/>
  </si>
  <si>
    <t>South</t>
    <phoneticPr fontId="20" type="noConversion"/>
  </si>
  <si>
    <t>participants</t>
    <phoneticPr fontId="20" type="noConversion"/>
  </si>
  <si>
    <t>households</t>
    <phoneticPr fontId="20" type="noConversion"/>
  </si>
  <si>
    <t>Zero-wealth free HHs</t>
    <phoneticPr fontId="20" type="noConversion"/>
  </si>
  <si>
    <t>Total own-</t>
    <phoneticPr fontId="20" type="noConversion"/>
  </si>
  <si>
    <t>and</t>
    <phoneticPr fontId="20" type="noConversion"/>
  </si>
  <si>
    <t>towns</t>
    <phoneticPr fontId="20" type="noConversion"/>
  </si>
  <si>
    <t>not by individual occ's of non-household heads.  Thus a non-farm</t>
    <phoneticPr fontId="20" type="noConversion"/>
  </si>
  <si>
    <t>•• NON-HEADS EXPORTED TO OTHER HOUSEHOLDS</t>
    <phoneticPr fontId="20" type="noConversion"/>
  </si>
  <si>
    <t>(D2.) Numbers of non-HHs, by their own occupations</t>
    <phoneticPr fontId="20" type="noConversion"/>
  </si>
  <si>
    <t>[NB: Median &gt; mean here.  Reverse skewing.]</t>
    <phoneticPr fontId="20" type="noConversion"/>
  </si>
  <si>
    <t>All free HHs</t>
    <phoneticPr fontId="20" type="noConversion"/>
  </si>
  <si>
    <t>Total HHs</t>
    <phoneticPr fontId="20" type="noConversion"/>
  </si>
  <si>
    <t>and</t>
    <phoneticPr fontId="20" type="noConversion"/>
  </si>
  <si>
    <t>towns</t>
    <phoneticPr fontId="20" type="noConversion"/>
  </si>
  <si>
    <t>Group 4B</t>
    <phoneticPr fontId="20" type="noConversion"/>
  </si>
  <si>
    <t>South</t>
    <phoneticPr fontId="20" type="noConversion"/>
  </si>
  <si>
    <t>Group 1</t>
    <phoneticPr fontId="20" type="noConversion"/>
  </si>
  <si>
    <t>New</t>
    <phoneticPr fontId="20" type="noConversion"/>
  </si>
  <si>
    <t>(E.) The exported non-heads' average earnings</t>
    <phoneticPr fontId="20" type="noConversion"/>
  </si>
  <si>
    <t>Officials, titled, professions**</t>
    <phoneticPr fontId="20" type="noConversion"/>
  </si>
  <si>
    <t>The labor force counts are from the file "1774 occs by Region", Worksheet (4), using the Variant B assumptions about the occupations of non-hoursehold heads.</t>
    <phoneticPr fontId="20" type="noConversion"/>
  </si>
  <si>
    <t>Group 5</t>
    <phoneticPr fontId="20" type="noConversion"/>
  </si>
  <si>
    <t>(Derived in the file "1774 occs by Region", Worksheet (4),</t>
    <phoneticPr fontId="20" type="noConversion"/>
  </si>
  <si>
    <t>Zero-wealth free HHs</t>
    <phoneticPr fontId="20" type="noConversion"/>
  </si>
  <si>
    <r>
      <t xml:space="preserve">This guess seems consistent with the age and sex distributions given for slaves in Maryland, New Jersey, and New York around 1774 (in </t>
    </r>
    <r>
      <rPr>
        <i/>
        <sz val="12"/>
        <rFont val="Arial"/>
      </rPr>
      <t>HSUS Millennial</t>
    </r>
    <r>
      <rPr>
        <sz val="12"/>
        <rFont val="Arial"/>
      </rPr>
      <t>).</t>
    </r>
    <phoneticPr fontId="20" type="noConversion"/>
  </si>
  <si>
    <t>Total labor force</t>
    <phoneticPr fontId="20" type="noConversion"/>
  </si>
  <si>
    <t>cities</t>
    <phoneticPr fontId="20" type="noConversion"/>
  </si>
  <si>
    <t>•• HOUSEHOLD HEADS BY THEMSELVES</t>
    <phoneticPr fontId="20" type="noConversion"/>
  </si>
  <si>
    <t xml:space="preserve">For the South, colonial censuses counted slaves at the all-colony level but not separately for cities (e.g. Charleston). </t>
    <phoneticPr fontId="20" type="noConversion"/>
  </si>
  <si>
    <t xml:space="preserve">4-col non-city farm op HHs = </t>
    <phoneticPr fontId="20" type="noConversion"/>
  </si>
  <si>
    <t xml:space="preserve">3-col non-city farm LF = </t>
    <phoneticPr fontId="20" type="noConversion"/>
  </si>
  <si>
    <t xml:space="preserve">NY non-city farm LF = </t>
    <phoneticPr fontId="20" type="noConversion"/>
  </si>
  <si>
    <t xml:space="preserve">4-col non-city farm LF = </t>
    <phoneticPr fontId="20" type="noConversion"/>
  </si>
  <si>
    <t>Assumptions about the non-head earners "imported" or "taken into" the households of others</t>
    <phoneticPr fontId="20" type="noConversion"/>
  </si>
  <si>
    <t>value of a £</t>
  </si>
  <si>
    <t>no.</t>
    <phoneticPr fontId="20" type="noConversion"/>
  </si>
  <si>
    <t>Group definition</t>
    <phoneticPr fontId="20" type="noConversion"/>
  </si>
  <si>
    <t>Group 2-3</t>
    <phoneticPr fontId="20" type="noConversion"/>
  </si>
  <si>
    <t>MD white female servants</t>
  </si>
  <si>
    <t>from the "Own-Labor Incomes 1774" file</t>
    <phoneticPr fontId="20" type="noConversion"/>
  </si>
  <si>
    <t>of which, NY =</t>
    <phoneticPr fontId="20" type="noConversion"/>
  </si>
  <si>
    <t xml:space="preserve">If light weights were given to Massachusetts and Virginia, and heavy weights to NY and the Carolinas, the 0.93468 ratio implied by Jones might work.  </t>
  </si>
  <si>
    <t>Single white females, 21 years and older</t>
    <phoneticPr fontId="20" type="noConversion"/>
  </si>
  <si>
    <t>England</t>
    <phoneticPr fontId="20" type="noConversion"/>
  </si>
  <si>
    <t>Colonies</t>
    <phoneticPr fontId="20" type="noConversion"/>
  </si>
  <si>
    <t>as for household heads in the same occupational group, in Panel (B.).)</t>
    <phoneticPr fontId="20" type="noConversion"/>
  </si>
  <si>
    <t>$HHs + $ Xs =</t>
    <phoneticPr fontId="20" type="noConversion"/>
  </si>
  <si>
    <t>Household total LF earners minus hoiusehold heads</t>
    <phoneticPr fontId="20" type="noConversion"/>
  </si>
  <si>
    <t>Free</t>
    <phoneticPr fontId="20" type="noConversion"/>
  </si>
  <si>
    <t>Female HHs w/wealth, no occ stated</t>
    <phoneticPr fontId="20" type="noConversion"/>
  </si>
  <si>
    <t>Male HHs w/wealth, no occ stated</t>
    <phoneticPr fontId="20" type="noConversion"/>
  </si>
  <si>
    <t>Ranking by total income per HH</t>
    <phoneticPr fontId="20" type="noConversion"/>
  </si>
  <si>
    <t>Our underlying occupational-share estimates from primary sources are detailed in the set of regional files entitled "Aggregate property 1774 [name of region]",</t>
    <phoneticPr fontId="20" type="noConversion"/>
  </si>
  <si>
    <t>Re-allocating non-household-heads, and their earnings, to the households of others</t>
    <phoneticPr fontId="20" type="noConversion"/>
  </si>
  <si>
    <t>** For the Middle Colonies these rows refer only to New Jersey, Pennsylvania, and Delaware, and exclude New York.</t>
    <phoneticPr fontId="20" type="noConversion"/>
  </si>
  <si>
    <t>(5) Size distribution of total incomes in the four Middle Colonies in 1774</t>
    <phoneticPr fontId="20" type="noConversion"/>
  </si>
  <si>
    <t>New York,</t>
    <phoneticPr fontId="20" type="noConversion"/>
  </si>
  <si>
    <t>cities</t>
    <phoneticPr fontId="20" type="noConversion"/>
  </si>
  <si>
    <t>Group 1</t>
    <phoneticPr fontId="20" type="noConversion"/>
  </si>
  <si>
    <t>Groups 2-3</t>
    <phoneticPr fontId="20" type="noConversion"/>
  </si>
  <si>
    <t>(7) Size distribution of total incomes, All 13 colonies in 1774</t>
    <phoneticPr fontId="20" type="noConversion"/>
  </si>
  <si>
    <t>Work</t>
    <phoneticPr fontId="20" type="noConversion"/>
  </si>
  <si>
    <t>row</t>
    <phoneticPr fontId="20" type="noConversion"/>
  </si>
  <si>
    <t>* If it seems anomalous that the two groups of slave households</t>
    <phoneticPr fontId="20" type="noConversion"/>
  </si>
  <si>
    <t>(L.) Average own-labor earnings per household</t>
    <phoneticPr fontId="20" type="noConversion"/>
  </si>
  <si>
    <t>M-X =</t>
    <phoneticPr fontId="20" type="noConversion"/>
  </si>
  <si>
    <t>Delaware is included in the Middle Colonies, to be consistent with the Alice Hanson Jones regionalization of wealth.</t>
    <phoneticPr fontId="20" type="noConversion"/>
  </si>
  <si>
    <t>Artisans in manufacturing</t>
    <phoneticPr fontId="20" type="noConversion"/>
  </si>
  <si>
    <t>Buildings trades</t>
    <phoneticPr fontId="20" type="noConversion"/>
  </si>
  <si>
    <t>Merchant &amp; shopkeepers</t>
    <phoneticPr fontId="20" type="noConversion"/>
  </si>
  <si>
    <t xml:space="preserve">Rural </t>
    <phoneticPr fontId="20" type="noConversion"/>
  </si>
  <si>
    <t xml:space="preserve">are used as weights for rural non-farm vs lesser cities; the same is true of artisans and white collar; the other categories are taken directly from lesser cities. </t>
    <phoneticPr fontId="20" type="noConversion"/>
  </si>
  <si>
    <t>13 colonies</t>
    <phoneticPr fontId="20" type="noConversion"/>
  </si>
  <si>
    <t>sensitive to the number of LF earners per household.</t>
    <phoneticPr fontId="20" type="noConversion"/>
  </si>
  <si>
    <t>Using the "Variant B" occupational distributions from the Excel file "1774 occ's by region", re-constituted into households in worksheet (2) of this file.</t>
    <phoneticPr fontId="20" type="noConversion"/>
  </si>
  <si>
    <t>VALUE OF PROPERTY INCOME</t>
    <phoneticPr fontId="20" type="noConversion"/>
  </si>
  <si>
    <t>New</t>
    <phoneticPr fontId="20" type="noConversion"/>
  </si>
  <si>
    <t>Middle</t>
    <phoneticPr fontId="20" type="noConversion"/>
  </si>
  <si>
    <t xml:space="preserve">Rural </t>
  </si>
  <si>
    <t>and towns</t>
  </si>
  <si>
    <t>Artisans (manufacturing trades)</t>
    <phoneticPr fontId="20" type="noConversion"/>
  </si>
  <si>
    <t>NUMBERS OF HOUSEHOLDS</t>
    <phoneticPr fontId="20" type="noConversion"/>
  </si>
  <si>
    <t>Median $:</t>
    <phoneticPr fontId="20" type="noConversion"/>
  </si>
  <si>
    <t>All households</t>
    <phoneticPr fontId="20" type="noConversion"/>
  </si>
  <si>
    <r>
      <t xml:space="preserve">Source = Lucy Simler, "The Landless Worker: An Index of Economic and Social Change in Chester County, Pennsylvania, 1750-1820". </t>
    </r>
    <r>
      <rPr>
        <i/>
        <sz val="12"/>
        <rFont val="Arial"/>
      </rPr>
      <t xml:space="preserve">The Pennsylvania Magazine of History and Biography </t>
    </r>
    <r>
      <rPr>
        <sz val="12"/>
        <rFont val="Arial"/>
      </rPr>
      <t>114, 2 (Apr., 1990), p. 196.</t>
    </r>
    <phoneticPr fontId="20" type="noConversion"/>
  </si>
  <si>
    <t>Colonies</t>
    <phoneticPr fontId="20" type="noConversion"/>
  </si>
  <si>
    <t>Number of</t>
    <phoneticPr fontId="20" type="noConversion"/>
  </si>
  <si>
    <t>Total</t>
    <phoneticPr fontId="20" type="noConversion"/>
  </si>
  <si>
    <t>Male</t>
    <phoneticPr fontId="20" type="noConversion"/>
  </si>
  <si>
    <t>Thirteen</t>
    <phoneticPr fontId="20" type="noConversion"/>
  </si>
  <si>
    <t>colonies</t>
    <phoneticPr fontId="20" type="noConversion"/>
  </si>
  <si>
    <t>Merchant &amp; shopkeepers</t>
  </si>
  <si>
    <t>Average</t>
    <phoneticPr fontId="20" type="noConversion"/>
  </si>
  <si>
    <t>Occupation</t>
    <phoneticPr fontId="20" type="noConversion"/>
  </si>
  <si>
    <t>Group 5D</t>
    <phoneticPr fontId="20" type="noConversion"/>
  </si>
  <si>
    <t>female non-HHs</t>
    <phoneticPr fontId="20" type="noConversion"/>
  </si>
  <si>
    <t>Construction</t>
  </si>
  <si>
    <t>Total free labor force</t>
    <phoneticPr fontId="20" type="noConversion"/>
  </si>
  <si>
    <t>Including</t>
    <phoneticPr fontId="20" type="noConversion"/>
  </si>
  <si>
    <t xml:space="preserve">Instead, our own estimates, starting in Worksheet (2) here, will use the export-import constraints described in the "sources and notes" worksheet.  </t>
    <phoneticPr fontId="20" type="noConversion"/>
  </si>
  <si>
    <t>them</t>
    <phoneticPr fontId="20" type="noConversion"/>
  </si>
  <si>
    <t>Mean $:</t>
    <phoneticPr fontId="20" type="noConversion"/>
  </si>
  <si>
    <t>(4) Size distribution of income among Southern households 1774</t>
    <phoneticPr fontId="20" type="noConversion"/>
  </si>
  <si>
    <t>Merchants and shopkeepers</t>
    <phoneticPr fontId="20" type="noConversion"/>
  </si>
  <si>
    <t>(Occupation mix per "Variant B")</t>
    <phoneticPr fontId="20" type="noConversion"/>
  </si>
  <si>
    <t>Sub-sample</t>
    <phoneticPr fontId="20" type="noConversion"/>
  </si>
  <si>
    <t xml:space="preserve"> income per household, like own-labor earnings, was the same for manufacturing as for construction.</t>
    <phoneticPr fontId="20" type="noConversion"/>
  </si>
  <si>
    <t>All free</t>
    <phoneticPr fontId="20" type="noConversion"/>
  </si>
  <si>
    <t>Total</t>
    <phoneticPr fontId="20" type="noConversion"/>
  </si>
  <si>
    <t>Gini =</t>
    <phoneticPr fontId="20" type="noConversion"/>
  </si>
  <si>
    <t>Top 1%:</t>
  </si>
  <si>
    <t>Top 5%:</t>
  </si>
  <si>
    <t>in Spanish</t>
  </si>
  <si>
    <t>in ounces</t>
  </si>
  <si>
    <t>New Jersey</t>
  </si>
  <si>
    <t>New York</t>
  </si>
  <si>
    <t>$/HH-year</t>
    <phoneticPr fontId="20" type="noConversion"/>
  </si>
  <si>
    <t>Rural</t>
    <phoneticPr fontId="20" type="noConversion"/>
  </si>
  <si>
    <t>Farm operators or farm LF</t>
    <phoneticPr fontId="20" type="noConversion"/>
  </si>
  <si>
    <t>No. of LABOR PARTICIPANTS, reconstituted</t>
    <phoneticPr fontId="20" type="noConversion"/>
  </si>
  <si>
    <t>per free household, versus 2.86 per slave household.</t>
    <phoneticPr fontId="20" type="noConversion"/>
  </si>
  <si>
    <t>Ave income</t>
    <phoneticPr fontId="20" type="noConversion"/>
  </si>
  <si>
    <t xml:space="preserve">See other notes in this file and in the "Total incomes 1774" file for discussions of the separation of farm operators' free labor earnings, property earnings, and residual profits.  </t>
    <phoneticPr fontId="20" type="noConversion"/>
  </si>
  <si>
    <t>Group 5E</t>
    <phoneticPr fontId="20" type="noConversion"/>
  </si>
  <si>
    <r>
      <t>Notes</t>
    </r>
    <r>
      <rPr>
        <sz val="12"/>
        <rFont val="Arial"/>
      </rPr>
      <t>:</t>
    </r>
    <phoneticPr fontId="20" type="noConversion"/>
  </si>
  <si>
    <t>See rows 56ff below for average free-labor earnings by place.</t>
    <phoneticPr fontId="20" type="noConversion"/>
  </si>
  <si>
    <t>All HHs</t>
    <phoneticPr fontId="20" type="noConversion"/>
  </si>
  <si>
    <t>(G) Extra earners "taken in", or imported</t>
    <phoneticPr fontId="20" type="noConversion"/>
  </si>
  <si>
    <t>Slaves ages 10 up, retained earnings</t>
    <phoneticPr fontId="20" type="noConversion"/>
  </si>
  <si>
    <t>Free</t>
    <phoneticPr fontId="20" type="noConversion"/>
  </si>
  <si>
    <t>(2) Finding Homes for Non-HHs:</t>
    <phoneticPr fontId="20" type="noConversion"/>
  </si>
  <si>
    <t>Occupational distributions based on adjusted AHJ and other documents elaborated in the "1774 Occupations by region" Excel file, Worksheet entitled "(4) Summary LF totals".</t>
  </si>
  <si>
    <t>Group 18B</t>
    <phoneticPr fontId="20" type="noConversion"/>
  </si>
  <si>
    <t>Officials, titled, professionals</t>
    <phoneticPr fontId="20" type="noConversion"/>
  </si>
  <si>
    <t>RANKED BY</t>
    <phoneticPr fontId="20" type="noConversion"/>
  </si>
  <si>
    <t>Farm operators - top 2% in property**</t>
    <phoneticPr fontId="20" type="noConversion"/>
  </si>
  <si>
    <t>rural, towns</t>
    <phoneticPr fontId="20" type="noConversion"/>
  </si>
  <si>
    <t>Group 2</t>
    <phoneticPr fontId="20" type="noConversion"/>
  </si>
  <si>
    <t>(later US)</t>
  </si>
  <si>
    <t>(F.) Their total $ earnings</t>
    <phoneticPr fontId="20" type="noConversion"/>
  </si>
  <si>
    <t>(B.) The heads' average own-labor earnings</t>
    <phoneticPr fontId="20" type="noConversion"/>
  </si>
  <si>
    <t>[Small sample. For Group 5 in rural areas, see below.]</t>
    <phoneticPr fontId="20" type="noConversion"/>
  </si>
  <si>
    <t>(A.) Numbers of household heads</t>
    <phoneticPr fontId="20" type="noConversion"/>
  </si>
  <si>
    <t>NIPA-TYPE GROSS</t>
    <phoneticPr fontId="20" type="noConversion"/>
  </si>
  <si>
    <t>to gini</t>
    <phoneticPr fontId="20" type="noConversion"/>
  </si>
  <si>
    <t>Cumulative</t>
    <phoneticPr fontId="20" type="noConversion"/>
  </si>
  <si>
    <t>income share</t>
    <phoneticPr fontId="20" type="noConversion"/>
  </si>
  <si>
    <t>Q10*(Q10-R10)</t>
    <phoneticPr fontId="20" type="noConversion"/>
  </si>
  <si>
    <t>PROPERTY INCOME</t>
    <phoneticPr fontId="20" type="noConversion"/>
  </si>
  <si>
    <t>TOTAL INCOME</t>
    <phoneticPr fontId="20" type="noConversion"/>
  </si>
  <si>
    <t>(Q11-Q10)*(Q11-R11+Q10-R10)</t>
    <phoneticPr fontId="20" type="noConversion"/>
  </si>
  <si>
    <t>[See notes below.]</t>
    <phoneticPr fontId="20" type="noConversion"/>
  </si>
  <si>
    <t xml:space="preserve">(M.) Total own-labor earnings </t>
    <phoneticPr fontId="20" type="noConversion"/>
  </si>
  <si>
    <t>Memorandum: data for Group 5, rural farm operators in the aggregate</t>
    <phoneticPr fontId="20" type="noConversion"/>
  </si>
  <si>
    <t>Alice Hanson Jones's probate sample was not large enough for us to estimate 4A and 4B separately.</t>
    <phoneticPr fontId="20" type="noConversion"/>
  </si>
  <si>
    <t>(4) Within each group defined by region and urban/rural, we assume that the average earning power of each non-household-head</t>
    <phoneticPr fontId="20" type="noConversion"/>
  </si>
  <si>
    <t>a free-white group, note that the</t>
    <phoneticPr fontId="20" type="noConversion"/>
  </si>
  <si>
    <t>Farm operators - 40th-79th%</t>
    <phoneticPr fontId="20" type="noConversion"/>
  </si>
  <si>
    <t>Farm op %</t>
    <phoneticPr fontId="20" type="noConversion"/>
  </si>
  <si>
    <t>Implied value of property incomes of farm operator HHs =</t>
    <phoneticPr fontId="20" type="noConversion"/>
  </si>
  <si>
    <t>Group 6A</t>
  </si>
  <si>
    <t>Boston</t>
    <phoneticPr fontId="20" type="noConversion"/>
  </si>
  <si>
    <t>free urban</t>
    <phoneticPr fontId="20" type="noConversion"/>
  </si>
  <si>
    <t>Gini =</t>
    <phoneticPr fontId="20" type="noConversion"/>
  </si>
  <si>
    <t xml:space="preserve">                                 </t>
    <phoneticPr fontId="20" type="noConversion"/>
  </si>
  <si>
    <t xml:space="preserve">imported into free families is the same for all free families in that place.  We do not imagine any correlation between earning power of </t>
    <phoneticPr fontId="20" type="noConversion"/>
  </si>
  <si>
    <t>Thirteen</t>
    <phoneticPr fontId="20" type="noConversion"/>
  </si>
  <si>
    <t>Group 18A</t>
    <phoneticPr fontId="20" type="noConversion"/>
  </si>
  <si>
    <t>For average earnings per member of the labor force in the same household, see worksheet (2)</t>
    <phoneticPr fontId="20" type="noConversion"/>
  </si>
  <si>
    <t>Free households</t>
    <phoneticPr fontId="20" type="noConversion"/>
  </si>
  <si>
    <t xml:space="preserve">For the South, colonial censuses counted slaves at the all-colony level but not separately for cities (e.g. Charleston).  In these tables, all slave numbers appear as rural.  </t>
    <phoneticPr fontId="20" type="noConversion"/>
  </si>
  <si>
    <r>
      <t>Slave headship rate</t>
    </r>
    <r>
      <rPr>
        <sz val="12"/>
        <rFont val="Arial"/>
      </rPr>
      <t>: We assume that of the slave population over age 10, which is also used as the slave labor force, 35 percent were household heads.</t>
    </r>
    <phoneticPr fontId="20" type="noConversion"/>
  </si>
  <si>
    <t>Unskilled male workers</t>
  </si>
  <si>
    <t>Group 6B</t>
  </si>
  <si>
    <t>Unskilled female workers</t>
  </si>
  <si>
    <t>have a retained income exceeding that of 5 and 12</t>
    <phoneticPr fontId="20" type="noConversion"/>
  </si>
  <si>
    <t>Group 4A</t>
  </si>
  <si>
    <t>Artisans (manufacturing trades)</t>
  </si>
  <si>
    <t>Slaves ages 10 up, retained earnings</t>
    <phoneticPr fontId="20" type="noConversion"/>
  </si>
  <si>
    <t>Artisans (manufacturing trades)</t>
    <phoneticPr fontId="20" type="noConversion"/>
  </si>
  <si>
    <t>Group 4B</t>
    <phoneticPr fontId="20" type="noConversion"/>
  </si>
  <si>
    <t>Group 18A</t>
    <phoneticPr fontId="20" type="noConversion"/>
  </si>
  <si>
    <t>Pennsylvania currency</t>
  </si>
  <si>
    <t>Colony</t>
  </si>
  <si>
    <t>(£ sterling UK)</t>
    <phoneticPr fontId="20" type="noConversion"/>
  </si>
  <si>
    <t xml:space="preserve">because the occupational distributions had to be applied to the Alice Hanson Jones estimates of wealth, to derive property incomes by occupational class.  </t>
    <phoneticPr fontId="20" type="noConversion"/>
  </si>
  <si>
    <t>This has no effect on total earnings or income, but affects the inequality of incomes among households.</t>
    <phoneticPr fontId="20" type="noConversion"/>
  </si>
  <si>
    <t>Group 5B</t>
    <phoneticPr fontId="20" type="noConversion"/>
  </si>
  <si>
    <t>Group 5C</t>
    <phoneticPr fontId="20" type="noConversion"/>
  </si>
  <si>
    <t>Charleston)</t>
    <phoneticPr fontId="20" type="noConversion"/>
  </si>
  <si>
    <t>Group 6A</t>
    <phoneticPr fontId="20" type="noConversion"/>
  </si>
  <si>
    <t xml:space="preserve">In this table all slave numbers appear as rural.  </t>
    <phoneticPr fontId="20" type="noConversion"/>
  </si>
  <si>
    <t>as %'s of the</t>
  </si>
  <si>
    <t xml:space="preserve">The reason is that tor the Middle Colonies, farm operators could be divided into property-income ranks only for 3 colonies </t>
    <phoneticPr fontId="20" type="noConversion"/>
  </si>
  <si>
    <t xml:space="preserve">versus, in the "Own-labor" file, </t>
    <phoneticPr fontId="20" type="noConversion"/>
  </si>
  <si>
    <t>error in % =</t>
    <phoneticPr fontId="20" type="noConversion"/>
  </si>
  <si>
    <t>Group 2-3</t>
    <phoneticPr fontId="20" type="noConversion"/>
  </si>
  <si>
    <t>Rev August 2012</t>
    <phoneticPr fontId="20" type="noConversion"/>
  </si>
  <si>
    <t>HH share</t>
    <phoneticPr fontId="20" type="noConversion"/>
  </si>
  <si>
    <t>(blank)</t>
    <phoneticPr fontId="20" type="noConversion"/>
  </si>
  <si>
    <t>In other words, earners do not engage in long-distance commuting, between regions or between countryside and city.</t>
    <phoneticPr fontId="20" type="noConversion"/>
  </si>
  <si>
    <t>There is at least some literature measuring labor force members per household for the main ioccupations groups in the 1770s.</t>
    <phoneticPr fontId="20" type="noConversion"/>
  </si>
  <si>
    <t>Thus in terms of income per LF member,</t>
    <phoneticPr fontId="20" type="noConversion"/>
  </si>
  <si>
    <t xml:space="preserve">have a retained income exceeding that of </t>
    <phoneticPr fontId="20" type="noConversion"/>
  </si>
  <si>
    <t>using the "Variant B" assumptions about occ mix.)</t>
    <phoneticPr fontId="20" type="noConversion"/>
  </si>
  <si>
    <r>
      <t>(A.) General note</t>
    </r>
    <r>
      <rPr>
        <sz val="12"/>
        <rFont val="Arial"/>
      </rPr>
      <t>: "Own labor incomes" here means annual (not necessarily full-time) earnings from human sources, as received by the laborer.</t>
    </r>
    <phoneticPr fontId="20" type="noConversion"/>
  </si>
  <si>
    <t>are applied to urban and rural alike, since J.T. Main's underlying estimates of incomes per farm do not permit much spatial separation within each region.</t>
    <phoneticPr fontId="20" type="noConversion"/>
  </si>
  <si>
    <t>New Eng</t>
  </si>
  <si>
    <t>The remaining worksheets in this Excel file =</t>
    <phoneticPr fontId="20" type="noConversion"/>
  </si>
  <si>
    <t>Small town</t>
  </si>
  <si>
    <t>Big city</t>
  </si>
  <si>
    <t>Farm</t>
  </si>
  <si>
    <t>Average</t>
    <phoneticPr fontId="20" type="noConversion"/>
  </si>
  <si>
    <t>OWN-LABOR EARNINGS</t>
    <phoneticPr fontId="20" type="noConversion"/>
  </si>
  <si>
    <t>(4) Size distribution of income among Middle Colonies' households 1774</t>
    <phoneticPr fontId="20" type="noConversion"/>
  </si>
  <si>
    <t>eight free-white groups, note the the</t>
    <phoneticPr fontId="20" type="noConversion"/>
  </si>
  <si>
    <t>*Slaves ages 10 up, retained earnings</t>
    <phoneticPr fontId="20" type="noConversion"/>
  </si>
  <si>
    <t>Group 9</t>
  </si>
  <si>
    <t>Zero-wealth free HHs</t>
  </si>
  <si>
    <t>Group 5A</t>
  </si>
  <si>
    <t>Group 5B</t>
  </si>
  <si>
    <t>Group 6B</t>
    <phoneticPr fontId="20" type="noConversion"/>
  </si>
  <si>
    <t>AVERAGE TOTAL INCOME PER HOUSEHOLD</t>
    <phoneticPr fontId="20" type="noConversion"/>
  </si>
  <si>
    <t>(K.) Average own-labor earnings per LF member in the household</t>
    <phoneticPr fontId="20" type="noConversion"/>
  </si>
  <si>
    <t>(1) For the skilled labor Group 4 in manufacturing and construction, we assume that property</t>
    <phoneticPr fontId="20" type="noConversion"/>
  </si>
  <si>
    <r>
      <t>RECONSTITUTED HOUSEHOLDS</t>
    </r>
    <r>
      <rPr>
        <sz val="12"/>
        <rFont val="Arial"/>
      </rPr>
      <t>, grouped by occ of HH</t>
    </r>
    <phoneticPr fontId="20" type="noConversion"/>
  </si>
  <si>
    <t>(4) Size distribution of income among New England households 1774</t>
    <phoneticPr fontId="20" type="noConversion"/>
  </si>
  <si>
    <t>Farm operators - top 2% in property</t>
    <phoneticPr fontId="20" type="noConversion"/>
  </si>
  <si>
    <t>absolute error</t>
    <phoneticPr fontId="20" type="noConversion"/>
  </si>
  <si>
    <t>Farm operators - top 2% in property</t>
    <phoneticPr fontId="20" type="noConversion"/>
  </si>
  <si>
    <t>Lindert-Williamson</t>
    <phoneticPr fontId="20" type="noConversion"/>
  </si>
  <si>
    <t>rural, towns</t>
    <phoneticPr fontId="20" type="noConversion"/>
  </si>
  <si>
    <t>Farm operators - next 18%</t>
    <phoneticPr fontId="20" type="noConversion"/>
  </si>
  <si>
    <t>Group 5D</t>
  </si>
  <si>
    <t>MD white male servants</t>
  </si>
  <si>
    <t>* See "Sources &amp; notes" worksheet for the colony-specific exchange rates.</t>
    <phoneticPr fontId="20" type="noConversion"/>
  </si>
  <si>
    <t>measures of average household income are</t>
    <phoneticPr fontId="20" type="noConversion"/>
  </si>
  <si>
    <r>
      <t>(b.) Alternative household LF/HH average ratios for Group 5</t>
    </r>
    <r>
      <rPr>
        <b/>
        <sz val="12"/>
        <rFont val="Arial"/>
      </rPr>
      <t>, from rural Chester County PA 1774</t>
    </r>
    <phoneticPr fontId="20" type="noConversion"/>
  </si>
  <si>
    <t>free rural and town</t>
    <phoneticPr fontId="20" type="noConversion"/>
  </si>
  <si>
    <t>Farm operators - 0-39th%</t>
    <phoneticPr fontId="20" type="noConversion"/>
  </si>
  <si>
    <t>Farm operators - 40th-79th%</t>
    <phoneticPr fontId="20" type="noConversion"/>
  </si>
  <si>
    <t>Ave. potential</t>
    <phoneticPr fontId="20" type="noConversion"/>
  </si>
  <si>
    <t>Male unskilled HHs</t>
    <phoneticPr fontId="20" type="noConversion"/>
  </si>
  <si>
    <t>New England's slaves ranked 4th from the bottom</t>
    <phoneticPr fontId="20" type="noConversion"/>
  </si>
  <si>
    <t>For Group 5, farm operators:  The average labor plus profit incomes are calculated in the worksheet "(3) Farm incomes".  These region-wide averages</t>
    <phoneticPr fontId="20" type="noConversion"/>
  </si>
  <si>
    <t>In New England, there were only 1.44 LF members</t>
    <phoneticPr fontId="20" type="noConversion"/>
  </si>
  <si>
    <t>The counts of household heads in (A.) are from the file "1774 occs by region", Worksheet (3).</t>
    <phoneticPr fontId="20" type="noConversion"/>
  </si>
  <si>
    <t>Total labor force</t>
    <phoneticPr fontId="20" type="noConversion"/>
  </si>
  <si>
    <t>All occupational groups, urban</t>
    <phoneticPr fontId="20" type="noConversion"/>
  </si>
  <si>
    <t>Farm operators - next 18%</t>
    <phoneticPr fontId="20" type="noConversion"/>
  </si>
  <si>
    <t>Total $</t>
    <phoneticPr fontId="20" type="noConversion"/>
  </si>
  <si>
    <t>per year</t>
    <phoneticPr fontId="20" type="noConversion"/>
  </si>
  <si>
    <t>Farm operators - next 18%**</t>
    <phoneticPr fontId="20" type="noConversion"/>
  </si>
  <si>
    <t>For Groups 7 and 8, male and female household heads, with no stated occupation (other than "widow" or "single woman"): These are assumed to have the same average own-labor incomes as</t>
    <phoneticPr fontId="20" type="noConversion"/>
  </si>
  <si>
    <t xml:space="preserve">(2) The same holds for the separately recorded group of Maryland servants, though the assumption is redundant here because these are one-person households.  </t>
    <phoneticPr fontId="20" type="noConversion"/>
  </si>
  <si>
    <t>Groups</t>
    <phoneticPr fontId="20" type="noConversion"/>
  </si>
  <si>
    <t>Group 4B</t>
  </si>
  <si>
    <t>Group 5</t>
  </si>
  <si>
    <t>Alice Hanson Jones's $4.15 could be reconciled with the others if a weighted average of all colonial currencies were worth 4.125/4.444 (or 0.93468) of Pennsylvania currency.</t>
  </si>
  <si>
    <t>NIPA-TYPE GROSS</t>
    <phoneticPr fontId="20" type="noConversion"/>
  </si>
  <si>
    <t>divide $ by 4.44.]</t>
    <phoneticPr fontId="20" type="noConversion"/>
  </si>
  <si>
    <t>Middle Colonies' slaves ranked much closer to the bottom</t>
    <phoneticPr fontId="20" type="noConversion"/>
  </si>
  <si>
    <t>(H.) Their average earnings (derived at bottom of Panel E)</t>
    <phoneticPr fontId="20" type="noConversion"/>
  </si>
  <si>
    <t>Median $:</t>
  </si>
  <si>
    <t>* If it seems anomalous that slave households</t>
    <phoneticPr fontId="20" type="noConversion"/>
  </si>
  <si>
    <t>Mean $:</t>
  </si>
  <si>
    <t>Female HHs w/wealth, no occ stated</t>
  </si>
  <si>
    <t>Farm operators</t>
  </si>
  <si>
    <t>(2) For Group 6B, female unskilled labor, not separately sampled by Jones, we assumed zero wealth.</t>
    <phoneticPr fontId="20" type="noConversion"/>
  </si>
  <si>
    <t>free-white groups, note that the</t>
    <phoneticPr fontId="20" type="noConversion"/>
  </si>
  <si>
    <t>Group 7</t>
  </si>
  <si>
    <t>Male HHs w/wealth, no occ stated</t>
  </si>
  <si>
    <t>(NY, NJ, PA, DE)</t>
    <phoneticPr fontId="20" type="noConversion"/>
  </si>
  <si>
    <t>Total</t>
    <phoneticPr fontId="20" type="noConversion"/>
  </si>
  <si>
    <t>revised</t>
    <phoneticPr fontId="20" type="noConversion"/>
  </si>
  <si>
    <t>august'12</t>
    <phoneticPr fontId="20" type="noConversion"/>
  </si>
  <si>
    <r>
      <t>(a.) Household LF/HH average ratios for Groups 1-6</t>
    </r>
    <r>
      <rPr>
        <b/>
        <sz val="12"/>
        <rFont val="Arial"/>
      </rPr>
      <t>, From B.G. Smith's fuller-information sub-sample of Philadelphia in 1772</t>
    </r>
    <phoneticPr fontId="20" type="noConversion"/>
  </si>
  <si>
    <t>(3) Summary of incomes of free and slave households, by occupation of HH for 1774.</t>
    <phoneticPr fontId="20" type="noConversion"/>
  </si>
  <si>
    <t>rather than 9th, as the ranks above might suggest.</t>
    <phoneticPr fontId="20" type="noConversion"/>
  </si>
  <si>
    <t>All occupational groups, town-rural</t>
    <phoneticPr fontId="20" type="noConversion"/>
  </si>
  <si>
    <t>This worksheet therefore only notes the fragmentary estimates of LF/HH.</t>
    <phoneticPr fontId="20" type="noConversion"/>
  </si>
  <si>
    <t>% share</t>
    <phoneticPr fontId="20" type="noConversion"/>
  </si>
  <si>
    <t>(1) Fragmentary literature on household LF sizes, by occupation of the head.</t>
    <phoneticPr fontId="20" type="noConversion"/>
  </si>
  <si>
    <t>(2) Moving the free non-household-heads, and their earnings, to others' households.</t>
    <phoneticPr fontId="20" type="noConversion"/>
  </si>
  <si>
    <t xml:space="preserve">Wage rates for non-farm rural occupations are especially sparse, and thus that for lesser cities and towns are used: for male common labor, the numbers of observations </t>
    <phoneticPr fontId="20" type="noConversion"/>
  </si>
  <si>
    <t xml:space="preserve">Furthermore, the bottom four free groups are </t>
    <phoneticPr fontId="20" type="noConversion"/>
  </si>
  <si>
    <t>[All farm ops]</t>
    <phoneticPr fontId="20" type="noConversion"/>
  </si>
  <si>
    <t>$/HH-year</t>
    <phoneticPr fontId="20" type="noConversion"/>
  </si>
  <si>
    <t>Farm operators - 40th-79th%</t>
    <phoneticPr fontId="20" type="noConversion"/>
  </si>
  <si>
    <t>Gini =</t>
  </si>
  <si>
    <t>$</t>
  </si>
  <si>
    <t>% share</t>
  </si>
  <si>
    <t>Ave income</t>
  </si>
  <si>
    <r>
      <t>MD servant headship rate</t>
    </r>
    <r>
      <rPr>
        <sz val="12"/>
        <rFont val="Arial"/>
      </rPr>
      <t xml:space="preserve"> = 1.00.  That is, they are treated as single-person households.</t>
    </r>
    <phoneticPr fontId="20" type="noConversion"/>
  </si>
  <si>
    <t>slightly revised April-July 2011,</t>
    <phoneticPr fontId="20" type="noConversion"/>
  </si>
  <si>
    <t>[2 work columns.]</t>
    <phoneticPr fontId="20" type="noConversion"/>
  </si>
  <si>
    <t>Rev April-July '11</t>
    <phoneticPr fontId="20" type="noConversion"/>
  </si>
  <si>
    <t>prof's-comm-craft</t>
    <phoneticPr fontId="20" type="noConversion"/>
  </si>
  <si>
    <t>no occ, W&gt;0</t>
    <phoneticPr fontId="20" type="noConversion"/>
  </si>
  <si>
    <t>Menial &amp; W=0's</t>
    <phoneticPr fontId="20" type="noConversion"/>
  </si>
  <si>
    <t>(7) Size distribution of income among households, All 13 Colonies</t>
    <phoneticPr fontId="20" type="noConversion"/>
  </si>
  <si>
    <t xml:space="preserve">This literature is too thin to be used in developing the present estimates.  </t>
    <phoneticPr fontId="20" type="noConversion"/>
  </si>
  <si>
    <t>Lindert-Williamson Feb 2011,</t>
    <phoneticPr fontId="20" type="noConversion"/>
  </si>
  <si>
    <t>Farm operators - 40th-79th%**</t>
    <phoneticPr fontId="20" type="noConversion"/>
  </si>
  <si>
    <r>
      <t xml:space="preserve">and on the series he displayed in </t>
    </r>
    <r>
      <rPr>
        <i/>
        <sz val="12"/>
        <rFont val="Arial"/>
      </rPr>
      <t>HSUS Millennial</t>
    </r>
    <r>
      <rPr>
        <sz val="12"/>
        <rFont val="Arial"/>
      </rPr>
      <t xml:space="preserve"> (2006):</t>
    </r>
    <phoneticPr fontId="20" type="noConversion"/>
  </si>
  <si>
    <t>Urban or</t>
    <phoneticPr fontId="20" type="noConversion"/>
  </si>
  <si>
    <t>Group 5C</t>
  </si>
  <si>
    <t>Ranking by total full-time income per HH</t>
  </si>
  <si>
    <t>TOTAL-INCOME</t>
  </si>
  <si>
    <t>TOTAL-INCOME INEQUALITY AMONG ALL HOUSEHOLDS</t>
  </si>
  <si>
    <t>TOTAL-INCOME INEQUALITY AMONG FREE HOUSEHOLDS</t>
  </si>
  <si>
    <t>TOTAL-INCOME INEQUALITY, ALL HOUSEHOLDS</t>
  </si>
  <si>
    <t xml:space="preserve">This meant lower property income per female head of household than for unskilled male heads, except in Charleston, </t>
    <phoneticPr fontId="20" type="noConversion"/>
  </si>
  <si>
    <t xml:space="preserve">where this variant implies greater labor force per household than for male.  </t>
    <phoneticPr fontId="20" type="noConversion"/>
  </si>
  <si>
    <t>full-time was</t>
  </si>
  <si>
    <t>part-time sum</t>
  </si>
  <si>
    <t>Now part-time</t>
  </si>
  <si>
    <t>due to part-</t>
  </si>
  <si>
    <t>time assump</t>
  </si>
  <si>
    <t xml:space="preserve"> &lt;-mark-down</t>
  </si>
  <si>
    <t>full-time, from the "Own-Labor Incomes 1774" file.</t>
  </si>
  <si>
    <t>All farm ops --</t>
  </si>
  <si>
    <t>earnings of</t>
  </si>
  <si>
    <t>in July-August 2012; part-time June 2014</t>
  </si>
  <si>
    <t>versus</t>
  </si>
  <si>
    <t>farm ops =</t>
  </si>
  <si>
    <t>sum of rural</t>
  </si>
  <si>
    <t>from the earlier Amer incomes 1774 fewer days file</t>
  </si>
  <si>
    <t>Using full-time assumptions about the work year</t>
  </si>
  <si>
    <t>TOTAL INCOME ($), "part-time" work year assumptions</t>
  </si>
  <si>
    <t>Group 19</t>
  </si>
  <si>
    <t>Part-time</t>
  </si>
  <si>
    <t>AVERAGE INCOME, all kinds</t>
  </si>
  <si>
    <t>All households</t>
  </si>
  <si>
    <t>Median =</t>
  </si>
  <si>
    <t>median =</t>
  </si>
  <si>
    <t>2/1/2011, converted to</t>
  </si>
  <si>
    <t>part-time assumptions June 2014</t>
  </si>
  <si>
    <t>part-time</t>
  </si>
  <si>
    <t>For Group 9, household heads with zero assessed wealth: These, whatever their (unknown) gender, are assumed to have the same own-labor incomes as unskilled male laborers (Group 6A) in the same places.</t>
    <phoneticPr fontId="20" type="noConversion"/>
  </si>
  <si>
    <t>For Group 19, slaves, earnings:  See the worksheet on slave earnings and their retention share in the Excel file "Own-labor incomes 1774".</t>
    <phoneticPr fontId="20" type="noConversion"/>
  </si>
  <si>
    <t>Lindert-Williamson</t>
    <phoneticPr fontId="20" type="noConversion"/>
  </si>
  <si>
    <t>(I.) Their total $ earnings</t>
    <phoneticPr fontId="20" type="noConversion"/>
  </si>
  <si>
    <t>(J.) Number of labor force participants</t>
    <phoneticPr fontId="20" type="noConversion"/>
  </si>
  <si>
    <t>(1) Fragmentary literature on household labor force sizes, by occupation of the head</t>
    <phoneticPr fontId="20" type="noConversion"/>
  </si>
  <si>
    <t>All 13 colonies' classes, stacked together into a grand size distribution of nominal income 1774</t>
    <phoneticPr fontId="20" type="noConversion"/>
  </si>
  <si>
    <t>Mid Cols</t>
    <phoneticPr fontId="20" type="noConversion"/>
  </si>
  <si>
    <t>TOTAL OWN-LABOR EARNINGS, in $* from wksht (2), (M.)</t>
    <phoneticPr fontId="20" type="noConversion"/>
  </si>
  <si>
    <t>Slaves ages 10 up, retained earnings*</t>
    <phoneticPr fontId="20" type="noConversion"/>
  </si>
  <si>
    <t>Farm operators - 0-39th%**</t>
    <phoneticPr fontId="20" type="noConversion"/>
  </si>
  <si>
    <t>households</t>
    <phoneticPr fontId="20" type="noConversion"/>
  </si>
  <si>
    <t>TOTAL-INCOME INEQUALITY, FREE HOUSEHOLDS</t>
  </si>
  <si>
    <t>Implied own-labor incomes of farm operator HHs =</t>
  </si>
  <si>
    <t>All</t>
  </si>
  <si>
    <t>regions'</t>
  </si>
  <si>
    <t xml:space="preserve">ratio, </t>
  </si>
  <si>
    <t>Part-time /</t>
    <phoneticPr fontId="19" type="noConversion"/>
  </si>
  <si>
    <t>full-time =</t>
    <phoneticPr fontId="19" type="noConversion"/>
  </si>
  <si>
    <t>Full-time OWN-LABOR EARNINGS PER HH, in $*</t>
  </si>
  <si>
    <t>Group 8</t>
  </si>
  <si>
    <t>Group 1</t>
  </si>
  <si>
    <t>Total $</t>
    <phoneticPr fontId="20" type="noConversion"/>
  </si>
  <si>
    <t>four alternative conversions for 1789 and after. For the 1792 mentioned by Jones, the Officer values in $/£ are 4.6206, 4.4400, 4.5714, and 4.5554.  </t>
    <phoneticPr fontId="20" type="noConversion"/>
  </si>
  <si>
    <t>assumptions June 2014</t>
  </si>
  <si>
    <t>Group 919</t>
  </si>
  <si>
    <t>Slaves</t>
  </si>
  <si>
    <t>Part-time work year</t>
  </si>
  <si>
    <t>median $=</t>
  </si>
  <si>
    <t>Among free households</t>
  </si>
  <si>
    <t>Group 3</t>
  </si>
  <si>
    <t>Group 2</t>
  </si>
  <si>
    <t>"Part-time"</t>
  </si>
  <si>
    <t>Urban or</t>
  </si>
  <si>
    <t>Region</t>
  </si>
  <si>
    <t>rural</t>
  </si>
  <si>
    <r>
      <t xml:space="preserve">Ranking by total </t>
    </r>
    <r>
      <rPr>
        <b/>
        <u/>
        <sz val="12"/>
        <rFont val="Arial"/>
      </rPr>
      <t>part-time</t>
    </r>
    <r>
      <rPr>
        <sz val="12"/>
        <rFont val="Arial"/>
      </rPr>
      <t xml:space="preserve"> income per HH</t>
    </r>
  </si>
  <si>
    <t>top 20%</t>
  </si>
  <si>
    <t>top 10%</t>
  </si>
  <si>
    <t>top 5%</t>
  </si>
  <si>
    <t>top 1%</t>
  </si>
  <si>
    <t>X10*(X10-Y10)</t>
  </si>
  <si>
    <t>(X11-X10)*(X11-Y11+X10-Y10)</t>
  </si>
  <si>
    <t>Bottom 40%</t>
  </si>
  <si>
    <t>50 %ile</t>
  </si>
  <si>
    <t>Free HHs'</t>
  </si>
  <si>
    <t>income ($)</t>
  </si>
  <si>
    <t>free HHs,</t>
  </si>
  <si>
    <t>check</t>
  </si>
  <si>
    <t>[NB: Median &gt; mean here.  Reverse skewing for New England.]</t>
  </si>
  <si>
    <t>Ranking by total income per HH, part-time assumptions</t>
  </si>
  <si>
    <t>"Part-time" assumptions about the length of the work year.</t>
  </si>
  <si>
    <t>(8) Income Inequality summary 1774</t>
  </si>
  <si>
    <t xml:space="preserve">assumed to have only 1.00 LF members per household.  </t>
    <phoneticPr fontId="20" type="noConversion"/>
  </si>
  <si>
    <t>Reminder: For 1774, the South excludes DE, FL, KY, and TN.</t>
    <phoneticPr fontId="20" type="noConversion"/>
  </si>
  <si>
    <t>Farm operators - all, New York</t>
    <phoneticPr fontId="20" type="noConversion"/>
  </si>
  <si>
    <t>(NJ, PA, DE), due to limitations on Jones's New York sample.</t>
    <phoneticPr fontId="20" type="noConversion"/>
  </si>
  <si>
    <t>Male HHs, no occ given</t>
    <phoneticPr fontId="20" type="noConversion"/>
  </si>
  <si>
    <t>than the ranks above might suggest.</t>
    <phoneticPr fontId="20" type="noConversion"/>
  </si>
  <si>
    <t xml:space="preserve">Furthermore, the bottom 9 free groups are </t>
    <phoneticPr fontId="20" type="noConversion"/>
  </si>
  <si>
    <t>participants</t>
    <phoneticPr fontId="20" type="noConversion"/>
  </si>
  <si>
    <t>New Eng</t>
    <phoneticPr fontId="20" type="noConversion"/>
  </si>
  <si>
    <t xml:space="preserve">In earlier rounds of estimation, we had assumed that the unskilled female household heads' average gross property income </t>
    <phoneticPr fontId="20" type="noConversion"/>
  </si>
  <si>
    <t xml:space="preserve">was that of their male counterpart households (Group 6A) times the ratio of their own-labor earnings.  </t>
    <phoneticPr fontId="20" type="noConversion"/>
  </si>
  <si>
    <t>free LF/HH =</t>
  </si>
  <si>
    <t>All LF/HH =</t>
  </si>
  <si>
    <t>Slave-and servant  LF/HH =</t>
  </si>
  <si>
    <t>(3) Summary of full-time incomes of free and slave households, by occupation of HH for 1774</t>
  </si>
</sst>
</file>

<file path=xl/styles.xml><?xml version="1.0" encoding="utf-8"?>
<styleSheet xmlns="http://schemas.openxmlformats.org/spreadsheetml/2006/main">
  <numFmts count="11">
    <numFmt numFmtId="164" formatCode="0.0"/>
    <numFmt numFmtId="165" formatCode="0.000"/>
    <numFmt numFmtId="166" formatCode="0.00000"/>
    <numFmt numFmtId="167" formatCode="0.000000"/>
    <numFmt numFmtId="168" formatCode="0.0000000"/>
    <numFmt numFmtId="169" formatCode="0,000"/>
    <numFmt numFmtId="170" formatCode="00,000"/>
    <numFmt numFmtId="171" formatCode="#,##0.000"/>
    <numFmt numFmtId="172" formatCode="#,##0.0"/>
    <numFmt numFmtId="173" formatCode="#,##0.00000"/>
    <numFmt numFmtId="175" formatCode="0"/>
  </numFmts>
  <fonts count="45">
    <font>
      <sz val="10"/>
      <name val="Arial"/>
    </font>
    <font>
      <sz val="10"/>
      <name val="Arial"/>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erdana"/>
    </font>
    <font>
      <b/>
      <sz val="12"/>
      <name val="Arial"/>
    </font>
    <font>
      <sz val="12"/>
      <name val="Arial"/>
    </font>
    <font>
      <i/>
      <sz val="12"/>
      <name val="Arial"/>
    </font>
    <font>
      <b/>
      <sz val="14"/>
      <color indexed="10"/>
      <name val="Arial"/>
    </font>
    <font>
      <u/>
      <sz val="12"/>
      <name val="Arial"/>
    </font>
    <font>
      <sz val="14"/>
      <name val="Arial"/>
    </font>
    <font>
      <sz val="12"/>
      <color indexed="10"/>
      <name val="Arial"/>
    </font>
    <font>
      <b/>
      <u/>
      <sz val="12"/>
      <name val="Arial"/>
    </font>
    <font>
      <sz val="12"/>
      <color indexed="8"/>
      <name val="Arial"/>
    </font>
    <font>
      <b/>
      <sz val="16"/>
      <color indexed="10"/>
      <name val="Arial"/>
    </font>
    <font>
      <b/>
      <sz val="12"/>
      <color indexed="10"/>
      <name val="Arial"/>
    </font>
    <font>
      <u/>
      <sz val="10"/>
      <name val="Arial"/>
    </font>
    <font>
      <u/>
      <sz val="12"/>
      <color indexed="10"/>
      <name val="Arial"/>
    </font>
    <font>
      <sz val="10"/>
      <color indexed="10"/>
      <name val="Arial"/>
    </font>
    <font>
      <sz val="10"/>
      <color indexed="8"/>
      <name val="Arial"/>
      <family val="2"/>
    </font>
    <font>
      <sz val="11"/>
      <color indexed="10"/>
      <name val="Arial"/>
    </font>
    <font>
      <sz val="11"/>
      <name val="Arial"/>
    </font>
    <font>
      <sz val="18"/>
      <color indexed="10"/>
      <name val="Arial"/>
    </font>
    <font>
      <u/>
      <sz val="10"/>
      <color indexed="12"/>
      <name val="Arial"/>
    </font>
    <font>
      <u/>
      <sz val="10"/>
      <color indexed="20"/>
      <name val="Arial"/>
    </font>
    <font>
      <sz val="12"/>
      <color indexed="8"/>
      <name val="Arial"/>
    </font>
    <font>
      <sz val="12"/>
      <color indexed="10"/>
      <name val="Arial"/>
    </font>
    <font>
      <b/>
      <sz val="12"/>
      <color indexed="10"/>
      <name val="Arial"/>
    </font>
    <font>
      <sz val="10"/>
      <color indexed="10"/>
      <name val="Arial"/>
    </font>
  </fonts>
  <fills count="38">
    <fill>
      <patternFill patternType="none"/>
    </fill>
    <fill>
      <patternFill patternType="gray125"/>
    </fill>
    <fill>
      <patternFill patternType="solid">
        <fgColor indexed="15"/>
        <bgColor indexed="64"/>
      </patternFill>
    </fill>
    <fill>
      <patternFill patternType="solid">
        <fgColor indexed="41"/>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FF00"/>
        <bgColor indexed="64"/>
      </patternFill>
    </fill>
    <fill>
      <patternFill patternType="solid">
        <fgColor rgb="FFCCFFCC"/>
        <bgColor indexed="64"/>
      </patternFill>
    </fill>
    <fill>
      <patternFill patternType="solid">
        <fgColor rgb="FFCC99FF"/>
        <bgColor indexed="64"/>
      </patternFill>
    </fill>
    <fill>
      <patternFill patternType="solid">
        <fgColor theme="2" tint="-0.249977111117893"/>
        <bgColor indexed="64"/>
      </patternFill>
    </fill>
    <fill>
      <patternFill patternType="solid">
        <fgColor indexed="49"/>
        <bgColor indexed="64"/>
      </patternFill>
    </fill>
  </fills>
  <borders count="31">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bottom/>
      <diagonal/>
    </border>
    <border>
      <left/>
      <right style="thin">
        <color auto="1"/>
      </right>
      <top/>
      <bottom/>
      <diagonal/>
    </border>
  </borders>
  <cellStyleXfs count="44">
    <xf numFmtId="0" fontId="0" fillId="0" borderId="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7" borderId="0" applyNumberFormat="0" applyBorder="0" applyAlignment="0" applyProtection="0"/>
    <xf numFmtId="0" fontId="5" fillId="11" borderId="0" applyNumberFormat="0" applyBorder="0" applyAlignment="0" applyProtection="0"/>
    <xf numFmtId="0" fontId="6" fillId="28" borderId="20" applyNumberFormat="0" applyAlignment="0" applyProtection="0"/>
    <xf numFmtId="0" fontId="7" fillId="29" borderId="21" applyNumberFormat="0" applyAlignment="0" applyProtection="0"/>
    <xf numFmtId="0" fontId="8" fillId="0" borderId="0" applyNumberFormat="0" applyFill="0" applyBorder="0" applyAlignment="0" applyProtection="0"/>
    <xf numFmtId="0" fontId="9" fillId="12" borderId="0" applyNumberFormat="0" applyBorder="0" applyAlignment="0" applyProtection="0"/>
    <xf numFmtId="0" fontId="10" fillId="0" borderId="22" applyNumberFormat="0" applyFill="0" applyAlignment="0" applyProtection="0"/>
    <xf numFmtId="0" fontId="11" fillId="0" borderId="23" applyNumberFormat="0" applyFill="0" applyAlignment="0" applyProtection="0"/>
    <xf numFmtId="0" fontId="12" fillId="0" borderId="24" applyNumberFormat="0" applyFill="0" applyAlignment="0" applyProtection="0"/>
    <xf numFmtId="0" fontId="12" fillId="0" borderId="0" applyNumberFormat="0" applyFill="0" applyBorder="0" applyAlignment="0" applyProtection="0"/>
    <xf numFmtId="0" fontId="13" fillId="15" borderId="20" applyNumberFormat="0" applyAlignment="0" applyProtection="0"/>
    <xf numFmtId="0" fontId="14" fillId="0" borderId="25" applyNumberFormat="0" applyFill="0" applyAlignment="0" applyProtection="0"/>
    <xf numFmtId="0" fontId="15" fillId="30" borderId="0" applyNumberFormat="0" applyBorder="0" applyAlignment="0" applyProtection="0"/>
    <xf numFmtId="0" fontId="2" fillId="31" borderId="26" applyNumberFormat="0" applyFont="0" applyAlignment="0" applyProtection="0"/>
    <xf numFmtId="0" fontId="16" fillId="28" borderId="27" applyNumberFormat="0" applyAlignment="0" applyProtection="0"/>
    <xf numFmtId="0" fontId="17" fillId="0" borderId="0" applyNumberFormat="0" applyFill="0" applyBorder="0" applyAlignment="0" applyProtection="0"/>
    <xf numFmtId="0" fontId="18" fillId="0" borderId="28" applyNumberFormat="0" applyFill="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511">
    <xf numFmtId="0" fontId="0" fillId="0" borderId="0" xfId="0"/>
    <xf numFmtId="2" fontId="29" fillId="37" borderId="0" xfId="0" applyNumberFormat="1" applyFont="1" applyFill="1" applyBorder="1"/>
    <xf numFmtId="2" fontId="29" fillId="37" borderId="0" xfId="0" applyNumberFormat="1" applyFont="1" applyFill="1"/>
    <xf numFmtId="169" fontId="29" fillId="37" borderId="0" xfId="0" applyNumberFormat="1" applyFont="1" applyFill="1"/>
    <xf numFmtId="3" fontId="29" fillId="37" borderId="0" xfId="0" applyNumberFormat="1" applyFont="1" applyFill="1"/>
    <xf numFmtId="0" fontId="22" fillId="0" borderId="0" xfId="0" applyFont="1"/>
    <xf numFmtId="1" fontId="22" fillId="0" borderId="0" xfId="0" applyNumberFormat="1" applyFont="1" applyAlignment="1"/>
    <xf numFmtId="0" fontId="25" fillId="0" borderId="0" xfId="0" applyFont="1"/>
    <xf numFmtId="0" fontId="22" fillId="0" borderId="0" xfId="0" applyFont="1" applyAlignment="1"/>
    <xf numFmtId="0" fontId="22" fillId="0" borderId="0" xfId="0" applyFont="1" applyFill="1" applyBorder="1" applyAlignment="1"/>
    <xf numFmtId="165" fontId="22" fillId="0" borderId="0" xfId="0" applyNumberFormat="1" applyFont="1"/>
    <xf numFmtId="2" fontId="22" fillId="0" borderId="0" xfId="0" applyNumberFormat="1" applyFont="1"/>
    <xf numFmtId="0" fontId="22" fillId="0" borderId="0" xfId="0" applyFont="1" applyAlignment="1">
      <alignment horizontal="right"/>
    </xf>
    <xf numFmtId="0" fontId="25" fillId="0" borderId="0" xfId="0" applyFont="1" applyAlignment="1">
      <alignment horizontal="right"/>
    </xf>
    <xf numFmtId="0" fontId="22" fillId="0" borderId="1" xfId="0" applyFont="1" applyBorder="1"/>
    <xf numFmtId="2" fontId="22" fillId="0" borderId="0" xfId="0" applyNumberFormat="1" applyFont="1"/>
    <xf numFmtId="0" fontId="22" fillId="0" borderId="0" xfId="0" applyFont="1" applyAlignment="1">
      <alignment horizontal="center"/>
    </xf>
    <xf numFmtId="0" fontId="22" fillId="7" borderId="11" xfId="0" applyFont="1" applyFill="1" applyBorder="1" applyAlignment="1">
      <alignment horizontal="center"/>
    </xf>
    <xf numFmtId="0" fontId="22" fillId="7" borderId="12" xfId="0" applyFont="1" applyFill="1" applyBorder="1" applyAlignment="1">
      <alignment horizontal="center"/>
    </xf>
    <xf numFmtId="0" fontId="22" fillId="7" borderId="13" xfId="0" applyFont="1" applyFill="1" applyBorder="1" applyAlignment="1">
      <alignment horizontal="center"/>
    </xf>
    <xf numFmtId="0" fontId="22" fillId="8" borderId="11" xfId="0" applyFont="1" applyFill="1" applyBorder="1" applyAlignment="1">
      <alignment horizontal="center"/>
    </xf>
    <xf numFmtId="0" fontId="22" fillId="8" borderId="12" xfId="0" applyFont="1" applyFill="1" applyBorder="1" applyAlignment="1">
      <alignment horizontal="center"/>
    </xf>
    <xf numFmtId="0" fontId="22" fillId="8" borderId="13" xfId="0" applyFont="1" applyFill="1" applyBorder="1" applyAlignment="1">
      <alignment horizontal="center"/>
    </xf>
    <xf numFmtId="0" fontId="22" fillId="0" borderId="0" xfId="0" applyFont="1" applyAlignment="1">
      <alignment horizontal="center" vertical="center"/>
    </xf>
    <xf numFmtId="0" fontId="22" fillId="0" borderId="0" xfId="0" applyFont="1" applyAlignment="1"/>
    <xf numFmtId="0" fontId="22" fillId="0" borderId="0" xfId="0" applyNumberFormat="1" applyFont="1" applyAlignment="1"/>
    <xf numFmtId="0" fontId="22" fillId="0" borderId="0" xfId="0" applyFont="1" applyAlignment="1">
      <alignment horizontal="center"/>
    </xf>
    <xf numFmtId="2" fontId="22" fillId="0" borderId="0" xfId="0" applyNumberFormat="1" applyFont="1"/>
    <xf numFmtId="2" fontId="22" fillId="0" borderId="3" xfId="0" applyNumberFormat="1" applyFont="1" applyBorder="1" applyAlignment="1"/>
    <xf numFmtId="2" fontId="22" fillId="0" borderId="0" xfId="0" applyNumberFormat="1" applyFont="1" applyAlignment="1">
      <alignment horizontal="right"/>
    </xf>
    <xf numFmtId="2" fontId="0" fillId="0" borderId="0" xfId="0" applyNumberFormat="1"/>
    <xf numFmtId="1" fontId="22" fillId="0" borderId="0" xfId="0" applyNumberFormat="1" applyFont="1"/>
    <xf numFmtId="1" fontId="22" fillId="0" borderId="4" xfId="0" applyNumberFormat="1" applyFont="1" applyBorder="1"/>
    <xf numFmtId="1" fontId="22" fillId="0" borderId="5" xfId="0" applyNumberFormat="1" applyFont="1" applyBorder="1"/>
    <xf numFmtId="1" fontId="22" fillId="0" borderId="0" xfId="0" applyNumberFormat="1" applyFont="1" applyAlignment="1">
      <alignment horizontal="right"/>
    </xf>
    <xf numFmtId="1" fontId="0" fillId="0" borderId="0" xfId="0" applyNumberFormat="1"/>
    <xf numFmtId="0" fontId="22" fillId="0" borderId="0" xfId="0" applyFont="1" applyAlignment="1">
      <alignment horizontal="right" vertical="center"/>
    </xf>
    <xf numFmtId="0" fontId="25" fillId="0" borderId="0" xfId="0" applyFont="1" applyAlignment="1">
      <alignment horizontal="center"/>
    </xf>
    <xf numFmtId="0" fontId="24" fillId="0" borderId="0" xfId="0" applyFont="1"/>
    <xf numFmtId="0" fontId="26" fillId="0" borderId="0" xfId="0" applyFont="1"/>
    <xf numFmtId="17" fontId="0" fillId="0" borderId="0" xfId="0" applyNumberFormat="1"/>
    <xf numFmtId="1" fontId="22" fillId="0" borderId="0" xfId="0" applyNumberFormat="1" applyFont="1" applyAlignment="1"/>
    <xf numFmtId="0" fontId="22" fillId="0" borderId="0" xfId="0" applyFont="1" applyAlignment="1"/>
    <xf numFmtId="1" fontId="22" fillId="0" borderId="0" xfId="0" applyNumberFormat="1" applyFont="1" applyBorder="1"/>
    <xf numFmtId="169" fontId="22" fillId="0" borderId="0" xfId="0" applyNumberFormat="1" applyFont="1" applyBorder="1"/>
    <xf numFmtId="2" fontId="22" fillId="0" borderId="0" xfId="0" applyNumberFormat="1" applyFont="1" applyBorder="1" applyAlignment="1">
      <alignment horizontal="right"/>
    </xf>
    <xf numFmtId="2" fontId="22" fillId="0" borderId="0" xfId="0" applyNumberFormat="1" applyFont="1"/>
    <xf numFmtId="0" fontId="28" fillId="0" borderId="0" xfId="0" applyFont="1"/>
    <xf numFmtId="1" fontId="21" fillId="0" borderId="0" xfId="0" applyNumberFormat="1" applyFont="1"/>
    <xf numFmtId="1" fontId="22" fillId="0" borderId="0" xfId="0" applyNumberFormat="1" applyFont="1" applyAlignment="1">
      <alignment horizontal="right"/>
    </xf>
    <xf numFmtId="164" fontId="22" fillId="0" borderId="0" xfId="0" applyNumberFormat="1" applyFont="1" applyAlignment="1">
      <alignment horizontal="right"/>
    </xf>
    <xf numFmtId="164" fontId="21" fillId="0" borderId="0" xfId="0" applyNumberFormat="1" applyFont="1"/>
    <xf numFmtId="164" fontId="22" fillId="0" borderId="0" xfId="0" applyNumberFormat="1" applyFont="1" applyBorder="1" applyAlignment="1">
      <alignment horizontal="right"/>
    </xf>
    <xf numFmtId="1" fontId="22" fillId="0" borderId="0" xfId="0" applyNumberFormat="1" applyFont="1"/>
    <xf numFmtId="0" fontId="27" fillId="0" borderId="0" xfId="0" applyFont="1"/>
    <xf numFmtId="0" fontId="22" fillId="0" borderId="0" xfId="0" applyFont="1" applyFill="1"/>
    <xf numFmtId="2" fontId="22" fillId="0" borderId="0" xfId="0" applyNumberFormat="1" applyFont="1"/>
    <xf numFmtId="1" fontId="22" fillId="0" borderId="0" xfId="0" applyNumberFormat="1" applyFont="1"/>
    <xf numFmtId="0" fontId="22" fillId="0" borderId="0" xfId="0" applyFont="1" applyBorder="1" applyAlignment="1">
      <alignment horizontal="center"/>
    </xf>
    <xf numFmtId="0" fontId="21" fillId="0" borderId="0" xfId="0" applyFont="1"/>
    <xf numFmtId="2" fontId="22" fillId="0" borderId="2" xfId="0" applyNumberFormat="1" applyFont="1" applyBorder="1"/>
    <xf numFmtId="0" fontId="22" fillId="0" borderId="3" xfId="0" applyFont="1" applyBorder="1"/>
    <xf numFmtId="0" fontId="22" fillId="0" borderId="4" xfId="0" applyFont="1" applyBorder="1"/>
    <xf numFmtId="0" fontId="22" fillId="0" borderId="5" xfId="0" applyFont="1" applyBorder="1"/>
    <xf numFmtId="1" fontId="22" fillId="0" borderId="0" xfId="0" applyNumberFormat="1" applyFont="1"/>
    <xf numFmtId="1" fontId="22" fillId="0" borderId="0" xfId="0" applyNumberFormat="1" applyFont="1" applyAlignment="1">
      <alignment horizontal="right"/>
    </xf>
    <xf numFmtId="2" fontId="22" fillId="0" borderId="0" xfId="0" applyNumberFormat="1" applyFont="1"/>
    <xf numFmtId="2" fontId="22" fillId="0" borderId="3" xfId="0" applyNumberFormat="1" applyFont="1" applyBorder="1"/>
    <xf numFmtId="2" fontId="22" fillId="0" borderId="4" xfId="0" applyNumberFormat="1" applyFont="1" applyBorder="1"/>
    <xf numFmtId="2" fontId="22" fillId="0" borderId="5" xfId="0" applyNumberFormat="1" applyFont="1" applyBorder="1"/>
    <xf numFmtId="2" fontId="22" fillId="0" borderId="0" xfId="0" applyNumberFormat="1" applyFont="1" applyAlignment="1">
      <alignment horizontal="right"/>
    </xf>
    <xf numFmtId="1" fontId="22" fillId="0" borderId="0" xfId="0" applyNumberFormat="1" applyFont="1"/>
    <xf numFmtId="1" fontId="22" fillId="0" borderId="3" xfId="0" applyNumberFormat="1" applyFont="1" applyBorder="1"/>
    <xf numFmtId="1" fontId="22" fillId="0" borderId="5" xfId="0" applyNumberFormat="1" applyFont="1" applyBorder="1"/>
    <xf numFmtId="1" fontId="22" fillId="0" borderId="0" xfId="0" applyNumberFormat="1" applyFont="1" applyAlignment="1">
      <alignment horizontal="right"/>
    </xf>
    <xf numFmtId="1" fontId="22" fillId="6" borderId="0" xfId="0" applyNumberFormat="1" applyFont="1" applyFill="1"/>
    <xf numFmtId="0" fontId="22" fillId="6" borderId="0" xfId="0" applyFont="1" applyFill="1"/>
    <xf numFmtId="2" fontId="22" fillId="6" borderId="0" xfId="0" applyNumberFormat="1" applyFont="1" applyFill="1"/>
    <xf numFmtId="1" fontId="22" fillId="3" borderId="0" xfId="0" applyNumberFormat="1" applyFont="1" applyFill="1"/>
    <xf numFmtId="0" fontId="22" fillId="3" borderId="0" xfId="0" applyFont="1" applyFill="1"/>
    <xf numFmtId="0" fontId="22" fillId="4" borderId="0" xfId="0" applyFont="1" applyFill="1"/>
    <xf numFmtId="0" fontId="22" fillId="5" borderId="0" xfId="0" applyFont="1" applyFill="1"/>
    <xf numFmtId="2" fontId="22" fillId="0" borderId="0" xfId="0" applyNumberFormat="1" applyFont="1"/>
    <xf numFmtId="2" fontId="22" fillId="4" borderId="0" xfId="0" applyNumberFormat="1" applyFont="1" applyFill="1"/>
    <xf numFmtId="2" fontId="22" fillId="0" borderId="0" xfId="0" applyNumberFormat="1" applyFont="1" applyAlignment="1">
      <alignment horizontal="right"/>
    </xf>
    <xf numFmtId="2" fontId="21" fillId="0" borderId="0" xfId="0" applyNumberFormat="1" applyFont="1"/>
    <xf numFmtId="1" fontId="22" fillId="0" borderId="0" xfId="0" applyNumberFormat="1" applyFont="1"/>
    <xf numFmtId="0" fontId="22" fillId="0" borderId="0" xfId="0" applyFont="1" applyBorder="1"/>
    <xf numFmtId="0" fontId="21" fillId="5" borderId="0" xfId="0" applyFont="1" applyFill="1"/>
    <xf numFmtId="1" fontId="22" fillId="0" borderId="0" xfId="0" applyNumberFormat="1" applyFont="1"/>
    <xf numFmtId="1" fontId="22" fillId="0" borderId="0" xfId="0" applyNumberFormat="1" applyFont="1" applyFill="1"/>
    <xf numFmtId="2" fontId="22" fillId="0" borderId="0" xfId="0" applyNumberFormat="1" applyFont="1" applyFill="1"/>
    <xf numFmtId="2" fontId="22" fillId="0" borderId="0" xfId="0" applyNumberFormat="1" applyFont="1" applyFill="1"/>
    <xf numFmtId="2" fontId="22" fillId="0" borderId="0" xfId="0" applyNumberFormat="1" applyFont="1" applyFill="1"/>
    <xf numFmtId="1" fontId="22" fillId="0" borderId="0" xfId="0" applyNumberFormat="1" applyFont="1" applyFill="1"/>
    <xf numFmtId="0" fontId="22" fillId="0" borderId="0" xfId="0" applyFont="1" applyFill="1" applyAlignment="1">
      <alignment horizontal="right"/>
    </xf>
    <xf numFmtId="1" fontId="23" fillId="0" borderId="0" xfId="0" applyNumberFormat="1" applyFont="1" applyFill="1"/>
    <xf numFmtId="1" fontId="23" fillId="0" borderId="0" xfId="0" applyNumberFormat="1" applyFont="1"/>
    <xf numFmtId="170" fontId="22" fillId="0" borderId="0" xfId="0" applyNumberFormat="1" applyFont="1" applyFill="1"/>
    <xf numFmtId="0" fontId="22" fillId="0" borderId="0" xfId="0" applyFont="1" applyAlignment="1">
      <alignment horizontal="left"/>
    </xf>
    <xf numFmtId="1" fontId="22" fillId="0" borderId="0" xfId="0" applyNumberFormat="1" applyFont="1"/>
    <xf numFmtId="1" fontId="22" fillId="4" borderId="0" xfId="0" applyNumberFormat="1" applyFont="1" applyFill="1"/>
    <xf numFmtId="1" fontId="22" fillId="0" borderId="3" xfId="0" applyNumberFormat="1" applyFont="1" applyBorder="1"/>
    <xf numFmtId="1" fontId="22" fillId="0" borderId="4" xfId="0" applyNumberFormat="1" applyFont="1" applyBorder="1"/>
    <xf numFmtId="1" fontId="22" fillId="0" borderId="0" xfId="0" applyNumberFormat="1" applyFont="1" applyAlignment="1">
      <alignment horizontal="right"/>
    </xf>
    <xf numFmtId="1" fontId="27" fillId="0" borderId="0" xfId="0" applyNumberFormat="1" applyFont="1" applyAlignment="1">
      <alignment horizontal="right"/>
    </xf>
    <xf numFmtId="1" fontId="27" fillId="0" borderId="0" xfId="0" applyNumberFormat="1" applyFont="1"/>
    <xf numFmtId="2" fontId="22" fillId="0" borderId="0" xfId="0" applyNumberFormat="1" applyFont="1"/>
    <xf numFmtId="2" fontId="22" fillId="0" borderId="2" xfId="0" applyNumberFormat="1" applyFont="1" applyBorder="1"/>
    <xf numFmtId="2" fontId="22" fillId="0" borderId="7" xfId="0" applyNumberFormat="1" applyFont="1" applyBorder="1"/>
    <xf numFmtId="1" fontId="21" fillId="6" borderId="0" xfId="0" applyNumberFormat="1" applyFont="1" applyFill="1"/>
    <xf numFmtId="1" fontId="21" fillId="3" borderId="0" xfId="0" applyNumberFormat="1" applyFont="1" applyFill="1"/>
    <xf numFmtId="1" fontId="22" fillId="0" borderId="0" xfId="0" applyNumberFormat="1" applyFont="1"/>
    <xf numFmtId="2" fontId="22" fillId="0" borderId="0" xfId="0" applyNumberFormat="1" applyFont="1"/>
    <xf numFmtId="2" fontId="22" fillId="0" borderId="0" xfId="0" applyNumberFormat="1" applyFont="1"/>
    <xf numFmtId="2" fontId="22" fillId="4" borderId="0" xfId="0" applyNumberFormat="1" applyFont="1" applyFill="1"/>
    <xf numFmtId="2" fontId="22" fillId="0" borderId="3" xfId="0" applyNumberFormat="1" applyFont="1" applyBorder="1"/>
    <xf numFmtId="2" fontId="22" fillId="0" borderId="4" xfId="0" applyNumberFormat="1" applyFont="1" applyBorder="1"/>
    <xf numFmtId="2" fontId="22" fillId="0" borderId="5" xfId="0" applyNumberFormat="1" applyFont="1" applyBorder="1"/>
    <xf numFmtId="2" fontId="22" fillId="0" borderId="0" xfId="0" applyNumberFormat="1" applyFont="1" applyAlignment="1">
      <alignment horizontal="right"/>
    </xf>
    <xf numFmtId="2" fontId="22" fillId="0" borderId="0" xfId="0" applyNumberFormat="1" applyFont="1" applyFill="1"/>
    <xf numFmtId="169" fontId="22" fillId="0" borderId="0" xfId="0" applyNumberFormat="1" applyFont="1"/>
    <xf numFmtId="169" fontId="22" fillId="0" borderId="0" xfId="0" applyNumberFormat="1" applyFont="1"/>
    <xf numFmtId="169" fontId="22" fillId="4" borderId="0" xfId="0" applyNumberFormat="1" applyFont="1" applyFill="1"/>
    <xf numFmtId="169" fontId="22" fillId="0" borderId="5" xfId="0" applyNumberFormat="1" applyFont="1" applyBorder="1"/>
    <xf numFmtId="169" fontId="22" fillId="0" borderId="0" xfId="0" applyNumberFormat="1" applyFont="1" applyAlignment="1">
      <alignment horizontal="right"/>
    </xf>
    <xf numFmtId="0" fontId="22" fillId="0" borderId="0" xfId="0" applyFont="1" applyFill="1" applyBorder="1" applyAlignment="1">
      <alignment horizontal="center"/>
    </xf>
    <xf numFmtId="169" fontId="22" fillId="0" borderId="0" xfId="0" applyNumberFormat="1" applyFont="1" applyFill="1"/>
    <xf numFmtId="169" fontId="22" fillId="0" borderId="0" xfId="0" applyNumberFormat="1" applyFont="1"/>
    <xf numFmtId="169" fontId="22" fillId="0" borderId="0" xfId="0" applyNumberFormat="1" applyFont="1" applyFill="1"/>
    <xf numFmtId="1" fontId="27" fillId="0" borderId="0" xfId="0" applyNumberFormat="1" applyFont="1" applyFill="1"/>
    <xf numFmtId="0" fontId="27" fillId="0" borderId="0" xfId="0" applyFont="1" applyAlignment="1">
      <alignment horizontal="right"/>
    </xf>
    <xf numFmtId="1" fontId="29" fillId="0" borderId="0" xfId="0" applyNumberFormat="1" applyFont="1" applyFill="1"/>
    <xf numFmtId="1" fontId="22" fillId="0" borderId="0" xfId="0" applyNumberFormat="1" applyFont="1" applyFill="1"/>
    <xf numFmtId="169" fontId="22" fillId="0" borderId="0" xfId="0" applyNumberFormat="1" applyFont="1" applyFill="1"/>
    <xf numFmtId="169" fontId="22" fillId="0" borderId="0" xfId="0" applyNumberFormat="1" applyFont="1"/>
    <xf numFmtId="0" fontId="22" fillId="2" borderId="0" xfId="0" applyFont="1" applyFill="1"/>
    <xf numFmtId="0" fontId="30" fillId="0" borderId="0" xfId="0" applyFont="1"/>
    <xf numFmtId="169" fontId="22" fillId="0" borderId="0" xfId="0" applyNumberFormat="1" applyFont="1"/>
    <xf numFmtId="1" fontId="22" fillId="0" borderId="0" xfId="0" applyNumberFormat="1" applyFont="1"/>
    <xf numFmtId="0" fontId="27" fillId="0" borderId="0" xfId="0" applyFont="1" applyAlignment="1">
      <alignment horizontal="left" indent="1"/>
    </xf>
    <xf numFmtId="2" fontId="27" fillId="0" borderId="0" xfId="0" applyNumberFormat="1" applyFont="1"/>
    <xf numFmtId="2" fontId="22" fillId="0" borderId="0" xfId="0" applyNumberFormat="1" applyFont="1"/>
    <xf numFmtId="0" fontId="22" fillId="9" borderId="0" xfId="0" applyFont="1" applyFill="1"/>
    <xf numFmtId="0" fontId="0" fillId="9" borderId="0" xfId="0" applyFill="1"/>
    <xf numFmtId="1" fontId="22" fillId="9" borderId="0" xfId="0" applyNumberFormat="1" applyFont="1" applyFill="1"/>
    <xf numFmtId="2" fontId="0" fillId="9" borderId="0" xfId="0" applyNumberFormat="1" applyFill="1"/>
    <xf numFmtId="2" fontId="22" fillId="9" borderId="0" xfId="0" applyNumberFormat="1" applyFont="1" applyFill="1"/>
    <xf numFmtId="1" fontId="22" fillId="0" borderId="2" xfId="0" applyNumberFormat="1" applyFont="1" applyBorder="1"/>
    <xf numFmtId="169" fontId="27" fillId="0" borderId="0" xfId="0" applyNumberFormat="1" applyFont="1"/>
    <xf numFmtId="169" fontId="22" fillId="5" borderId="1" xfId="0" applyNumberFormat="1" applyFont="1" applyFill="1" applyBorder="1"/>
    <xf numFmtId="169" fontId="22" fillId="0" borderId="0" xfId="0" applyNumberFormat="1" applyFont="1"/>
    <xf numFmtId="169" fontId="22" fillId="0" borderId="0" xfId="0" applyNumberFormat="1" applyFont="1"/>
    <xf numFmtId="2" fontId="22" fillId="0" borderId="0" xfId="0" applyNumberFormat="1" applyFont="1" applyBorder="1" applyAlignment="1">
      <alignment horizontal="right"/>
    </xf>
    <xf numFmtId="2" fontId="22" fillId="0" borderId="0" xfId="0" applyNumberFormat="1" applyFont="1" applyAlignment="1">
      <alignment horizontal="right"/>
    </xf>
    <xf numFmtId="2" fontId="21" fillId="0" borderId="0" xfId="0" applyNumberFormat="1" applyFont="1"/>
    <xf numFmtId="0" fontId="22" fillId="7" borderId="0" xfId="0" applyFont="1" applyFill="1" applyBorder="1" applyAlignment="1">
      <alignment horizontal="center"/>
    </xf>
    <xf numFmtId="0" fontId="22" fillId="8" borderId="0" xfId="0" applyFont="1" applyFill="1" applyBorder="1" applyAlignment="1">
      <alignment horizontal="center"/>
    </xf>
    <xf numFmtId="169" fontId="22" fillId="5" borderId="0" xfId="0" applyNumberFormat="1" applyFont="1" applyFill="1"/>
    <xf numFmtId="164" fontId="22" fillId="0" borderId="0" xfId="0" applyNumberFormat="1" applyFont="1"/>
    <xf numFmtId="168" fontId="27" fillId="0" borderId="0" xfId="0" applyNumberFormat="1" applyFont="1"/>
    <xf numFmtId="165" fontId="22" fillId="0" borderId="1" xfId="0" applyNumberFormat="1" applyFont="1" applyBorder="1"/>
    <xf numFmtId="169" fontId="22" fillId="0" borderId="0" xfId="0" applyNumberFormat="1" applyFont="1" applyBorder="1"/>
    <xf numFmtId="2" fontId="0" fillId="0" borderId="0" xfId="0" applyNumberFormat="1"/>
    <xf numFmtId="169" fontId="22" fillId="0" borderId="0" xfId="0" applyNumberFormat="1" applyFont="1" applyBorder="1" applyAlignment="1">
      <alignment horizontal="right"/>
    </xf>
    <xf numFmtId="169" fontId="22" fillId="0" borderId="0" xfId="0" applyNumberFormat="1" applyFont="1" applyAlignment="1">
      <alignment horizontal="right"/>
    </xf>
    <xf numFmtId="1" fontId="22" fillId="0" borderId="0" xfId="0" applyNumberFormat="1" applyFont="1" applyAlignment="1">
      <alignment horizontal="right"/>
    </xf>
    <xf numFmtId="1" fontId="27" fillId="0" borderId="0" xfId="0" applyNumberFormat="1" applyFont="1"/>
    <xf numFmtId="166" fontId="21" fillId="0" borderId="0" xfId="0" applyNumberFormat="1" applyFont="1"/>
    <xf numFmtId="166" fontId="22" fillId="0" borderId="0" xfId="0" applyNumberFormat="1" applyFont="1" applyAlignment="1">
      <alignment horizontal="right"/>
    </xf>
    <xf numFmtId="0" fontId="27" fillId="5" borderId="0" xfId="0" applyFont="1" applyFill="1"/>
    <xf numFmtId="2" fontId="22" fillId="5" borderId="0" xfId="0" applyNumberFormat="1" applyFont="1" applyFill="1"/>
    <xf numFmtId="17" fontId="0" fillId="0" borderId="0" xfId="0" applyNumberFormat="1" applyBorder="1"/>
    <xf numFmtId="0" fontId="0" fillId="0" borderId="0" xfId="0" applyBorder="1"/>
    <xf numFmtId="2" fontId="22" fillId="0" borderId="0" xfId="0" applyNumberFormat="1" applyFont="1"/>
    <xf numFmtId="164" fontId="22" fillId="0" borderId="0" xfId="0" applyNumberFormat="1" applyFont="1"/>
    <xf numFmtId="169" fontId="22" fillId="0" borderId="0" xfId="0" applyNumberFormat="1" applyFont="1"/>
    <xf numFmtId="2" fontId="22" fillId="0" borderId="0" xfId="0" applyNumberFormat="1" applyFont="1"/>
    <xf numFmtId="0" fontId="25" fillId="0" borderId="0" xfId="0" applyFont="1" applyBorder="1" applyAlignment="1">
      <alignment horizontal="center"/>
    </xf>
    <xf numFmtId="2" fontId="25" fillId="0" borderId="0" xfId="0" applyNumberFormat="1" applyFont="1" applyAlignment="1">
      <alignment horizontal="right"/>
    </xf>
    <xf numFmtId="1" fontId="22" fillId="0" borderId="0" xfId="0" applyNumberFormat="1" applyFont="1"/>
    <xf numFmtId="1" fontId="21" fillId="0" borderId="0" xfId="0" applyNumberFormat="1" applyFont="1"/>
    <xf numFmtId="1" fontId="25" fillId="0" borderId="0" xfId="0" applyNumberFormat="1" applyFont="1" applyAlignment="1">
      <alignment horizontal="right"/>
    </xf>
    <xf numFmtId="2" fontId="27" fillId="0" borderId="0" xfId="0" applyNumberFormat="1" applyFont="1"/>
    <xf numFmtId="169" fontId="27" fillId="0" borderId="0" xfId="0" applyNumberFormat="1" applyFont="1"/>
    <xf numFmtId="1" fontId="22" fillId="5" borderId="2" xfId="0" applyNumberFormat="1" applyFont="1" applyFill="1" applyBorder="1"/>
    <xf numFmtId="169" fontId="27" fillId="0" borderId="0" xfId="0" applyNumberFormat="1" applyFont="1"/>
    <xf numFmtId="1" fontId="22" fillId="0" borderId="0" xfId="0" applyNumberFormat="1" applyFont="1"/>
    <xf numFmtId="1" fontId="21" fillId="3" borderId="0" xfId="0" applyNumberFormat="1" applyFont="1" applyFill="1"/>
    <xf numFmtId="1" fontId="22" fillId="3" borderId="0" xfId="0" applyNumberFormat="1" applyFont="1" applyFill="1"/>
    <xf numFmtId="1" fontId="22" fillId="0" borderId="3" xfId="0" applyNumberFormat="1" applyFont="1" applyBorder="1"/>
    <xf numFmtId="1" fontId="22" fillId="0" borderId="4" xfId="0" applyNumberFormat="1" applyFont="1" applyBorder="1"/>
    <xf numFmtId="1" fontId="22" fillId="0" borderId="5" xfId="0" applyNumberFormat="1" applyFont="1" applyBorder="1"/>
    <xf numFmtId="1" fontId="22" fillId="0" borderId="0" xfId="0" applyNumberFormat="1" applyFont="1" applyAlignment="1">
      <alignment horizontal="right"/>
    </xf>
    <xf numFmtId="1" fontId="22" fillId="0" borderId="0" xfId="0" applyNumberFormat="1" applyFont="1" applyFill="1"/>
    <xf numFmtId="1" fontId="27" fillId="0" borderId="0" xfId="0" applyNumberFormat="1" applyFont="1" applyAlignment="1">
      <alignment horizontal="right"/>
    </xf>
    <xf numFmtId="2" fontId="22" fillId="0" borderId="0" xfId="0" applyNumberFormat="1" applyFont="1"/>
    <xf numFmtId="2" fontId="22" fillId="0" borderId="0" xfId="0" applyNumberFormat="1" applyFont="1" applyAlignment="1">
      <alignment horizontal="right"/>
    </xf>
    <xf numFmtId="2" fontId="22" fillId="0" borderId="0" xfId="0" applyNumberFormat="1" applyFont="1"/>
    <xf numFmtId="2" fontId="22" fillId="0" borderId="3" xfId="0" applyNumberFormat="1" applyFont="1" applyBorder="1"/>
    <xf numFmtId="2" fontId="22" fillId="0" borderId="4" xfId="0" applyNumberFormat="1" applyFont="1" applyBorder="1"/>
    <xf numFmtId="2" fontId="22" fillId="0" borderId="5" xfId="0" applyNumberFormat="1" applyFont="1" applyBorder="1"/>
    <xf numFmtId="2" fontId="0" fillId="0" borderId="0" xfId="0" applyNumberFormat="1"/>
    <xf numFmtId="2" fontId="22" fillId="0" borderId="0" xfId="0" applyNumberFormat="1" applyFont="1"/>
    <xf numFmtId="1" fontId="22" fillId="0" borderId="0" xfId="0" applyNumberFormat="1" applyFont="1"/>
    <xf numFmtId="1" fontId="22" fillId="0" borderId="3" xfId="0" applyNumberFormat="1" applyFont="1" applyBorder="1"/>
    <xf numFmtId="1" fontId="22" fillId="0" borderId="4" xfId="0" applyNumberFormat="1" applyFont="1" applyBorder="1"/>
    <xf numFmtId="1" fontId="22" fillId="0" borderId="5" xfId="0" applyNumberFormat="1" applyFont="1" applyBorder="1"/>
    <xf numFmtId="1" fontId="22" fillId="0" borderId="0" xfId="0" applyNumberFormat="1" applyFont="1" applyAlignment="1">
      <alignment horizontal="right"/>
    </xf>
    <xf numFmtId="169" fontId="22" fillId="0" borderId="0" xfId="0" applyNumberFormat="1" applyFont="1"/>
    <xf numFmtId="169" fontId="0" fillId="0" borderId="0" xfId="0" applyNumberFormat="1"/>
    <xf numFmtId="2" fontId="22" fillId="0" borderId="0" xfId="0" applyNumberFormat="1" applyFont="1"/>
    <xf numFmtId="164" fontId="31" fillId="0" borderId="0" xfId="0" applyNumberFormat="1" applyFont="1"/>
    <xf numFmtId="2" fontId="27" fillId="0" borderId="0" xfId="0" applyNumberFormat="1" applyFont="1" applyBorder="1" applyAlignment="1">
      <alignment horizontal="right"/>
    </xf>
    <xf numFmtId="166" fontId="22" fillId="0" borderId="0" xfId="0" applyNumberFormat="1" applyFont="1"/>
    <xf numFmtId="1" fontId="22" fillId="0" borderId="0" xfId="0" applyNumberFormat="1" applyFont="1" applyAlignment="1">
      <alignment horizontal="right"/>
    </xf>
    <xf numFmtId="1" fontId="22" fillId="0" borderId="0" xfId="0" applyNumberFormat="1" applyFont="1" applyBorder="1" applyAlignment="1">
      <alignment horizontal="right"/>
    </xf>
    <xf numFmtId="1" fontId="22" fillId="0" borderId="0" xfId="0" applyNumberFormat="1" applyFont="1"/>
    <xf numFmtId="17" fontId="22" fillId="0" borderId="0" xfId="0" applyNumberFormat="1" applyFont="1" applyBorder="1"/>
    <xf numFmtId="2" fontId="22" fillId="0" borderId="0" xfId="0" applyNumberFormat="1" applyFont="1"/>
    <xf numFmtId="17" fontId="22" fillId="0" borderId="0" xfId="0" applyNumberFormat="1" applyFont="1"/>
    <xf numFmtId="169" fontId="22" fillId="0" borderId="0" xfId="0" applyNumberFormat="1" applyFont="1"/>
    <xf numFmtId="1" fontId="22" fillId="0" borderId="0" xfId="0" applyNumberFormat="1" applyFont="1"/>
    <xf numFmtId="166" fontId="22" fillId="0" borderId="0" xfId="0" applyNumberFormat="1" applyFont="1"/>
    <xf numFmtId="164" fontId="22" fillId="0" borderId="0" xfId="0" applyNumberFormat="1" applyFont="1"/>
    <xf numFmtId="0" fontId="22" fillId="0" borderId="0" xfId="0" applyFont="1" applyFill="1" applyAlignment="1"/>
    <xf numFmtId="1" fontId="22" fillId="0" borderId="0" xfId="0" applyNumberFormat="1" applyFont="1" applyFill="1" applyAlignment="1"/>
    <xf numFmtId="2" fontId="22" fillId="0" borderId="0" xfId="0" applyNumberFormat="1" applyFont="1" applyBorder="1"/>
    <xf numFmtId="1" fontId="22" fillId="0" borderId="0" xfId="0" applyNumberFormat="1" applyFont="1"/>
    <xf numFmtId="1" fontId="21" fillId="4" borderId="0" xfId="0" applyNumberFormat="1" applyFont="1" applyFill="1"/>
    <xf numFmtId="1" fontId="22" fillId="0" borderId="6" xfId="0" applyNumberFormat="1" applyFont="1" applyBorder="1"/>
    <xf numFmtId="1" fontId="22" fillId="0" borderId="0" xfId="0" applyNumberFormat="1" applyFont="1" applyBorder="1"/>
    <xf numFmtId="1" fontId="22" fillId="0" borderId="2" xfId="0" applyNumberFormat="1" applyFont="1" applyBorder="1"/>
    <xf numFmtId="1" fontId="27" fillId="0" borderId="0" xfId="0" applyNumberFormat="1" applyFont="1"/>
    <xf numFmtId="1" fontId="22" fillId="0" borderId="7" xfId="0" applyNumberFormat="1" applyFont="1" applyBorder="1"/>
    <xf numFmtId="1" fontId="22" fillId="0" borderId="8" xfId="0" applyNumberFormat="1" applyFont="1" applyBorder="1" applyAlignment="1">
      <alignment horizontal="right"/>
    </xf>
    <xf numFmtId="1" fontId="22" fillId="0" borderId="9" xfId="0" applyNumberFormat="1" applyFont="1" applyBorder="1" applyAlignment="1">
      <alignment horizontal="right"/>
    </xf>
    <xf numFmtId="2" fontId="22" fillId="0" borderId="0" xfId="0" applyNumberFormat="1" applyFont="1" applyBorder="1" applyAlignment="1">
      <alignment horizontal="left"/>
    </xf>
    <xf numFmtId="1" fontId="22" fillId="0" borderId="10" xfId="0" applyNumberFormat="1" applyFont="1" applyBorder="1" applyAlignment="1">
      <alignment horizontal="right"/>
    </xf>
    <xf numFmtId="1" fontId="22" fillId="0" borderId="0" xfId="0" applyNumberFormat="1" applyFont="1"/>
    <xf numFmtId="1" fontId="22" fillId="0" borderId="0" xfId="0" applyNumberFormat="1" applyFont="1"/>
    <xf numFmtId="170" fontId="22" fillId="0" borderId="0" xfId="0" applyNumberFormat="1" applyFont="1" applyFill="1" applyBorder="1"/>
    <xf numFmtId="1" fontId="22" fillId="0" borderId="0" xfId="0" applyNumberFormat="1" applyFont="1" applyFill="1" applyAlignment="1">
      <alignment horizontal="right"/>
    </xf>
    <xf numFmtId="2" fontId="22" fillId="0" borderId="0" xfId="0" applyNumberFormat="1" applyFont="1" applyFill="1"/>
    <xf numFmtId="0" fontId="23" fillId="0" borderId="0" xfId="0" applyFont="1"/>
    <xf numFmtId="1" fontId="22" fillId="0" borderId="2" xfId="0" applyNumberFormat="1" applyFont="1" applyFill="1" applyBorder="1"/>
    <xf numFmtId="1" fontId="29" fillId="0" borderId="0" xfId="0" applyNumberFormat="1" applyFont="1"/>
    <xf numFmtId="0" fontId="27" fillId="0" borderId="0" xfId="0" applyFont="1" applyFill="1"/>
    <xf numFmtId="2" fontId="22" fillId="0" borderId="0" xfId="0" applyNumberFormat="1" applyFont="1" applyFill="1"/>
    <xf numFmtId="1" fontId="22" fillId="0" borderId="0" xfId="0" applyNumberFormat="1" applyFont="1" applyFill="1" applyBorder="1"/>
    <xf numFmtId="1" fontId="29" fillId="5" borderId="1" xfId="0" applyNumberFormat="1" applyFont="1" applyFill="1" applyBorder="1"/>
    <xf numFmtId="1" fontId="29" fillId="0" borderId="0" xfId="0" applyNumberFormat="1" applyFont="1" applyAlignment="1">
      <alignment horizontal="right"/>
    </xf>
    <xf numFmtId="1" fontId="22" fillId="5" borderId="1" xfId="0" applyNumberFormat="1" applyFont="1" applyFill="1" applyBorder="1"/>
    <xf numFmtId="169" fontId="27" fillId="0" borderId="0" xfId="0" applyNumberFormat="1" applyFont="1" applyAlignment="1">
      <alignment horizontal="right"/>
    </xf>
    <xf numFmtId="169" fontId="22" fillId="0" borderId="0" xfId="0" applyNumberFormat="1" applyFont="1" applyFill="1"/>
    <xf numFmtId="169" fontId="22" fillId="0" borderId="0" xfId="0" applyNumberFormat="1" applyFont="1"/>
    <xf numFmtId="165" fontId="27" fillId="0" borderId="0" xfId="0" applyNumberFormat="1" applyFont="1"/>
    <xf numFmtId="1" fontId="22" fillId="0" borderId="0" xfId="0" applyNumberFormat="1" applyFont="1"/>
    <xf numFmtId="2" fontId="22" fillId="0" borderId="14" xfId="0" applyNumberFormat="1" applyFont="1" applyFill="1" applyBorder="1"/>
    <xf numFmtId="2" fontId="22" fillId="0" borderId="15" xfId="0" applyNumberFormat="1" applyFont="1" applyFill="1" applyBorder="1"/>
    <xf numFmtId="2" fontId="22" fillId="0" borderId="16" xfId="0" applyNumberFormat="1" applyFont="1" applyFill="1" applyBorder="1"/>
    <xf numFmtId="2" fontId="22" fillId="0" borderId="17" xfId="0" applyNumberFormat="1" applyFont="1" applyFill="1" applyBorder="1"/>
    <xf numFmtId="2" fontId="22" fillId="0" borderId="18" xfId="0" applyNumberFormat="1" applyFont="1" applyFill="1" applyBorder="1"/>
    <xf numFmtId="2" fontId="22" fillId="0" borderId="19" xfId="0" applyNumberFormat="1" applyFont="1" applyFill="1" applyBorder="1"/>
    <xf numFmtId="2" fontId="22" fillId="0" borderId="0" xfId="0" applyNumberFormat="1" applyFont="1"/>
    <xf numFmtId="2" fontId="27" fillId="0" borderId="0" xfId="0" applyNumberFormat="1" applyFont="1"/>
    <xf numFmtId="164" fontId="27" fillId="0" borderId="0" xfId="0" applyNumberFormat="1" applyFont="1"/>
    <xf numFmtId="0" fontId="22" fillId="0" borderId="0" xfId="0" applyFont="1" applyFill="1" applyBorder="1"/>
    <xf numFmtId="0" fontId="27" fillId="0" borderId="0" xfId="0" applyFont="1" applyFill="1" applyAlignment="1">
      <alignment horizontal="left" indent="1"/>
    </xf>
    <xf numFmtId="2" fontId="22" fillId="0" borderId="0" xfId="0" applyNumberFormat="1" applyFont="1"/>
    <xf numFmtId="0" fontId="0" fillId="0" borderId="0" xfId="0" applyAlignment="1">
      <alignment horizontal="right"/>
    </xf>
    <xf numFmtId="1" fontId="0" fillId="0" borderId="0" xfId="0" applyNumberFormat="1" applyAlignment="1">
      <alignment horizontal="right"/>
    </xf>
    <xf numFmtId="2" fontId="0" fillId="0" borderId="0" xfId="0" applyNumberFormat="1"/>
    <xf numFmtId="2" fontId="27" fillId="0" borderId="0" xfId="0" applyNumberFormat="1" applyFont="1"/>
    <xf numFmtId="0" fontId="27" fillId="0" borderId="0" xfId="0" applyFont="1" applyFill="1" applyAlignment="1">
      <alignment horizontal="left"/>
    </xf>
    <xf numFmtId="0" fontId="0" fillId="0" borderId="0" xfId="0" applyFill="1"/>
    <xf numFmtId="169" fontId="29" fillId="5" borderId="1" xfId="0" applyNumberFormat="1" applyFont="1" applyFill="1" applyBorder="1"/>
    <xf numFmtId="166" fontId="22" fillId="0" borderId="0" xfId="0" applyNumberFormat="1" applyFont="1" applyAlignment="1">
      <alignment horizontal="right"/>
    </xf>
    <xf numFmtId="167" fontId="22" fillId="0" borderId="0" xfId="0" applyNumberFormat="1" applyFont="1"/>
    <xf numFmtId="167" fontId="22" fillId="0" borderId="0" xfId="0" applyNumberFormat="1" applyFont="1"/>
    <xf numFmtId="2" fontId="29" fillId="0" borderId="0" xfId="0" applyNumberFormat="1" applyFont="1"/>
    <xf numFmtId="0" fontId="29" fillId="0" borderId="0" xfId="0" applyFont="1"/>
    <xf numFmtId="164" fontId="22" fillId="0" borderId="0" xfId="0" applyNumberFormat="1" applyFont="1" applyFill="1"/>
    <xf numFmtId="169" fontId="25" fillId="0" borderId="0" xfId="0" applyNumberFormat="1" applyFont="1" applyAlignment="1">
      <alignment horizontal="right"/>
    </xf>
    <xf numFmtId="166" fontId="27" fillId="0" borderId="0" xfId="0" applyNumberFormat="1" applyFont="1"/>
    <xf numFmtId="0" fontId="22" fillId="8" borderId="0" xfId="0" applyFont="1" applyFill="1" applyBorder="1"/>
    <xf numFmtId="0" fontId="22" fillId="7" borderId="0" xfId="0" applyFont="1" applyFill="1" applyBorder="1"/>
    <xf numFmtId="1" fontId="25" fillId="0" borderId="0" xfId="0" applyNumberFormat="1" applyFont="1" applyAlignment="1">
      <alignment horizontal="right"/>
    </xf>
    <xf numFmtId="164" fontId="25" fillId="0" borderId="0" xfId="0" applyNumberFormat="1" applyFont="1"/>
    <xf numFmtId="164" fontId="25" fillId="0" borderId="0" xfId="0" applyNumberFormat="1" applyFont="1" applyAlignment="1">
      <alignment horizontal="right"/>
    </xf>
    <xf numFmtId="0" fontId="32" fillId="0" borderId="0" xfId="0" applyFont="1"/>
    <xf numFmtId="2" fontId="22" fillId="0" borderId="0" xfId="0" applyNumberFormat="1" applyFont="1"/>
    <xf numFmtId="2" fontId="22" fillId="0" borderId="0" xfId="0" applyNumberFormat="1" applyFont="1"/>
    <xf numFmtId="169" fontId="22" fillId="0" borderId="0" xfId="0" applyNumberFormat="1" applyFont="1"/>
    <xf numFmtId="167" fontId="22" fillId="0" borderId="0" xfId="0" applyNumberFormat="1" applyFont="1"/>
    <xf numFmtId="2" fontId="22" fillId="0" borderId="0" xfId="0" applyNumberFormat="1" applyFont="1" applyFill="1"/>
    <xf numFmtId="166" fontId="25" fillId="0" borderId="0" xfId="0" applyNumberFormat="1" applyFont="1" applyAlignment="1">
      <alignment horizontal="right"/>
    </xf>
    <xf numFmtId="169" fontId="22" fillId="0" borderId="0" xfId="0" applyNumberFormat="1" applyFont="1"/>
    <xf numFmtId="169" fontId="27" fillId="0" borderId="0" xfId="0" applyNumberFormat="1" applyFont="1"/>
    <xf numFmtId="169" fontId="22" fillId="0" borderId="2" xfId="0" applyNumberFormat="1" applyFont="1" applyBorder="1"/>
    <xf numFmtId="167" fontId="22" fillId="0" borderId="0" xfId="0" applyNumberFormat="1" applyFont="1" applyAlignment="1">
      <alignment horizontal="right"/>
    </xf>
    <xf numFmtId="2" fontId="22" fillId="0" borderId="0" xfId="0" applyNumberFormat="1" applyFont="1"/>
    <xf numFmtId="1" fontId="22" fillId="0" borderId="0" xfId="0" applyNumberFormat="1" applyFont="1"/>
    <xf numFmtId="167" fontId="27" fillId="0" borderId="0" xfId="0" applyNumberFormat="1" applyFont="1"/>
    <xf numFmtId="2" fontId="22" fillId="0" borderId="0" xfId="0" applyNumberFormat="1" applyFont="1"/>
    <xf numFmtId="2" fontId="22" fillId="0" borderId="0" xfId="0" applyNumberFormat="1" applyFont="1"/>
    <xf numFmtId="2" fontId="22" fillId="0" borderId="0" xfId="0" applyNumberFormat="1" applyFont="1"/>
    <xf numFmtId="2" fontId="22" fillId="0" borderId="0" xfId="0" applyNumberFormat="1" applyFont="1"/>
    <xf numFmtId="2" fontId="22" fillId="0" borderId="0" xfId="0" applyNumberFormat="1" applyFont="1"/>
    <xf numFmtId="1" fontId="27" fillId="0" borderId="0" xfId="0" applyNumberFormat="1" applyFont="1"/>
    <xf numFmtId="2" fontId="22" fillId="0" borderId="0" xfId="0" applyNumberFormat="1" applyFont="1"/>
    <xf numFmtId="2" fontId="22" fillId="0" borderId="0" xfId="0" applyNumberFormat="1" applyFont="1"/>
    <xf numFmtId="2" fontId="22" fillId="0" borderId="0" xfId="0" applyNumberFormat="1" applyFont="1"/>
    <xf numFmtId="0" fontId="22" fillId="0" borderId="0" xfId="0" applyFont="1" applyFill="1" applyBorder="1" applyAlignment="1">
      <alignment horizontal="right"/>
    </xf>
    <xf numFmtId="169" fontId="22" fillId="0" borderId="0" xfId="0" applyNumberFormat="1" applyFont="1"/>
    <xf numFmtId="1" fontId="0" fillId="0" borderId="0" xfId="0" applyNumberFormat="1"/>
    <xf numFmtId="1" fontId="22" fillId="0" borderId="0" xfId="0" applyNumberFormat="1" applyFont="1" applyFill="1" applyAlignment="1">
      <alignment horizontal="right"/>
    </xf>
    <xf numFmtId="1" fontId="29" fillId="0" borderId="0" xfId="0" applyNumberFormat="1" applyFont="1" applyFill="1" applyAlignment="1">
      <alignment horizontal="right"/>
    </xf>
    <xf numFmtId="1" fontId="22" fillId="0" borderId="0" xfId="0" applyNumberFormat="1" applyFont="1" applyAlignment="1">
      <alignment horizontal="right"/>
    </xf>
    <xf numFmtId="0" fontId="1" fillId="0" borderId="0" xfId="0" applyFont="1"/>
    <xf numFmtId="15" fontId="1" fillId="0" borderId="0" xfId="0" applyNumberFormat="1" applyFont="1" applyAlignment="1">
      <alignment horizontal="left"/>
    </xf>
    <xf numFmtId="1" fontId="36" fillId="0" borderId="0" xfId="0" applyNumberFormat="1" applyFont="1"/>
    <xf numFmtId="1" fontId="37" fillId="0" borderId="0" xfId="0" applyNumberFormat="1" applyFont="1"/>
    <xf numFmtId="0" fontId="37" fillId="0" borderId="0" xfId="0" applyFont="1" applyFill="1"/>
    <xf numFmtId="2" fontId="37" fillId="0" borderId="0" xfId="0" applyNumberFormat="1" applyFont="1"/>
    <xf numFmtId="169" fontId="36" fillId="0" borderId="0" xfId="0" applyNumberFormat="1" applyFont="1"/>
    <xf numFmtId="1" fontId="34" fillId="0" borderId="0" xfId="0" applyNumberFormat="1" applyFont="1" applyBorder="1"/>
    <xf numFmtId="164" fontId="22" fillId="0" borderId="0" xfId="0" applyNumberFormat="1" applyFont="1"/>
    <xf numFmtId="164" fontId="22" fillId="0" borderId="0" xfId="0" applyNumberFormat="1" applyFont="1" applyAlignment="1">
      <alignment horizontal="right"/>
    </xf>
    <xf numFmtId="164" fontId="22" fillId="0" borderId="0" xfId="0" applyNumberFormat="1" applyFont="1" applyAlignment="1"/>
    <xf numFmtId="164" fontId="27" fillId="0" borderId="0" xfId="0" applyNumberFormat="1" applyFont="1" applyAlignment="1">
      <alignment horizontal="right"/>
    </xf>
    <xf numFmtId="165" fontId="22" fillId="0" borderId="0" xfId="0" applyNumberFormat="1" applyFont="1" applyAlignment="1"/>
    <xf numFmtId="0" fontId="38" fillId="0" borderId="0" xfId="0" applyFont="1"/>
    <xf numFmtId="2" fontId="22" fillId="0" borderId="0" xfId="0" applyNumberFormat="1" applyFont="1"/>
    <xf numFmtId="168" fontId="22" fillId="0" borderId="0" xfId="0" applyNumberFormat="1" applyFont="1"/>
    <xf numFmtId="167" fontId="29" fillId="0" borderId="0" xfId="0" applyNumberFormat="1" applyFont="1"/>
    <xf numFmtId="2" fontId="22" fillId="5" borderId="0" xfId="0" applyNumberFormat="1" applyFont="1" applyFill="1"/>
    <xf numFmtId="2" fontId="22" fillId="0" borderId="0" xfId="0" applyNumberFormat="1" applyFont="1" applyFill="1"/>
    <xf numFmtId="169" fontId="27" fillId="0" borderId="0" xfId="0" applyNumberFormat="1" applyFont="1" applyFill="1"/>
    <xf numFmtId="0" fontId="0" fillId="0" borderId="14" xfId="0" applyBorder="1"/>
    <xf numFmtId="0" fontId="0" fillId="0" borderId="15" xfId="0" applyBorder="1"/>
    <xf numFmtId="0" fontId="22" fillId="0" borderId="16" xfId="0" applyFont="1" applyBorder="1"/>
    <xf numFmtId="17" fontId="35" fillId="0" borderId="29" xfId="0" applyNumberFormat="1" applyFont="1" applyBorder="1"/>
    <xf numFmtId="0" fontId="22" fillId="0" borderId="30" xfId="0" applyFont="1" applyBorder="1"/>
    <xf numFmtId="0" fontId="35" fillId="0" borderId="29" xfId="0" applyFont="1" applyBorder="1"/>
    <xf numFmtId="0" fontId="22" fillId="0" borderId="19" xfId="0" applyFont="1" applyBorder="1"/>
    <xf numFmtId="0" fontId="33" fillId="0" borderId="0" xfId="0" applyFont="1"/>
    <xf numFmtId="165" fontId="22" fillId="0" borderId="1" xfId="0" applyNumberFormat="1" applyFont="1" applyFill="1" applyBorder="1"/>
    <xf numFmtId="2" fontId="27" fillId="0" borderId="0" xfId="0" applyNumberFormat="1" applyFont="1" applyAlignment="1">
      <alignment horizontal="right"/>
    </xf>
    <xf numFmtId="0" fontId="22" fillId="0" borderId="14" xfId="0" applyFont="1" applyBorder="1"/>
    <xf numFmtId="17" fontId="22" fillId="0" borderId="29" xfId="0" applyNumberFormat="1" applyFont="1" applyBorder="1"/>
    <xf numFmtId="0" fontId="27" fillId="0" borderId="17" xfId="0" applyFont="1" applyBorder="1"/>
    <xf numFmtId="0" fontId="22" fillId="5" borderId="0" xfId="0" applyFont="1" applyFill="1" applyAlignment="1">
      <alignment horizontal="right"/>
    </xf>
    <xf numFmtId="164" fontId="22" fillId="5" borderId="0" xfId="0" applyNumberFormat="1" applyFont="1" applyFill="1"/>
    <xf numFmtId="169" fontId="27" fillId="0" borderId="0" xfId="0" applyNumberFormat="1" applyFont="1"/>
    <xf numFmtId="2" fontId="22" fillId="0" borderId="0" xfId="0" applyNumberFormat="1" applyFont="1" applyFill="1"/>
    <xf numFmtId="0" fontId="34" fillId="0" borderId="29" xfId="0" applyFont="1" applyBorder="1"/>
    <xf numFmtId="2" fontId="27" fillId="0" borderId="0" xfId="0" applyNumberFormat="1" applyFont="1"/>
    <xf numFmtId="3" fontId="22" fillId="0" borderId="0" xfId="0" applyNumberFormat="1" applyFont="1"/>
    <xf numFmtId="3" fontId="27" fillId="0" borderId="0" xfId="0" applyNumberFormat="1" applyFont="1"/>
    <xf numFmtId="3" fontId="27" fillId="0" borderId="0" xfId="0" applyNumberFormat="1" applyFont="1" applyAlignment="1">
      <alignment horizontal="right"/>
    </xf>
    <xf numFmtId="3" fontId="22" fillId="0" borderId="0" xfId="0" applyNumberFormat="1" applyFont="1" applyBorder="1"/>
    <xf numFmtId="3" fontId="22" fillId="0" borderId="0" xfId="0" applyNumberFormat="1" applyFont="1" applyAlignment="1">
      <alignment horizontal="right"/>
    </xf>
    <xf numFmtId="3" fontId="25" fillId="0" borderId="0" xfId="0" applyNumberFormat="1" applyFont="1" applyAlignment="1">
      <alignment horizontal="right"/>
    </xf>
    <xf numFmtId="3" fontId="22" fillId="0" borderId="0" xfId="0" applyNumberFormat="1" applyFont="1"/>
    <xf numFmtId="3" fontId="27" fillId="0" borderId="0" xfId="0" applyNumberFormat="1" applyFont="1"/>
    <xf numFmtId="3" fontId="22" fillId="0" borderId="0" xfId="0" applyNumberFormat="1" applyFont="1" applyBorder="1" applyAlignment="1">
      <alignment horizontal="right"/>
    </xf>
    <xf numFmtId="3" fontId="22" fillId="0" borderId="0" xfId="0" applyNumberFormat="1" applyFont="1" applyAlignment="1">
      <alignment horizontal="right"/>
    </xf>
    <xf numFmtId="3" fontId="25" fillId="0" borderId="0" xfId="0" applyNumberFormat="1" applyFont="1" applyAlignment="1">
      <alignment horizontal="right"/>
    </xf>
    <xf numFmtId="2" fontId="22" fillId="32" borderId="0" xfId="0" applyNumberFormat="1" applyFont="1" applyFill="1" applyAlignment="1">
      <alignment horizontal="right"/>
    </xf>
    <xf numFmtId="2" fontId="22" fillId="0" borderId="0" xfId="0" applyNumberFormat="1" applyFont="1" applyFill="1" applyAlignment="1">
      <alignment horizontal="right"/>
    </xf>
    <xf numFmtId="2" fontId="22" fillId="0" borderId="0" xfId="0" applyNumberFormat="1" applyFont="1" applyFill="1"/>
    <xf numFmtId="3" fontId="36" fillId="0" borderId="0" xfId="0" applyNumberFormat="1" applyFont="1"/>
    <xf numFmtId="3" fontId="37" fillId="0" borderId="0" xfId="0" applyNumberFormat="1" applyFont="1"/>
    <xf numFmtId="3" fontId="22" fillId="0" borderId="0" xfId="0" applyNumberFormat="1" applyFont="1"/>
    <xf numFmtId="3" fontId="22" fillId="0" borderId="3" xfId="0" applyNumberFormat="1" applyFont="1" applyBorder="1"/>
    <xf numFmtId="3" fontId="22" fillId="0" borderId="4" xfId="0" applyNumberFormat="1" applyFont="1" applyBorder="1"/>
    <xf numFmtId="3" fontId="22" fillId="0" borderId="5" xfId="0" applyNumberFormat="1" applyFont="1" applyBorder="1"/>
    <xf numFmtId="3" fontId="22" fillId="0" borderId="0" xfId="0" applyNumberFormat="1" applyFont="1" applyAlignment="1">
      <alignment horizontal="right"/>
    </xf>
    <xf numFmtId="3" fontId="22" fillId="5" borderId="1" xfId="0" applyNumberFormat="1" applyFont="1" applyFill="1" applyBorder="1"/>
    <xf numFmtId="3" fontId="28" fillId="0" borderId="0" xfId="0" applyNumberFormat="1" applyFont="1"/>
    <xf numFmtId="2" fontId="31" fillId="0" borderId="0" xfId="0" applyNumberFormat="1" applyFont="1" applyAlignment="1">
      <alignment horizontal="left"/>
    </xf>
    <xf numFmtId="3" fontId="22" fillId="0" borderId="0" xfId="0" applyNumberFormat="1" applyFont="1"/>
    <xf numFmtId="3" fontId="27" fillId="0" borderId="0" xfId="0" applyNumberFormat="1" applyFont="1"/>
    <xf numFmtId="3" fontId="0" fillId="0" borderId="0" xfId="0" applyNumberFormat="1"/>
    <xf numFmtId="3" fontId="22" fillId="0" borderId="3" xfId="0" applyNumberFormat="1" applyFont="1" applyBorder="1"/>
    <xf numFmtId="3" fontId="22" fillId="0" borderId="4" xfId="0" applyNumberFormat="1" applyFont="1" applyBorder="1"/>
    <xf numFmtId="3" fontId="22" fillId="0" borderId="5" xfId="0" applyNumberFormat="1" applyFont="1" applyBorder="1"/>
    <xf numFmtId="3" fontId="22" fillId="0" borderId="0" xfId="0" applyNumberFormat="1" applyFont="1" applyAlignment="1">
      <alignment horizontal="right"/>
    </xf>
    <xf numFmtId="3" fontId="0" fillId="0" borderId="0" xfId="0" applyNumberFormat="1" applyAlignment="1">
      <alignment horizontal="right"/>
    </xf>
    <xf numFmtId="3" fontId="27" fillId="0" borderId="0" xfId="0" applyNumberFormat="1" applyFont="1" applyFill="1"/>
    <xf numFmtId="3" fontId="22" fillId="0" borderId="0" xfId="0" applyNumberFormat="1" applyFont="1"/>
    <xf numFmtId="3" fontId="28" fillId="0" borderId="0" xfId="0" applyNumberFormat="1" applyFont="1"/>
    <xf numFmtId="3" fontId="21" fillId="0" borderId="0" xfId="0" applyNumberFormat="1" applyFont="1" applyAlignment="1">
      <alignment horizontal="center"/>
    </xf>
    <xf numFmtId="3" fontId="22" fillId="0" borderId="0" xfId="0" applyNumberFormat="1" applyFont="1" applyAlignment="1">
      <alignment horizontal="right"/>
    </xf>
    <xf numFmtId="3" fontId="22" fillId="0" borderId="0" xfId="0" applyNumberFormat="1" applyFont="1" applyBorder="1" applyAlignment="1">
      <alignment horizontal="right"/>
    </xf>
    <xf numFmtId="3" fontId="25" fillId="0" borderId="0" xfId="0" applyNumberFormat="1" applyFont="1" applyAlignment="1">
      <alignment horizontal="right"/>
    </xf>
    <xf numFmtId="3" fontId="27" fillId="0" borderId="0" xfId="0" applyNumberFormat="1" applyFont="1" applyAlignment="1">
      <alignment horizontal="right"/>
    </xf>
    <xf numFmtId="2" fontId="22" fillId="5" borderId="0" xfId="0" applyNumberFormat="1" applyFont="1" applyFill="1"/>
    <xf numFmtId="3" fontId="22" fillId="0" borderId="0" xfId="0" applyNumberFormat="1" applyFont="1"/>
    <xf numFmtId="3" fontId="22" fillId="0" borderId="0" xfId="0" applyNumberFormat="1" applyFont="1" applyBorder="1"/>
    <xf numFmtId="3" fontId="22" fillId="0" borderId="0" xfId="0" applyNumberFormat="1" applyFont="1" applyAlignment="1">
      <alignment horizontal="right"/>
    </xf>
    <xf numFmtId="3" fontId="25" fillId="0" borderId="0" xfId="0" applyNumberFormat="1" applyFont="1" applyAlignment="1">
      <alignment horizontal="right"/>
    </xf>
    <xf numFmtId="3" fontId="22" fillId="32" borderId="0" xfId="0" applyNumberFormat="1" applyFont="1" applyFill="1" applyAlignment="1">
      <alignment horizontal="right"/>
    </xf>
    <xf numFmtId="2" fontId="22" fillId="32" borderId="0" xfId="0" applyNumberFormat="1" applyFont="1" applyFill="1"/>
    <xf numFmtId="2" fontId="29" fillId="32" borderId="0" xfId="0" applyNumberFormat="1" applyFont="1" applyFill="1"/>
    <xf numFmtId="3" fontId="22" fillId="0" borderId="0" xfId="0" applyNumberFormat="1" applyFont="1"/>
    <xf numFmtId="3" fontId="22" fillId="0" borderId="0" xfId="0" applyNumberFormat="1" applyFont="1" applyBorder="1" applyAlignment="1">
      <alignment horizontal="right"/>
    </xf>
    <xf numFmtId="3" fontId="25" fillId="0" borderId="0" xfId="0" applyNumberFormat="1" applyFont="1" applyAlignment="1">
      <alignment horizontal="right"/>
    </xf>
    <xf numFmtId="3" fontId="22" fillId="32" borderId="0" xfId="0" applyNumberFormat="1" applyFont="1" applyFill="1"/>
    <xf numFmtId="3" fontId="29" fillId="32" borderId="0" xfId="0" applyNumberFormat="1" applyFont="1" applyFill="1"/>
    <xf numFmtId="3" fontId="29" fillId="0" borderId="0" xfId="0" applyNumberFormat="1" applyFont="1"/>
    <xf numFmtId="0" fontId="29" fillId="32" borderId="0" xfId="0" applyFont="1" applyFill="1"/>
    <xf numFmtId="3" fontId="22" fillId="0" borderId="0" xfId="0" applyNumberFormat="1" applyFont="1"/>
    <xf numFmtId="3" fontId="22" fillId="0" borderId="0" xfId="0" applyNumberFormat="1" applyFont="1" applyBorder="1" applyAlignment="1">
      <alignment horizontal="right"/>
    </xf>
    <xf numFmtId="3" fontId="22" fillId="0" borderId="0" xfId="0" applyNumberFormat="1" applyFont="1" applyAlignment="1">
      <alignment horizontal="right"/>
    </xf>
    <xf numFmtId="3" fontId="25" fillId="0" borderId="0" xfId="0" applyNumberFormat="1" applyFont="1" applyAlignment="1">
      <alignment horizontal="right"/>
    </xf>
    <xf numFmtId="3" fontId="22" fillId="32" borderId="0" xfId="0" applyNumberFormat="1" applyFont="1" applyFill="1" applyAlignment="1">
      <alignment horizontal="right"/>
    </xf>
    <xf numFmtId="3" fontId="27" fillId="0" borderId="0" xfId="0" applyNumberFormat="1" applyFont="1"/>
    <xf numFmtId="167" fontId="27" fillId="0" borderId="0" xfId="0" applyNumberFormat="1" applyFont="1"/>
    <xf numFmtId="1" fontId="35" fillId="0" borderId="0" xfId="0" applyNumberFormat="1" applyFont="1" applyBorder="1"/>
    <xf numFmtId="2" fontId="29" fillId="0" borderId="0" xfId="0" applyNumberFormat="1" applyFont="1" applyFill="1"/>
    <xf numFmtId="2" fontId="35" fillId="0" borderId="0" xfId="0" applyNumberFormat="1" applyFont="1"/>
    <xf numFmtId="0" fontId="35" fillId="0" borderId="0" xfId="0" applyFont="1"/>
    <xf numFmtId="169" fontId="29" fillId="0" borderId="0" xfId="0" applyNumberFormat="1" applyFont="1"/>
    <xf numFmtId="2" fontId="29" fillId="0" borderId="0" xfId="0" applyNumberFormat="1" applyFont="1" applyFill="1" applyAlignment="1">
      <alignment horizontal="center"/>
    </xf>
    <xf numFmtId="2" fontId="29" fillId="0" borderId="0" xfId="0" applyNumberFormat="1" applyFont="1" applyAlignment="1">
      <alignment horizontal="center"/>
    </xf>
    <xf numFmtId="3" fontId="29" fillId="0" borderId="0" xfId="0" applyNumberFormat="1" applyFont="1" applyAlignment="1">
      <alignment horizontal="center"/>
    </xf>
    <xf numFmtId="169" fontId="35" fillId="0" borderId="0" xfId="0" applyNumberFormat="1" applyFont="1"/>
    <xf numFmtId="3" fontId="29" fillId="0" borderId="0" xfId="0" applyNumberFormat="1" applyFont="1" applyFill="1"/>
    <xf numFmtId="171" fontId="22" fillId="0" borderId="0" xfId="0" applyNumberFormat="1" applyFont="1"/>
    <xf numFmtId="2" fontId="22" fillId="0" borderId="0" xfId="0" applyNumberFormat="1" applyFont="1"/>
    <xf numFmtId="2" fontId="22" fillId="0" borderId="0" xfId="0" applyNumberFormat="1" applyFont="1"/>
    <xf numFmtId="2" fontId="22" fillId="0" borderId="0" xfId="0" applyNumberFormat="1" applyFont="1" applyAlignment="1">
      <alignment horizontal="right"/>
    </xf>
    <xf numFmtId="172" fontId="22" fillId="0" borderId="0" xfId="0" applyNumberFormat="1" applyFont="1"/>
    <xf numFmtId="173" fontId="22" fillId="0" borderId="0" xfId="0" applyNumberFormat="1" applyFont="1"/>
    <xf numFmtId="1" fontId="42" fillId="0" borderId="0" xfId="0" applyNumberFormat="1" applyFont="1" applyFill="1"/>
    <xf numFmtId="167" fontId="29" fillId="0" borderId="0" xfId="0" applyNumberFormat="1" applyFont="1" applyFill="1"/>
    <xf numFmtId="3" fontId="42" fillId="0" borderId="0" xfId="0" applyNumberFormat="1" applyFont="1" applyFill="1"/>
    <xf numFmtId="1" fontId="43" fillId="0" borderId="0" xfId="0" applyNumberFormat="1" applyFont="1"/>
    <xf numFmtId="0" fontId="42" fillId="0" borderId="11" xfId="0" applyFont="1" applyFill="1" applyBorder="1" applyAlignment="1">
      <alignment horizontal="left"/>
    </xf>
    <xf numFmtId="0" fontId="42" fillId="0" borderId="12" xfId="0" applyFont="1" applyFill="1" applyBorder="1"/>
    <xf numFmtId="0" fontId="42" fillId="0" borderId="13" xfId="0" applyFont="1" applyFill="1" applyBorder="1"/>
    <xf numFmtId="0" fontId="44" fillId="0" borderId="0" xfId="0" applyFont="1" applyAlignment="1">
      <alignment horizontal="right"/>
    </xf>
    <xf numFmtId="0" fontId="44" fillId="0" borderId="0" xfId="0" applyFont="1"/>
    <xf numFmtId="2" fontId="41" fillId="0" borderId="0" xfId="0" applyNumberFormat="1" applyFont="1" applyFill="1"/>
    <xf numFmtId="3" fontId="22" fillId="0" borderId="5" xfId="0" applyNumberFormat="1" applyFont="1" applyFill="1" applyBorder="1"/>
    <xf numFmtId="1" fontId="35" fillId="0" borderId="0" xfId="0" applyNumberFormat="1" applyFont="1" applyFill="1" applyBorder="1"/>
    <xf numFmtId="169" fontId="29" fillId="0" borderId="0" xfId="0" applyNumberFormat="1" applyFont="1" applyFill="1"/>
    <xf numFmtId="0" fontId="22" fillId="0" borderId="12" xfId="0" applyFont="1" applyFill="1" applyBorder="1" applyAlignment="1">
      <alignment horizontal="center"/>
    </xf>
    <xf numFmtId="164" fontId="22" fillId="0" borderId="0" xfId="0" applyNumberFormat="1" applyFont="1" applyFill="1" applyAlignment="1"/>
    <xf numFmtId="1" fontId="42" fillId="0" borderId="0" xfId="0" applyNumberFormat="1" applyFont="1" applyFill="1" applyBorder="1"/>
    <xf numFmtId="0" fontId="29" fillId="0" borderId="0" xfId="0" applyFont="1" applyFill="1"/>
    <xf numFmtId="2" fontId="35" fillId="0" borderId="0" xfId="0" applyNumberFormat="1" applyFont="1" applyFill="1"/>
    <xf numFmtId="0" fontId="35" fillId="0" borderId="0" xfId="0" applyFont="1" applyFill="1"/>
    <xf numFmtId="2" fontId="29" fillId="0" borderId="0" xfId="0" applyNumberFormat="1" applyFont="1" applyFill="1" applyBorder="1"/>
    <xf numFmtId="164" fontId="43" fillId="0" borderId="0" xfId="0" applyNumberFormat="1" applyFont="1" applyAlignment="1">
      <alignment horizontal="right"/>
    </xf>
    <xf numFmtId="3" fontId="21" fillId="0" borderId="0" xfId="0" applyNumberFormat="1" applyFont="1" applyAlignment="1">
      <alignment horizontal="right"/>
    </xf>
    <xf numFmtId="2" fontId="22" fillId="33" borderId="0" xfId="0" applyNumberFormat="1" applyFont="1" applyFill="1" applyAlignment="1">
      <alignment horizontal="center"/>
    </xf>
    <xf numFmtId="0" fontId="42" fillId="0" borderId="0" xfId="0" applyFont="1"/>
    <xf numFmtId="164" fontId="22" fillId="33" borderId="0" xfId="0" applyNumberFormat="1" applyFont="1" applyFill="1"/>
    <xf numFmtId="165" fontId="22" fillId="33" borderId="1" xfId="0" applyNumberFormat="1" applyFont="1" applyFill="1" applyBorder="1"/>
    <xf numFmtId="2" fontId="22" fillId="33" borderId="0" xfId="0" applyNumberFormat="1" applyFont="1" applyFill="1"/>
    <xf numFmtId="2" fontId="41" fillId="33" borderId="0" xfId="0" applyNumberFormat="1" applyFont="1" applyFill="1"/>
    <xf numFmtId="0" fontId="43" fillId="0" borderId="0" xfId="0" applyFont="1"/>
    <xf numFmtId="4" fontId="22" fillId="33" borderId="0" xfId="0" applyNumberFormat="1" applyFont="1" applyFill="1"/>
    <xf numFmtId="0" fontId="27" fillId="33" borderId="0" xfId="0" applyFont="1" applyFill="1"/>
    <xf numFmtId="0" fontId="0" fillId="0" borderId="0" xfId="0" applyFont="1"/>
    <xf numFmtId="4" fontId="29" fillId="33" borderId="0" xfId="0" applyNumberFormat="1" applyFont="1" applyFill="1"/>
    <xf numFmtId="167" fontId="22" fillId="34" borderId="0" xfId="0" applyNumberFormat="1" applyFont="1" applyFill="1"/>
    <xf numFmtId="168" fontId="27" fillId="34" borderId="0" xfId="0" applyNumberFormat="1" applyFont="1" applyFill="1"/>
    <xf numFmtId="167" fontId="22" fillId="0" borderId="0" xfId="0" applyNumberFormat="1" applyFont="1" applyFill="1"/>
    <xf numFmtId="0" fontId="22" fillId="33" borderId="0" xfId="0" applyFont="1" applyFill="1"/>
    <xf numFmtId="3" fontId="22" fillId="33" borderId="0" xfId="0" applyNumberFormat="1" applyFont="1" applyFill="1"/>
    <xf numFmtId="2" fontId="22" fillId="33" borderId="0" xfId="0" applyNumberFormat="1" applyFont="1" applyFill="1" applyAlignment="1">
      <alignment horizontal="right"/>
    </xf>
    <xf numFmtId="169" fontId="22" fillId="33" borderId="0" xfId="0" applyNumberFormat="1" applyFont="1" applyFill="1"/>
    <xf numFmtId="3" fontId="22" fillId="33" borderId="0" xfId="0" applyNumberFormat="1" applyFont="1" applyFill="1" applyAlignment="1">
      <alignment horizontal="right"/>
    </xf>
    <xf numFmtId="167" fontId="22" fillId="33" borderId="0" xfId="0" applyNumberFormat="1" applyFont="1" applyFill="1"/>
    <xf numFmtId="168" fontId="27" fillId="33" borderId="0" xfId="0" applyNumberFormat="1" applyFont="1" applyFill="1"/>
    <xf numFmtId="3" fontId="22" fillId="0" borderId="0" xfId="0" applyNumberFormat="1" applyFont="1" applyFill="1"/>
    <xf numFmtId="3" fontId="22" fillId="0" borderId="0" xfId="0" applyNumberFormat="1" applyFont="1" applyFill="1" applyAlignment="1">
      <alignment horizontal="right"/>
    </xf>
    <xf numFmtId="168" fontId="27" fillId="0" borderId="0" xfId="0" applyNumberFormat="1" applyFont="1" applyFill="1"/>
    <xf numFmtId="169" fontId="22" fillId="35" borderId="0" xfId="0" applyNumberFormat="1" applyFont="1" applyFill="1" applyBorder="1"/>
    <xf numFmtId="169" fontId="22" fillId="35" borderId="0" xfId="0" applyNumberFormat="1" applyFont="1" applyFill="1"/>
    <xf numFmtId="169" fontId="27" fillId="35" borderId="0" xfId="0" applyNumberFormat="1" applyFont="1" applyFill="1"/>
    <xf numFmtId="0" fontId="27" fillId="35" borderId="0" xfId="0" applyFont="1" applyFill="1"/>
    <xf numFmtId="0" fontId="27" fillId="35" borderId="0" xfId="0" applyFont="1" applyFill="1" applyAlignment="1">
      <alignment horizontal="right"/>
    </xf>
    <xf numFmtId="0" fontId="22" fillId="35" borderId="0" xfId="0" applyFont="1" applyFill="1"/>
    <xf numFmtId="2" fontId="27" fillId="0" borderId="0" xfId="0" applyNumberFormat="1" applyFont="1" applyFill="1"/>
    <xf numFmtId="0" fontId="25" fillId="0" borderId="0" xfId="0" applyFont="1" applyFill="1"/>
    <xf numFmtId="0" fontId="22" fillId="36" borderId="0" xfId="0" applyFont="1" applyFill="1"/>
    <xf numFmtId="3" fontId="21" fillId="0" borderId="0" xfId="0" applyNumberFormat="1" applyFont="1" applyFill="1" applyAlignment="1">
      <alignment horizontal="center"/>
    </xf>
    <xf numFmtId="3" fontId="22" fillId="0" borderId="0" xfId="0" applyNumberFormat="1" applyFont="1" applyFill="1" applyBorder="1" applyAlignment="1">
      <alignment horizontal="right"/>
    </xf>
    <xf numFmtId="3" fontId="25" fillId="0" borderId="0" xfId="0" applyNumberFormat="1" applyFont="1" applyFill="1" applyAlignment="1">
      <alignment horizontal="right"/>
    </xf>
    <xf numFmtId="3" fontId="27" fillId="0" borderId="0" xfId="0" applyNumberFormat="1" applyFont="1" applyFill="1" applyAlignment="1">
      <alignment horizontal="right"/>
    </xf>
    <xf numFmtId="3" fontId="22" fillId="0" borderId="2" xfId="0" applyNumberFormat="1" applyFont="1" applyFill="1" applyBorder="1"/>
    <xf numFmtId="3" fontId="22" fillId="0" borderId="0" xfId="0" applyNumberFormat="1" applyFont="1" applyFill="1" applyBorder="1"/>
    <xf numFmtId="3" fontId="41" fillId="0" borderId="0" xfId="0" applyNumberFormat="1" applyFont="1" applyFill="1" applyAlignment="1">
      <alignment horizontal="right"/>
    </xf>
    <xf numFmtId="1" fontId="22" fillId="0" borderId="0" xfId="0" applyNumberFormat="1" applyFont="1" applyAlignment="1">
      <alignment horizontal="center"/>
    </xf>
    <xf numFmtId="3" fontId="41" fillId="0" borderId="0" xfId="0" applyNumberFormat="1" applyFont="1" applyFill="1"/>
    <xf numFmtId="2" fontId="41" fillId="0" borderId="0" xfId="0" applyNumberFormat="1" applyFont="1" applyFill="1" applyAlignment="1">
      <alignment horizontal="right"/>
    </xf>
    <xf numFmtId="164" fontId="41" fillId="0" borderId="0" xfId="0" applyNumberFormat="1" applyFont="1" applyFill="1"/>
    <xf numFmtId="1" fontId="41" fillId="0" borderId="0" xfId="0" applyNumberFormat="1" applyFont="1" applyFill="1" applyAlignment="1">
      <alignment horizontal="right"/>
    </xf>
    <xf numFmtId="167" fontId="27" fillId="0" borderId="0" xfId="0" applyNumberFormat="1" applyFont="1" applyAlignment="1">
      <alignment horizontal="right"/>
    </xf>
    <xf numFmtId="167" fontId="22" fillId="0" borderId="18" xfId="0" applyNumberFormat="1" applyFont="1" applyBorder="1" applyAlignment="1">
      <alignment horizontal="right"/>
    </xf>
    <xf numFmtId="168" fontId="27" fillId="36" borderId="0" xfId="0" applyNumberFormat="1" applyFont="1" applyFill="1"/>
    <xf numFmtId="3" fontId="42" fillId="0" borderId="0" xfId="0" applyNumberFormat="1" applyFont="1"/>
    <xf numFmtId="4" fontId="41" fillId="33" borderId="0" xfId="0" applyNumberFormat="1" applyFont="1" applyFill="1"/>
    <xf numFmtId="175" fontId="35" fillId="0" borderId="0" xfId="0" applyNumberFormat="1" applyFont="1"/>
    <xf numFmtId="0" fontId="22" fillId="0" borderId="18" xfId="0" applyFont="1" applyBorder="1"/>
    <xf numFmtId="0" fontId="1" fillId="0" borderId="17" xfId="0" applyFont="1" applyBorder="1"/>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Followed Hyperlink" xfId="43" builtinId="9" hidden="1"/>
    <cellStyle name="Good" xfId="29"/>
    <cellStyle name="Heading 1" xfId="30"/>
    <cellStyle name="Heading 2" xfId="31"/>
    <cellStyle name="Heading 3" xfId="32"/>
    <cellStyle name="Heading 4" xfId="33"/>
    <cellStyle name="Hyperlink" xfId="42" builtinId="8" hidden="1"/>
    <cellStyle name="Input" xfId="34"/>
    <cellStyle name="Linked Cell" xfId="35"/>
    <cellStyle name="Neutral" xfId="36"/>
    <cellStyle name="Normal" xfId="0" builtinId="0"/>
    <cellStyle name="Note" xfId="37"/>
    <cellStyle name="Output" xfId="38"/>
    <cellStyle name="Title" xfId="39"/>
    <cellStyle name="Total" xfId="40"/>
    <cellStyle name="Warning Text" xfId="41"/>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9DA54EF-B54B-D041-B2BB-60ED253A1C7F}" type="doc">
      <dgm:prSet loTypeId="urn:microsoft.com/office/officeart/2005/8/layout/hList2#1" loCatId="list" qsTypeId="urn:microsoft.com/office/officeart/2005/8/quickstyle/simple4" qsCatId="simple" csTypeId="urn:microsoft.com/office/officeart/2005/8/colors/accent1_2" csCatId="accent1" phldr="0"/>
      <dgm:spPr/>
      <dgm:t>
        <a:bodyPr/>
        <a:lstStyle/>
        <a:p>
          <a:endParaRPr lang="en-US"/>
        </a:p>
      </dgm:t>
    </dgm:pt>
    <dgm:pt modelId="{A0ABBEE4-B1F1-974B-B872-036CA771E93F}">
      <dgm:prSet phldrT="[Text]" phldr="1"/>
      <dgm:spPr/>
      <dgm:t>
        <a:bodyPr/>
        <a:lstStyle/>
        <a:p>
          <a:endParaRPr lang="en-US"/>
        </a:p>
      </dgm:t>
    </dgm:pt>
    <dgm:pt modelId="{54766ACB-CF80-2F49-B058-2993BDB2414F}" type="parTrans" cxnId="{F7EFAFC2-AC96-1C4A-B207-46F706B053D7}">
      <dgm:prSet/>
      <dgm:spPr/>
      <dgm:t>
        <a:bodyPr/>
        <a:lstStyle/>
        <a:p>
          <a:endParaRPr lang="en-US"/>
        </a:p>
      </dgm:t>
    </dgm:pt>
    <dgm:pt modelId="{DF70676E-E835-8948-90E5-3BDD7E6A59DF}" type="sibTrans" cxnId="{F7EFAFC2-AC96-1C4A-B207-46F706B053D7}">
      <dgm:prSet/>
      <dgm:spPr/>
      <dgm:t>
        <a:bodyPr/>
        <a:lstStyle/>
        <a:p>
          <a:endParaRPr lang="en-US"/>
        </a:p>
      </dgm:t>
    </dgm:pt>
    <dgm:pt modelId="{9839200C-656C-F344-B21C-114FBCB47972}">
      <dgm:prSet phldrT="[Text]" phldr="1"/>
      <dgm:spPr/>
      <dgm:t>
        <a:bodyPr/>
        <a:lstStyle/>
        <a:p>
          <a:endParaRPr lang="en-US"/>
        </a:p>
      </dgm:t>
    </dgm:pt>
    <dgm:pt modelId="{7E1D6BA5-DFE9-7444-BE11-FAFB1DF54379}" type="parTrans" cxnId="{272D0B83-1385-954A-B6F3-D95E6411422F}">
      <dgm:prSet/>
      <dgm:spPr/>
      <dgm:t>
        <a:bodyPr/>
        <a:lstStyle/>
        <a:p>
          <a:endParaRPr lang="en-US"/>
        </a:p>
      </dgm:t>
    </dgm:pt>
    <dgm:pt modelId="{CC7B5B64-D1ED-E148-B12F-229AB8726151}" type="sibTrans" cxnId="{272D0B83-1385-954A-B6F3-D95E6411422F}">
      <dgm:prSet/>
      <dgm:spPr/>
      <dgm:t>
        <a:bodyPr/>
        <a:lstStyle/>
        <a:p>
          <a:endParaRPr lang="en-US"/>
        </a:p>
      </dgm:t>
    </dgm:pt>
    <dgm:pt modelId="{8B96E3AC-550F-EE48-AC3D-BE16DACE9ED3}">
      <dgm:prSet phldrT="[Text]" phldr="1"/>
      <dgm:spPr/>
      <dgm:t>
        <a:bodyPr/>
        <a:lstStyle/>
        <a:p>
          <a:endParaRPr lang="en-US"/>
        </a:p>
      </dgm:t>
    </dgm:pt>
    <dgm:pt modelId="{71992637-0F3C-0146-A38D-BBC5B3EE2ADC}" type="parTrans" cxnId="{E18374F0-8C37-3643-82A4-CEB64EC6FB4E}">
      <dgm:prSet/>
      <dgm:spPr/>
      <dgm:t>
        <a:bodyPr/>
        <a:lstStyle/>
        <a:p>
          <a:endParaRPr lang="en-US"/>
        </a:p>
      </dgm:t>
    </dgm:pt>
    <dgm:pt modelId="{38C814D6-7446-CD43-B875-D7BC4E47BFBF}" type="sibTrans" cxnId="{E18374F0-8C37-3643-82A4-CEB64EC6FB4E}">
      <dgm:prSet/>
      <dgm:spPr/>
      <dgm:t>
        <a:bodyPr/>
        <a:lstStyle/>
        <a:p>
          <a:endParaRPr lang="en-US"/>
        </a:p>
      </dgm:t>
    </dgm:pt>
    <dgm:pt modelId="{34933A75-A1DD-4740-8CE9-CE033CE32E26}">
      <dgm:prSet phldrT="[Text]" phldr="1"/>
      <dgm:spPr/>
      <dgm:t>
        <a:bodyPr/>
        <a:lstStyle/>
        <a:p>
          <a:endParaRPr lang="en-US"/>
        </a:p>
      </dgm:t>
    </dgm:pt>
    <dgm:pt modelId="{A7F55C71-A536-4145-B703-144C1F294488}" type="parTrans" cxnId="{A2FB6854-F9F9-C940-A1F9-EC2929251981}">
      <dgm:prSet/>
      <dgm:spPr/>
      <dgm:t>
        <a:bodyPr/>
        <a:lstStyle/>
        <a:p>
          <a:endParaRPr lang="en-US"/>
        </a:p>
      </dgm:t>
    </dgm:pt>
    <dgm:pt modelId="{B92AF52E-7C97-7E48-ACD9-0F061E024863}" type="sibTrans" cxnId="{A2FB6854-F9F9-C940-A1F9-EC2929251981}">
      <dgm:prSet/>
      <dgm:spPr/>
      <dgm:t>
        <a:bodyPr/>
        <a:lstStyle/>
        <a:p>
          <a:endParaRPr lang="en-US"/>
        </a:p>
      </dgm:t>
    </dgm:pt>
    <dgm:pt modelId="{A8783978-E5B3-BE49-BEAA-524F0BA70168}">
      <dgm:prSet phldrT="[Text]" phldr="1"/>
      <dgm:spPr/>
      <dgm:t>
        <a:bodyPr/>
        <a:lstStyle/>
        <a:p>
          <a:endParaRPr lang="en-US"/>
        </a:p>
      </dgm:t>
    </dgm:pt>
    <dgm:pt modelId="{17559A5D-8799-404E-9094-F9E5AD87DE08}" type="parTrans" cxnId="{A5C71530-BB0C-1945-AB88-8DE569370C55}">
      <dgm:prSet/>
      <dgm:spPr/>
      <dgm:t>
        <a:bodyPr/>
        <a:lstStyle/>
        <a:p>
          <a:endParaRPr lang="en-US"/>
        </a:p>
      </dgm:t>
    </dgm:pt>
    <dgm:pt modelId="{E613B2C3-7F9B-C24B-9FF8-25B8CDE40861}" type="sibTrans" cxnId="{A5C71530-BB0C-1945-AB88-8DE569370C55}">
      <dgm:prSet/>
      <dgm:spPr/>
      <dgm:t>
        <a:bodyPr/>
        <a:lstStyle/>
        <a:p>
          <a:endParaRPr lang="en-US"/>
        </a:p>
      </dgm:t>
    </dgm:pt>
    <dgm:pt modelId="{A0C6B203-E65C-EF40-969F-9F570ED0AF4F}">
      <dgm:prSet phldrT="[Text]" phldr="1"/>
      <dgm:spPr/>
      <dgm:t>
        <a:bodyPr/>
        <a:lstStyle/>
        <a:p>
          <a:endParaRPr lang="en-US"/>
        </a:p>
      </dgm:t>
    </dgm:pt>
    <dgm:pt modelId="{EE437657-370E-7240-B062-2F2FA2B4E8A4}" type="parTrans" cxnId="{E87073A4-EBE6-8B4E-85BA-7E9E0600055A}">
      <dgm:prSet/>
      <dgm:spPr/>
      <dgm:t>
        <a:bodyPr/>
        <a:lstStyle/>
        <a:p>
          <a:endParaRPr lang="en-US"/>
        </a:p>
      </dgm:t>
    </dgm:pt>
    <dgm:pt modelId="{1A281BCB-71EA-FC4A-B006-B7B54888A507}" type="sibTrans" cxnId="{E87073A4-EBE6-8B4E-85BA-7E9E0600055A}">
      <dgm:prSet/>
      <dgm:spPr/>
      <dgm:t>
        <a:bodyPr/>
        <a:lstStyle/>
        <a:p>
          <a:endParaRPr lang="en-US"/>
        </a:p>
      </dgm:t>
    </dgm:pt>
    <dgm:pt modelId="{270A140E-23A6-4B44-A68A-956384D0FB64}" type="pres">
      <dgm:prSet presAssocID="{09DA54EF-B54B-D041-B2BB-60ED253A1C7F}" presName="linearFlow" presStyleCnt="0">
        <dgm:presLayoutVars>
          <dgm:dir/>
          <dgm:animLvl val="lvl"/>
          <dgm:resizeHandles/>
        </dgm:presLayoutVars>
      </dgm:prSet>
      <dgm:spPr/>
      <dgm:t>
        <a:bodyPr/>
        <a:lstStyle/>
        <a:p>
          <a:endParaRPr lang="en-US"/>
        </a:p>
      </dgm:t>
    </dgm:pt>
    <dgm:pt modelId="{70A59931-96B9-EE4E-A8F7-08686AB53248}" type="pres">
      <dgm:prSet presAssocID="{A0ABBEE4-B1F1-974B-B872-036CA771E93F}" presName="compositeNode" presStyleCnt="0">
        <dgm:presLayoutVars>
          <dgm:bulletEnabled val="1"/>
        </dgm:presLayoutVars>
      </dgm:prSet>
      <dgm:spPr/>
    </dgm:pt>
    <dgm:pt modelId="{75FF0858-1434-3745-BBE5-74AAAFBEB217}" type="pres">
      <dgm:prSet presAssocID="{A0ABBEE4-B1F1-974B-B872-036CA771E93F}" presName="image" presStyleLbl="fgImgPlace1" presStyleIdx="0" presStyleCnt="3"/>
      <dgm:spPr/>
    </dgm:pt>
    <dgm:pt modelId="{CDE6BBE7-D97A-F94A-B593-292F1501F46E}" type="pres">
      <dgm:prSet presAssocID="{A0ABBEE4-B1F1-974B-B872-036CA771E93F}" presName="childNode" presStyleLbl="node1" presStyleIdx="0" presStyleCnt="3" custLinFactNeighborX="10420" custLinFactNeighborY="-5342">
        <dgm:presLayoutVars>
          <dgm:bulletEnabled val="1"/>
        </dgm:presLayoutVars>
      </dgm:prSet>
      <dgm:spPr/>
      <dgm:t>
        <a:bodyPr/>
        <a:lstStyle/>
        <a:p>
          <a:endParaRPr lang="en-US"/>
        </a:p>
      </dgm:t>
    </dgm:pt>
    <dgm:pt modelId="{07642977-0DC0-5C45-BB07-673A606AE197}" type="pres">
      <dgm:prSet presAssocID="{A0ABBEE4-B1F1-974B-B872-036CA771E93F}" presName="parentNode" presStyleLbl="revTx" presStyleIdx="0" presStyleCnt="3">
        <dgm:presLayoutVars>
          <dgm:chMax val="0"/>
          <dgm:bulletEnabled val="1"/>
        </dgm:presLayoutVars>
      </dgm:prSet>
      <dgm:spPr/>
      <dgm:t>
        <a:bodyPr/>
        <a:lstStyle/>
        <a:p>
          <a:endParaRPr lang="en-US"/>
        </a:p>
      </dgm:t>
    </dgm:pt>
    <dgm:pt modelId="{2F7D00A8-A351-3C49-8476-6B8B6DAEA84C}" type="pres">
      <dgm:prSet presAssocID="{DF70676E-E835-8948-90E5-3BDD7E6A59DF}" presName="sibTrans" presStyleCnt="0"/>
      <dgm:spPr/>
    </dgm:pt>
    <dgm:pt modelId="{DD5BEA73-8A79-3947-B573-32661106B965}" type="pres">
      <dgm:prSet presAssocID="{34933A75-A1DD-4740-8CE9-CE033CE32E26}" presName="compositeNode" presStyleCnt="0">
        <dgm:presLayoutVars>
          <dgm:bulletEnabled val="1"/>
        </dgm:presLayoutVars>
      </dgm:prSet>
      <dgm:spPr/>
    </dgm:pt>
    <dgm:pt modelId="{60269629-A5B2-0D48-81D7-8C10652CEA32}" type="pres">
      <dgm:prSet presAssocID="{34933A75-A1DD-4740-8CE9-CE033CE32E26}" presName="image" presStyleLbl="fgImgPlace1" presStyleIdx="1" presStyleCnt="3"/>
      <dgm:spPr/>
    </dgm:pt>
    <dgm:pt modelId="{0CFFDFB9-02DE-AE4A-841E-4EB68480790E}" type="pres">
      <dgm:prSet presAssocID="{34933A75-A1DD-4740-8CE9-CE033CE32E26}" presName="childNode" presStyleLbl="node1" presStyleIdx="1" presStyleCnt="3" custLinFactX="-280461" custLinFactY="-100000" custLinFactNeighborX="-300000" custLinFactNeighborY="-188462">
        <dgm:presLayoutVars>
          <dgm:bulletEnabled val="1"/>
        </dgm:presLayoutVars>
      </dgm:prSet>
      <dgm:spPr/>
      <dgm:t>
        <a:bodyPr/>
        <a:lstStyle/>
        <a:p>
          <a:endParaRPr lang="en-US"/>
        </a:p>
      </dgm:t>
    </dgm:pt>
    <dgm:pt modelId="{0EB8BA47-A8BF-A143-A896-8BF0199A73E5}" type="pres">
      <dgm:prSet presAssocID="{34933A75-A1DD-4740-8CE9-CE033CE32E26}" presName="parentNode" presStyleLbl="revTx" presStyleIdx="1" presStyleCnt="3">
        <dgm:presLayoutVars>
          <dgm:chMax val="0"/>
          <dgm:bulletEnabled val="1"/>
        </dgm:presLayoutVars>
      </dgm:prSet>
      <dgm:spPr/>
      <dgm:t>
        <a:bodyPr/>
        <a:lstStyle/>
        <a:p>
          <a:endParaRPr lang="en-US"/>
        </a:p>
      </dgm:t>
    </dgm:pt>
    <dgm:pt modelId="{3CAD6239-78B6-7841-840C-A2E5B28EB635}" type="pres">
      <dgm:prSet presAssocID="{B92AF52E-7C97-7E48-ACD9-0F061E024863}" presName="sibTrans" presStyleCnt="0"/>
      <dgm:spPr/>
    </dgm:pt>
    <dgm:pt modelId="{5682FE9C-55D5-EE45-B17F-4F951196938D}" type="pres">
      <dgm:prSet presAssocID="{A8783978-E5B3-BE49-BEAA-524F0BA70168}" presName="compositeNode" presStyleCnt="0">
        <dgm:presLayoutVars>
          <dgm:bulletEnabled val="1"/>
        </dgm:presLayoutVars>
      </dgm:prSet>
      <dgm:spPr/>
    </dgm:pt>
    <dgm:pt modelId="{AE7C0A67-82F8-BF40-81E4-C8D934E0B8F8}" type="pres">
      <dgm:prSet presAssocID="{A8783978-E5B3-BE49-BEAA-524F0BA70168}" presName="image" presStyleLbl="fgImgPlace1" presStyleIdx="2" presStyleCnt="3"/>
      <dgm:spPr/>
    </dgm:pt>
    <dgm:pt modelId="{588435D6-35C3-7E4D-AD29-AF2D8075F206}" type="pres">
      <dgm:prSet presAssocID="{A8783978-E5B3-BE49-BEAA-524F0BA70168}" presName="childNode" presStyleLbl="node1" presStyleIdx="2" presStyleCnt="3">
        <dgm:presLayoutVars>
          <dgm:bulletEnabled val="1"/>
        </dgm:presLayoutVars>
      </dgm:prSet>
      <dgm:spPr/>
      <dgm:t>
        <a:bodyPr/>
        <a:lstStyle/>
        <a:p>
          <a:endParaRPr lang="en-US"/>
        </a:p>
      </dgm:t>
    </dgm:pt>
    <dgm:pt modelId="{51C0DF28-0C7E-7246-AE0A-FCB2248A0F55}" type="pres">
      <dgm:prSet presAssocID="{A8783978-E5B3-BE49-BEAA-524F0BA70168}" presName="parentNode" presStyleLbl="revTx" presStyleIdx="2" presStyleCnt="3">
        <dgm:presLayoutVars>
          <dgm:chMax val="0"/>
          <dgm:bulletEnabled val="1"/>
        </dgm:presLayoutVars>
      </dgm:prSet>
      <dgm:spPr/>
      <dgm:t>
        <a:bodyPr/>
        <a:lstStyle/>
        <a:p>
          <a:endParaRPr lang="en-US"/>
        </a:p>
      </dgm:t>
    </dgm:pt>
  </dgm:ptLst>
  <dgm:cxnLst>
    <dgm:cxn modelId="{839B746A-34E1-B64B-9E2F-BF3DA8CA6316}" type="presOf" srcId="{8B96E3AC-550F-EE48-AC3D-BE16DACE9ED3}" destId="{CDE6BBE7-D97A-F94A-B593-292F1501F46E}" srcOrd="0" destOrd="1" presId="urn:microsoft.com/office/officeart/2005/8/layout/hList2#1"/>
    <dgm:cxn modelId="{A5C71530-BB0C-1945-AB88-8DE569370C55}" srcId="{09DA54EF-B54B-D041-B2BB-60ED253A1C7F}" destId="{A8783978-E5B3-BE49-BEAA-524F0BA70168}" srcOrd="2" destOrd="0" parTransId="{17559A5D-8799-404E-9094-F9E5AD87DE08}" sibTransId="{E613B2C3-7F9B-C24B-9FF8-25B8CDE40861}"/>
    <dgm:cxn modelId="{4E69C518-FF03-A74E-89A0-DB8E0E8D78FC}" type="presOf" srcId="{A8783978-E5B3-BE49-BEAA-524F0BA70168}" destId="{51C0DF28-0C7E-7246-AE0A-FCB2248A0F55}" srcOrd="0" destOrd="0" presId="urn:microsoft.com/office/officeart/2005/8/layout/hList2#1"/>
    <dgm:cxn modelId="{141F879E-9467-5A40-A031-3D873AE6B199}" type="presOf" srcId="{09DA54EF-B54B-D041-B2BB-60ED253A1C7F}" destId="{270A140E-23A6-4B44-A68A-956384D0FB64}" srcOrd="0" destOrd="0" presId="urn:microsoft.com/office/officeart/2005/8/layout/hList2#1"/>
    <dgm:cxn modelId="{07C068C5-7243-F843-A8A2-68088357BD46}" type="presOf" srcId="{A0C6B203-E65C-EF40-969F-9F570ED0AF4F}" destId="{588435D6-35C3-7E4D-AD29-AF2D8075F206}" srcOrd="0" destOrd="0" presId="urn:microsoft.com/office/officeart/2005/8/layout/hList2#1"/>
    <dgm:cxn modelId="{73B1CDBE-315C-A549-9145-03D50B30FE75}" type="presOf" srcId="{A0ABBEE4-B1F1-974B-B872-036CA771E93F}" destId="{07642977-0DC0-5C45-BB07-673A606AE197}" srcOrd="0" destOrd="0" presId="urn:microsoft.com/office/officeart/2005/8/layout/hList2#1"/>
    <dgm:cxn modelId="{F63064CB-E6CF-7341-922C-FC9665F89DB9}" type="presOf" srcId="{34933A75-A1DD-4740-8CE9-CE033CE32E26}" destId="{0EB8BA47-A8BF-A143-A896-8BF0199A73E5}" srcOrd="0" destOrd="0" presId="urn:microsoft.com/office/officeart/2005/8/layout/hList2#1"/>
    <dgm:cxn modelId="{E18374F0-8C37-3643-82A4-CEB64EC6FB4E}" srcId="{A0ABBEE4-B1F1-974B-B872-036CA771E93F}" destId="{8B96E3AC-550F-EE48-AC3D-BE16DACE9ED3}" srcOrd="1" destOrd="0" parTransId="{71992637-0F3C-0146-A38D-BBC5B3EE2ADC}" sibTransId="{38C814D6-7446-CD43-B875-D7BC4E47BFBF}"/>
    <dgm:cxn modelId="{A0B929F4-FD6C-1C49-BEA6-AC124C0E5AA7}" type="presOf" srcId="{9839200C-656C-F344-B21C-114FBCB47972}" destId="{CDE6BBE7-D97A-F94A-B593-292F1501F46E}" srcOrd="0" destOrd="0" presId="urn:microsoft.com/office/officeart/2005/8/layout/hList2#1"/>
    <dgm:cxn modelId="{F7EFAFC2-AC96-1C4A-B207-46F706B053D7}" srcId="{09DA54EF-B54B-D041-B2BB-60ED253A1C7F}" destId="{A0ABBEE4-B1F1-974B-B872-036CA771E93F}" srcOrd="0" destOrd="0" parTransId="{54766ACB-CF80-2F49-B058-2993BDB2414F}" sibTransId="{DF70676E-E835-8948-90E5-3BDD7E6A59DF}"/>
    <dgm:cxn modelId="{E87073A4-EBE6-8B4E-85BA-7E9E0600055A}" srcId="{A8783978-E5B3-BE49-BEAA-524F0BA70168}" destId="{A0C6B203-E65C-EF40-969F-9F570ED0AF4F}" srcOrd="0" destOrd="0" parTransId="{EE437657-370E-7240-B062-2F2FA2B4E8A4}" sibTransId="{1A281BCB-71EA-FC4A-B006-B7B54888A507}"/>
    <dgm:cxn modelId="{A2FB6854-F9F9-C940-A1F9-EC2929251981}" srcId="{09DA54EF-B54B-D041-B2BB-60ED253A1C7F}" destId="{34933A75-A1DD-4740-8CE9-CE033CE32E26}" srcOrd="1" destOrd="0" parTransId="{A7F55C71-A536-4145-B703-144C1F294488}" sibTransId="{B92AF52E-7C97-7E48-ACD9-0F061E024863}"/>
    <dgm:cxn modelId="{272D0B83-1385-954A-B6F3-D95E6411422F}" srcId="{A0ABBEE4-B1F1-974B-B872-036CA771E93F}" destId="{9839200C-656C-F344-B21C-114FBCB47972}" srcOrd="0" destOrd="0" parTransId="{7E1D6BA5-DFE9-7444-BE11-FAFB1DF54379}" sibTransId="{CC7B5B64-D1ED-E148-B12F-229AB8726151}"/>
    <dgm:cxn modelId="{5176293C-C87C-7A43-9671-3C927AF9B9A2}" type="presParOf" srcId="{270A140E-23A6-4B44-A68A-956384D0FB64}" destId="{70A59931-96B9-EE4E-A8F7-08686AB53248}" srcOrd="0" destOrd="0" presId="urn:microsoft.com/office/officeart/2005/8/layout/hList2#1"/>
    <dgm:cxn modelId="{778E0AA3-D3A6-374B-BA0A-6AACB74F1AF7}" type="presParOf" srcId="{70A59931-96B9-EE4E-A8F7-08686AB53248}" destId="{75FF0858-1434-3745-BBE5-74AAAFBEB217}" srcOrd="0" destOrd="0" presId="urn:microsoft.com/office/officeart/2005/8/layout/hList2#1"/>
    <dgm:cxn modelId="{44BA6F9E-83AC-224D-937F-8711E8233E29}" type="presParOf" srcId="{70A59931-96B9-EE4E-A8F7-08686AB53248}" destId="{CDE6BBE7-D97A-F94A-B593-292F1501F46E}" srcOrd="1" destOrd="0" presId="urn:microsoft.com/office/officeart/2005/8/layout/hList2#1"/>
    <dgm:cxn modelId="{75E356CB-A882-A941-802F-C52B3437C5EE}" type="presParOf" srcId="{70A59931-96B9-EE4E-A8F7-08686AB53248}" destId="{07642977-0DC0-5C45-BB07-673A606AE197}" srcOrd="2" destOrd="0" presId="urn:microsoft.com/office/officeart/2005/8/layout/hList2#1"/>
    <dgm:cxn modelId="{493FC4F4-8E7C-DC4E-B8E2-86B8FC8AEE8D}" type="presParOf" srcId="{270A140E-23A6-4B44-A68A-956384D0FB64}" destId="{2F7D00A8-A351-3C49-8476-6B8B6DAEA84C}" srcOrd="1" destOrd="0" presId="urn:microsoft.com/office/officeart/2005/8/layout/hList2#1"/>
    <dgm:cxn modelId="{14D4A6FA-EF57-8F4B-8150-F35C0FD9F5C8}" type="presParOf" srcId="{270A140E-23A6-4B44-A68A-956384D0FB64}" destId="{DD5BEA73-8A79-3947-B573-32661106B965}" srcOrd="2" destOrd="0" presId="urn:microsoft.com/office/officeart/2005/8/layout/hList2#1"/>
    <dgm:cxn modelId="{AFD5FF04-3B50-4946-9D24-C6ADBE7EDB22}" type="presParOf" srcId="{DD5BEA73-8A79-3947-B573-32661106B965}" destId="{60269629-A5B2-0D48-81D7-8C10652CEA32}" srcOrd="0" destOrd="0" presId="urn:microsoft.com/office/officeart/2005/8/layout/hList2#1"/>
    <dgm:cxn modelId="{1DA2CF77-BAB2-DC4C-A2CA-2A97AEC6BB1A}" type="presParOf" srcId="{DD5BEA73-8A79-3947-B573-32661106B965}" destId="{0CFFDFB9-02DE-AE4A-841E-4EB68480790E}" srcOrd="1" destOrd="0" presId="urn:microsoft.com/office/officeart/2005/8/layout/hList2#1"/>
    <dgm:cxn modelId="{4F246E88-AB05-F542-97A5-90D7C4CD5888}" type="presParOf" srcId="{DD5BEA73-8A79-3947-B573-32661106B965}" destId="{0EB8BA47-A8BF-A143-A896-8BF0199A73E5}" srcOrd="2" destOrd="0" presId="urn:microsoft.com/office/officeart/2005/8/layout/hList2#1"/>
    <dgm:cxn modelId="{6B8A0403-C2F5-FD42-9730-9826B9B8F483}" type="presParOf" srcId="{270A140E-23A6-4B44-A68A-956384D0FB64}" destId="{3CAD6239-78B6-7841-840C-A2E5B28EB635}" srcOrd="3" destOrd="0" presId="urn:microsoft.com/office/officeart/2005/8/layout/hList2#1"/>
    <dgm:cxn modelId="{054E7022-603A-E94F-95A7-FC16170068AC}" type="presParOf" srcId="{270A140E-23A6-4B44-A68A-956384D0FB64}" destId="{5682FE9C-55D5-EE45-B17F-4F951196938D}" srcOrd="4" destOrd="0" presId="urn:microsoft.com/office/officeart/2005/8/layout/hList2#1"/>
    <dgm:cxn modelId="{41E09C45-7C28-FE44-947E-D2C52E0DE3DE}" type="presParOf" srcId="{5682FE9C-55D5-EE45-B17F-4F951196938D}" destId="{AE7C0A67-82F8-BF40-81E4-C8D934E0B8F8}" srcOrd="0" destOrd="0" presId="urn:microsoft.com/office/officeart/2005/8/layout/hList2#1"/>
    <dgm:cxn modelId="{BEEF5DA1-161A-9045-ACB0-B38DBA86726B}" type="presParOf" srcId="{5682FE9C-55D5-EE45-B17F-4F951196938D}" destId="{588435D6-35C3-7E4D-AD29-AF2D8075F206}" srcOrd="1" destOrd="0" presId="urn:microsoft.com/office/officeart/2005/8/layout/hList2#1"/>
    <dgm:cxn modelId="{226B01A8-9B30-864A-B231-E6CB1DAD37FE}" type="presParOf" srcId="{5682FE9C-55D5-EE45-B17F-4F951196938D}" destId="{51C0DF28-0C7E-7246-AE0A-FCB2248A0F55}" srcOrd="2" destOrd="0" presId="urn:microsoft.com/office/officeart/2005/8/layout/hList2#1"/>
  </dgm:cxnLst>
  <dgm:bg/>
  <dgm:whole/>
  <dgm:extLst>
    <a:ext uri="http://schemas.microsoft.com/office/drawing/2008/diagram">
      <dsp:dataModelExt xmlns="" xmlns:dgm="http://schemas.openxmlformats.org/drawingml/2006/diagram" xmlns:a="http://schemas.openxmlformats.org/drawingml/2006/main" xmlns:dsp="http://schemas.microsoft.com/office/drawing/2008/diagram" relId="rId5" minVer="http://schemas.openxmlformats.org/drawingml/2006/diagram"/>
    </a:ext>
  </dgm:extLst>
</dgm:dataModel>
</file>

<file path=xl/diagrams/layout1.xml><?xml version="1.0" encoding="utf-8"?>
<dgm:layoutDef xmlns:dgm="http://schemas.openxmlformats.org/drawingml/2006/diagram" xmlns:a="http://schemas.openxmlformats.org/drawingml/2006/main" uniqueId="urn:microsoft.com/office/officeart/2005/8/layout/hList2#1">
  <dgm:title val=""/>
  <dgm:desc val=""/>
  <dgm:catLst>
    <dgm:cat type="list" pri="6000"/>
    <dgm:cat type="relationship" pri="16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linearFlow">
    <dgm:varLst>
      <dgm:dir/>
      <dgm:animLvl val="lvl"/>
      <dgm:resizeHandles/>
    </dgm:varLst>
    <dgm:choose name="Name0">
      <dgm:if name="Name1" func="var" arg="dir" op="equ" val="norm">
        <dgm:alg type="lin">
          <dgm:param type="linDir" val="fromL"/>
          <dgm:param type="nodeVertAlign" val="t"/>
        </dgm:alg>
      </dgm:if>
      <dgm:else name="Name2">
        <dgm:alg type="lin">
          <dgm:param type="linDir" val="fromR"/>
          <dgm:param type="nodeVertAlign" val="t"/>
        </dgm:alg>
      </dgm:else>
    </dgm:choose>
    <dgm:shape xmlns:r="http://schemas.openxmlformats.org/officeDocument/2006/relationships" r:blip="">
      <dgm:adjLst/>
    </dgm:shape>
    <dgm:presOf/>
    <dgm:constrLst>
      <dgm:constr type="w" for="ch" forName="compositeNode" refType="w"/>
      <dgm:constr type="h" for="ch" forName="compositeNode" refType="h"/>
      <dgm:constr type="w" for="ch" forName="sibTrans" refType="w" refFor="ch" refForName="compositeNode" op="equ" fact="0.2"/>
      <dgm:constr type="h" for="des" forName="childNode" op="equ"/>
      <dgm:constr type="w" for="des" forName="childNode" op="equ"/>
      <dgm:constr type="w" for="des" forName="parentNode" op="equ"/>
      <dgm:constr type="h" for="des" forName="image" op="equ"/>
      <dgm:constr type="w" for="des" forName="image" op="equ"/>
      <dgm:constr type="primFontSz" for="des" forName="parentNode" op="equ" val="65"/>
      <dgm:constr type="primFontSz" for="des" forName="childNode" op="equ" val="65"/>
    </dgm:constrLst>
    <dgm:ruleLst/>
    <dgm:forEach name="Name3" axis="ch" ptType="node">
      <dgm:layoutNode name="compositeNode">
        <dgm:varLst>
          <dgm:bulletEnabled val="1"/>
        </dgm:varLst>
        <dgm:alg type="composite"/>
        <dgm:presOf/>
        <dgm:choose name="Name4">
          <dgm:if name="Name5" func="var" arg="dir" op="equ" val="norm">
            <dgm:constrLst>
              <dgm:constr type="w" for="ch" forName="image" refType="w"/>
              <dgm:constr type="h" for="ch" forName="image" refType="h"/>
              <dgm:constr type="h" for="ch" forName="image" refType="w" refFor="ch" refForName="image" op="lte"/>
              <dgm:constr type="w" for="ch" forName="image" refType="h" refFor="ch" refForName="image" op="lte"/>
              <dgm:constr type="w" for="ch" forName="image" refType="w" op="lte" fact="0.33"/>
              <dgm:constr type="h" for="ch" forName="image" refType="h" op="lte" fact="0.33"/>
              <dgm:constr type="t" for="ch" forName="image"/>
              <dgm:constr type="l" for="ch" forName="image"/>
              <dgm:constr type="w" for="ch" forName="childNode" refType="w" fact="0.85"/>
              <dgm:constr type="h" for="ch" forName="childNode" refType="h" fact="0.78"/>
              <dgm:constr type="t" for="ch" forName="childNode" refType="h" refFor="ch" refForName="image" fact="0.66"/>
              <dgm:constr type="l" for="ch" forName="childNode" refType="w" refFor="ch" refForName="image" fact="0.5"/>
              <dgm:constr type="tMarg" for="ch" forName="childNode" refType="w" refFor="ch" refForName="image" fact="1.25"/>
              <dgm:constr type="t" for="ch" forName="parentNode" refType="h" refFor="ch" refForName="image" fact="0.66"/>
              <dgm:constr type="b" for="ch" forName="parentNode" refType="b" refFor="ch" refForName="childNode"/>
              <dgm:constr type="l" for="ch" forName="parentNode"/>
              <dgm:constr type="r" for="ch" forName="parentNode" refType="l" refFor="ch" refForName="childNode"/>
              <dgm:constr type="rMarg" for="ch" forName="parentNode" refType="w" refFor="ch" refForName="image" fact="1.25"/>
            </dgm:constrLst>
          </dgm:if>
          <dgm:else name="Name6">
            <dgm:constrLst>
              <dgm:constr type="w" for="ch" forName="image" refType="w"/>
              <dgm:constr type="h" for="ch" forName="image" refType="h"/>
              <dgm:constr type="h" for="ch" forName="image" refType="w" refFor="ch" refForName="image" op="lte"/>
              <dgm:constr type="w" for="ch" forName="image" refType="h" refFor="ch" refForName="image" op="lte"/>
              <dgm:constr type="w" for="ch" forName="image" refType="w" op="lte" fact="0.33"/>
              <dgm:constr type="h" for="ch" forName="image" refType="h" op="lte" fact="0.33"/>
              <dgm:constr type="t" for="ch" forName="image"/>
              <dgm:constr type="r" for="ch" forName="image" refType="w"/>
              <dgm:constr type="w" for="ch" forName="childNode" refType="w" fact="0.85"/>
              <dgm:constr type="h" for="ch" forName="childNode" refType="h" fact="0.78"/>
              <dgm:constr type="t" for="ch" forName="childNode" refType="h" refFor="ch" refForName="image" fact="0.66"/>
              <dgm:constr type="r" for="ch" forName="childNode" refType="w"/>
              <dgm:constr type="rOff" for="ch" forName="childNode" refType="w" refFor="ch" refForName="image" fact="-0.5"/>
              <dgm:constr type="tMarg" for="ch" forName="childNode" refType="w" refFor="ch" refForName="image" fact="1.25"/>
              <dgm:constr type="t" for="ch" forName="parentNode" refType="h" refFor="ch" refForName="image" fact="0.66"/>
              <dgm:constr type="b" for="ch" forName="parentNode" refType="b" refFor="ch" refForName="childNode"/>
              <dgm:constr type="r" for="ch" forName="parentNode" refType="w"/>
              <dgm:constr type="l" for="ch" forName="parentNode" refType="r" refFor="ch" refForName="childNode"/>
              <dgm:constr type="lOff" for="ch" forName="parentNode" refType="rOff" refFor="ch" refForName="childNode"/>
              <dgm:constr type="lMarg" for="ch" forName="parentNode" refType="w" refFor="ch" refForName="image" fact="1.25"/>
            </dgm:constrLst>
          </dgm:else>
        </dgm:choose>
        <dgm:ruleLst>
          <dgm:rule type="w" for="ch" forName="childNode" val="NaN" fact="0.4" max="NaN"/>
          <dgm:rule type="h" for="ch" forName="childNode" val="NaN" fact="0.5" max="NaN"/>
        </dgm:ruleLst>
        <dgm:layoutNode name="image" styleLbl="fgImgPlace1">
          <dgm:alg type="sp"/>
          <dgm:shape xmlns:r="http://schemas.openxmlformats.org/officeDocument/2006/relationships" type="rect" r:blip="" zOrderOff="4" blipPhldr="1">
            <dgm:adjLst/>
          </dgm:shape>
          <dgm:presOf/>
          <dgm:constrLst/>
          <dgm:ruleLst/>
        </dgm:layoutNode>
        <dgm:layoutNode name="childNode" styleLbl="node1">
          <dgm:varLst>
            <dgm:bulletEnabled val="1"/>
          </dgm:varLst>
          <dgm:alg type="tx">
            <dgm:param type="stBulletLvl" val="1"/>
          </dgm:alg>
          <dgm:shape xmlns:r="http://schemas.openxmlformats.org/officeDocument/2006/relationships" type="rect" r:blip="" zOrderOff="2">
            <dgm:adjLst/>
          </dgm:shape>
          <dgm:presOf axis="des" ptType="node"/>
          <dgm:constrLst/>
          <dgm:ruleLst>
            <dgm:rule type="primFontSz" val="5" fact="NaN" max="NaN"/>
          </dgm:ruleLst>
        </dgm:layoutNode>
        <dgm:layoutNode name="parentNode" styleLbl="revTx">
          <dgm:varLst>
            <dgm:chMax val="0"/>
            <dgm:bulletEnabled val="1"/>
          </dgm:varLst>
          <dgm:choose name="Name7">
            <dgm:if name="Name8" func="var" arg="dir" op="equ" val="norm">
              <dgm:alg type="tx">
                <dgm:param type="autoTxRot" val="grav"/>
                <dgm:param type="txAnchorVert" val="t"/>
                <dgm:param type="parTxLTRAlign" val="r"/>
                <dgm:param type="parTxRTLAlign" val="r"/>
              </dgm:alg>
              <dgm:shape xmlns:r="http://schemas.openxmlformats.org/officeDocument/2006/relationships" rot="270" type="rect" r:blip="">
                <dgm:adjLst/>
              </dgm:shape>
              <dgm:presOf axis="self"/>
              <dgm:constrLst>
                <dgm:constr type="lMarg"/>
                <dgm:constr type="bMarg"/>
                <dgm:constr type="tMarg"/>
              </dgm:constrLst>
            </dgm:if>
            <dgm:else name="Name9">
              <dgm:alg type="tx">
                <dgm:param type="autoTxRot" val="grav"/>
                <dgm:param type="parTxLTRAlign" val="l"/>
                <dgm:param type="parTxRTLAlign" val="l"/>
              </dgm:alg>
              <dgm:shape xmlns:r="http://schemas.openxmlformats.org/officeDocument/2006/relationships" rot="90" type="rect" r:blip="">
                <dgm:adjLst/>
              </dgm:shape>
              <dgm:presOf axis="self"/>
              <dgm:constrLst>
                <dgm:constr type="rMarg"/>
                <dgm:constr type="bMarg"/>
                <dgm:constr type="tMarg"/>
              </dgm:constrLst>
            </dgm:else>
          </dgm:choose>
          <dgm:ruleLst>
            <dgm:rule type="primFontSz" val="5" fact="NaN" max="NaN"/>
          </dgm:ruleLst>
        </dgm:layoutNode>
      </dgm:layoutNode>
      <dgm:forEach name="Name10" axis="followSib" ptType="sibTrans" cnt="1">
        <dgm:layoutNode name="sibTrans">
          <dgm:alg type="sp"/>
          <dgm:shape xmlns:r="http://schemas.openxmlformats.org/officeDocument/2006/relationships" r:blip="">
            <dgm:adjLst/>
          </dgm:shape>
          <dgm:presOf axis="sel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4" Type="http://schemas.openxmlformats.org/officeDocument/2006/relationships/diagramColors" Target="../diagrams/colors1.xml"/><Relationship Id="rId1" Type="http://schemas.openxmlformats.org/officeDocument/2006/relationships/diagramData" Target="../diagrams/data1.xml"/><Relationship Id="rId2" Type="http://schemas.openxmlformats.org/officeDocument/2006/relationships/diagramLayout" Target="../diagrams/layout1.xml"/></Relationships>
</file>

<file path=xl/drawings/drawing1.xml><?xml version="1.0" encoding="utf-8"?>
<xdr:wsDr xmlns:xdr="http://schemas.openxmlformats.org/drawingml/2006/spreadsheetDrawing" xmlns:a="http://schemas.openxmlformats.org/drawingml/2006/main">
  <xdr:twoCellAnchor>
    <xdr:from>
      <xdr:col>14</xdr:col>
      <xdr:colOff>660400</xdr:colOff>
      <xdr:row>3</xdr:row>
      <xdr:rowOff>25400</xdr:rowOff>
    </xdr:from>
    <xdr:to>
      <xdr:col>14</xdr:col>
      <xdr:colOff>787400</xdr:colOff>
      <xdr:row>4</xdr:row>
      <xdr:rowOff>38100</xdr:rowOff>
    </xdr:to>
    <xdr:graphicFrame macro="">
      <xdr:nvGraphicFramePr>
        <xdr:cNvPr id="2" name="Diagram 1"/>
        <xdr:cNvGraphicFramePr/>
      </xdr:nvGraphicFramePr>
      <xdr:xfrm>
        <a:off x="0" y="0"/>
        <a:ext cx="0" cy="0"/>
      </xdr:xfrm>
      <a:graphic>
        <a:graphicData uri="http://schemas.openxmlformats.org/drawingml/2006/diagram">
          <a: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J102"/>
  <sheetViews>
    <sheetView topLeftCell="A74" zoomScale="125" workbookViewId="0">
      <selection activeCell="F106" sqref="F105:F106"/>
    </sheetView>
  </sheetViews>
  <sheetFormatPr baseColWidth="10" defaultRowHeight="15"/>
  <cols>
    <col min="1" max="16384" width="10.83203125" style="5"/>
  </cols>
  <sheetData>
    <row r="1" spans="1:9" ht="17">
      <c r="A1" s="319" t="s">
        <v>150</v>
      </c>
      <c r="B1" s="38" t="s">
        <v>104</v>
      </c>
    </row>
    <row r="2" spans="1:9">
      <c r="A2" s="319" t="s">
        <v>162</v>
      </c>
      <c r="B2" s="281" t="s">
        <v>94</v>
      </c>
    </row>
    <row r="3" spans="1:9">
      <c r="A3" s="320">
        <v>40640</v>
      </c>
    </row>
    <row r="4" spans="1:9">
      <c r="A4" s="319" t="s">
        <v>603</v>
      </c>
      <c r="B4" s="54" t="s">
        <v>537</v>
      </c>
    </row>
    <row r="5" spans="1:9">
      <c r="A5" s="319" t="s">
        <v>604</v>
      </c>
      <c r="B5" s="54" t="s">
        <v>611</v>
      </c>
    </row>
    <row r="6" spans="1:9">
      <c r="B6" s="54" t="s">
        <v>612</v>
      </c>
    </row>
    <row r="7" spans="1:9">
      <c r="B7" s="54" t="s">
        <v>606</v>
      </c>
      <c r="I7" s="239" t="s">
        <v>575</v>
      </c>
    </row>
    <row r="8" spans="1:9">
      <c r="B8" s="54" t="s">
        <v>555</v>
      </c>
      <c r="I8" s="5" t="s">
        <v>349</v>
      </c>
    </row>
    <row r="9" spans="1:9">
      <c r="B9" s="54" t="s">
        <v>543</v>
      </c>
    </row>
    <row r="10" spans="1:9">
      <c r="B10" s="54" t="s">
        <v>431</v>
      </c>
    </row>
    <row r="11" spans="1:9">
      <c r="B11" s="54" t="s">
        <v>629</v>
      </c>
    </row>
    <row r="12" spans="1:9">
      <c r="A12" s="54" t="s">
        <v>103</v>
      </c>
    </row>
    <row r="14" spans="1:9">
      <c r="A14" s="7" t="s">
        <v>534</v>
      </c>
    </row>
    <row r="15" spans="1:9">
      <c r="B15" s="5" t="s">
        <v>208</v>
      </c>
    </row>
    <row r="16" spans="1:9">
      <c r="B16" s="5" t="s">
        <v>137</v>
      </c>
    </row>
    <row r="17" spans="1:2">
      <c r="B17" s="5" t="s">
        <v>451</v>
      </c>
    </row>
    <row r="18" spans="1:2">
      <c r="A18" s="7" t="s">
        <v>3</v>
      </c>
      <c r="B18" s="7"/>
    </row>
    <row r="19" spans="1:2">
      <c r="A19" s="7"/>
      <c r="B19" s="244" t="s">
        <v>299</v>
      </c>
    </row>
    <row r="21" spans="1:2">
      <c r="A21" s="7" t="s">
        <v>93</v>
      </c>
    </row>
    <row r="22" spans="1:2">
      <c r="A22" s="5" t="s">
        <v>460</v>
      </c>
    </row>
    <row r="23" spans="1:2">
      <c r="A23" s="5" t="s">
        <v>381</v>
      </c>
    </row>
    <row r="24" spans="1:2">
      <c r="A24" s="5" t="s">
        <v>514</v>
      </c>
    </row>
    <row r="25" spans="1:2">
      <c r="B25" s="5" t="s">
        <v>395</v>
      </c>
    </row>
    <row r="27" spans="1:2">
      <c r="A27" s="7" t="s">
        <v>220</v>
      </c>
    </row>
    <row r="28" spans="1:2">
      <c r="B28" s="5" t="s">
        <v>613</v>
      </c>
    </row>
    <row r="29" spans="1:2">
      <c r="B29" s="5" t="s">
        <v>400</v>
      </c>
    </row>
    <row r="30" spans="1:2">
      <c r="A30" s="5" t="s">
        <v>573</v>
      </c>
    </row>
    <row r="31" spans="1:2">
      <c r="B31" s="5" t="s">
        <v>535</v>
      </c>
    </row>
    <row r="32" spans="1:2">
      <c r="A32" s="5" t="s">
        <v>582</v>
      </c>
    </row>
    <row r="33" spans="1:4">
      <c r="B33" s="5" t="s">
        <v>243</v>
      </c>
    </row>
    <row r="34" spans="1:4">
      <c r="A34" s="5" t="s">
        <v>668</v>
      </c>
    </row>
    <row r="35" spans="1:4">
      <c r="A35" s="5" t="s">
        <v>669</v>
      </c>
    </row>
    <row r="36" spans="1:4">
      <c r="A36" s="5" t="s">
        <v>158</v>
      </c>
    </row>
    <row r="37" spans="1:4">
      <c r="B37" s="5" t="s">
        <v>105</v>
      </c>
    </row>
    <row r="39" spans="1:4">
      <c r="A39" s="7" t="s">
        <v>98</v>
      </c>
    </row>
    <row r="40" spans="1:4">
      <c r="A40" s="5" t="s">
        <v>499</v>
      </c>
    </row>
    <row r="41" spans="1:4">
      <c r="A41" s="25" t="s">
        <v>0</v>
      </c>
      <c r="B41" s="6"/>
      <c r="C41" s="24"/>
    </row>
    <row r="42" spans="1:4">
      <c r="A42" s="25" t="s">
        <v>39</v>
      </c>
      <c r="B42" s="41"/>
      <c r="C42" s="42"/>
    </row>
    <row r="43" spans="1:4">
      <c r="A43" s="24"/>
      <c r="C43" s="37" t="s">
        <v>184</v>
      </c>
      <c r="D43" s="37" t="s">
        <v>123</v>
      </c>
    </row>
    <row r="44" spans="1:4">
      <c r="B44" s="36" t="s">
        <v>540</v>
      </c>
      <c r="C44" s="23">
        <v>40.1</v>
      </c>
      <c r="D44" s="26">
        <v>41.4</v>
      </c>
    </row>
    <row r="45" spans="1:4">
      <c r="B45" s="36" t="s">
        <v>538</v>
      </c>
      <c r="C45" s="23">
        <v>47.1</v>
      </c>
      <c r="D45" s="23">
        <v>47.5</v>
      </c>
    </row>
    <row r="46" spans="1:4">
      <c r="B46" s="36" t="s">
        <v>539</v>
      </c>
      <c r="C46" s="23">
        <v>52.3</v>
      </c>
      <c r="D46" s="23">
        <v>52.7</v>
      </c>
    </row>
    <row r="48" spans="1:4">
      <c r="A48" s="7" t="s">
        <v>159</v>
      </c>
    </row>
    <row r="49" spans="1:10">
      <c r="B49" s="5" t="s">
        <v>1</v>
      </c>
    </row>
    <row r="50" spans="1:10">
      <c r="B50" s="5" t="s">
        <v>241</v>
      </c>
    </row>
    <row r="51" spans="1:10">
      <c r="B51" s="5" t="s">
        <v>242</v>
      </c>
    </row>
    <row r="52" spans="1:10">
      <c r="B52" s="5" t="s">
        <v>64</v>
      </c>
    </row>
    <row r="54" spans="1:10">
      <c r="A54" s="7" t="s">
        <v>138</v>
      </c>
    </row>
    <row r="55" spans="1:10">
      <c r="A55" s="5" t="s">
        <v>253</v>
      </c>
    </row>
    <row r="56" spans="1:10">
      <c r="A56" s="5" t="s">
        <v>633</v>
      </c>
    </row>
    <row r="58" spans="1:10">
      <c r="D58" s="5" t="s">
        <v>211</v>
      </c>
    </row>
    <row r="59" spans="1:10">
      <c r="F59" s="5" t="s">
        <v>521</v>
      </c>
      <c r="H59" s="5" t="s">
        <v>521</v>
      </c>
      <c r="J59" s="12" t="s">
        <v>441</v>
      </c>
    </row>
    <row r="60" spans="1:10">
      <c r="D60" s="12" t="s">
        <v>442</v>
      </c>
      <c r="F60" s="5" t="s">
        <v>363</v>
      </c>
      <c r="H60" s="5" t="s">
        <v>194</v>
      </c>
      <c r="J60" s="12" t="s">
        <v>467</v>
      </c>
    </row>
    <row r="61" spans="1:10">
      <c r="C61" s="13" t="s">
        <v>512</v>
      </c>
      <c r="D61" s="13" t="s">
        <v>202</v>
      </c>
      <c r="E61" s="7"/>
      <c r="F61" s="7" t="s">
        <v>57</v>
      </c>
      <c r="G61" s="7"/>
      <c r="H61" s="7" t="s">
        <v>511</v>
      </c>
      <c r="I61" s="7"/>
      <c r="J61" s="13" t="s">
        <v>179</v>
      </c>
    </row>
    <row r="62" spans="1:10">
      <c r="C62" s="12" t="s">
        <v>192</v>
      </c>
      <c r="D62" s="11">
        <v>83.183852482928984</v>
      </c>
      <c r="E62" s="11"/>
      <c r="F62" s="11">
        <v>74.682598954443606</v>
      </c>
      <c r="G62" s="11"/>
      <c r="H62" s="11">
        <v>126.75130694548169</v>
      </c>
      <c r="J62" s="10">
        <v>3.3800771023151599</v>
      </c>
    </row>
    <row r="63" spans="1:10">
      <c r="C63" s="12" t="s">
        <v>444</v>
      </c>
      <c r="D63" s="11">
        <v>61.714970342775892</v>
      </c>
      <c r="E63" s="11"/>
      <c r="F63" s="11">
        <v>55.407801418439718</v>
      </c>
      <c r="G63" s="11"/>
      <c r="H63" s="11">
        <v>94.038120567375913</v>
      </c>
      <c r="J63" s="10">
        <v>2.5077145611702134</v>
      </c>
    </row>
    <row r="64" spans="1:10">
      <c r="C64" s="12" t="s">
        <v>443</v>
      </c>
      <c r="D64" s="11">
        <v>65.7127896605557</v>
      </c>
      <c r="E64" s="11"/>
      <c r="F64" s="11">
        <v>58.997050147492622</v>
      </c>
      <c r="G64" s="11"/>
      <c r="H64" s="11">
        <v>100.12979351032448</v>
      </c>
      <c r="J64" s="10">
        <v>2.6701612035398226</v>
      </c>
    </row>
    <row r="65" spans="1:10">
      <c r="C65" s="12" t="s">
        <v>177</v>
      </c>
      <c r="D65" s="11">
        <v>65.627609282725615</v>
      </c>
      <c r="E65" s="11"/>
      <c r="F65" s="11">
        <v>58.920575064812631</v>
      </c>
      <c r="G65" s="11"/>
      <c r="H65" s="11">
        <v>100</v>
      </c>
      <c r="J65" s="10">
        <v>2.6667000000000001</v>
      </c>
    </row>
    <row r="66" spans="1:10">
      <c r="C66" s="12" t="s">
        <v>284</v>
      </c>
      <c r="D66" s="11">
        <v>66.636660768556339</v>
      </c>
      <c r="E66" s="11"/>
      <c r="F66" s="11">
        <v>59.826503140891411</v>
      </c>
      <c r="G66" s="11"/>
      <c r="H66" s="11">
        <v>101.53754113072091</v>
      </c>
      <c r="J66" s="10">
        <v>2.7077016093329349</v>
      </c>
    </row>
    <row r="67" spans="1:10">
      <c r="C67" s="12" t="s">
        <v>178</v>
      </c>
      <c r="D67" s="11">
        <v>84.973434905890983</v>
      </c>
      <c r="E67" s="11"/>
      <c r="F67" s="11">
        <v>76.289288983826665</v>
      </c>
      <c r="G67" s="11"/>
      <c r="H67" s="11">
        <v>129.47818126335062</v>
      </c>
      <c r="J67" s="10">
        <v>3.4527946597497707</v>
      </c>
    </row>
    <row r="68" spans="1:10">
      <c r="C68" s="12" t="s">
        <v>285</v>
      </c>
      <c r="D68" s="11">
        <v>63.647530556938236</v>
      </c>
      <c r="E68" s="11"/>
      <c r="F68" s="11">
        <v>57.142857142857146</v>
      </c>
      <c r="G68" s="11"/>
      <c r="H68" s="11">
        <v>96.982857142857142</v>
      </c>
      <c r="J68" s="10">
        <v>2.5862418514285714</v>
      </c>
    </row>
    <row r="69" spans="1:10">
      <c r="C69" s="12" t="s">
        <v>286</v>
      </c>
      <c r="D69" s="11">
        <v>15.334009536969894</v>
      </c>
      <c r="E69" s="11"/>
      <c r="F69" s="11">
        <v>13.766898868360913</v>
      </c>
      <c r="G69" s="11"/>
      <c r="H69" s="11">
        <v>23.365180759382145</v>
      </c>
      <c r="J69" s="10">
        <v>0.62307927531044371</v>
      </c>
    </row>
    <row r="70" spans="1:10" ht="16" thickBot="1"/>
    <row r="71" spans="1:10" ht="16" thickBot="1">
      <c r="C71" s="12" t="s">
        <v>513</v>
      </c>
      <c r="D71" s="15">
        <v>111.38317847464192</v>
      </c>
      <c r="J71" s="14">
        <v>4.4400000000000004</v>
      </c>
    </row>
    <row r="73" spans="1:10">
      <c r="A73" s="5" t="s">
        <v>587</v>
      </c>
    </row>
    <row r="74" spans="1:10">
      <c r="A74" s="5" t="s">
        <v>370</v>
      </c>
    </row>
    <row r="75" spans="1:10">
      <c r="A75" s="5" t="s">
        <v>295</v>
      </c>
    </row>
    <row r="76" spans="1:10">
      <c r="A76" s="5" t="s">
        <v>278</v>
      </c>
    </row>
    <row r="78" spans="1:10">
      <c r="A78" s="5" t="s">
        <v>259</v>
      </c>
    </row>
    <row r="79" spans="1:10">
      <c r="A79" s="5" t="s">
        <v>691</v>
      </c>
    </row>
    <row r="80" spans="1:10">
      <c r="A80" s="5" t="s">
        <v>292</v>
      </c>
    </row>
    <row r="82" spans="1:1">
      <c r="A82" s="7" t="s">
        <v>281</v>
      </c>
    </row>
    <row r="83" spans="1:1">
      <c r="A83" s="5" t="s">
        <v>283</v>
      </c>
    </row>
    <row r="84" spans="1:1">
      <c r="A84" s="5" t="s">
        <v>583</v>
      </c>
    </row>
    <row r="85" spans="1:1">
      <c r="A85" s="5" t="s">
        <v>238</v>
      </c>
    </row>
    <row r="86" spans="1:1">
      <c r="A86" s="5" t="s">
        <v>529</v>
      </c>
    </row>
    <row r="87" spans="1:1">
      <c r="A87" s="5" t="s">
        <v>484</v>
      </c>
    </row>
    <row r="88" spans="1:1">
      <c r="A88" s="5" t="s">
        <v>494</v>
      </c>
    </row>
    <row r="89" spans="1:1">
      <c r="A89" s="5" t="s">
        <v>200</v>
      </c>
    </row>
    <row r="91" spans="1:1">
      <c r="A91" s="7" t="s">
        <v>206</v>
      </c>
    </row>
    <row r="92" spans="1:1">
      <c r="A92" s="5" t="s">
        <v>553</v>
      </c>
    </row>
    <row r="93" spans="1:1">
      <c r="A93" s="5" t="s">
        <v>435</v>
      </c>
    </row>
    <row r="94" spans="1:1">
      <c r="A94" s="5" t="s">
        <v>483</v>
      </c>
    </row>
    <row r="95" spans="1:1">
      <c r="A95" s="5" t="s">
        <v>597</v>
      </c>
    </row>
    <row r="96" spans="1:1">
      <c r="A96" s="5" t="s">
        <v>730</v>
      </c>
    </row>
    <row r="97" spans="1:2">
      <c r="A97" s="5" t="s">
        <v>731</v>
      </c>
    </row>
    <row r="98" spans="1:2">
      <c r="A98" s="5" t="s">
        <v>641</v>
      </c>
    </row>
    <row r="99" spans="1:2">
      <c r="A99" s="5" t="s">
        <v>642</v>
      </c>
    </row>
    <row r="100" spans="1:2">
      <c r="B100" s="5" t="s">
        <v>43</v>
      </c>
    </row>
    <row r="101" spans="1:2">
      <c r="A101" s="5" t="s">
        <v>44</v>
      </c>
    </row>
    <row r="102" spans="1:2">
      <c r="A102" s="5" t="s">
        <v>45</v>
      </c>
    </row>
  </sheetData>
  <phoneticPr fontId="20"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O71"/>
  <sheetViews>
    <sheetView zoomScale="125" workbookViewId="0">
      <selection activeCell="D29" sqref="D29"/>
    </sheetView>
  </sheetViews>
  <sheetFormatPr baseColWidth="10" defaultRowHeight="15"/>
  <cols>
    <col min="1" max="3" width="10.83203125" style="5"/>
    <col min="4" max="4" width="19.1640625" style="5" customWidth="1"/>
    <col min="5" max="5" width="10.83203125" style="5"/>
    <col min="6" max="6" width="12.83203125" style="5" customWidth="1"/>
    <col min="7" max="8" width="10.83203125" style="5"/>
    <col min="9" max="9" width="12.5" style="5" customWidth="1"/>
    <col min="10" max="11" width="10.83203125" style="5"/>
    <col min="12" max="12" width="16.33203125" style="5" customWidth="1"/>
    <col min="13" max="13" width="10.83203125" style="5"/>
    <col min="14" max="14" width="16" style="5" customWidth="1"/>
    <col min="15" max="16384" width="10.83203125" style="5"/>
  </cols>
  <sheetData>
    <row r="1" spans="1:8" ht="15" customHeight="1">
      <c r="C1" s="38" t="s">
        <v>673</v>
      </c>
    </row>
    <row r="2" spans="1:8" ht="15" customHeight="1">
      <c r="C2" s="5" t="s">
        <v>530</v>
      </c>
    </row>
    <row r="3" spans="1:8" ht="15" customHeight="1">
      <c r="C3" s="5" t="s">
        <v>630</v>
      </c>
    </row>
    <row r="4" spans="1:8" ht="15" customHeight="1">
      <c r="C4" s="5" t="s">
        <v>609</v>
      </c>
    </row>
    <row r="5" spans="1:8" ht="15" customHeight="1">
      <c r="C5" s="5" t="s">
        <v>428</v>
      </c>
    </row>
    <row r="6" spans="1:8" ht="15" customHeight="1"/>
    <row r="7" spans="1:8" ht="15" customHeight="1">
      <c r="B7" s="55"/>
    </row>
    <row r="8" spans="1:8" ht="15" customHeight="1">
      <c r="A8" s="47" t="s">
        <v>605</v>
      </c>
      <c r="B8" s="55"/>
    </row>
    <row r="9" spans="1:8" ht="15" customHeight="1">
      <c r="E9" s="12" t="s">
        <v>434</v>
      </c>
      <c r="F9" s="12" t="s">
        <v>570</v>
      </c>
      <c r="G9" s="12" t="s">
        <v>34</v>
      </c>
    </row>
    <row r="10" spans="1:8" ht="15" customHeight="1">
      <c r="B10" s="5" t="s">
        <v>102</v>
      </c>
      <c r="E10" s="12" t="s">
        <v>35</v>
      </c>
      <c r="F10" s="12" t="s">
        <v>36</v>
      </c>
      <c r="G10" s="12" t="s">
        <v>293</v>
      </c>
    </row>
    <row r="11" spans="1:8" ht="15" customHeight="1">
      <c r="B11" s="5" t="s">
        <v>387</v>
      </c>
      <c r="C11" s="5" t="s">
        <v>462</v>
      </c>
      <c r="E11" s="5">
        <v>26</v>
      </c>
      <c r="F11" s="5">
        <v>43</v>
      </c>
      <c r="G11" s="46">
        <v>1.6538461538461537</v>
      </c>
    </row>
    <row r="12" spans="1:8" ht="15" customHeight="1">
      <c r="B12" s="5" t="s">
        <v>466</v>
      </c>
      <c r="C12" s="5" t="s">
        <v>432</v>
      </c>
      <c r="E12" s="5">
        <v>242</v>
      </c>
      <c r="F12" s="5">
        <v>424</v>
      </c>
      <c r="G12" s="46">
        <v>1.7520661157024793</v>
      </c>
    </row>
    <row r="13" spans="1:8" ht="15" customHeight="1">
      <c r="B13" s="5" t="s">
        <v>191</v>
      </c>
      <c r="C13" s="5" t="s">
        <v>396</v>
      </c>
      <c r="E13" s="5">
        <v>180</v>
      </c>
      <c r="F13" s="5">
        <v>308</v>
      </c>
      <c r="G13" s="46">
        <v>1.711111111111111</v>
      </c>
    </row>
    <row r="14" spans="1:8" ht="15" customHeight="1">
      <c r="A14" s="55"/>
      <c r="B14" s="55" t="s">
        <v>180</v>
      </c>
      <c r="C14" s="55" t="s">
        <v>397</v>
      </c>
      <c r="D14" s="55"/>
      <c r="E14" s="5">
        <v>73</v>
      </c>
      <c r="F14" s="5">
        <v>102</v>
      </c>
      <c r="G14" s="46">
        <v>1.3972602739726028</v>
      </c>
    </row>
    <row r="15" spans="1:8" ht="15" customHeight="1">
      <c r="A15" s="55"/>
      <c r="B15" s="55" t="s">
        <v>350</v>
      </c>
      <c r="C15" s="55" t="s">
        <v>176</v>
      </c>
      <c r="D15" s="55"/>
      <c r="E15" s="5">
        <v>5</v>
      </c>
      <c r="F15" s="5">
        <v>11</v>
      </c>
      <c r="G15" s="46">
        <v>2.2000000000000002</v>
      </c>
      <c r="H15" s="5" t="s">
        <v>470</v>
      </c>
    </row>
    <row r="16" spans="1:8" ht="15" customHeight="1">
      <c r="B16" s="5" t="s">
        <v>519</v>
      </c>
      <c r="C16" s="5" t="s">
        <v>571</v>
      </c>
      <c r="E16" s="5">
        <v>46</v>
      </c>
      <c r="F16" s="5">
        <v>76</v>
      </c>
      <c r="G16" s="46">
        <v>1.6521739130434783</v>
      </c>
    </row>
    <row r="17" spans="1:15" ht="15" customHeight="1">
      <c r="B17" s="5" t="s">
        <v>165</v>
      </c>
      <c r="C17" s="5" t="s">
        <v>725</v>
      </c>
      <c r="E17" s="5">
        <v>3</v>
      </c>
      <c r="F17" s="5">
        <v>3</v>
      </c>
      <c r="G17" s="46">
        <v>1</v>
      </c>
      <c r="H17" s="5" t="s">
        <v>33</v>
      </c>
    </row>
    <row r="18" spans="1:15" ht="15" customHeight="1">
      <c r="D18" s="12" t="s">
        <v>60</v>
      </c>
      <c r="E18" s="5">
        <f>SUM(E11:E17)</f>
        <v>575</v>
      </c>
      <c r="F18" s="5">
        <f>SUM(F11:F17)</f>
        <v>967</v>
      </c>
      <c r="G18" s="46">
        <f>F18/E18</f>
        <v>1.6817391304347826</v>
      </c>
    </row>
    <row r="19" spans="1:15" ht="15" customHeight="1">
      <c r="D19" s="12"/>
      <c r="G19" s="46"/>
    </row>
    <row r="20" spans="1:15" ht="15" customHeight="1">
      <c r="A20" s="47" t="s">
        <v>566</v>
      </c>
      <c r="D20" s="12"/>
      <c r="G20" s="46"/>
    </row>
    <row r="21" spans="1:15" ht="15" customHeight="1">
      <c r="A21" s="5" t="s">
        <v>413</v>
      </c>
      <c r="B21" s="55"/>
    </row>
    <row r="22" spans="1:15" ht="15" customHeight="1">
      <c r="B22" s="55" t="s">
        <v>250</v>
      </c>
    </row>
    <row r="23" spans="1:15" ht="15" customHeight="1">
      <c r="B23" s="55"/>
    </row>
    <row r="24" spans="1:15" ht="15" customHeight="1">
      <c r="B24" s="55"/>
      <c r="L24" s="99" t="s">
        <v>426</v>
      </c>
      <c r="M24" s="12"/>
      <c r="N24" s="5" t="s">
        <v>245</v>
      </c>
    </row>
    <row r="25" spans="1:15" ht="15" customHeight="1">
      <c r="B25" s="55"/>
      <c r="E25" s="5" t="s">
        <v>234</v>
      </c>
      <c r="H25" s="5" t="s">
        <v>294</v>
      </c>
      <c r="L25" s="5" t="s">
        <v>427</v>
      </c>
      <c r="M25" s="5" t="s">
        <v>246</v>
      </c>
      <c r="N25" s="5" t="s">
        <v>427</v>
      </c>
      <c r="O25" s="5" t="s">
        <v>246</v>
      </c>
    </row>
    <row r="26" spans="1:15" ht="15" customHeight="1">
      <c r="E26" s="12" t="s">
        <v>417</v>
      </c>
      <c r="F26" s="12" t="s">
        <v>239</v>
      </c>
      <c r="G26" s="12" t="s">
        <v>240</v>
      </c>
      <c r="H26" s="5" t="s">
        <v>126</v>
      </c>
      <c r="I26" s="5" t="s">
        <v>127</v>
      </c>
      <c r="J26" s="5" t="s">
        <v>53</v>
      </c>
      <c r="K26" s="5" t="s">
        <v>54</v>
      </c>
      <c r="L26" s="12" t="s">
        <v>424</v>
      </c>
      <c r="M26" s="12" t="s">
        <v>429</v>
      </c>
      <c r="N26" s="12" t="s">
        <v>424</v>
      </c>
      <c r="O26" s="12" t="s">
        <v>429</v>
      </c>
    </row>
    <row r="27" spans="1:15" ht="15" customHeight="1">
      <c r="A27" s="55" t="s">
        <v>20</v>
      </c>
      <c r="E27" s="53">
        <v>3008</v>
      </c>
      <c r="F27" s="53">
        <f>0.05*3269</f>
        <v>163.45000000000002</v>
      </c>
      <c r="G27" s="53">
        <v>3171.45</v>
      </c>
      <c r="H27" s="53"/>
      <c r="I27" s="53">
        <f>0.95*3269</f>
        <v>3105.5499999999997</v>
      </c>
      <c r="J27" s="53">
        <v>1841</v>
      </c>
      <c r="K27" s="53">
        <v>1189</v>
      </c>
      <c r="L27" s="53">
        <f>SUM(G27:K27)</f>
        <v>9307</v>
      </c>
      <c r="M27" s="89">
        <f>L27-I27</f>
        <v>6201.4500000000007</v>
      </c>
      <c r="N27" s="46">
        <f>L27/G27</f>
        <v>2.9346198111274027</v>
      </c>
      <c r="O27" s="107">
        <f>M27/G27</f>
        <v>1.955398950007095</v>
      </c>
    </row>
    <row r="28" spans="1:15" ht="15" customHeight="1">
      <c r="A28" s="55" t="s">
        <v>128</v>
      </c>
      <c r="E28" s="53">
        <v>994</v>
      </c>
      <c r="F28" s="53"/>
      <c r="G28" s="53">
        <v>994</v>
      </c>
      <c r="H28" s="53"/>
      <c r="I28" s="53"/>
      <c r="J28" s="53"/>
      <c r="K28" s="53"/>
      <c r="L28" s="53">
        <f>G28</f>
        <v>994</v>
      </c>
      <c r="M28" s="89">
        <f>L28-I28</f>
        <v>994</v>
      </c>
      <c r="N28" s="46">
        <f>L28/G28</f>
        <v>1</v>
      </c>
      <c r="O28" s="107">
        <f>M28/G28</f>
        <v>1</v>
      </c>
    </row>
    <row r="29" spans="1:15" ht="15" customHeight="1">
      <c r="A29" s="55" t="s">
        <v>371</v>
      </c>
      <c r="E29" s="53"/>
      <c r="F29" s="53">
        <v>732</v>
      </c>
      <c r="G29" s="53">
        <v>732</v>
      </c>
      <c r="H29" s="53"/>
      <c r="I29" s="53"/>
      <c r="J29" s="53"/>
      <c r="K29" s="53"/>
      <c r="L29" s="53">
        <f>G29</f>
        <v>732</v>
      </c>
      <c r="M29" s="89">
        <f>L29-I29</f>
        <v>732</v>
      </c>
      <c r="N29" s="46">
        <f>L29/G29</f>
        <v>1</v>
      </c>
      <c r="O29" s="107">
        <f>M29/G29</f>
        <v>1</v>
      </c>
    </row>
    <row r="30" spans="1:15" ht="15" customHeight="1">
      <c r="A30" s="55" t="s">
        <v>195</v>
      </c>
      <c r="E30" s="53">
        <v>802</v>
      </c>
      <c r="F30" s="53"/>
      <c r="G30" s="53">
        <v>802</v>
      </c>
      <c r="H30" s="53"/>
      <c r="I30" s="53">
        <v>802</v>
      </c>
      <c r="J30" s="53">
        <v>452</v>
      </c>
      <c r="K30" s="53">
        <v>293</v>
      </c>
      <c r="L30" s="53">
        <f>SUM(G30:K30)</f>
        <v>2349</v>
      </c>
      <c r="M30" s="89">
        <f>L30-I30</f>
        <v>1547</v>
      </c>
      <c r="N30" s="46">
        <f>L30/G30</f>
        <v>2.9289276807980049</v>
      </c>
      <c r="O30" s="107">
        <f>M30/G30</f>
        <v>1.9289276807980049</v>
      </c>
    </row>
    <row r="31" spans="1:15" ht="15" customHeight="1">
      <c r="B31" s="55"/>
      <c r="D31" s="12" t="s">
        <v>256</v>
      </c>
      <c r="E31" s="53">
        <f>SUM(E27:E30)</f>
        <v>4804</v>
      </c>
      <c r="F31" s="53">
        <f t="shared" ref="F31:L31" si="0">SUM(F27:F30)</f>
        <v>895.45</v>
      </c>
      <c r="G31" s="53">
        <f t="shared" si="0"/>
        <v>5699.45</v>
      </c>
      <c r="H31" s="53">
        <f t="shared" si="0"/>
        <v>0</v>
      </c>
      <c r="I31" s="53">
        <f t="shared" si="0"/>
        <v>3907.5499999999997</v>
      </c>
      <c r="J31" s="53">
        <f t="shared" si="0"/>
        <v>2293</v>
      </c>
      <c r="K31" s="53">
        <f t="shared" si="0"/>
        <v>1482</v>
      </c>
      <c r="L31" s="53">
        <f t="shared" si="0"/>
        <v>13382</v>
      </c>
      <c r="M31" s="89">
        <f>L31-I31</f>
        <v>9474.4500000000007</v>
      </c>
      <c r="N31" s="60">
        <f>L31/G31</f>
        <v>2.3479458544245499</v>
      </c>
      <c r="O31" s="108">
        <f>M31/G31</f>
        <v>1.662344612199423</v>
      </c>
    </row>
    <row r="32" spans="1:15" ht="15" customHeight="1">
      <c r="B32" s="55"/>
      <c r="D32" s="12"/>
      <c r="E32" s="53"/>
      <c r="F32" s="53"/>
      <c r="G32" s="53"/>
      <c r="H32" s="53"/>
      <c r="I32" s="53"/>
      <c r="J32" s="53"/>
      <c r="K32" s="53"/>
      <c r="L32" s="53"/>
      <c r="M32" s="89"/>
      <c r="N32" s="46"/>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sheetData>
  <phoneticPr fontId="20"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CG76"/>
  <sheetViews>
    <sheetView topLeftCell="A8" workbookViewId="0">
      <pane xSplit="7080" ySplit="6300" topLeftCell="BW34" activePane="bottomRight"/>
      <selection activeCell="C21" sqref="C21:CF21"/>
      <selection pane="topRight" activeCell="CF21" sqref="CF21"/>
      <selection pane="bottomLeft" activeCell="A46" sqref="A46"/>
      <selection pane="bottomRight" activeCell="BX39" sqref="BX39:BY39"/>
    </sheetView>
  </sheetViews>
  <sheetFormatPr baseColWidth="10" defaultRowHeight="15"/>
  <cols>
    <col min="1" max="1" width="7.1640625" style="5" customWidth="1"/>
    <col min="2" max="5" width="10.83203125" style="5"/>
    <col min="6" max="6" width="12.83203125" style="5" customWidth="1"/>
    <col min="7" max="9" width="10.83203125" style="64"/>
    <col min="10" max="10" width="9.83203125" style="5" customWidth="1"/>
    <col min="11" max="11" width="3.83203125" style="5" customWidth="1"/>
    <col min="12" max="12" width="13.6640625" style="66" customWidth="1"/>
    <col min="13" max="13" width="14.1640625" style="66" customWidth="1"/>
    <col min="14" max="14" width="13.1640625" style="66" customWidth="1"/>
    <col min="15" max="15" width="4.83203125" style="5" customWidth="1"/>
    <col min="16" max="18" width="12.83203125" style="5" customWidth="1"/>
    <col min="19" max="19" width="11.33203125" style="5" customWidth="1"/>
    <col min="20" max="20" width="6.6640625" style="5" customWidth="1"/>
    <col min="21" max="21" width="12" style="5" customWidth="1"/>
    <col min="22" max="22" width="19.83203125" style="5" customWidth="1"/>
    <col min="23" max="26" width="12.83203125" style="187" customWidth="1"/>
    <col min="27" max="27" width="4.83203125" style="5" customWidth="1"/>
    <col min="28" max="29" width="12.1640625" style="71" customWidth="1"/>
    <col min="30" max="30" width="12.6640625" style="71" customWidth="1"/>
    <col min="31" max="31" width="10.83203125" style="5"/>
    <col min="32" max="32" width="6.6640625" style="55" customWidth="1"/>
    <col min="33" max="34" width="15.1640625" style="5" customWidth="1"/>
    <col min="35" max="35" width="13.6640625" style="5" customWidth="1"/>
    <col min="36" max="36" width="4.83203125" style="5" customWidth="1"/>
    <col min="37" max="38" width="12.5" style="5" customWidth="1"/>
    <col min="39" max="40" width="12.33203125" style="5" customWidth="1"/>
    <col min="41" max="41" width="8" style="5" customWidth="1"/>
    <col min="42" max="42" width="17.5" style="228" customWidth="1"/>
    <col min="43" max="43" width="13.1640625" style="228" customWidth="1"/>
    <col min="44" max="44" width="11.33203125" style="228" customWidth="1"/>
    <col min="45" max="45" width="11.33203125" style="240" customWidth="1"/>
    <col min="46" max="46" width="4.83203125" style="240" customWidth="1"/>
    <col min="47" max="47" width="10.5" style="82" customWidth="1"/>
    <col min="48" max="48" width="13.83203125" style="82" customWidth="1"/>
    <col min="49" max="49" width="11.5" style="82" customWidth="1"/>
    <col min="50" max="50" width="8.5" style="5" customWidth="1"/>
    <col min="51" max="51" width="13.1640625" style="114" customWidth="1"/>
    <col min="52" max="52" width="15.1640625" style="114" customWidth="1"/>
    <col min="53" max="53" width="11.83203125" style="114" customWidth="1"/>
    <col min="54" max="54" width="16" style="5" customWidth="1"/>
    <col min="55" max="55" width="5" style="5" customWidth="1"/>
    <col min="56" max="58" width="12.83203125" style="100" customWidth="1"/>
    <col min="59" max="59" width="11.83203125" style="122" customWidth="1"/>
    <col min="60" max="60" width="4.83203125" style="5" customWidth="1"/>
    <col min="61" max="61" width="9.33203125" style="327" customWidth="1"/>
    <col min="62" max="64" width="9.33203125" style="5" customWidth="1"/>
    <col min="65" max="65" width="4.83203125" style="5" customWidth="1"/>
    <col min="66" max="69" width="15.1640625" style="5" customWidth="1"/>
    <col min="70" max="70" width="4.83203125" style="55" customWidth="1"/>
    <col min="71" max="74" width="15.33203125" style="5" customWidth="1"/>
    <col min="75" max="75" width="6.83203125" style="5" customWidth="1"/>
    <col min="76" max="79" width="11" style="5" customWidth="1"/>
    <col min="80" max="80" width="4.83203125" style="5" customWidth="1"/>
    <col min="81" max="84" width="12.83203125" style="5" customWidth="1"/>
    <col min="85" max="16384" width="10.83203125" style="5"/>
  </cols>
  <sheetData>
    <row r="1" spans="1:84" ht="18">
      <c r="B1" s="137" t="s">
        <v>459</v>
      </c>
    </row>
    <row r="2" spans="1:84" ht="18">
      <c r="B2" s="137" t="s">
        <v>382</v>
      </c>
      <c r="BN2" s="54" t="s">
        <v>327</v>
      </c>
    </row>
    <row r="3" spans="1:84">
      <c r="B3" s="5" t="s">
        <v>515</v>
      </c>
      <c r="W3" s="309" t="s">
        <v>324</v>
      </c>
      <c r="X3" s="309"/>
      <c r="Y3" s="309"/>
      <c r="Z3" s="309"/>
      <c r="BN3" s="309">
        <f>BN20+BN34</f>
        <v>100102.84681366663</v>
      </c>
      <c r="BO3" s="309">
        <f>BO20+BO34</f>
        <v>44848.421338890679</v>
      </c>
      <c r="BP3" s="309">
        <f>BP20+BP34</f>
        <v>146600.01607406538</v>
      </c>
      <c r="BQ3" s="309">
        <f>BQ20+BQ34</f>
        <v>291551.28422662267</v>
      </c>
    </row>
    <row r="4" spans="1:84">
      <c r="B4" s="5" t="s">
        <v>223</v>
      </c>
      <c r="L4" s="312"/>
      <c r="M4" s="312"/>
      <c r="N4" s="312"/>
      <c r="W4" s="309">
        <f>W20+W34</f>
        <v>93273.477444976161</v>
      </c>
      <c r="X4" s="309">
        <f>X20+X34</f>
        <v>41619.39691112248</v>
      </c>
      <c r="Y4" s="309">
        <f>Y20+Y34</f>
        <v>128626.97929714639</v>
      </c>
      <c r="Z4" s="309">
        <f>Z20+Z34</f>
        <v>263519.85365324508</v>
      </c>
      <c r="BN4" s="5" t="s">
        <v>148</v>
      </c>
    </row>
    <row r="5" spans="1:84">
      <c r="B5" s="136"/>
      <c r="C5" s="5" t="s">
        <v>356</v>
      </c>
      <c r="L5" s="312"/>
      <c r="M5" s="312"/>
      <c r="N5" s="312"/>
      <c r="AO5" s="12"/>
      <c r="BN5" s="5" t="s">
        <v>335</v>
      </c>
    </row>
    <row r="6" spans="1:84">
      <c r="B6" s="79"/>
      <c r="C6" s="5" t="s">
        <v>336</v>
      </c>
      <c r="H6" s="48" t="s">
        <v>49</v>
      </c>
      <c r="AO6" s="95"/>
      <c r="BN6" s="5" t="s">
        <v>66</v>
      </c>
    </row>
    <row r="7" spans="1:84">
      <c r="B7" s="80"/>
      <c r="C7" s="5" t="s">
        <v>48</v>
      </c>
      <c r="H7" s="48" t="s">
        <v>49</v>
      </c>
      <c r="AO7" s="12"/>
      <c r="AY7" s="177" t="s">
        <v>189</v>
      </c>
      <c r="BN7" s="5" t="s">
        <v>67</v>
      </c>
    </row>
    <row r="8" spans="1:84">
      <c r="B8" s="81"/>
      <c r="C8" s="5" t="s">
        <v>273</v>
      </c>
      <c r="H8" s="48" t="s">
        <v>49</v>
      </c>
      <c r="W8" s="239" t="s">
        <v>351</v>
      </c>
      <c r="AG8" s="5" t="s">
        <v>99</v>
      </c>
      <c r="AO8" s="12"/>
      <c r="AY8" s="177" t="s">
        <v>454</v>
      </c>
    </row>
    <row r="9" spans="1:84">
      <c r="G9" s="239" t="s">
        <v>575</v>
      </c>
      <c r="H9" s="181"/>
      <c r="I9" s="239"/>
      <c r="L9" s="219"/>
      <c r="M9" s="219"/>
      <c r="N9" s="219"/>
      <c r="W9" s="239" t="s">
        <v>533</v>
      </c>
      <c r="AB9" s="71" t="s">
        <v>433</v>
      </c>
      <c r="AG9" s="5" t="s">
        <v>374</v>
      </c>
      <c r="AO9" s="12"/>
      <c r="AP9" s="240" t="s">
        <v>376</v>
      </c>
      <c r="AQ9" s="239"/>
      <c r="AR9" s="239"/>
      <c r="AU9" s="219"/>
      <c r="AV9" s="219"/>
      <c r="AW9" s="219"/>
      <c r="AY9" s="219"/>
      <c r="AZ9" s="219"/>
      <c r="BA9" s="219"/>
      <c r="BD9" s="239"/>
      <c r="BE9" s="239"/>
      <c r="BF9" s="239"/>
      <c r="BG9" s="221"/>
      <c r="BS9" s="59" t="s">
        <v>657</v>
      </c>
      <c r="BX9" s="59" t="s">
        <v>657</v>
      </c>
    </row>
    <row r="10" spans="1:84" ht="16" thickBot="1">
      <c r="G10" s="110" t="s">
        <v>297</v>
      </c>
      <c r="H10" s="75"/>
      <c r="I10" s="75"/>
      <c r="J10" s="76"/>
      <c r="K10" s="76"/>
      <c r="L10" s="77"/>
      <c r="M10" s="77"/>
      <c r="N10" s="77"/>
      <c r="O10" s="76"/>
      <c r="P10" s="76"/>
      <c r="Q10" s="76"/>
      <c r="R10" s="76"/>
      <c r="S10" s="76"/>
      <c r="W10" s="188" t="s">
        <v>68</v>
      </c>
      <c r="X10" s="189"/>
      <c r="Y10" s="189"/>
      <c r="Z10" s="189"/>
      <c r="AB10" s="111" t="s">
        <v>181</v>
      </c>
      <c r="AC10" s="78"/>
      <c r="AD10" s="78"/>
      <c r="AE10" s="79"/>
      <c r="AG10" s="79"/>
      <c r="AH10" s="79"/>
      <c r="AI10" s="79"/>
      <c r="AJ10" s="79"/>
      <c r="AK10" s="79"/>
      <c r="AL10" s="79"/>
      <c r="AM10" s="79"/>
      <c r="AN10" s="79"/>
      <c r="AO10" s="12"/>
      <c r="AP10" s="229" t="s">
        <v>124</v>
      </c>
      <c r="AQ10" s="229"/>
      <c r="AR10" s="229"/>
      <c r="AS10" s="229"/>
      <c r="AT10" s="229"/>
      <c r="AU10" s="83"/>
      <c r="AV10" s="83"/>
      <c r="AW10" s="83"/>
      <c r="AX10" s="80"/>
      <c r="AY10" s="115"/>
      <c r="AZ10" s="115"/>
      <c r="BA10" s="115"/>
      <c r="BB10" s="80"/>
      <c r="BC10" s="80"/>
      <c r="BD10" s="101"/>
      <c r="BE10" s="101"/>
      <c r="BF10" s="101" t="s">
        <v>235</v>
      </c>
      <c r="BG10" s="123"/>
      <c r="BI10" s="327" t="s">
        <v>312</v>
      </c>
      <c r="BN10" s="88" t="s">
        <v>554</v>
      </c>
      <c r="BO10" s="81"/>
      <c r="BP10" s="81"/>
      <c r="BQ10" s="81"/>
      <c r="BS10" s="81"/>
      <c r="BT10" s="81"/>
      <c r="BU10" s="88" t="s">
        <v>287</v>
      </c>
      <c r="BV10" s="81"/>
      <c r="BW10" s="81"/>
      <c r="BX10" s="81"/>
      <c r="BY10" s="81"/>
      <c r="BZ10" s="81"/>
      <c r="CA10" s="88" t="s">
        <v>287</v>
      </c>
      <c r="CB10" s="81"/>
      <c r="CC10" s="81"/>
      <c r="CD10" s="81"/>
      <c r="CE10" s="81"/>
      <c r="CF10" s="81"/>
    </row>
    <row r="11" spans="1:84" ht="16" thickBot="1">
      <c r="A11" s="12"/>
      <c r="G11" s="102" t="s">
        <v>471</v>
      </c>
      <c r="H11" s="103"/>
      <c r="I11" s="103"/>
      <c r="J11" s="73"/>
      <c r="L11" s="67" t="s">
        <v>469</v>
      </c>
      <c r="M11" s="68"/>
      <c r="N11" s="69"/>
      <c r="P11" s="116" t="s">
        <v>185</v>
      </c>
      <c r="Q11" s="117"/>
      <c r="R11" s="62"/>
      <c r="S11" s="118"/>
      <c r="W11" s="190" t="s">
        <v>237</v>
      </c>
      <c r="X11" s="191"/>
      <c r="Y11" s="191"/>
      <c r="Z11" s="192"/>
      <c r="AB11" s="102" t="s">
        <v>337</v>
      </c>
      <c r="AC11" s="103"/>
      <c r="AD11" s="103"/>
      <c r="AE11" s="73"/>
      <c r="AG11" s="72" t="s">
        <v>347</v>
      </c>
      <c r="AH11" s="32"/>
      <c r="AI11" s="33"/>
      <c r="AK11" s="102" t="s">
        <v>468</v>
      </c>
      <c r="AL11" s="103"/>
      <c r="AM11" s="62"/>
      <c r="AN11" s="73"/>
      <c r="AO11" s="12"/>
      <c r="AP11" s="230" t="s">
        <v>456</v>
      </c>
      <c r="AQ11" s="234"/>
      <c r="AR11" s="234"/>
      <c r="AS11" s="231"/>
      <c r="AT11" s="231"/>
      <c r="AU11" s="109" t="s">
        <v>76</v>
      </c>
      <c r="AV11" s="109"/>
      <c r="AW11" s="109"/>
      <c r="AY11" s="199" t="s">
        <v>591</v>
      </c>
      <c r="AZ11" s="117"/>
      <c r="BA11" s="117"/>
      <c r="BB11" s="118"/>
      <c r="BD11" s="205" t="s">
        <v>671</v>
      </c>
      <c r="BE11" s="103"/>
      <c r="BF11" s="103"/>
      <c r="BG11" s="124"/>
      <c r="BI11" s="327" t="s">
        <v>140</v>
      </c>
      <c r="BN11" s="61" t="s">
        <v>672</v>
      </c>
      <c r="BO11" s="62"/>
      <c r="BP11" s="62"/>
      <c r="BQ11" s="63"/>
      <c r="BR11" s="267"/>
      <c r="BS11" s="61" t="s">
        <v>552</v>
      </c>
      <c r="BT11" s="62"/>
      <c r="BU11" s="62"/>
      <c r="BV11" s="63"/>
      <c r="BX11" s="61" t="s">
        <v>393</v>
      </c>
      <c r="BY11" s="62"/>
      <c r="BZ11" s="62"/>
      <c r="CA11" s="63"/>
      <c r="CC11" s="61" t="s">
        <v>481</v>
      </c>
      <c r="CD11" s="62"/>
      <c r="CE11" s="62"/>
      <c r="CF11" s="63"/>
    </row>
    <row r="12" spans="1:84">
      <c r="A12" s="12" t="s">
        <v>390</v>
      </c>
      <c r="G12" s="43"/>
      <c r="H12" s="43"/>
      <c r="I12" s="43"/>
      <c r="J12" s="43"/>
      <c r="L12" s="227" t="s">
        <v>69</v>
      </c>
      <c r="M12" s="227"/>
      <c r="N12" s="227"/>
      <c r="P12" s="227"/>
      <c r="Q12" s="227"/>
      <c r="R12" s="87"/>
      <c r="S12" s="227"/>
      <c r="W12" s="43"/>
      <c r="X12" s="43"/>
      <c r="Y12" s="43"/>
      <c r="Z12" s="43"/>
      <c r="AB12" s="43"/>
      <c r="AC12" s="43"/>
      <c r="AD12" s="43"/>
      <c r="AE12" s="43"/>
      <c r="AG12" s="43"/>
      <c r="AH12" s="43"/>
      <c r="AI12" s="43"/>
      <c r="AK12" s="43"/>
      <c r="AL12" s="43"/>
      <c r="AM12" s="87"/>
      <c r="AN12" s="43"/>
      <c r="AO12" s="12"/>
      <c r="AP12" s="231"/>
      <c r="AQ12" s="231"/>
      <c r="AR12" s="231"/>
      <c r="AS12" s="231"/>
      <c r="AT12" s="231"/>
      <c r="AU12" s="227"/>
      <c r="AV12" s="227"/>
      <c r="AW12" s="227"/>
      <c r="AY12" s="227"/>
      <c r="AZ12" s="227"/>
      <c r="BA12" s="227"/>
      <c r="BB12" s="227"/>
      <c r="BD12" s="43"/>
      <c r="BE12" s="43"/>
      <c r="BF12" s="43"/>
      <c r="BG12" s="162"/>
      <c r="BN12" s="87"/>
      <c r="BO12" s="87"/>
      <c r="BP12" s="87"/>
      <c r="BQ12" s="87"/>
      <c r="BR12" s="267"/>
      <c r="BS12" s="87"/>
      <c r="BT12" s="87"/>
      <c r="BU12" s="87"/>
      <c r="BV12" s="87"/>
      <c r="BX12" s="87"/>
      <c r="BY12" s="87"/>
      <c r="BZ12" s="87"/>
      <c r="CA12" s="87"/>
      <c r="CC12" s="87"/>
      <c r="CD12" s="87"/>
      <c r="CE12" s="87"/>
      <c r="CF12" s="87"/>
    </row>
    <row r="13" spans="1:84">
      <c r="A13" s="12" t="s">
        <v>391</v>
      </c>
      <c r="B13" s="26" t="s">
        <v>634</v>
      </c>
      <c r="C13" s="5" t="s">
        <v>422</v>
      </c>
      <c r="G13" s="65" t="s">
        <v>346</v>
      </c>
      <c r="H13" s="65" t="s">
        <v>291</v>
      </c>
      <c r="I13" s="65"/>
      <c r="J13" s="12" t="s">
        <v>274</v>
      </c>
      <c r="L13" s="70" t="s">
        <v>346</v>
      </c>
      <c r="M13" s="70" t="s">
        <v>291</v>
      </c>
      <c r="N13" s="70"/>
      <c r="P13" s="84" t="s">
        <v>346</v>
      </c>
      <c r="Q13" s="84" t="s">
        <v>291</v>
      </c>
      <c r="R13" s="84"/>
      <c r="S13" s="12" t="s">
        <v>274</v>
      </c>
      <c r="W13" s="193" t="s">
        <v>346</v>
      </c>
      <c r="X13" s="193" t="s">
        <v>291</v>
      </c>
      <c r="Y13" s="193"/>
      <c r="Z13" s="193" t="s">
        <v>274</v>
      </c>
      <c r="AB13" s="74" t="s">
        <v>346</v>
      </c>
      <c r="AC13" s="74" t="s">
        <v>291</v>
      </c>
      <c r="AD13" s="74"/>
      <c r="AE13" s="12" t="s">
        <v>274</v>
      </c>
      <c r="AG13" s="49" t="s">
        <v>346</v>
      </c>
      <c r="AH13" s="49" t="s">
        <v>291</v>
      </c>
      <c r="AI13" s="49"/>
      <c r="AK13" s="74" t="s">
        <v>346</v>
      </c>
      <c r="AL13" s="74" t="s">
        <v>291</v>
      </c>
      <c r="AM13" s="74"/>
      <c r="AN13" s="104" t="s">
        <v>495</v>
      </c>
      <c r="AO13" s="12"/>
      <c r="AP13" s="235" t="s">
        <v>6</v>
      </c>
      <c r="AQ13" s="236" t="s">
        <v>675</v>
      </c>
      <c r="AR13" s="236" t="s">
        <v>134</v>
      </c>
      <c r="AS13" s="238" t="s">
        <v>131</v>
      </c>
      <c r="AT13" s="216"/>
      <c r="AU13" s="235" t="s">
        <v>38</v>
      </c>
      <c r="AV13" s="236" t="s">
        <v>675</v>
      </c>
      <c r="AW13" s="238" t="s">
        <v>134</v>
      </c>
      <c r="AY13" s="119" t="s">
        <v>346</v>
      </c>
      <c r="AZ13" s="119" t="s">
        <v>291</v>
      </c>
      <c r="BA13" s="119"/>
      <c r="BB13" s="12" t="s">
        <v>418</v>
      </c>
      <c r="BD13" s="104" t="s">
        <v>346</v>
      </c>
      <c r="BE13" s="104" t="s">
        <v>291</v>
      </c>
      <c r="BF13" s="104"/>
      <c r="BG13" s="125" t="s">
        <v>418</v>
      </c>
      <c r="BI13" s="328" t="s">
        <v>346</v>
      </c>
      <c r="BJ13" s="318" t="s">
        <v>291</v>
      </c>
      <c r="BK13" s="318"/>
      <c r="BL13" s="12" t="s">
        <v>274</v>
      </c>
      <c r="BN13" s="49" t="s">
        <v>346</v>
      </c>
      <c r="BO13" s="49" t="s">
        <v>291</v>
      </c>
      <c r="BP13" s="49"/>
      <c r="BQ13" s="74" t="s">
        <v>418</v>
      </c>
      <c r="BS13" s="49" t="s">
        <v>346</v>
      </c>
      <c r="BT13" s="49" t="s">
        <v>291</v>
      </c>
      <c r="BU13" s="49"/>
      <c r="BV13" s="74" t="s">
        <v>418</v>
      </c>
      <c r="BX13" s="166" t="s">
        <v>346</v>
      </c>
      <c r="BY13" s="166" t="s">
        <v>291</v>
      </c>
      <c r="BZ13" s="166"/>
      <c r="CA13" s="166" t="s">
        <v>418</v>
      </c>
      <c r="CC13" s="104" t="s">
        <v>346</v>
      </c>
      <c r="CD13" s="104" t="s">
        <v>291</v>
      </c>
      <c r="CE13" s="104"/>
      <c r="CF13" s="104" t="s">
        <v>418</v>
      </c>
    </row>
    <row r="14" spans="1:84">
      <c r="A14" s="12" t="s">
        <v>364</v>
      </c>
      <c r="B14" s="26" t="s">
        <v>228</v>
      </c>
      <c r="C14" s="5" t="s">
        <v>584</v>
      </c>
      <c r="D14" s="5" t="s">
        <v>9</v>
      </c>
      <c r="G14" s="65" t="s">
        <v>263</v>
      </c>
      <c r="H14" s="65" t="s">
        <v>414</v>
      </c>
      <c r="I14" s="65" t="s">
        <v>316</v>
      </c>
      <c r="J14" s="12" t="s">
        <v>419</v>
      </c>
      <c r="L14" s="70" t="s">
        <v>263</v>
      </c>
      <c r="M14" s="70" t="s">
        <v>414</v>
      </c>
      <c r="N14" s="70" t="s">
        <v>316</v>
      </c>
      <c r="P14" s="84" t="s">
        <v>263</v>
      </c>
      <c r="Q14" s="84" t="s">
        <v>414</v>
      </c>
      <c r="R14" s="84" t="s">
        <v>316</v>
      </c>
      <c r="S14" s="12" t="s">
        <v>419</v>
      </c>
      <c r="W14" s="193" t="s">
        <v>263</v>
      </c>
      <c r="X14" s="193" t="s">
        <v>414</v>
      </c>
      <c r="Y14" s="193" t="s">
        <v>316</v>
      </c>
      <c r="Z14" s="193" t="s">
        <v>419</v>
      </c>
      <c r="AB14" s="74" t="s">
        <v>263</v>
      </c>
      <c r="AC14" s="74" t="s">
        <v>414</v>
      </c>
      <c r="AD14" s="74" t="s">
        <v>316</v>
      </c>
      <c r="AE14" s="12" t="s">
        <v>419</v>
      </c>
      <c r="AG14" s="49" t="s">
        <v>263</v>
      </c>
      <c r="AH14" s="49" t="s">
        <v>414</v>
      </c>
      <c r="AI14" s="49" t="s">
        <v>316</v>
      </c>
      <c r="AK14" s="74" t="s">
        <v>263</v>
      </c>
      <c r="AL14" s="74" t="s">
        <v>414</v>
      </c>
      <c r="AM14" s="74" t="s">
        <v>316</v>
      </c>
      <c r="AN14" s="104" t="s">
        <v>419</v>
      </c>
      <c r="AO14" s="12"/>
      <c r="AP14" s="228" t="s">
        <v>125</v>
      </c>
      <c r="AS14" s="231"/>
      <c r="AT14" s="231"/>
      <c r="AU14" s="237" t="s">
        <v>52</v>
      </c>
      <c r="AV14" s="153"/>
      <c r="AW14" s="84"/>
      <c r="AY14" s="119" t="s">
        <v>263</v>
      </c>
      <c r="AZ14" s="119" t="s">
        <v>414</v>
      </c>
      <c r="BA14" s="119" t="s">
        <v>316</v>
      </c>
      <c r="BB14" s="12" t="s">
        <v>419</v>
      </c>
      <c r="BD14" s="104" t="s">
        <v>263</v>
      </c>
      <c r="BE14" s="104" t="s">
        <v>414</v>
      </c>
      <c r="BF14" s="104" t="s">
        <v>316</v>
      </c>
      <c r="BG14" s="125" t="s">
        <v>419</v>
      </c>
      <c r="BI14" s="328" t="s">
        <v>263</v>
      </c>
      <c r="BJ14" s="318" t="s">
        <v>414</v>
      </c>
      <c r="BK14" s="318" t="s">
        <v>344</v>
      </c>
      <c r="BL14" s="12" t="s">
        <v>419</v>
      </c>
      <c r="BN14" s="49" t="s">
        <v>263</v>
      </c>
      <c r="BO14" s="49" t="s">
        <v>414</v>
      </c>
      <c r="BP14" s="49" t="s">
        <v>316</v>
      </c>
      <c r="BQ14" s="74" t="s">
        <v>419</v>
      </c>
      <c r="BS14" s="49" t="s">
        <v>263</v>
      </c>
      <c r="BT14" s="49" t="s">
        <v>414</v>
      </c>
      <c r="BU14" s="49" t="s">
        <v>316</v>
      </c>
      <c r="BV14" s="74" t="s">
        <v>419</v>
      </c>
      <c r="BX14" s="166" t="s">
        <v>263</v>
      </c>
      <c r="BY14" s="166" t="s">
        <v>414</v>
      </c>
      <c r="BZ14" s="166" t="s">
        <v>316</v>
      </c>
      <c r="CA14" s="166" t="s">
        <v>419</v>
      </c>
      <c r="CC14" s="104" t="s">
        <v>263</v>
      </c>
      <c r="CD14" s="104" t="s">
        <v>414</v>
      </c>
      <c r="CE14" s="104" t="s">
        <v>316</v>
      </c>
      <c r="CF14" s="104" t="s">
        <v>419</v>
      </c>
    </row>
    <row r="15" spans="1:84">
      <c r="A15" s="5">
        <v>1</v>
      </c>
      <c r="B15" s="17" t="s">
        <v>182</v>
      </c>
      <c r="C15" s="42" t="s">
        <v>183</v>
      </c>
      <c r="D15" s="42" t="s">
        <v>252</v>
      </c>
      <c r="G15" s="90">
        <f>SUM(G16:G26)</f>
        <v>2036.7271116484985</v>
      </c>
      <c r="H15" s="90">
        <f>SUM(H16:H26)</f>
        <v>9385.3938245611353</v>
      </c>
      <c r="I15" s="90">
        <f>SUM(I16:I26)</f>
        <v>3696.0366600576413</v>
      </c>
      <c r="J15" s="316">
        <f>G15+H15+I15</f>
        <v>15118.157596267276</v>
      </c>
      <c r="K15" s="133"/>
      <c r="L15" s="91">
        <f>P15/G15</f>
        <v>212.70271745163438</v>
      </c>
      <c r="M15" s="91">
        <f>Q15/H15</f>
        <v>438.37014227341558</v>
      </c>
      <c r="N15" s="91">
        <f>R15/I15</f>
        <v>962.85281739352433</v>
      </c>
      <c r="O15" s="55"/>
      <c r="P15" s="134">
        <f>SUM(P16:P26)</f>
        <v>433217.39135505399</v>
      </c>
      <c r="Q15" s="134">
        <f>SUM(Q16:Q26)</f>
        <v>4114276.4261649009</v>
      </c>
      <c r="R15" s="134">
        <f>SUM(R16:R26)</f>
        <v>3558739.3113262518</v>
      </c>
      <c r="S15" s="134">
        <f t="shared" ref="S15:S26" si="0">P15+Q15+R15</f>
        <v>8106233.1288462076</v>
      </c>
      <c r="T15" s="17" t="s">
        <v>155</v>
      </c>
      <c r="U15" s="42" t="s">
        <v>156</v>
      </c>
      <c r="V15" s="42" t="s">
        <v>354</v>
      </c>
      <c r="W15" s="194">
        <v>3437.1615697741563</v>
      </c>
      <c r="X15" s="194">
        <f>SUM(X16:X26)</f>
        <v>13795.452725362811</v>
      </c>
      <c r="Y15" s="194">
        <f>SUM(Y16:Y25)</f>
        <v>6445.6587433078648</v>
      </c>
      <c r="Z15" s="194">
        <f>W15+X15+Y15</f>
        <v>23678.273038444833</v>
      </c>
      <c r="AA15" s="55"/>
      <c r="AB15" s="90">
        <f>SUM(AB16:AB26)</f>
        <v>1400.4344581256578</v>
      </c>
      <c r="AC15" s="133">
        <f>SUM(AC16:AC26)</f>
        <v>4410.0589008016741</v>
      </c>
      <c r="AD15" s="133">
        <f>SUM(AD16:AD25)</f>
        <v>2749.622083250224</v>
      </c>
      <c r="AE15" s="133">
        <f>AB15+AC15+AD15</f>
        <v>8560.1154421775555</v>
      </c>
      <c r="AG15" s="92">
        <f>AK15/AB15</f>
        <v>147.87979041622401</v>
      </c>
      <c r="AH15" s="92">
        <f>AL15/AC15</f>
        <v>262.71024511206502</v>
      </c>
      <c r="AI15" s="92">
        <f>AM15/AD15</f>
        <v>188.74983954643406</v>
      </c>
      <c r="AJ15" s="55"/>
      <c r="AK15" s="127">
        <f>SUM(AK17:AK22)+AK26</f>
        <v>207095.95415928052</v>
      </c>
      <c r="AL15" s="127">
        <f>SUM(AL17:AL22)+AL26</f>
        <v>1158567.6547882517</v>
      </c>
      <c r="AM15" s="127">
        <f>SUM(AM17:AM22)+AM26</f>
        <v>518990.72702681151</v>
      </c>
      <c r="AN15" s="129">
        <f>AK15+AL15+AM15</f>
        <v>1884654.3359743438</v>
      </c>
      <c r="AO15" s="90"/>
      <c r="AP15" s="232">
        <f>SUM(AB17:AB22)+AP26</f>
        <v>1400.4344581256578</v>
      </c>
      <c r="AQ15" s="232">
        <f>SUM(AC17:AC22)+AQ26</f>
        <v>4410.0589008016741</v>
      </c>
      <c r="AR15" s="232">
        <f>SUM(AD17:AD22)</f>
        <v>2749.622083250224</v>
      </c>
      <c r="AS15" s="232">
        <f>AP15+AQ15+AR15</f>
        <v>8560.1154421775555</v>
      </c>
      <c r="AT15" s="231"/>
      <c r="AY15" s="5"/>
      <c r="AZ15" s="5"/>
      <c r="BA15" s="5"/>
      <c r="BD15" s="121">
        <f>SUM(BD16:BD26)</f>
        <v>207095.95415928055</v>
      </c>
      <c r="BE15" s="121">
        <f>SUM(BE16:BE26)</f>
        <v>1158567.654788252</v>
      </c>
      <c r="BF15" s="121">
        <f>SUM(BF16:BF26)</f>
        <v>518990.72702681145</v>
      </c>
      <c r="BG15" s="122">
        <f>BD15+BE15+BF15</f>
        <v>1884654.3359743441</v>
      </c>
      <c r="BH15" s="42"/>
      <c r="BI15" s="329">
        <f>(AP15-AB15)/G15</f>
        <v>0</v>
      </c>
      <c r="BJ15" s="329">
        <f>(AQ15-AC15)/H15</f>
        <v>0</v>
      </c>
      <c r="BK15" s="329">
        <f>(AR15-AD15)/I15</f>
        <v>0</v>
      </c>
      <c r="BL15" s="329">
        <f>(AS15-AE15)/J15</f>
        <v>0</v>
      </c>
      <c r="BM15" s="42"/>
      <c r="BN15" s="112">
        <f>SUM(BN16:BN26)</f>
        <v>3437.1615697741568</v>
      </c>
      <c r="BO15" s="228">
        <f>SUM(BO16:BO26)</f>
        <v>13795.452725362811</v>
      </c>
      <c r="BP15" s="228">
        <f>SUM(BP16:BP26)</f>
        <v>6445.6587433078648</v>
      </c>
      <c r="BQ15" s="112">
        <f t="shared" ref="BQ15:BQ26" si="1">BN15+BO15+BP15</f>
        <v>23678.273038444833</v>
      </c>
      <c r="BS15" s="142">
        <f>CC15/BN15</f>
        <v>186.29131407296839</v>
      </c>
      <c r="BT15" s="142">
        <f>CD15/BO15</f>
        <v>382.2160958341787</v>
      </c>
      <c r="BU15" s="142">
        <f>CE15/BP15</f>
        <v>632.63200872784682</v>
      </c>
      <c r="BV15" s="142">
        <f>CF15/BQ15</f>
        <v>421.94324934926692</v>
      </c>
      <c r="BX15" s="174">
        <f t="shared" ref="BX15:BX24" si="2">CC15/G15</f>
        <v>314.38347427705907</v>
      </c>
      <c r="BY15" s="174">
        <f t="shared" ref="BY15:BY24" si="3">CD15/H15</f>
        <v>561.81383323035084</v>
      </c>
      <c r="BZ15" s="174">
        <f t="shared" ref="BZ15:BZ24" si="4">CE15/I15</f>
        <v>1103.2709936079123</v>
      </c>
      <c r="CA15" s="174">
        <f t="shared" ref="CA15:CA24" si="5">CF15/J15</f>
        <v>660.85350686431104</v>
      </c>
      <c r="CC15" s="135">
        <f>SUM(CC16:CC26)</f>
        <v>640313.34551433451</v>
      </c>
      <c r="CD15" s="176">
        <f>SUM(CD16:CD26)</f>
        <v>5272844.0809531538</v>
      </c>
      <c r="CE15" s="176">
        <f>SUM(CE16:CE26)</f>
        <v>4077730.0383530636</v>
      </c>
      <c r="CF15" s="135">
        <f>CC15+CD15+CE15</f>
        <v>9990887.4648205526</v>
      </c>
    </row>
    <row r="16" spans="1:84">
      <c r="A16" s="5">
        <v>2</v>
      </c>
      <c r="B16" s="18" t="s">
        <v>386</v>
      </c>
      <c r="C16" s="9" t="s">
        <v>387</v>
      </c>
      <c r="D16" s="41" t="s">
        <v>226</v>
      </c>
      <c r="G16" s="90">
        <v>73.068323586118268</v>
      </c>
      <c r="H16" s="90">
        <v>418.37451309653005</v>
      </c>
      <c r="I16" s="90">
        <v>882.38165577173538</v>
      </c>
      <c r="J16" s="316">
        <f t="shared" ref="J16:J26" si="6">G16+H16+I16</f>
        <v>1373.8244924543837</v>
      </c>
      <c r="K16" s="133"/>
      <c r="L16" s="91">
        <v>2116.8633333333332</v>
      </c>
      <c r="M16" s="91">
        <v>1966.2857142857142</v>
      </c>
      <c r="N16" s="91">
        <v>3080.25</v>
      </c>
      <c r="O16" s="55"/>
      <c r="P16" s="134">
        <f t="shared" ref="P16:P24" si="7">G16*L16</f>
        <v>154675.65502758892</v>
      </c>
      <c r="Q16" s="134">
        <f t="shared" ref="Q16:Q24" si="8">H16*M16</f>
        <v>822643.82832294854</v>
      </c>
      <c r="R16" s="134">
        <f t="shared" ref="R16:R24" si="9">I16*N16</f>
        <v>2717956.0951908878</v>
      </c>
      <c r="S16" s="134">
        <f t="shared" si="0"/>
        <v>3695275.5785414251</v>
      </c>
      <c r="T16" s="18" t="s">
        <v>355</v>
      </c>
      <c r="U16" s="9" t="s">
        <v>345</v>
      </c>
      <c r="V16" s="41" t="s">
        <v>226</v>
      </c>
      <c r="W16" s="194">
        <v>73.068323586118268</v>
      </c>
      <c r="X16" s="194">
        <v>418.37451309653005</v>
      </c>
      <c r="Y16" s="194">
        <v>882.38165577173538</v>
      </c>
      <c r="Z16" s="194">
        <v>1373.8244924543837</v>
      </c>
      <c r="AA16" s="55"/>
      <c r="AB16" s="55"/>
      <c r="AC16" s="55"/>
      <c r="AD16" s="55"/>
      <c r="AE16" s="55"/>
      <c r="AG16" s="55"/>
      <c r="AH16" s="55"/>
      <c r="AI16" s="55"/>
      <c r="AJ16" s="55"/>
      <c r="AK16" s="127"/>
      <c r="AL16" s="127"/>
      <c r="AM16" s="127"/>
      <c r="AN16" s="129"/>
      <c r="AO16" s="90"/>
      <c r="AP16" s="228">
        <f t="shared" ref="AP16:AQ21" si="10">(AP$15-AP$26)*G16/SUM(G$16:G$21)</f>
        <v>91.27365339766807</v>
      </c>
      <c r="AQ16" s="240">
        <f t="shared" si="10"/>
        <v>195.49692947159321</v>
      </c>
      <c r="AR16" s="240">
        <f t="shared" ref="AR16:AR21" si="11">(AR$15)*I16/SUM(I$16:I$21)</f>
        <v>850.98126028872059</v>
      </c>
      <c r="AS16" s="231">
        <f t="shared" ref="AS16:AS46" si="12">AP16+AQ16+AR16</f>
        <v>1137.751843157982</v>
      </c>
      <c r="AU16" s="219">
        <f t="shared" ref="AU16:AW21" si="13">AP16/G16</f>
        <v>1.2491548857021881</v>
      </c>
      <c r="AV16" s="219">
        <f t="shared" si="13"/>
        <v>0.46727733968461627</v>
      </c>
      <c r="AW16" s="219">
        <f t="shared" si="13"/>
        <v>0.96441404320044277</v>
      </c>
      <c r="AY16" s="114">
        <v>147.87979041622401</v>
      </c>
      <c r="AZ16" s="177">
        <v>346.15642689572292</v>
      </c>
      <c r="BA16" s="177">
        <v>188.74983954643406</v>
      </c>
      <c r="BD16" s="121">
        <f t="shared" ref="BD16:BF21" si="14">AP16*AY16</f>
        <v>13497.528734970227</v>
      </c>
      <c r="BE16" s="221">
        <f t="shared" si="14"/>
        <v>67672.518574971851</v>
      </c>
      <c r="BF16" s="221">
        <f t="shared" si="14"/>
        <v>160622.57633651825</v>
      </c>
      <c r="BG16" s="122">
        <f t="shared" ref="BG16:BG21" si="15">BD16+BE16+BF16</f>
        <v>241792.62364646033</v>
      </c>
      <c r="BH16" s="9"/>
      <c r="BI16" s="329">
        <f t="shared" ref="BI16:BI46" si="16">(AP16-AB16)/G16</f>
        <v>1.2491548857021881</v>
      </c>
      <c r="BJ16" s="329">
        <f t="shared" ref="BJ16:BJ46" si="17">(AQ16-AC16)/H16</f>
        <v>0.46727733968461627</v>
      </c>
      <c r="BK16" s="329">
        <f t="shared" ref="BK16:BK22" si="18">(AR16-AD16)/I16</f>
        <v>0.96441404320044277</v>
      </c>
      <c r="BL16" s="329">
        <f t="shared" ref="BL16:BL46" si="19">(AS16-AE16)/J16</f>
        <v>0.82816389532068246</v>
      </c>
      <c r="BM16" s="9"/>
      <c r="BN16" s="112">
        <f t="shared" ref="BN16:BN25" si="20">G16+AP16</f>
        <v>164.34197698378634</v>
      </c>
      <c r="BO16" s="228">
        <f t="shared" ref="BO16:BO25" si="21">H16+AQ16</f>
        <v>613.87144256812326</v>
      </c>
      <c r="BP16" s="228">
        <f t="shared" ref="BP16:BP25" si="22">I16+AR16</f>
        <v>1733.362916060456</v>
      </c>
      <c r="BQ16" s="112">
        <f t="shared" si="1"/>
        <v>2511.5763356123657</v>
      </c>
      <c r="BS16" s="142">
        <f t="shared" ref="BS16:BS25" si="23">CC16/BN16</f>
        <v>1023.3124053214401</v>
      </c>
      <c r="BT16" s="142">
        <f t="shared" ref="BT16:BT26" si="24">CD16/BO16</f>
        <v>1450.3302893082848</v>
      </c>
      <c r="BU16" s="142">
        <f t="shared" ref="BU16:BU24" si="25">CE16/BP16</f>
        <v>1660.6901214142554</v>
      </c>
      <c r="BV16" s="142">
        <f t="shared" ref="BV16:BV26" si="26">CF16/BQ16</f>
        <v>1567.5686007879033</v>
      </c>
      <c r="BX16" s="174">
        <f t="shared" si="2"/>
        <v>2301.5880960283748</v>
      </c>
      <c r="BY16" s="174">
        <f t="shared" si="3"/>
        <v>2128.0367685602801</v>
      </c>
      <c r="BZ16" s="174">
        <f t="shared" si="4"/>
        <v>3262.2829959104115</v>
      </c>
      <c r="CA16" s="174">
        <f t="shared" si="5"/>
        <v>2865.7723193988049</v>
      </c>
      <c r="CC16" s="135">
        <f t="shared" ref="CC16:CC24" si="27">P16+BD16</f>
        <v>168173.18376255914</v>
      </c>
      <c r="CD16" s="221">
        <f t="shared" ref="CD16:CD24" si="28">Q16+BE16</f>
        <v>890316.34689792036</v>
      </c>
      <c r="CE16" s="221">
        <f t="shared" ref="CE16:CE24" si="29">R16+BF16</f>
        <v>2878578.6715274062</v>
      </c>
      <c r="CF16" s="135">
        <f>CC16+CD16+CE16</f>
        <v>3937068.2021878855</v>
      </c>
    </row>
    <row r="17" spans="1:84">
      <c r="A17" s="5">
        <v>3</v>
      </c>
      <c r="B17" s="18"/>
      <c r="C17" s="9" t="s">
        <v>388</v>
      </c>
      <c r="D17" s="41" t="s">
        <v>398</v>
      </c>
      <c r="G17" s="90">
        <v>405.1970671593831</v>
      </c>
      <c r="H17" s="90">
        <v>2386.8172746096379</v>
      </c>
      <c r="I17" s="90">
        <v>930.99772496026071</v>
      </c>
      <c r="J17" s="316">
        <f t="shared" si="6"/>
        <v>3723.0120667292817</v>
      </c>
      <c r="K17" s="133"/>
      <c r="L17" s="91">
        <v>229.96091895105462</v>
      </c>
      <c r="M17" s="91">
        <v>914.50019809548371</v>
      </c>
      <c r="N17" s="91">
        <v>325.24250368319986</v>
      </c>
      <c r="O17" s="55"/>
      <c r="P17" s="134">
        <f t="shared" si="7"/>
        <v>93179.489920243926</v>
      </c>
      <c r="Q17" s="134">
        <f t="shared" si="8"/>
        <v>2182744.8704482364</v>
      </c>
      <c r="R17" s="134">
        <f t="shared" si="9"/>
        <v>302800.0309894383</v>
      </c>
      <c r="S17" s="134">
        <f t="shared" si="0"/>
        <v>2578724.3913579187</v>
      </c>
      <c r="T17" s="18"/>
      <c r="U17" s="9" t="s">
        <v>247</v>
      </c>
      <c r="V17" s="41" t="s">
        <v>89</v>
      </c>
      <c r="W17" s="194">
        <v>667.41576279998208</v>
      </c>
      <c r="X17" s="194">
        <v>3080.2713886087968</v>
      </c>
      <c r="Y17" s="194">
        <v>1178.1666052207909</v>
      </c>
      <c r="Z17" s="194">
        <v>4925.8537566295699</v>
      </c>
      <c r="AA17" s="55"/>
      <c r="AB17" s="133">
        <f t="shared" ref="AB17:AE22" si="30">W17-G17</f>
        <v>262.21869564059898</v>
      </c>
      <c r="AC17" s="133">
        <f t="shared" si="30"/>
        <v>693.45411399915884</v>
      </c>
      <c r="AD17" s="133">
        <f t="shared" si="30"/>
        <v>247.16888026053016</v>
      </c>
      <c r="AE17" s="133">
        <f t="shared" si="30"/>
        <v>1202.8416899002882</v>
      </c>
      <c r="AG17" s="248">
        <f t="shared" ref="AG17:AI22" si="31">L17</f>
        <v>229.96091895105462</v>
      </c>
      <c r="AH17" s="248">
        <f t="shared" si="31"/>
        <v>914.50019809548371</v>
      </c>
      <c r="AI17" s="248">
        <f t="shared" si="31"/>
        <v>325.24250368319986</v>
      </c>
      <c r="AJ17" s="55"/>
      <c r="AK17" s="127">
        <f t="shared" ref="AK17:AM22" si="32">AB17*AG17</f>
        <v>60300.052215659045</v>
      </c>
      <c r="AL17" s="127">
        <f t="shared" si="32"/>
        <v>634163.92462235887</v>
      </c>
      <c r="AM17" s="127">
        <f t="shared" si="32"/>
        <v>80389.825448507865</v>
      </c>
      <c r="AN17" s="129">
        <f t="shared" ref="AN17:AN26" si="33">AK17+AL17+AM17</f>
        <v>774853.80228652584</v>
      </c>
      <c r="AO17" s="90"/>
      <c r="AP17" s="240">
        <f t="shared" si="10"/>
        <v>506.15389611434102</v>
      </c>
      <c r="AQ17" s="240">
        <f t="shared" si="10"/>
        <v>1115.3056263928777</v>
      </c>
      <c r="AR17" s="240">
        <f t="shared" si="11"/>
        <v>897.86728013933885</v>
      </c>
      <c r="AS17" s="231">
        <f t="shared" si="12"/>
        <v>2519.3268026465576</v>
      </c>
      <c r="AU17" s="219">
        <f t="shared" si="13"/>
        <v>1.2491548857021881</v>
      </c>
      <c r="AV17" s="219">
        <f t="shared" si="13"/>
        <v>0.46727733968461621</v>
      </c>
      <c r="AW17" s="219">
        <f t="shared" si="13"/>
        <v>0.96441404320044277</v>
      </c>
      <c r="AY17" s="219">
        <v>147.87979041622401</v>
      </c>
      <c r="AZ17" s="219">
        <v>346.15642689572292</v>
      </c>
      <c r="BA17" s="219">
        <v>188.74983954643406</v>
      </c>
      <c r="BD17" s="221">
        <f t="shared" si="14"/>
        <v>74849.932075743971</v>
      </c>
      <c r="BE17" s="221">
        <f t="shared" si="14"/>
        <v>386070.21052885463</v>
      </c>
      <c r="BF17" s="221">
        <f t="shared" si="14"/>
        <v>169472.30506029338</v>
      </c>
      <c r="BG17" s="122">
        <f t="shared" si="15"/>
        <v>630392.44766489195</v>
      </c>
      <c r="BH17" s="9"/>
      <c r="BI17" s="329">
        <f t="shared" si="16"/>
        <v>0.60201620456890137</v>
      </c>
      <c r="BJ17" s="329">
        <f t="shared" si="17"/>
        <v>0.17674227385618044</v>
      </c>
      <c r="BK17" s="329">
        <f t="shared" si="18"/>
        <v>0.69892587536299677</v>
      </c>
      <c r="BL17" s="329">
        <f t="shared" si="19"/>
        <v>0.35360753313454069</v>
      </c>
      <c r="BM17" s="9"/>
      <c r="BN17" s="240">
        <f t="shared" si="20"/>
        <v>911.35096327372412</v>
      </c>
      <c r="BO17" s="240">
        <f t="shared" si="21"/>
        <v>3502.1229010025154</v>
      </c>
      <c r="BP17" s="240">
        <f t="shared" si="22"/>
        <v>1828.8650050995996</v>
      </c>
      <c r="BQ17" s="112">
        <f t="shared" si="1"/>
        <v>6242.3388693758388</v>
      </c>
      <c r="BS17" s="142">
        <f t="shared" si="23"/>
        <v>184.37399944407616</v>
      </c>
      <c r="BT17" s="142">
        <f t="shared" si="24"/>
        <v>733.50226522368587</v>
      </c>
      <c r="BU17" s="142">
        <f t="shared" si="25"/>
        <v>258.23247464020005</v>
      </c>
      <c r="BV17" s="142">
        <f t="shared" si="26"/>
        <v>514.08885454238157</v>
      </c>
      <c r="BX17" s="174">
        <f t="shared" si="2"/>
        <v>414.68568164609638</v>
      </c>
      <c r="BY17" s="174">
        <f t="shared" si="3"/>
        <v>1076.2512523700495</v>
      </c>
      <c r="BZ17" s="174">
        <f t="shared" si="4"/>
        <v>507.27549959361124</v>
      </c>
      <c r="CA17" s="174">
        <f t="shared" si="5"/>
        <v>861.96788554651789</v>
      </c>
      <c r="CC17" s="221">
        <f t="shared" si="27"/>
        <v>168029.42199598788</v>
      </c>
      <c r="CD17" s="221">
        <f t="shared" si="28"/>
        <v>2568815.0809770911</v>
      </c>
      <c r="CE17" s="221">
        <f t="shared" si="29"/>
        <v>472272.3360497317</v>
      </c>
      <c r="CF17" s="135">
        <f t="shared" ref="CF17:CF26" si="34">CC17+CD17+CE17</f>
        <v>3209116.8390228106</v>
      </c>
    </row>
    <row r="18" spans="1:84">
      <c r="A18" s="5">
        <v>4</v>
      </c>
      <c r="B18" s="18" t="s">
        <v>315</v>
      </c>
      <c r="C18" s="9" t="s">
        <v>191</v>
      </c>
      <c r="D18" s="42" t="s">
        <v>58</v>
      </c>
      <c r="G18" s="90">
        <v>273</v>
      </c>
      <c r="H18" s="90">
        <v>1514</v>
      </c>
      <c r="I18" s="90">
        <v>299</v>
      </c>
      <c r="J18" s="316">
        <f t="shared" si="6"/>
        <v>2086</v>
      </c>
      <c r="K18" s="133"/>
      <c r="L18" s="91">
        <v>175.4366666666667</v>
      </c>
      <c r="M18" s="91">
        <v>213.27200000000002</v>
      </c>
      <c r="N18" s="91">
        <v>196.49</v>
      </c>
      <c r="O18" s="55"/>
      <c r="P18" s="134">
        <f t="shared" si="7"/>
        <v>47894.210000000006</v>
      </c>
      <c r="Q18" s="134">
        <f t="shared" si="8"/>
        <v>322893.80800000002</v>
      </c>
      <c r="R18" s="134">
        <f t="shared" si="9"/>
        <v>58750.51</v>
      </c>
      <c r="S18" s="134">
        <f t="shared" si="0"/>
        <v>429538.52800000005</v>
      </c>
      <c r="T18" s="18" t="s">
        <v>16</v>
      </c>
      <c r="U18" s="9" t="s">
        <v>17</v>
      </c>
      <c r="V18" s="42" t="s">
        <v>409</v>
      </c>
      <c r="W18" s="194">
        <v>449.66885994938718</v>
      </c>
      <c r="X18" s="194">
        <v>1938.4069781944418</v>
      </c>
      <c r="Y18" s="194">
        <v>378.38096218339638</v>
      </c>
      <c r="Z18" s="194">
        <v>2766.4568003272252</v>
      </c>
      <c r="AA18" s="55"/>
      <c r="AB18" s="133">
        <f t="shared" si="30"/>
        <v>176.66885994938718</v>
      </c>
      <c r="AC18" s="133">
        <f t="shared" si="30"/>
        <v>424.40697819444176</v>
      </c>
      <c r="AD18" s="133">
        <f t="shared" si="30"/>
        <v>79.380962183396377</v>
      </c>
      <c r="AE18" s="133">
        <f t="shared" si="30"/>
        <v>680.45680032722521</v>
      </c>
      <c r="AG18" s="248">
        <f t="shared" si="31"/>
        <v>175.4366666666667</v>
      </c>
      <c r="AH18" s="248">
        <f t="shared" si="31"/>
        <v>213.27200000000002</v>
      </c>
      <c r="AI18" s="248">
        <f t="shared" si="31"/>
        <v>196.49</v>
      </c>
      <c r="AJ18" s="55"/>
      <c r="AK18" s="127">
        <f t="shared" si="32"/>
        <v>30994.195893320662</v>
      </c>
      <c r="AL18" s="127">
        <f t="shared" si="32"/>
        <v>90514.125053484997</v>
      </c>
      <c r="AM18" s="127">
        <f t="shared" si="32"/>
        <v>15597.565259415554</v>
      </c>
      <c r="AN18" s="129">
        <f t="shared" si="33"/>
        <v>137105.88620622121</v>
      </c>
      <c r="AO18" s="90"/>
      <c r="AP18" s="240">
        <f t="shared" si="10"/>
        <v>341.01928379669738</v>
      </c>
      <c r="AQ18" s="240">
        <f t="shared" si="10"/>
        <v>707.45789228250908</v>
      </c>
      <c r="AR18" s="240">
        <f t="shared" si="11"/>
        <v>288.35979891693239</v>
      </c>
      <c r="AS18" s="231">
        <f t="shared" si="12"/>
        <v>1336.8369749961389</v>
      </c>
      <c r="AU18" s="219">
        <f t="shared" si="13"/>
        <v>1.2491548857021881</v>
      </c>
      <c r="AV18" s="219">
        <f t="shared" si="13"/>
        <v>0.46727733968461632</v>
      </c>
      <c r="AW18" s="219">
        <f t="shared" si="13"/>
        <v>0.96441404320044277</v>
      </c>
      <c r="AY18" s="219">
        <v>147.87979041622401</v>
      </c>
      <c r="AZ18" s="219">
        <v>346.15642689572292</v>
      </c>
      <c r="BA18" s="219">
        <v>188.74983954643406</v>
      </c>
      <c r="BD18" s="221">
        <f t="shared" si="14"/>
        <v>50429.860215746427</v>
      </c>
      <c r="BE18" s="221">
        <f t="shared" si="14"/>
        <v>244891.09617169257</v>
      </c>
      <c r="BF18" s="221">
        <f t="shared" si="14"/>
        <v>54427.865777212981</v>
      </c>
      <c r="BG18" s="122">
        <f t="shared" si="15"/>
        <v>349748.82216465194</v>
      </c>
      <c r="BH18" s="9"/>
      <c r="BI18" s="329">
        <f t="shared" si="16"/>
        <v>0.60201620456890181</v>
      </c>
      <c r="BJ18" s="329">
        <f t="shared" si="17"/>
        <v>0.18695568962223733</v>
      </c>
      <c r="BK18" s="329">
        <f t="shared" si="18"/>
        <v>0.69892587536299666</v>
      </c>
      <c r="BL18" s="329">
        <f t="shared" si="19"/>
        <v>0.31465971940024628</v>
      </c>
      <c r="BM18" s="9"/>
      <c r="BN18" s="240">
        <f t="shared" si="20"/>
        <v>614.01928379669744</v>
      </c>
      <c r="BO18" s="240">
        <f t="shared" si="21"/>
        <v>2221.457892282509</v>
      </c>
      <c r="BP18" s="240">
        <f t="shared" si="22"/>
        <v>587.35979891693239</v>
      </c>
      <c r="BQ18" s="112">
        <f t="shared" si="1"/>
        <v>3422.8369749961389</v>
      </c>
      <c r="BS18" s="142">
        <f t="shared" si="23"/>
        <v>160.13189293954107</v>
      </c>
      <c r="BT18" s="142">
        <f t="shared" si="24"/>
        <v>255.59111705165094</v>
      </c>
      <c r="BU18" s="142">
        <f t="shared" si="25"/>
        <v>192.690027451503</v>
      </c>
      <c r="BV18" s="142">
        <f t="shared" si="26"/>
        <v>227.67293793346118</v>
      </c>
      <c r="BX18" s="174">
        <f t="shared" si="2"/>
        <v>360.1614293617086</v>
      </c>
      <c r="BY18" s="174">
        <f t="shared" si="3"/>
        <v>375.02305427456577</v>
      </c>
      <c r="BZ18" s="174">
        <f t="shared" si="4"/>
        <v>378.52299591041134</v>
      </c>
      <c r="CA18" s="174">
        <f t="shared" si="5"/>
        <v>373.57974600414764</v>
      </c>
      <c r="CC18" s="221">
        <f t="shared" si="27"/>
        <v>98324.07021574644</v>
      </c>
      <c r="CD18" s="221">
        <f t="shared" si="28"/>
        <v>567784.90417169256</v>
      </c>
      <c r="CE18" s="221">
        <f t="shared" si="29"/>
        <v>113178.37577721299</v>
      </c>
      <c r="CF18" s="135">
        <f t="shared" si="34"/>
        <v>779287.35016465199</v>
      </c>
    </row>
    <row r="19" spans="1:84">
      <c r="A19" s="5">
        <v>5</v>
      </c>
      <c r="B19" s="18" t="s">
        <v>385</v>
      </c>
      <c r="C19" s="9" t="s">
        <v>180</v>
      </c>
      <c r="D19" s="42" t="s">
        <v>425</v>
      </c>
      <c r="G19" s="90">
        <v>197.82570688946015</v>
      </c>
      <c r="H19" s="90">
        <v>685.91208771434367</v>
      </c>
      <c r="I19" s="90">
        <v>216.02648296594066</v>
      </c>
      <c r="J19" s="316">
        <f t="shared" si="6"/>
        <v>1099.7642775697445</v>
      </c>
      <c r="K19" s="133"/>
      <c r="L19" s="91">
        <v>240.37777777777779</v>
      </c>
      <c r="M19" s="91">
        <v>304.6033333333333</v>
      </c>
      <c r="N19" s="91">
        <v>310</v>
      </c>
      <c r="O19" s="55"/>
      <c r="P19" s="134">
        <f t="shared" si="7"/>
        <v>47552.90380940646</v>
      </c>
      <c r="Q19" s="134">
        <f t="shared" si="8"/>
        <v>208931.10829141477</v>
      </c>
      <c r="R19" s="134">
        <f t="shared" si="9"/>
        <v>66968.209719441598</v>
      </c>
      <c r="S19" s="134">
        <f t="shared" si="0"/>
        <v>323452.22182026284</v>
      </c>
      <c r="T19" s="18" t="s">
        <v>325</v>
      </c>
      <c r="U19" s="9" t="s">
        <v>343</v>
      </c>
      <c r="V19" s="42" t="s">
        <v>425</v>
      </c>
      <c r="W19" s="194">
        <v>326.13345886439072</v>
      </c>
      <c r="X19" s="194">
        <v>882.49936485751607</v>
      </c>
      <c r="Y19" s="194">
        <v>273.37895813293551</v>
      </c>
      <c r="Z19" s="194">
        <v>1481.5985400232112</v>
      </c>
      <c r="AA19" s="55"/>
      <c r="AB19" s="133">
        <f t="shared" si="30"/>
        <v>128.30775197493057</v>
      </c>
      <c r="AC19" s="133">
        <f t="shared" si="30"/>
        <v>196.5872771431724</v>
      </c>
      <c r="AD19" s="133">
        <f t="shared" si="30"/>
        <v>57.35247516699485</v>
      </c>
      <c r="AE19" s="133">
        <f t="shared" si="30"/>
        <v>381.83426245346664</v>
      </c>
      <c r="AG19" s="248">
        <f t="shared" si="31"/>
        <v>240.37777777777779</v>
      </c>
      <c r="AH19" s="248">
        <f t="shared" si="31"/>
        <v>304.6033333333333</v>
      </c>
      <c r="AI19" s="248">
        <f t="shared" si="31"/>
        <v>310</v>
      </c>
      <c r="AJ19" s="55"/>
      <c r="AK19" s="127">
        <f t="shared" si="32"/>
        <v>30842.332291396091</v>
      </c>
      <c r="AL19" s="127">
        <f t="shared" si="32"/>
        <v>59881.13990873412</v>
      </c>
      <c r="AM19" s="127">
        <f t="shared" si="32"/>
        <v>17779.267301768403</v>
      </c>
      <c r="AN19" s="129">
        <f t="shared" si="33"/>
        <v>108502.73950189861</v>
      </c>
      <c r="AO19" s="96"/>
      <c r="AP19" s="240">
        <f t="shared" si="10"/>
        <v>247.11494827845817</v>
      </c>
      <c r="AQ19" s="240">
        <f t="shared" si="10"/>
        <v>320.51117560467964</v>
      </c>
      <c r="AR19" s="240">
        <f t="shared" si="11"/>
        <v>208.33897387555439</v>
      </c>
      <c r="AS19" s="231">
        <f t="shared" si="12"/>
        <v>775.9650977586922</v>
      </c>
      <c r="AU19" s="219">
        <f t="shared" si="13"/>
        <v>1.2491548857021881</v>
      </c>
      <c r="AV19" s="219">
        <f t="shared" si="13"/>
        <v>0.46727733968461621</v>
      </c>
      <c r="AW19" s="219">
        <f t="shared" si="13"/>
        <v>0.96441404320044266</v>
      </c>
      <c r="AY19" s="219">
        <v>147.87979041622401</v>
      </c>
      <c r="AZ19" s="219">
        <v>346.15642689572292</v>
      </c>
      <c r="BA19" s="219">
        <v>188.74983954643406</v>
      </c>
      <c r="BD19" s="221">
        <f t="shared" si="14"/>
        <v>36543.30676013443</v>
      </c>
      <c r="BE19" s="221">
        <f t="shared" si="14"/>
        <v>110947.00332746349</v>
      </c>
      <c r="BF19" s="221">
        <f t="shared" si="14"/>
        <v>39323.947890279611</v>
      </c>
      <c r="BG19" s="122">
        <f t="shared" si="15"/>
        <v>186814.25797787754</v>
      </c>
      <c r="BH19" s="9"/>
      <c r="BI19" s="329">
        <f t="shared" si="16"/>
        <v>0.60056500326276585</v>
      </c>
      <c r="BJ19" s="329">
        <f t="shared" si="17"/>
        <v>0.18067023556102838</v>
      </c>
      <c r="BK19" s="329">
        <f t="shared" si="18"/>
        <v>0.69892587536299655</v>
      </c>
      <c r="BL19" s="329">
        <f t="shared" si="19"/>
        <v>0.3583775572126916</v>
      </c>
      <c r="BM19" s="9"/>
      <c r="BN19" s="240">
        <f t="shared" si="20"/>
        <v>444.94065516791829</v>
      </c>
      <c r="BO19" s="240">
        <f t="shared" si="21"/>
        <v>1006.4232633190234</v>
      </c>
      <c r="BP19" s="240">
        <f t="shared" si="22"/>
        <v>424.36545684149507</v>
      </c>
      <c r="BQ19" s="112">
        <f t="shared" si="1"/>
        <v>1875.7293753284366</v>
      </c>
      <c r="BS19" s="142">
        <f t="shared" si="23"/>
        <v>189.00545408196831</v>
      </c>
      <c r="BT19" s="142">
        <f t="shared" si="24"/>
        <v>317.83656367796118</v>
      </c>
      <c r="BU19" s="142">
        <f t="shared" si="25"/>
        <v>250.47316150763524</v>
      </c>
      <c r="BV19" s="142">
        <f t="shared" si="26"/>
        <v>272.03630039050472</v>
      </c>
      <c r="BX19" s="174">
        <f t="shared" si="2"/>
        <v>425.10254047281961</v>
      </c>
      <c r="BY19" s="174">
        <f t="shared" si="3"/>
        <v>466.35438760789901</v>
      </c>
      <c r="BZ19" s="174">
        <f t="shared" si="4"/>
        <v>492.03299591041127</v>
      </c>
      <c r="CA19" s="174">
        <f t="shared" si="5"/>
        <v>463.97804530051252</v>
      </c>
      <c r="CC19" s="221">
        <f t="shared" si="27"/>
        <v>84096.210569540883</v>
      </c>
      <c r="CD19" s="221">
        <f t="shared" si="28"/>
        <v>319878.11161887826</v>
      </c>
      <c r="CE19" s="221">
        <f t="shared" si="29"/>
        <v>106292.15760972121</v>
      </c>
      <c r="CF19" s="135">
        <f t="shared" si="34"/>
        <v>510266.47979814035</v>
      </c>
    </row>
    <row r="20" spans="1:84">
      <c r="A20" s="5">
        <v>6</v>
      </c>
      <c r="B20" s="18" t="s">
        <v>244</v>
      </c>
      <c r="C20" s="9" t="s">
        <v>350</v>
      </c>
      <c r="D20" s="42" t="s">
        <v>447</v>
      </c>
      <c r="G20" s="90">
        <v>8.0144387200686378</v>
      </c>
      <c r="H20" s="90">
        <v>254.68015419186904</v>
      </c>
      <c r="I20" s="90">
        <v>384.67464745420693</v>
      </c>
      <c r="J20" s="316">
        <f t="shared" si="6"/>
        <v>647.3692403661446</v>
      </c>
      <c r="K20" s="133"/>
      <c r="L20" s="91">
        <v>170.36926315789475</v>
      </c>
      <c r="M20" s="91">
        <v>204.88916202343211</v>
      </c>
      <c r="N20" s="91">
        <v>640</v>
      </c>
      <c r="O20" s="55"/>
      <c r="P20" s="134">
        <f t="shared" si="7"/>
        <v>1365.4140193621949</v>
      </c>
      <c r="Q20" s="134">
        <f t="shared" si="8"/>
        <v>52181.203376370526</v>
      </c>
      <c r="R20" s="134">
        <f t="shared" si="9"/>
        <v>246191.77437069244</v>
      </c>
      <c r="S20" s="134">
        <f t="shared" si="0"/>
        <v>299738.39176642516</v>
      </c>
      <c r="T20" s="18" t="s">
        <v>166</v>
      </c>
      <c r="U20" s="9" t="s">
        <v>172</v>
      </c>
      <c r="V20" s="42" t="s">
        <v>173</v>
      </c>
      <c r="W20" s="194">
        <v>13.200892023397401</v>
      </c>
      <c r="X20" s="194">
        <v>334.94565559160827</v>
      </c>
      <c r="Y20" s="194">
        <v>486.80121482033985</v>
      </c>
      <c r="Z20" s="194">
        <v>834.94776243534545</v>
      </c>
      <c r="AA20" s="55"/>
      <c r="AB20" s="133">
        <f t="shared" si="30"/>
        <v>5.1864533033287632</v>
      </c>
      <c r="AC20" s="133">
        <f t="shared" si="30"/>
        <v>80.265501399739236</v>
      </c>
      <c r="AD20" s="133">
        <f t="shared" si="30"/>
        <v>102.12656736613292</v>
      </c>
      <c r="AE20" s="133">
        <f t="shared" si="30"/>
        <v>187.57852206920086</v>
      </c>
      <c r="AG20" s="248">
        <f t="shared" si="31"/>
        <v>170.36926315789475</v>
      </c>
      <c r="AH20" s="248">
        <f t="shared" si="31"/>
        <v>204.88916202343211</v>
      </c>
      <c r="AI20" s="248">
        <f t="shared" si="31"/>
        <v>640</v>
      </c>
      <c r="AJ20" s="55"/>
      <c r="AK20" s="127">
        <f t="shared" si="32"/>
        <v>883.61222769095059</v>
      </c>
      <c r="AL20" s="127">
        <f t="shared" si="32"/>
        <v>16445.531321183189</v>
      </c>
      <c r="AM20" s="127">
        <f t="shared" si="32"/>
        <v>65361.003114325067</v>
      </c>
      <c r="AN20" s="129">
        <f t="shared" si="33"/>
        <v>82690.146663199208</v>
      </c>
      <c r="AO20" s="90"/>
      <c r="AP20" s="240">
        <f t="shared" si="10"/>
        <v>10.01127528333453</v>
      </c>
      <c r="AQ20" s="240">
        <f t="shared" si="10"/>
        <v>119.00626492124444</v>
      </c>
      <c r="AR20" s="240">
        <f t="shared" si="11"/>
        <v>370.98563206801657</v>
      </c>
      <c r="AS20" s="231">
        <f t="shared" si="12"/>
        <v>500.00317227259552</v>
      </c>
      <c r="AU20" s="219">
        <f t="shared" si="13"/>
        <v>1.2491548857021881</v>
      </c>
      <c r="AV20" s="219">
        <f t="shared" si="13"/>
        <v>0.46727733968461627</v>
      </c>
      <c r="AW20" s="219">
        <f t="shared" si="13"/>
        <v>0.96441404320044266</v>
      </c>
      <c r="AY20" s="219">
        <v>147.87979041622401</v>
      </c>
      <c r="AZ20" s="219">
        <v>346.15642689572292</v>
      </c>
      <c r="BA20" s="219">
        <v>188.74983954643406</v>
      </c>
      <c r="BD20" s="221">
        <f t="shared" si="14"/>
        <v>1480.4652906986339</v>
      </c>
      <c r="BE20" s="221">
        <f t="shared" si="14"/>
        <v>41194.783443343782</v>
      </c>
      <c r="BF20" s="221">
        <f t="shared" si="14"/>
        <v>70023.478526870545</v>
      </c>
      <c r="BG20" s="122">
        <f t="shared" si="15"/>
        <v>112698.72726091296</v>
      </c>
      <c r="BH20" s="9"/>
      <c r="BI20" s="329">
        <f t="shared" si="16"/>
        <v>0.60201620456890159</v>
      </c>
      <c r="BJ20" s="329">
        <f t="shared" si="17"/>
        <v>0.15211536071365409</v>
      </c>
      <c r="BK20" s="329">
        <f t="shared" si="18"/>
        <v>0.69892587536299655</v>
      </c>
      <c r="BL20" s="329">
        <f t="shared" si="19"/>
        <v>0.48260657245112676</v>
      </c>
      <c r="BM20" s="9"/>
      <c r="BN20" s="240">
        <f t="shared" si="20"/>
        <v>18.025714003403166</v>
      </c>
      <c r="BO20" s="240">
        <f t="shared" si="21"/>
        <v>373.68641911311346</v>
      </c>
      <c r="BP20" s="240">
        <f t="shared" si="22"/>
        <v>755.6602795222235</v>
      </c>
      <c r="BQ20" s="112">
        <f t="shared" si="1"/>
        <v>1147.3724126387401</v>
      </c>
      <c r="BS20" s="142">
        <f t="shared" si="23"/>
        <v>157.87886735158125</v>
      </c>
      <c r="BT20" s="142">
        <f t="shared" si="24"/>
        <v>249.87792449435995</v>
      </c>
      <c r="BU20" s="142">
        <f t="shared" si="25"/>
        <v>418.46218660254891</v>
      </c>
      <c r="BV20" s="142">
        <f t="shared" si="26"/>
        <v>359.46229357110872</v>
      </c>
      <c r="BX20" s="174">
        <f t="shared" si="2"/>
        <v>355.09402585293662</v>
      </c>
      <c r="BY20" s="174">
        <f t="shared" si="3"/>
        <v>366.64021629799782</v>
      </c>
      <c r="BZ20" s="174">
        <f t="shared" si="4"/>
        <v>822.03299591041127</v>
      </c>
      <c r="CA20" s="174">
        <f t="shared" si="5"/>
        <v>637.09718242724728</v>
      </c>
      <c r="CC20" s="221">
        <f t="shared" si="27"/>
        <v>2845.8793100608291</v>
      </c>
      <c r="CD20" s="221">
        <f t="shared" si="28"/>
        <v>93375.986819714308</v>
      </c>
      <c r="CE20" s="221">
        <f t="shared" si="29"/>
        <v>316215.25289756298</v>
      </c>
      <c r="CF20" s="135">
        <f t="shared" si="34"/>
        <v>412437.11902733811</v>
      </c>
    </row>
    <row r="21" spans="1:84">
      <c r="A21" s="5">
        <v>7</v>
      </c>
      <c r="B21" s="18" t="s">
        <v>518</v>
      </c>
      <c r="C21" s="9" t="s">
        <v>519</v>
      </c>
      <c r="D21" s="225" t="s">
        <v>261</v>
      </c>
      <c r="E21" s="55"/>
      <c r="F21" s="55"/>
      <c r="G21" s="194">
        <v>164</v>
      </c>
      <c r="H21" s="194">
        <v>860</v>
      </c>
      <c r="I21" s="194">
        <v>138</v>
      </c>
      <c r="J21" s="316">
        <f t="shared" si="6"/>
        <v>1162</v>
      </c>
      <c r="K21" s="194"/>
      <c r="L21" s="371">
        <v>125.36571428571428</v>
      </c>
      <c r="M21" s="371">
        <v>157.16200000000001</v>
      </c>
      <c r="N21" s="371">
        <v>179.68</v>
      </c>
      <c r="O21" s="55"/>
      <c r="P21" s="254">
        <f t="shared" si="7"/>
        <v>20559.97714285714</v>
      </c>
      <c r="Q21" s="254">
        <f t="shared" si="8"/>
        <v>135159.32</v>
      </c>
      <c r="R21" s="254">
        <f t="shared" si="9"/>
        <v>24795.84</v>
      </c>
      <c r="S21" s="254">
        <f t="shared" si="0"/>
        <v>180515.13714285716</v>
      </c>
      <c r="T21" s="449" t="s">
        <v>73</v>
      </c>
      <c r="U21" s="9" t="s">
        <v>74</v>
      </c>
      <c r="V21" s="225" t="s">
        <v>75</v>
      </c>
      <c r="W21" s="194">
        <v>711.72801376061216</v>
      </c>
      <c r="X21" s="194">
        <v>1899.5727444877259</v>
      </c>
      <c r="Y21" s="194">
        <v>1843.2220611182631</v>
      </c>
      <c r="Z21" s="194">
        <v>4454.5228193666007</v>
      </c>
      <c r="AA21" s="55"/>
      <c r="AB21" s="194">
        <f t="shared" si="30"/>
        <v>547.72801376061216</v>
      </c>
      <c r="AC21" s="194">
        <f t="shared" si="30"/>
        <v>1039.5727444877259</v>
      </c>
      <c r="AD21" s="194">
        <f t="shared" si="30"/>
        <v>1705.2220611182631</v>
      </c>
      <c r="AE21" s="194">
        <f t="shared" si="30"/>
        <v>3292.5228193666007</v>
      </c>
      <c r="AG21" s="371">
        <f t="shared" si="31"/>
        <v>125.36571428571428</v>
      </c>
      <c r="AH21" s="371">
        <f t="shared" si="31"/>
        <v>157.16200000000001</v>
      </c>
      <c r="AI21" s="371">
        <f t="shared" si="31"/>
        <v>179.68</v>
      </c>
      <c r="AJ21" s="55"/>
      <c r="AK21" s="254">
        <f t="shared" si="32"/>
        <v>68666.313679394676</v>
      </c>
      <c r="AL21" s="254">
        <f t="shared" si="32"/>
        <v>163381.33166917998</v>
      </c>
      <c r="AM21" s="254">
        <f t="shared" si="32"/>
        <v>306394.29994172952</v>
      </c>
      <c r="AN21" s="254">
        <f t="shared" si="33"/>
        <v>538441.94529030425</v>
      </c>
      <c r="AO21" s="194"/>
      <c r="AP21" s="194">
        <f t="shared" si="10"/>
        <v>204.86140125515885</v>
      </c>
      <c r="AQ21" s="194">
        <f t="shared" si="10"/>
        <v>401.85851212876997</v>
      </c>
      <c r="AR21" s="194">
        <f t="shared" si="11"/>
        <v>133.08913796166109</v>
      </c>
      <c r="AS21" s="249">
        <f t="shared" si="12"/>
        <v>739.80905134558986</v>
      </c>
      <c r="AT21" s="194"/>
      <c r="AU21" s="371">
        <f t="shared" si="13"/>
        <v>1.2491548857021881</v>
      </c>
      <c r="AV21" s="371">
        <f t="shared" si="13"/>
        <v>0.46727733968461627</v>
      </c>
      <c r="AW21" s="371">
        <f t="shared" si="13"/>
        <v>0.96441404320044266</v>
      </c>
      <c r="AX21" s="55"/>
      <c r="AY21" s="371">
        <v>147.87979041622401</v>
      </c>
      <c r="AZ21" s="371">
        <v>346.15642689572292</v>
      </c>
      <c r="BA21" s="371">
        <v>188.74983954643406</v>
      </c>
      <c r="BB21" s="55"/>
      <c r="BC21" s="55"/>
      <c r="BD21" s="254">
        <f t="shared" si="14"/>
        <v>30294.861081986863</v>
      </c>
      <c r="BE21" s="254">
        <f t="shared" si="14"/>
        <v>139105.90667612656</v>
      </c>
      <c r="BF21" s="254">
        <f t="shared" si="14"/>
        <v>25120.553435636757</v>
      </c>
      <c r="BG21" s="254">
        <f t="shared" si="15"/>
        <v>194521.32119375019</v>
      </c>
      <c r="BH21" s="9"/>
      <c r="BI21" s="450">
        <f t="shared" si="16"/>
        <v>-2.0906500762527642</v>
      </c>
      <c r="BJ21" s="450">
        <f t="shared" si="17"/>
        <v>-0.74152817716157671</v>
      </c>
      <c r="BK21" s="450">
        <f t="shared" si="18"/>
        <v>-11.392267559105811</v>
      </c>
      <c r="BL21" s="450">
        <f t="shared" si="19"/>
        <v>-2.1968276833227289</v>
      </c>
      <c r="BM21" s="9"/>
      <c r="BN21" s="194">
        <f t="shared" si="20"/>
        <v>368.86140125515885</v>
      </c>
      <c r="BO21" s="194">
        <f t="shared" si="21"/>
        <v>1261.8585121287699</v>
      </c>
      <c r="BP21" s="194">
        <f t="shared" si="22"/>
        <v>271.08913796166109</v>
      </c>
      <c r="BQ21" s="194">
        <f t="shared" si="1"/>
        <v>1901.80905134559</v>
      </c>
      <c r="BS21" s="371">
        <f t="shared" si="23"/>
        <v>137.86977453264433</v>
      </c>
      <c r="BT21" s="371">
        <f t="shared" si="24"/>
        <v>217.35022115390575</v>
      </c>
      <c r="BU21" s="371">
        <f t="shared" si="25"/>
        <v>184.13276832469845</v>
      </c>
      <c r="BV21" s="371">
        <f t="shared" si="26"/>
        <v>197.19984930729888</v>
      </c>
      <c r="BW21" s="55"/>
      <c r="BX21" s="371">
        <f t="shared" si="2"/>
        <v>310.09047698075614</v>
      </c>
      <c r="BY21" s="371">
        <f t="shared" si="3"/>
        <v>318.91305427456581</v>
      </c>
      <c r="BZ21" s="371">
        <f t="shared" si="4"/>
        <v>361.71299591041128</v>
      </c>
      <c r="CA21" s="371">
        <f t="shared" si="5"/>
        <v>322.75082473029897</v>
      </c>
      <c r="CB21" s="55"/>
      <c r="CC21" s="254">
        <f t="shared" si="27"/>
        <v>50854.838224844003</v>
      </c>
      <c r="CD21" s="254">
        <f t="shared" si="28"/>
        <v>274265.22667612659</v>
      </c>
      <c r="CE21" s="254">
        <f t="shared" si="29"/>
        <v>49916.393435636754</v>
      </c>
      <c r="CF21" s="254">
        <f t="shared" si="34"/>
        <v>375036.45833660738</v>
      </c>
    </row>
    <row r="22" spans="1:84">
      <c r="A22" s="5">
        <v>8</v>
      </c>
      <c r="B22" s="18"/>
      <c r="C22" s="9" t="s">
        <v>262</v>
      </c>
      <c r="D22" s="42" t="s">
        <v>188</v>
      </c>
      <c r="G22" s="90">
        <v>40.591306041131133</v>
      </c>
      <c r="H22" s="90">
        <v>235.94180362566135</v>
      </c>
      <c r="I22" s="90">
        <v>88.064721726642944</v>
      </c>
      <c r="J22" s="316">
        <f t="shared" si="6"/>
        <v>364.5978313934354</v>
      </c>
      <c r="K22" s="133"/>
      <c r="L22" s="91">
        <v>54.97</v>
      </c>
      <c r="M22" s="91">
        <v>59.94</v>
      </c>
      <c r="N22" s="91">
        <v>59.94</v>
      </c>
      <c r="O22" s="55"/>
      <c r="P22" s="134">
        <f t="shared" si="7"/>
        <v>2231.3040930809784</v>
      </c>
      <c r="Q22" s="134">
        <f t="shared" si="8"/>
        <v>14142.351709322142</v>
      </c>
      <c r="R22" s="134">
        <f t="shared" si="9"/>
        <v>5278.5994202949778</v>
      </c>
      <c r="S22" s="134">
        <f t="shared" si="0"/>
        <v>21652.255222698099</v>
      </c>
      <c r="T22" s="18"/>
      <c r="U22" s="9" t="s">
        <v>550</v>
      </c>
      <c r="V22" s="42" t="s">
        <v>100</v>
      </c>
      <c r="W22" s="194">
        <v>320.91598953793118</v>
      </c>
      <c r="X22" s="194">
        <v>661.2915892030976</v>
      </c>
      <c r="Y22" s="194">
        <v>646.43585888154973</v>
      </c>
      <c r="Z22" s="194">
        <v>1627.8955185969853</v>
      </c>
      <c r="AA22" s="55"/>
      <c r="AB22" s="133">
        <f t="shared" si="30"/>
        <v>280.32468349680005</v>
      </c>
      <c r="AC22" s="133">
        <f t="shared" si="30"/>
        <v>425.34978557743625</v>
      </c>
      <c r="AD22" s="133">
        <f t="shared" si="30"/>
        <v>558.37113715490682</v>
      </c>
      <c r="AE22" s="133">
        <f t="shared" si="30"/>
        <v>1263.2976872035499</v>
      </c>
      <c r="AG22" s="248">
        <f t="shared" si="31"/>
        <v>54.97</v>
      </c>
      <c r="AH22" s="248">
        <f t="shared" si="31"/>
        <v>59.94</v>
      </c>
      <c r="AI22" s="248">
        <f t="shared" si="31"/>
        <v>59.94</v>
      </c>
      <c r="AJ22" s="55"/>
      <c r="AK22" s="127">
        <f t="shared" si="32"/>
        <v>15409.447851819099</v>
      </c>
      <c r="AL22" s="127">
        <f t="shared" si="32"/>
        <v>25495.466147511528</v>
      </c>
      <c r="AM22" s="127">
        <f t="shared" si="32"/>
        <v>33468.76596106511</v>
      </c>
      <c r="AN22" s="129">
        <f t="shared" si="33"/>
        <v>74373.679960395733</v>
      </c>
      <c r="AO22" s="96"/>
      <c r="AS22" s="231">
        <f t="shared" si="12"/>
        <v>0</v>
      </c>
      <c r="AU22" s="228"/>
      <c r="AV22" s="228"/>
      <c r="AW22" s="228"/>
      <c r="AY22" s="5"/>
      <c r="AZ22" s="5"/>
      <c r="BA22" s="5"/>
      <c r="BD22" s="5"/>
      <c r="BE22" s="5"/>
      <c r="BF22" s="5"/>
      <c r="BG22" s="5"/>
      <c r="BH22" s="9"/>
      <c r="BI22" s="329">
        <f t="shared" si="16"/>
        <v>-6.9060276900858355</v>
      </c>
      <c r="BJ22" s="329">
        <f t="shared" si="17"/>
        <v>-1.8027741546482552</v>
      </c>
      <c r="BK22" s="329">
        <f t="shared" si="18"/>
        <v>-6.3404633116098088</v>
      </c>
      <c r="BL22" s="329">
        <f t="shared" si="19"/>
        <v>-3.4649072990243126</v>
      </c>
      <c r="BM22" s="9"/>
      <c r="BN22" s="240">
        <f t="shared" si="20"/>
        <v>40.591306041131133</v>
      </c>
      <c r="BO22" s="240">
        <f t="shared" si="21"/>
        <v>235.94180362566135</v>
      </c>
      <c r="BP22" s="240">
        <f t="shared" si="22"/>
        <v>88.064721726642944</v>
      </c>
      <c r="BQ22" s="112">
        <f t="shared" si="1"/>
        <v>364.5978313934354</v>
      </c>
      <c r="BS22" s="142">
        <f t="shared" si="23"/>
        <v>54.97</v>
      </c>
      <c r="BT22" s="142">
        <f t="shared" si="24"/>
        <v>59.940000000000005</v>
      </c>
      <c r="BU22" s="142">
        <f t="shared" si="25"/>
        <v>59.94</v>
      </c>
      <c r="BV22" s="142">
        <f t="shared" si="26"/>
        <v>59.386681319377558</v>
      </c>
      <c r="BX22" s="174">
        <f t="shared" si="2"/>
        <v>54.97</v>
      </c>
      <c r="BY22" s="174">
        <f t="shared" si="3"/>
        <v>59.940000000000005</v>
      </c>
      <c r="BZ22" s="174">
        <f t="shared" si="4"/>
        <v>59.94</v>
      </c>
      <c r="CA22" s="174">
        <f t="shared" si="5"/>
        <v>59.386681319377558</v>
      </c>
      <c r="CC22" s="221">
        <f t="shared" si="27"/>
        <v>2231.3040930809784</v>
      </c>
      <c r="CD22" s="221">
        <f t="shared" si="28"/>
        <v>14142.351709322142</v>
      </c>
      <c r="CE22" s="221">
        <f t="shared" si="29"/>
        <v>5278.5994202949778</v>
      </c>
      <c r="CF22" s="135">
        <f t="shared" si="34"/>
        <v>21652.255222698099</v>
      </c>
    </row>
    <row r="23" spans="1:84">
      <c r="A23" s="5">
        <v>9</v>
      </c>
      <c r="B23" s="18"/>
      <c r="C23" s="42" t="s">
        <v>165</v>
      </c>
      <c r="D23" s="41" t="s">
        <v>269</v>
      </c>
      <c r="G23" s="90">
        <v>104.9526829691517</v>
      </c>
      <c r="H23" s="90">
        <v>1139.8754213249404</v>
      </c>
      <c r="I23" s="90">
        <v>563.64255215446599</v>
      </c>
      <c r="J23" s="316">
        <f t="shared" si="6"/>
        <v>1808.4706564485582</v>
      </c>
      <c r="K23" s="133"/>
      <c r="L23" s="91">
        <v>125.36571428571428</v>
      </c>
      <c r="M23" s="91">
        <v>157.16200000000001</v>
      </c>
      <c r="N23" s="91">
        <v>179.68</v>
      </c>
      <c r="O23" s="55"/>
      <c r="P23" s="134">
        <f t="shared" si="7"/>
        <v>13157.468066629823</v>
      </c>
      <c r="Q23" s="134">
        <f t="shared" si="8"/>
        <v>179145.10096627029</v>
      </c>
      <c r="R23" s="134">
        <f t="shared" si="9"/>
        <v>101275.29377111445</v>
      </c>
      <c r="S23" s="134">
        <f t="shared" si="0"/>
        <v>293577.86280401453</v>
      </c>
      <c r="T23" s="18"/>
      <c r="U23" s="42" t="s">
        <v>101</v>
      </c>
      <c r="V23" s="41" t="s">
        <v>379</v>
      </c>
      <c r="W23" s="194">
        <v>104.9526829691517</v>
      </c>
      <c r="X23" s="194">
        <v>1139.8754213249404</v>
      </c>
      <c r="Y23" s="194">
        <v>563.64255215446599</v>
      </c>
      <c r="Z23" s="194">
        <v>1808.4706564485582</v>
      </c>
      <c r="AA23" s="55"/>
      <c r="AB23" s="133"/>
      <c r="AC23" s="133"/>
      <c r="AD23" s="133"/>
      <c r="AE23" s="133"/>
      <c r="AG23" s="55"/>
      <c r="AH23" s="55"/>
      <c r="AI23" s="55"/>
      <c r="AJ23" s="55"/>
      <c r="AK23" s="127"/>
      <c r="AL23" s="127"/>
      <c r="AM23" s="127"/>
      <c r="AN23" s="129"/>
      <c r="AO23" s="90"/>
      <c r="AS23" s="231">
        <f t="shared" si="12"/>
        <v>0</v>
      </c>
      <c r="AU23" s="228"/>
      <c r="AV23" s="228"/>
      <c r="AW23" s="228"/>
      <c r="AY23" s="5"/>
      <c r="AZ23" s="5"/>
      <c r="BA23" s="5"/>
      <c r="BD23" s="5"/>
      <c r="BE23" s="5"/>
      <c r="BF23" s="5"/>
      <c r="BG23" s="5"/>
      <c r="BH23" s="42"/>
      <c r="BI23" s="42"/>
      <c r="BJ23" s="42"/>
      <c r="BK23" s="42"/>
      <c r="BL23" s="42"/>
      <c r="BM23" s="42"/>
      <c r="BN23" s="240">
        <f t="shared" si="20"/>
        <v>104.9526829691517</v>
      </c>
      <c r="BO23" s="240">
        <f t="shared" si="21"/>
        <v>1139.8754213249404</v>
      </c>
      <c r="BP23" s="240">
        <f t="shared" si="22"/>
        <v>563.64255215446599</v>
      </c>
      <c r="BQ23" s="112">
        <f t="shared" si="1"/>
        <v>1808.4706564485582</v>
      </c>
      <c r="BS23" s="142">
        <f t="shared" si="23"/>
        <v>125.36571428571428</v>
      </c>
      <c r="BT23" s="142">
        <f t="shared" si="24"/>
        <v>157.16200000000001</v>
      </c>
      <c r="BU23" s="142">
        <f t="shared" si="25"/>
        <v>179.68</v>
      </c>
      <c r="BV23" s="142">
        <f t="shared" si="26"/>
        <v>162.33487768086732</v>
      </c>
      <c r="BX23" s="174">
        <f t="shared" si="2"/>
        <v>125.36571428571428</v>
      </c>
      <c r="BY23" s="174">
        <f t="shared" si="3"/>
        <v>157.16200000000001</v>
      </c>
      <c r="BZ23" s="174">
        <f t="shared" si="4"/>
        <v>179.68</v>
      </c>
      <c r="CA23" s="174">
        <f t="shared" si="5"/>
        <v>162.33487768086732</v>
      </c>
      <c r="CC23" s="221">
        <f t="shared" si="27"/>
        <v>13157.468066629823</v>
      </c>
      <c r="CD23" s="221">
        <f t="shared" si="28"/>
        <v>179145.10096627029</v>
      </c>
      <c r="CE23" s="221">
        <f t="shared" si="29"/>
        <v>101275.29377111445</v>
      </c>
      <c r="CF23" s="135">
        <f t="shared" si="34"/>
        <v>293577.86280401453</v>
      </c>
    </row>
    <row r="24" spans="1:84">
      <c r="A24" s="5">
        <v>10</v>
      </c>
      <c r="B24" s="18"/>
      <c r="C24" s="42" t="s">
        <v>19</v>
      </c>
      <c r="D24" s="41" t="s">
        <v>121</v>
      </c>
      <c r="G24" s="90">
        <v>69.082778663239068</v>
      </c>
      <c r="H24" s="90">
        <v>230.56324860782343</v>
      </c>
      <c r="I24" s="90">
        <v>193.24887502438833</v>
      </c>
      <c r="J24" s="316">
        <f t="shared" si="6"/>
        <v>492.89490229545083</v>
      </c>
      <c r="K24" s="133"/>
      <c r="L24" s="91">
        <v>125.36571428571428</v>
      </c>
      <c r="M24" s="91">
        <v>157.16200000000001</v>
      </c>
      <c r="N24" s="91">
        <v>179.68</v>
      </c>
      <c r="O24" s="55"/>
      <c r="P24" s="134">
        <f t="shared" si="7"/>
        <v>8660.611891958868</v>
      </c>
      <c r="Q24" s="134">
        <f t="shared" si="8"/>
        <v>36235.781277702743</v>
      </c>
      <c r="R24" s="134">
        <f t="shared" si="9"/>
        <v>34722.957864382093</v>
      </c>
      <c r="S24" s="134">
        <f t="shared" si="0"/>
        <v>79619.351034043706</v>
      </c>
      <c r="T24" s="18"/>
      <c r="U24" s="42" t="s">
        <v>135</v>
      </c>
      <c r="V24" s="41" t="s">
        <v>378</v>
      </c>
      <c r="W24" s="194">
        <v>69.082778663239068</v>
      </c>
      <c r="X24" s="194">
        <v>230.56324860782343</v>
      </c>
      <c r="Y24" s="194">
        <v>193.24887502438833</v>
      </c>
      <c r="Z24" s="194">
        <v>492.89490229545083</v>
      </c>
      <c r="AA24" s="55"/>
      <c r="AB24" s="133"/>
      <c r="AC24" s="133"/>
      <c r="AD24" s="133"/>
      <c r="AE24" s="133"/>
      <c r="AG24" s="55"/>
      <c r="AH24" s="55"/>
      <c r="AI24" s="55"/>
      <c r="AJ24" s="55"/>
      <c r="AK24" s="127"/>
      <c r="AL24" s="127"/>
      <c r="AM24" s="127"/>
      <c r="AN24" s="129"/>
      <c r="AO24" s="90"/>
      <c r="AS24" s="231">
        <f t="shared" si="12"/>
        <v>0</v>
      </c>
      <c r="AU24" s="228"/>
      <c r="AV24" s="228"/>
      <c r="AW24" s="228"/>
      <c r="AY24" s="5"/>
      <c r="AZ24" s="5"/>
      <c r="BA24" s="5"/>
      <c r="BD24" s="5"/>
      <c r="BE24" s="5"/>
      <c r="BF24" s="5"/>
      <c r="BG24" s="5"/>
      <c r="BH24" s="42"/>
      <c r="BI24" s="42"/>
      <c r="BJ24" s="42"/>
      <c r="BK24" s="42"/>
      <c r="BL24" s="42"/>
      <c r="BM24" s="42"/>
      <c r="BN24" s="240">
        <f t="shared" si="20"/>
        <v>69.082778663239068</v>
      </c>
      <c r="BO24" s="240">
        <f t="shared" si="21"/>
        <v>230.56324860782343</v>
      </c>
      <c r="BP24" s="240">
        <f t="shared" si="22"/>
        <v>193.24887502438833</v>
      </c>
      <c r="BQ24" s="112">
        <f t="shared" si="1"/>
        <v>492.89490229545083</v>
      </c>
      <c r="BS24" s="142">
        <f t="shared" si="23"/>
        <v>125.36571428571429</v>
      </c>
      <c r="BT24" s="142">
        <f t="shared" si="24"/>
        <v>157.16199999999998</v>
      </c>
      <c r="BU24" s="142">
        <f t="shared" si="25"/>
        <v>179.68</v>
      </c>
      <c r="BV24" s="142">
        <f t="shared" si="26"/>
        <v>161.53413367281757</v>
      </c>
      <c r="BX24" s="174">
        <f t="shared" si="2"/>
        <v>125.36571428571429</v>
      </c>
      <c r="BY24" s="174">
        <f t="shared" si="3"/>
        <v>157.16199999999998</v>
      </c>
      <c r="BZ24" s="174">
        <f t="shared" si="4"/>
        <v>179.68</v>
      </c>
      <c r="CA24" s="174">
        <f t="shared" si="5"/>
        <v>161.53413367281757</v>
      </c>
      <c r="CC24" s="221">
        <f t="shared" si="27"/>
        <v>8660.611891958868</v>
      </c>
      <c r="CD24" s="221">
        <f t="shared" si="28"/>
        <v>36235.781277702743</v>
      </c>
      <c r="CE24" s="221">
        <f t="shared" si="29"/>
        <v>34722.957864382093</v>
      </c>
      <c r="CF24" s="135">
        <f t="shared" si="34"/>
        <v>79619.351034043706</v>
      </c>
    </row>
    <row r="25" spans="1:84">
      <c r="A25" s="5">
        <v>11</v>
      </c>
      <c r="B25" s="18" t="s">
        <v>182</v>
      </c>
      <c r="C25" s="9" t="s">
        <v>193</v>
      </c>
      <c r="D25" s="42" t="s">
        <v>352</v>
      </c>
      <c r="G25" s="90">
        <v>700.99480761994664</v>
      </c>
      <c r="H25" s="90">
        <v>672.59682139033032</v>
      </c>
      <c r="I25" s="90"/>
      <c r="J25" s="316">
        <f t="shared" si="6"/>
        <v>1373.5916290102768</v>
      </c>
      <c r="K25" s="133"/>
      <c r="L25" s="91">
        <v>62.682857142857003</v>
      </c>
      <c r="M25" s="91">
        <v>78.581000000000003</v>
      </c>
      <c r="N25" s="91">
        <v>89.84</v>
      </c>
      <c r="O25" s="55"/>
      <c r="P25" s="134">
        <f>G25*L25</f>
        <v>43940.357383925642</v>
      </c>
      <c r="Q25" s="134">
        <f>H25*M25</f>
        <v>52853.330821673546</v>
      </c>
      <c r="R25" s="134"/>
      <c r="S25" s="134">
        <f t="shared" si="0"/>
        <v>96793.688205599188</v>
      </c>
      <c r="T25" s="18" t="s">
        <v>157</v>
      </c>
      <c r="U25" s="9" t="s">
        <v>164</v>
      </c>
      <c r="V25" s="42" t="s">
        <v>331</v>
      </c>
      <c r="W25" s="194">
        <v>700.99480761994664</v>
      </c>
      <c r="X25" s="194">
        <v>672.59682139033032</v>
      </c>
      <c r="Y25" s="194">
        <v>0</v>
      </c>
      <c r="Z25" s="194">
        <v>1373.5916290102768</v>
      </c>
      <c r="AA25" s="55"/>
      <c r="AB25" s="133"/>
      <c r="AC25" s="133"/>
      <c r="AD25" s="133"/>
      <c r="AE25" s="133"/>
      <c r="AG25" s="55"/>
      <c r="AH25" s="55"/>
      <c r="AI25" s="55"/>
      <c r="AJ25" s="55"/>
      <c r="AK25" s="127"/>
      <c r="AL25" s="127"/>
      <c r="AM25" s="127"/>
      <c r="AN25" s="129"/>
      <c r="AO25" s="90"/>
      <c r="AS25" s="231">
        <f t="shared" si="12"/>
        <v>0</v>
      </c>
      <c r="AU25" s="228"/>
      <c r="AV25" s="228"/>
      <c r="AW25" s="228"/>
      <c r="AY25" s="5"/>
      <c r="AZ25" s="5"/>
      <c r="BA25" s="5"/>
      <c r="BD25" s="5"/>
      <c r="BE25" s="5"/>
      <c r="BF25" s="5"/>
      <c r="BG25" s="5"/>
      <c r="BH25" s="9"/>
      <c r="BI25" s="9"/>
      <c r="BJ25" s="9"/>
      <c r="BK25" s="9"/>
      <c r="BL25" s="9"/>
      <c r="BM25" s="9"/>
      <c r="BN25" s="240">
        <f t="shared" si="20"/>
        <v>700.99480761994664</v>
      </c>
      <c r="BO25" s="240">
        <f t="shared" si="21"/>
        <v>672.59682139033032</v>
      </c>
      <c r="BP25" s="240">
        <f t="shared" si="22"/>
        <v>0</v>
      </c>
      <c r="BQ25" s="112">
        <f t="shared" si="1"/>
        <v>1373.5916290102768</v>
      </c>
      <c r="BS25" s="142">
        <f t="shared" si="23"/>
        <v>62.682857142857003</v>
      </c>
      <c r="BT25" s="142">
        <f t="shared" si="24"/>
        <v>78.581000000000003</v>
      </c>
      <c r="BU25" s="142"/>
      <c r="BV25" s="142">
        <f t="shared" si="26"/>
        <v>70.467587426506512</v>
      </c>
      <c r="BX25" s="174">
        <f>CC25/G25</f>
        <v>62.682857142857003</v>
      </c>
      <c r="BY25" s="174">
        <f>CD25/H25</f>
        <v>78.581000000000003</v>
      </c>
      <c r="BZ25" s="174"/>
      <c r="CA25" s="174">
        <f>CF25/J25</f>
        <v>70.467587426506512</v>
      </c>
      <c r="CC25" s="221">
        <f>P25+BD25</f>
        <v>43940.357383925642</v>
      </c>
      <c r="CD25" s="221">
        <f>Q25+BE25</f>
        <v>52853.330821673546</v>
      </c>
      <c r="CE25" s="221"/>
      <c r="CF25" s="135">
        <f t="shared" si="34"/>
        <v>96793.688205599188</v>
      </c>
    </row>
    <row r="26" spans="1:84">
      <c r="A26" s="5">
        <v>12</v>
      </c>
      <c r="B26" s="19" t="s">
        <v>386</v>
      </c>
      <c r="C26" s="9" t="s">
        <v>268</v>
      </c>
      <c r="D26" s="42" t="s">
        <v>507</v>
      </c>
      <c r="G26" s="90">
        <v>0</v>
      </c>
      <c r="H26" s="130">
        <f>0.35*X26/0.9</f>
        <v>986.63250000000005</v>
      </c>
      <c r="I26" s="90"/>
      <c r="J26" s="316">
        <f t="shared" si="6"/>
        <v>986.63250000000005</v>
      </c>
      <c r="K26" s="133"/>
      <c r="L26" s="91"/>
      <c r="M26" s="91">
        <v>108.8001084</v>
      </c>
      <c r="N26" s="91">
        <v>108.80010839999998</v>
      </c>
      <c r="O26" s="120"/>
      <c r="P26" s="134"/>
      <c r="Q26" s="338">
        <f>H26*M26</f>
        <v>107345.722950963</v>
      </c>
      <c r="R26" s="134"/>
      <c r="S26" s="134">
        <f t="shared" si="0"/>
        <v>107345.722950963</v>
      </c>
      <c r="T26" s="19" t="s">
        <v>154</v>
      </c>
      <c r="U26" s="9" t="s">
        <v>83</v>
      </c>
      <c r="V26" s="42" t="s">
        <v>457</v>
      </c>
      <c r="W26" s="194">
        <v>0</v>
      </c>
      <c r="X26" s="194">
        <v>2537.0550000000003</v>
      </c>
      <c r="Y26" s="316" t="s">
        <v>12</v>
      </c>
      <c r="Z26" s="194">
        <v>2537.0550000000003</v>
      </c>
      <c r="AA26" s="55"/>
      <c r="AB26" s="133"/>
      <c r="AC26" s="133">
        <f>X26-H26</f>
        <v>1550.4225000000001</v>
      </c>
      <c r="AD26" s="194" t="s">
        <v>12</v>
      </c>
      <c r="AE26" s="133">
        <f>Z26-J26</f>
        <v>1550.4225000000001</v>
      </c>
      <c r="AG26" s="91"/>
      <c r="AH26" s="91">
        <f>M26</f>
        <v>108.8001084</v>
      </c>
      <c r="AI26" s="91">
        <v>108.8001084</v>
      </c>
      <c r="AJ26" s="55"/>
      <c r="AK26" s="127"/>
      <c r="AL26" s="127">
        <f>AC26*AH26</f>
        <v>168686.13606579902</v>
      </c>
      <c r="AM26" s="127"/>
      <c r="AN26" s="129">
        <f t="shared" si="33"/>
        <v>168686.13606579902</v>
      </c>
      <c r="AO26" s="90"/>
      <c r="AP26" s="231">
        <f>AB26</f>
        <v>0</v>
      </c>
      <c r="AQ26" s="231">
        <f>AC26</f>
        <v>1550.4225000000001</v>
      </c>
      <c r="AR26" s="231" t="str">
        <f>AD26</f>
        <v>(rural only)</v>
      </c>
      <c r="AS26" s="231">
        <f>AP26+AQ26</f>
        <v>1550.4225000000001</v>
      </c>
      <c r="AT26" s="231"/>
      <c r="AU26" s="219"/>
      <c r="AV26" s="219">
        <f>AQ26/H26</f>
        <v>1.5714285714285714</v>
      </c>
      <c r="AW26" s="228"/>
      <c r="AZ26" s="93">
        <v>108.8001084</v>
      </c>
      <c r="BA26" s="93">
        <v>108.8001084</v>
      </c>
      <c r="BD26" s="239">
        <f>AP26*AY26</f>
        <v>0</v>
      </c>
      <c r="BE26" s="221">
        <f>AQ26*AZ26</f>
        <v>168686.13606579902</v>
      </c>
      <c r="BF26" s="221"/>
      <c r="BH26" s="9"/>
      <c r="BI26" s="9"/>
      <c r="BJ26" s="9"/>
      <c r="BK26" s="9"/>
      <c r="BL26" s="9"/>
      <c r="BM26" s="9"/>
      <c r="BN26" s="240">
        <f>G26+AP26</f>
        <v>0</v>
      </c>
      <c r="BO26" s="240">
        <f>H26+AQ26</f>
        <v>2537.0550000000003</v>
      </c>
      <c r="BP26" s="228"/>
      <c r="BQ26" s="112">
        <f t="shared" si="1"/>
        <v>2537.0550000000003</v>
      </c>
      <c r="BS26" s="142"/>
      <c r="BT26" s="142">
        <f t="shared" si="24"/>
        <v>108.80010839999998</v>
      </c>
      <c r="BU26" s="142"/>
      <c r="BV26" s="142">
        <f t="shared" si="26"/>
        <v>108.80010839999998</v>
      </c>
      <c r="BX26" s="174"/>
      <c r="BY26" s="174">
        <f>CD26/H26</f>
        <v>279.77170731428572</v>
      </c>
      <c r="BZ26" s="174"/>
      <c r="CA26" s="174">
        <f>CF26/J26</f>
        <v>279.77170731428572</v>
      </c>
      <c r="CC26" s="257">
        <f>P26+BD26</f>
        <v>0</v>
      </c>
      <c r="CD26" s="221">
        <f>Q26+BE26</f>
        <v>276031.859016762</v>
      </c>
      <c r="CE26" s="221"/>
      <c r="CF26" s="135">
        <f t="shared" si="34"/>
        <v>276031.859016762</v>
      </c>
    </row>
    <row r="27" spans="1:84">
      <c r="B27" s="126"/>
      <c r="C27" s="9"/>
      <c r="D27" s="42"/>
      <c r="G27" s="194"/>
      <c r="H27" s="194"/>
      <c r="I27" s="194"/>
      <c r="J27" s="316"/>
      <c r="K27" s="194"/>
      <c r="L27" s="120"/>
      <c r="M27" s="120"/>
      <c r="N27" s="120"/>
      <c r="O27" s="120"/>
      <c r="P27" s="134"/>
      <c r="Q27" s="134"/>
      <c r="R27" s="134"/>
      <c r="S27" s="134"/>
      <c r="T27" s="134"/>
      <c r="U27" s="9"/>
      <c r="V27" s="42"/>
      <c r="W27" s="194"/>
      <c r="X27" s="194"/>
      <c r="Y27" s="194"/>
      <c r="Z27" s="194"/>
      <c r="AA27" s="55"/>
      <c r="AB27" s="194"/>
      <c r="AC27" s="194"/>
      <c r="AD27" s="194"/>
      <c r="AE27" s="194"/>
      <c r="AG27" s="120"/>
      <c r="AH27" s="120"/>
      <c r="AI27" s="120"/>
      <c r="AJ27" s="55"/>
      <c r="AK27" s="134"/>
      <c r="AL27" s="134"/>
      <c r="AM27" s="134"/>
      <c r="AN27" s="134"/>
      <c r="AO27" s="194" t="s">
        <v>77</v>
      </c>
      <c r="AP27" s="233">
        <f>SUM(AP16:AP22)-(AP15-AP26)</f>
        <v>0</v>
      </c>
      <c r="AQ27" s="233">
        <f>SUM(AQ16:AQ22)-(AQ15-AQ26)</f>
        <v>0</v>
      </c>
      <c r="AR27" s="233">
        <f>SUM(AR16:AR22)-AR15</f>
        <v>0</v>
      </c>
      <c r="AS27" s="231">
        <f t="shared" si="12"/>
        <v>0</v>
      </c>
      <c r="AT27" s="233"/>
      <c r="AU27" s="219"/>
      <c r="AV27" s="219"/>
      <c r="AW27" s="228"/>
      <c r="AY27" s="219"/>
      <c r="AZ27" s="120"/>
      <c r="BA27" s="120"/>
      <c r="BD27" s="5"/>
      <c r="BE27" s="221"/>
      <c r="BF27" s="221"/>
      <c r="BG27" s="221"/>
      <c r="BH27" s="9"/>
      <c r="BI27" s="9"/>
      <c r="BJ27" s="9"/>
      <c r="BK27" s="9"/>
      <c r="BL27" s="9"/>
      <c r="BM27" s="9"/>
      <c r="BN27" s="222"/>
      <c r="BO27" s="222"/>
      <c r="BP27" s="222"/>
      <c r="BQ27" s="222"/>
      <c r="BS27" s="219"/>
      <c r="BT27" s="219"/>
      <c r="BU27" s="219"/>
      <c r="BV27" s="219"/>
      <c r="BX27" s="219"/>
      <c r="BY27" s="219"/>
      <c r="BZ27" s="219"/>
      <c r="CA27" s="219"/>
      <c r="CC27" s="222"/>
      <c r="CD27" s="221"/>
      <c r="CE27" s="221"/>
      <c r="CF27" s="221"/>
    </row>
    <row r="28" spans="1:84">
      <c r="C28" s="9"/>
      <c r="D28" s="42"/>
      <c r="G28" s="194"/>
      <c r="H28" s="194"/>
      <c r="I28" s="194"/>
      <c r="J28" s="317"/>
      <c r="K28" s="132"/>
      <c r="L28" s="295"/>
      <c r="M28" s="295"/>
      <c r="N28" s="120"/>
      <c r="O28" s="55"/>
      <c r="P28" s="134"/>
      <c r="Q28" s="134"/>
      <c r="R28" s="134"/>
      <c r="S28" s="134"/>
      <c r="T28" s="134"/>
      <c r="U28" s="9"/>
      <c r="V28" s="42"/>
      <c r="W28" s="194"/>
      <c r="X28" s="194"/>
      <c r="Y28" s="194"/>
      <c r="Z28" s="194"/>
      <c r="AA28" s="55"/>
      <c r="AB28" s="194"/>
      <c r="AC28" s="194"/>
      <c r="AD28" s="194"/>
      <c r="AE28" s="194"/>
      <c r="AF28" s="194"/>
      <c r="AG28" s="120"/>
      <c r="AH28" s="120"/>
      <c r="AI28" s="120"/>
      <c r="AJ28" s="55"/>
      <c r="AK28" s="134"/>
      <c r="AL28" s="134"/>
      <c r="AM28" s="134"/>
      <c r="AN28" s="134"/>
      <c r="AO28" s="242"/>
      <c r="AP28" s="233"/>
      <c r="AQ28" s="233"/>
      <c r="AR28" s="233"/>
      <c r="AS28" s="231">
        <f t="shared" si="12"/>
        <v>0</v>
      </c>
      <c r="AT28" s="233"/>
      <c r="AU28" s="219"/>
      <c r="AV28" s="219"/>
      <c r="AW28" s="219"/>
      <c r="AY28" s="120"/>
      <c r="AZ28" s="120"/>
      <c r="BA28" s="120"/>
      <c r="BD28" s="5"/>
      <c r="BE28" s="221"/>
      <c r="BF28" s="221"/>
      <c r="BG28" s="221"/>
      <c r="BH28" s="9"/>
      <c r="BI28" s="9"/>
      <c r="BJ28" s="9"/>
      <c r="BK28" s="9"/>
      <c r="BL28" s="9"/>
      <c r="BM28" s="9"/>
      <c r="BN28" s="222"/>
      <c r="BO28" s="222"/>
      <c r="BP28" s="222"/>
      <c r="BQ28" s="222"/>
      <c r="BS28" s="219"/>
      <c r="BT28" s="219"/>
      <c r="BU28" s="219"/>
      <c r="BV28" s="219"/>
      <c r="BX28" s="219"/>
      <c r="BY28" s="219"/>
      <c r="BZ28" s="219"/>
      <c r="CA28" s="219"/>
      <c r="CC28" s="221"/>
      <c r="CD28" s="221"/>
      <c r="CE28" s="221"/>
      <c r="CF28" s="221"/>
    </row>
    <row r="29" spans="1:84">
      <c r="B29" s="20" t="s">
        <v>399</v>
      </c>
      <c r="C29" s="42" t="s">
        <v>183</v>
      </c>
      <c r="D29" s="42" t="s">
        <v>576</v>
      </c>
      <c r="G29" s="5">
        <f>SUM(G30:G42)</f>
        <v>127732.99477882113</v>
      </c>
      <c r="H29" s="240">
        <f>SUM(H30:H42)</f>
        <v>122891.83270143793</v>
      </c>
      <c r="I29" s="240">
        <f>SUM(I30:I42)</f>
        <v>236525.54562868353</v>
      </c>
      <c r="J29" s="318">
        <f>G29+H29+I29</f>
        <v>487150.37310894259</v>
      </c>
      <c r="K29" s="132"/>
      <c r="L29" s="295">
        <f>P29/G29</f>
        <v>154.67965846283576</v>
      </c>
      <c r="M29" s="295">
        <f>Q29/H29</f>
        <v>158.89556248247061</v>
      </c>
      <c r="N29" s="248">
        <f>R29/I29</f>
        <v>224.71979629113261</v>
      </c>
      <c r="O29" s="55"/>
      <c r="P29" s="194">
        <f>SUM(P30:P42)</f>
        <v>19757696.006823234</v>
      </c>
      <c r="Q29" s="194">
        <f>SUM(Q30:Q42)</f>
        <v>19526966.881596655</v>
      </c>
      <c r="R29" s="194">
        <f>SUM(R30:R42)</f>
        <v>53151972.431326754</v>
      </c>
      <c r="S29" s="194">
        <f>SUM(S30:S42)</f>
        <v>92436635.319746643</v>
      </c>
      <c r="T29" s="20" t="s">
        <v>399</v>
      </c>
      <c r="U29" s="42" t="s">
        <v>50</v>
      </c>
      <c r="V29" s="42" t="s">
        <v>174</v>
      </c>
      <c r="W29" s="194">
        <f>SUM(W30:W42)</f>
        <v>184792.73827464585</v>
      </c>
      <c r="X29" s="194">
        <f>SUM(X30:X42)</f>
        <v>161859.50909360161</v>
      </c>
      <c r="Y29" s="194">
        <f>SUM(Y30:Y42)</f>
        <v>429690.74483502645</v>
      </c>
      <c r="Z29" s="194">
        <f>W29+X29+Y29</f>
        <v>776342.99220327393</v>
      </c>
      <c r="AA29" s="55"/>
      <c r="AB29" s="194">
        <f>SUM(AB30:AB42)</f>
        <v>57059.74349582474</v>
      </c>
      <c r="AC29" s="194">
        <f>SUM(AC30:AC42)</f>
        <v>38967.676392163681</v>
      </c>
      <c r="AD29" s="194">
        <f>SUM(AD30:AD42)</f>
        <v>193165.19920634295</v>
      </c>
      <c r="AE29" s="194">
        <f>AB29+AC29+AD29</f>
        <v>289192.6190943314</v>
      </c>
      <c r="AF29" s="194"/>
      <c r="AG29" s="120">
        <f>AK29/AB29</f>
        <v>189.72803467873328</v>
      </c>
      <c r="AH29" s="120">
        <f>AL29/AC29</f>
        <v>131.13362789122564</v>
      </c>
      <c r="AI29" s="120">
        <f>AM29/AD29</f>
        <v>91.908426358531642</v>
      </c>
      <c r="AJ29" s="55"/>
      <c r="AK29" s="134">
        <f>SUM(AK31:AK42)</f>
        <v>10825832.992735462</v>
      </c>
      <c r="AL29" s="134">
        <f>SUM(AL31:AL42)</f>
        <v>5109972.7757956907</v>
      </c>
      <c r="AM29" s="134">
        <f>SUM(AM31:AM42)</f>
        <v>17753509.486287266</v>
      </c>
      <c r="AN29" s="134">
        <f>AK29+AL29+AM29</f>
        <v>33689315.254818417</v>
      </c>
      <c r="AO29" s="194"/>
      <c r="AP29" s="245">
        <f>SUM(AB31:AB36)+AP42</f>
        <v>57059.74349582474</v>
      </c>
      <c r="AQ29" s="245">
        <f>SUM(AC31:AC36)+AQ42</f>
        <v>38967.676392163681</v>
      </c>
      <c r="AR29" s="245">
        <f>SUM(AD31:AD36)+AR42</f>
        <v>193165.19920634295</v>
      </c>
      <c r="AS29" s="231">
        <f t="shared" si="12"/>
        <v>289192.6190943314</v>
      </c>
      <c r="AT29" s="249"/>
      <c r="AU29" s="219"/>
      <c r="AV29" s="219"/>
      <c r="AW29" s="219"/>
      <c r="AY29" s="120"/>
      <c r="AZ29" s="120"/>
      <c r="BA29" s="120"/>
      <c r="BD29" s="221">
        <f>SUM(BD30:BD35)+BD42</f>
        <v>10825832.992735464</v>
      </c>
      <c r="BE29" s="255">
        <f>SUM(BE30:BE35)+BE42</f>
        <v>5109972.7757956898</v>
      </c>
      <c r="BF29" s="255">
        <f>SUM(BF30:BF35)+BF42</f>
        <v>17753509.486287266</v>
      </c>
      <c r="BG29" s="221">
        <f t="shared" ref="BG29:BG34" si="35">BD29+BE29+BF29</f>
        <v>33689315.254818425</v>
      </c>
      <c r="BH29" s="9"/>
      <c r="BI29" s="329">
        <f t="shared" si="16"/>
        <v>0</v>
      </c>
      <c r="BJ29" s="329">
        <f t="shared" si="17"/>
        <v>0</v>
      </c>
      <c r="BK29" s="329">
        <f t="shared" ref="BK29:BK36" si="36">(AR29-AD29)/I29</f>
        <v>0</v>
      </c>
      <c r="BL29" s="329">
        <f t="shared" si="19"/>
        <v>0</v>
      </c>
      <c r="BM29" s="9"/>
      <c r="BN29" s="240">
        <f>SUM(BN30:BN42)</f>
        <v>184792.73827464582</v>
      </c>
      <c r="BO29" s="240">
        <f>SUM(BO30:BO42)</f>
        <v>161859.50909360158</v>
      </c>
      <c r="BP29" s="240">
        <f>SUM(BP30:BP42)</f>
        <v>429690.7448350265</v>
      </c>
      <c r="BQ29" s="240">
        <f t="shared" ref="BQ29:BQ39" si="37">BN29+BO29+BP29</f>
        <v>776342.99220327381</v>
      </c>
      <c r="BS29" s="219"/>
      <c r="BT29" s="219"/>
      <c r="BU29" s="219"/>
      <c r="BV29" s="219"/>
      <c r="BX29" s="219"/>
      <c r="BY29" s="219"/>
      <c r="BZ29" s="219"/>
      <c r="CA29" s="219"/>
      <c r="CC29" s="221">
        <f>SUM(CC30:CC42)</f>
        <v>30583528.999558698</v>
      </c>
      <c r="CD29" s="221">
        <f>SUM(CD30:CD42)</f>
        <v>24636939.657392349</v>
      </c>
      <c r="CE29" s="221">
        <f>SUM(CE30:CE42)</f>
        <v>70905481.917614028</v>
      </c>
      <c r="CF29" s="221">
        <f>CC29+CD29+CE29</f>
        <v>126125950.57456508</v>
      </c>
    </row>
    <row r="30" spans="1:84">
      <c r="B30" s="21" t="s">
        <v>130</v>
      </c>
      <c r="C30" s="9" t="s">
        <v>387</v>
      </c>
      <c r="D30" s="41" t="s">
        <v>226</v>
      </c>
      <c r="G30" s="194">
        <v>536.22582205709273</v>
      </c>
      <c r="H30" s="194">
        <v>1352.9526393621529</v>
      </c>
      <c r="I30" s="194">
        <v>6823.2121432489412</v>
      </c>
      <c r="J30" s="318">
        <f t="shared" ref="J30:J42" si="38">G30+H30+I30</f>
        <v>8712.3906046681877</v>
      </c>
      <c r="K30" s="132"/>
      <c r="L30" s="295">
        <v>1051.3858333333335</v>
      </c>
      <c r="M30" s="295">
        <v>1381.1571428571426</v>
      </c>
      <c r="N30" s="120">
        <v>1677.0662499999999</v>
      </c>
      <c r="O30" s="55"/>
      <c r="P30" s="194">
        <f>L30*G30</f>
        <v>563780.23277834826</v>
      </c>
      <c r="Q30" s="194">
        <f>M30*H30</f>
        <v>1868640.2018024612</v>
      </c>
      <c r="R30" s="194">
        <f>N30*I30</f>
        <v>11442978.802032964</v>
      </c>
      <c r="S30" s="194">
        <f>P30+Q30+R30</f>
        <v>13875399.236613773</v>
      </c>
      <c r="T30" s="21" t="s">
        <v>333</v>
      </c>
      <c r="U30" s="9" t="s">
        <v>167</v>
      </c>
      <c r="V30" s="41" t="s">
        <v>348</v>
      </c>
      <c r="W30" s="194">
        <v>536.22582205709284</v>
      </c>
      <c r="X30" s="194">
        <v>1352.9526393621529</v>
      </c>
      <c r="Y30" s="194">
        <v>6823.2121432489412</v>
      </c>
      <c r="Z30" s="194">
        <f t="shared" ref="Z30:Z42" si="39">W30+X30+Y30</f>
        <v>8712.3906046681877</v>
      </c>
      <c r="AA30" s="55"/>
      <c r="AB30" s="55"/>
      <c r="AC30" s="55"/>
      <c r="AD30" s="55"/>
      <c r="AE30" s="55"/>
      <c r="AF30" s="194"/>
      <c r="AG30" s="120"/>
      <c r="AH30" s="120"/>
      <c r="AI30" s="120"/>
      <c r="AJ30" s="55"/>
      <c r="AK30" s="134"/>
      <c r="AL30" s="134"/>
      <c r="AM30" s="134"/>
      <c r="AN30" s="134"/>
      <c r="AO30" s="194"/>
      <c r="AP30" s="194">
        <f t="shared" ref="AP30:AR35" si="40">(AP$29-AP$42)*G30/SUM(G$30:G$35)</f>
        <v>411.64555302279939</v>
      </c>
      <c r="AQ30" s="194">
        <f t="shared" si="40"/>
        <v>525.4709130998026</v>
      </c>
      <c r="AR30" s="194">
        <f t="shared" si="40"/>
        <v>3004.4737307379487</v>
      </c>
      <c r="AS30" s="231">
        <f t="shared" si="12"/>
        <v>3941.5901968605508</v>
      </c>
      <c r="AT30" s="194"/>
      <c r="AU30" s="219">
        <f t="shared" ref="AU30:AW35" si="41">AP30/G30</f>
        <v>0.76767200699814653</v>
      </c>
      <c r="AV30" s="219">
        <f t="shared" si="41"/>
        <v>0.38838825381761694</v>
      </c>
      <c r="AW30" s="219">
        <f t="shared" si="41"/>
        <v>0.4403312791191244</v>
      </c>
      <c r="AY30" s="120">
        <v>193.13570182389293</v>
      </c>
      <c r="AZ30" s="120">
        <v>159.52294539758608</v>
      </c>
      <c r="BA30" s="120">
        <v>213.25347078940703</v>
      </c>
      <c r="BD30" s="221">
        <f t="shared" ref="BD30:BF35" si="42">AP30*AY30</f>
        <v>79503.452785742891</v>
      </c>
      <c r="BE30" s="221">
        <f t="shared" si="42"/>
        <v>83824.667778439514</v>
      </c>
      <c r="BF30" s="221">
        <f t="shared" si="42"/>
        <v>640714.45097546594</v>
      </c>
      <c r="BG30" s="221">
        <f t="shared" si="35"/>
        <v>804042.57153964834</v>
      </c>
      <c r="BH30" s="9"/>
      <c r="BI30" s="329">
        <f t="shared" si="16"/>
        <v>0.76767200699814653</v>
      </c>
      <c r="BJ30" s="329">
        <f t="shared" si="17"/>
        <v>0.38838825381761694</v>
      </c>
      <c r="BK30" s="329">
        <f t="shared" si="36"/>
        <v>0.4403312791191244</v>
      </c>
      <c r="BL30" s="329">
        <f t="shared" si="19"/>
        <v>0.45241201591083469</v>
      </c>
      <c r="BM30" s="9"/>
      <c r="BN30" s="240">
        <f t="shared" ref="BN30:BN39" si="43">G30+AP30</f>
        <v>947.87137507989212</v>
      </c>
      <c r="BO30" s="240">
        <f t="shared" ref="BO30:BO39" si="44">H30+AQ30</f>
        <v>1878.4235524619555</v>
      </c>
      <c r="BP30" s="240">
        <f t="shared" ref="BP30:BP39" si="45">I30+AR30</f>
        <v>9827.6858739868894</v>
      </c>
      <c r="BQ30" s="240">
        <f t="shared" si="37"/>
        <v>12653.980801528738</v>
      </c>
      <c r="BS30" s="264">
        <f>CC30/BN30</f>
        <v>678.66136954486205</v>
      </c>
      <c r="BT30" s="264">
        <f>CD30/BO30</f>
        <v>1039.4167316641142</v>
      </c>
      <c r="BU30" s="264">
        <f>CE30/BP30</f>
        <v>1229.5563175246591</v>
      </c>
      <c r="BV30" s="264">
        <f>CF30/BQ30</f>
        <v>1160.0651240422292</v>
      </c>
      <c r="BX30" s="264">
        <f t="shared" ref="BX30:BX38" si="46">CC30/G30</f>
        <v>1199.650705175477</v>
      </c>
      <c r="BY30" s="264">
        <f t="shared" ref="BY30:BY38" si="47">CD30/H30</f>
        <v>1443.1139810639543</v>
      </c>
      <c r="BZ30" s="264">
        <f t="shared" ref="BZ30:BZ38" si="48">CE30/I30</f>
        <v>1770.9684235692926</v>
      </c>
      <c r="CA30" s="264">
        <f t="shared" ref="CA30:CA38" si="49">CF30/J30</f>
        <v>1684.8925253980265</v>
      </c>
      <c r="CC30" s="221">
        <f t="shared" ref="CC30:CC38" si="50">P30+BD30</f>
        <v>643283.6855640912</v>
      </c>
      <c r="CD30" s="221">
        <f t="shared" ref="CD30:CD38" si="51">Q30+BE30</f>
        <v>1952464.8695809008</v>
      </c>
      <c r="CE30" s="221">
        <f t="shared" ref="CE30:CE38" si="52">R30+BF30</f>
        <v>12083693.253008431</v>
      </c>
      <c r="CF30" s="221">
        <f t="shared" ref="CF30:CF42" si="53">CC30+CD30+CE30</f>
        <v>14679441.808153423</v>
      </c>
    </row>
    <row r="31" spans="1:84">
      <c r="B31" s="21"/>
      <c r="C31" s="9" t="s">
        <v>388</v>
      </c>
      <c r="D31" s="41" t="s">
        <v>398</v>
      </c>
      <c r="G31" s="194">
        <v>2560.0967590580822</v>
      </c>
      <c r="H31" s="194">
        <v>6350.08945843726</v>
      </c>
      <c r="I31" s="194">
        <v>3133.7904367373903</v>
      </c>
      <c r="J31" s="318">
        <f t="shared" si="38"/>
        <v>12043.976654232732</v>
      </c>
      <c r="K31" s="132"/>
      <c r="L31" s="295">
        <v>243.27697072286281</v>
      </c>
      <c r="M31" s="295">
        <v>190.35213639964442</v>
      </c>
      <c r="N31" s="120">
        <v>325.40297097411241</v>
      </c>
      <c r="O31" s="55"/>
      <c r="P31" s="194">
        <f t="shared" ref="P31:P42" si="54">L31*G31</f>
        <v>622812.58430106903</v>
      </c>
      <c r="Q31" s="194">
        <f t="shared" ref="Q31:Q42" si="55">M31*H31</f>
        <v>1208753.0947423936</v>
      </c>
      <c r="R31" s="194">
        <f t="shared" ref="R31:R42" si="56">N31*I31</f>
        <v>1019744.7185246081</v>
      </c>
      <c r="S31" s="194">
        <f t="shared" ref="S31:S42" si="57">P31+Q31+R31</f>
        <v>2851310.3975680703</v>
      </c>
      <c r="T31" s="21" t="s">
        <v>334</v>
      </c>
      <c r="U31" s="9" t="s">
        <v>175</v>
      </c>
      <c r="V31" s="41" t="s">
        <v>87</v>
      </c>
      <c r="W31" s="194">
        <v>4216.8343992885302</v>
      </c>
      <c r="X31" s="194">
        <v>8153.3545780310897</v>
      </c>
      <c r="Y31" s="194">
        <v>3965.7747181733102</v>
      </c>
      <c r="Z31" s="194">
        <f t="shared" si="39"/>
        <v>16335.96369549293</v>
      </c>
      <c r="AA31" s="55"/>
      <c r="AB31" s="194">
        <f t="shared" ref="AB31:AD36" si="58">W31-G31</f>
        <v>1656.7376402304481</v>
      </c>
      <c r="AC31" s="194">
        <f t="shared" si="58"/>
        <v>1803.2651195938297</v>
      </c>
      <c r="AD31" s="194">
        <f t="shared" si="58"/>
        <v>831.98428143591991</v>
      </c>
      <c r="AE31" s="194">
        <f t="shared" ref="AE31:AE42" si="59">AB31+AC31+AD31</f>
        <v>4291.9870412601977</v>
      </c>
      <c r="AF31" s="194"/>
      <c r="AG31" s="120">
        <f t="shared" ref="AG31:AI36" si="60">L31</f>
        <v>243.27697072286281</v>
      </c>
      <c r="AH31" s="248">
        <f t="shared" si="60"/>
        <v>190.35213639964442</v>
      </c>
      <c r="AI31" s="248">
        <f t="shared" si="60"/>
        <v>325.40297097411241</v>
      </c>
      <c r="AJ31" s="55"/>
      <c r="AK31" s="134">
        <f t="shared" ref="AK31:AM36" si="61">AB31*AG31</f>
        <v>403046.11439780751</v>
      </c>
      <c r="AL31" s="134">
        <f t="shared" si="61"/>
        <v>343255.36800964578</v>
      </c>
      <c r="AM31" s="134">
        <f t="shared" si="61"/>
        <v>270730.15698301041</v>
      </c>
      <c r="AN31" s="134">
        <f t="shared" ref="AN31:AN42" si="62">AK31+AL31+AM31</f>
        <v>1017031.6393904637</v>
      </c>
      <c r="AO31" s="194"/>
      <c r="AP31" s="194">
        <f t="shared" si="40"/>
        <v>1965.3146171355684</v>
      </c>
      <c r="AQ31" s="194">
        <f t="shared" si="40"/>
        <v>2466.3001563481039</v>
      </c>
      <c r="AR31" s="194">
        <f t="shared" si="40"/>
        <v>1379.9059514998546</v>
      </c>
      <c r="AS31" s="231">
        <f t="shared" si="12"/>
        <v>5811.5207249835266</v>
      </c>
      <c r="AT31" s="194"/>
      <c r="AU31" s="219">
        <f t="shared" si="41"/>
        <v>0.76767200699814653</v>
      </c>
      <c r="AV31" s="219">
        <f t="shared" si="41"/>
        <v>0.38838825381761688</v>
      </c>
      <c r="AW31" s="219">
        <f t="shared" si="41"/>
        <v>0.4403312791191244</v>
      </c>
      <c r="AY31" s="248">
        <v>193.13570182389293</v>
      </c>
      <c r="AZ31" s="295">
        <v>159.52294539758608</v>
      </c>
      <c r="BA31" s="248">
        <v>213.25347078940703</v>
      </c>
      <c r="BD31" s="221">
        <f t="shared" si="42"/>
        <v>379572.41788523342</v>
      </c>
      <c r="BE31" s="221">
        <f t="shared" si="42"/>
        <v>393431.46517517662</v>
      </c>
      <c r="BF31" s="221">
        <f t="shared" si="42"/>
        <v>294269.73352030315</v>
      </c>
      <c r="BG31" s="221">
        <f t="shared" si="35"/>
        <v>1067273.6165807131</v>
      </c>
      <c r="BH31" s="9"/>
      <c r="BI31" s="329">
        <f t="shared" si="16"/>
        <v>0.12053332586486021</v>
      </c>
      <c r="BJ31" s="329">
        <f t="shared" si="17"/>
        <v>0.10441349544663664</v>
      </c>
      <c r="BK31" s="329">
        <f t="shared" si="36"/>
        <v>0.17484311128167829</v>
      </c>
      <c r="BL31" s="329">
        <f t="shared" si="19"/>
        <v>0.12616544579479108</v>
      </c>
      <c r="BM31" s="9"/>
      <c r="BN31" s="240">
        <f t="shared" si="43"/>
        <v>4525.4113761936505</v>
      </c>
      <c r="BO31" s="240">
        <f t="shared" si="44"/>
        <v>8816.3896147853629</v>
      </c>
      <c r="BP31" s="240">
        <f t="shared" si="45"/>
        <v>4513.6963882372447</v>
      </c>
      <c r="BQ31" s="240">
        <f t="shared" si="37"/>
        <v>17855.497379216256</v>
      </c>
      <c r="BS31" s="264">
        <f t="shared" ref="BS31:BS42" si="63">CC31/BN31</f>
        <v>221.50141033795126</v>
      </c>
      <c r="BT31" s="264">
        <f t="shared" ref="BT31:BT42" si="64">CD31/BO31</f>
        <v>181.7279668800771</v>
      </c>
      <c r="BU31" s="264">
        <f t="shared" ref="BU31:BU42" si="65">CE31/BP31</f>
        <v>291.11715521434962</v>
      </c>
      <c r="BV31" s="264">
        <f t="shared" ref="BV31:BV42" si="66">CF31/BQ31</f>
        <v>219.46092740659265</v>
      </c>
      <c r="BX31" s="264">
        <f t="shared" si="46"/>
        <v>391.54184256500628</v>
      </c>
      <c r="BY31" s="264">
        <f t="shared" si="47"/>
        <v>252.30897460645593</v>
      </c>
      <c r="BZ31" s="264">
        <f t="shared" si="48"/>
        <v>419.30514454340482</v>
      </c>
      <c r="CA31" s="264">
        <f t="shared" si="49"/>
        <v>325.35632761888803</v>
      </c>
      <c r="CC31" s="221">
        <f t="shared" si="50"/>
        <v>1002385.0021863024</v>
      </c>
      <c r="CD31" s="221">
        <f t="shared" si="51"/>
        <v>1602184.5599175701</v>
      </c>
      <c r="CE31" s="221">
        <f t="shared" si="52"/>
        <v>1314014.4520449112</v>
      </c>
      <c r="CF31" s="221">
        <f t="shared" si="53"/>
        <v>3918584.0141487839</v>
      </c>
    </row>
    <row r="32" spans="1:84">
      <c r="B32" s="21"/>
      <c r="C32" s="9" t="s">
        <v>191</v>
      </c>
      <c r="D32" s="42" t="s">
        <v>58</v>
      </c>
      <c r="G32" s="194">
        <v>6524</v>
      </c>
      <c r="H32" s="194">
        <v>17516</v>
      </c>
      <c r="I32" s="194">
        <v>4819</v>
      </c>
      <c r="J32" s="318">
        <f t="shared" si="38"/>
        <v>28859</v>
      </c>
      <c r="K32" s="132"/>
      <c r="L32" s="295">
        <v>188.7</v>
      </c>
      <c r="M32" s="295">
        <v>144.51</v>
      </c>
      <c r="N32" s="120">
        <v>188.73</v>
      </c>
      <c r="O32" s="55"/>
      <c r="P32" s="194">
        <f t="shared" si="54"/>
        <v>1231078.7999999998</v>
      </c>
      <c r="Q32" s="194">
        <f t="shared" si="55"/>
        <v>2531237.1599999997</v>
      </c>
      <c r="R32" s="194">
        <f t="shared" si="56"/>
        <v>909489.87</v>
      </c>
      <c r="S32" s="194">
        <f t="shared" si="57"/>
        <v>4671805.8299999991</v>
      </c>
      <c r="T32" s="21"/>
      <c r="U32" s="9" t="s">
        <v>88</v>
      </c>
      <c r="V32" s="42" t="s">
        <v>508</v>
      </c>
      <c r="W32" s="194">
        <v>10745.932755713562</v>
      </c>
      <c r="X32" s="194">
        <v>22489.81823933448</v>
      </c>
      <c r="Y32" s="194">
        <v>6098.387480808653</v>
      </c>
      <c r="Z32" s="194">
        <f t="shared" si="39"/>
        <v>39334.1384758567</v>
      </c>
      <c r="AA32" s="55"/>
      <c r="AB32" s="194">
        <f t="shared" si="58"/>
        <v>4221.9327557135621</v>
      </c>
      <c r="AC32" s="194">
        <f t="shared" si="58"/>
        <v>4973.8182393344796</v>
      </c>
      <c r="AD32" s="194">
        <f t="shared" si="58"/>
        <v>1279.387480808653</v>
      </c>
      <c r="AE32" s="194">
        <f t="shared" si="59"/>
        <v>10475.138475856695</v>
      </c>
      <c r="AF32" s="194"/>
      <c r="AG32" s="248">
        <f t="shared" si="60"/>
        <v>188.7</v>
      </c>
      <c r="AH32" s="248">
        <f t="shared" si="60"/>
        <v>144.51</v>
      </c>
      <c r="AI32" s="248">
        <f t="shared" si="60"/>
        <v>188.73</v>
      </c>
      <c r="AJ32" s="55"/>
      <c r="AK32" s="134">
        <f t="shared" si="61"/>
        <v>796678.71100314916</v>
      </c>
      <c r="AL32" s="134">
        <f t="shared" si="61"/>
        <v>718766.47376622562</v>
      </c>
      <c r="AM32" s="134">
        <f t="shared" si="61"/>
        <v>241458.79925301706</v>
      </c>
      <c r="AN32" s="134">
        <f t="shared" si="62"/>
        <v>1756903.984022392</v>
      </c>
      <c r="AO32" s="194"/>
      <c r="AP32" s="194">
        <f t="shared" si="40"/>
        <v>5008.2921736559083</v>
      </c>
      <c r="AQ32" s="194">
        <f t="shared" si="40"/>
        <v>6803.0086538693777</v>
      </c>
      <c r="AR32" s="194">
        <f t="shared" si="40"/>
        <v>2121.9564340750603</v>
      </c>
      <c r="AS32" s="231">
        <f t="shared" si="12"/>
        <v>13933.257261600347</v>
      </c>
      <c r="AT32" s="194"/>
      <c r="AU32" s="219">
        <f t="shared" si="41"/>
        <v>0.76767200699814653</v>
      </c>
      <c r="AV32" s="219">
        <f t="shared" si="41"/>
        <v>0.38838825381761688</v>
      </c>
      <c r="AW32" s="219">
        <f t="shared" si="41"/>
        <v>0.44033127911912434</v>
      </c>
      <c r="AY32" s="248">
        <v>193.13570182389293</v>
      </c>
      <c r="AZ32" s="295">
        <v>159.52294539758608</v>
      </c>
      <c r="BA32" s="248">
        <v>213.25347078940703</v>
      </c>
      <c r="BD32" s="221">
        <f t="shared" si="42"/>
        <v>967280.02389814414</v>
      </c>
      <c r="BE32" s="221">
        <f t="shared" si="42"/>
        <v>1085235.9780305102</v>
      </c>
      <c r="BF32" s="221">
        <f t="shared" si="42"/>
        <v>452514.57443042018</v>
      </c>
      <c r="BG32" s="221">
        <f t="shared" si="35"/>
        <v>2505030.5763590746</v>
      </c>
      <c r="BH32" s="9"/>
      <c r="BI32" s="329">
        <f t="shared" si="16"/>
        <v>0.12053332586485993</v>
      </c>
      <c r="BJ32" s="329">
        <f t="shared" si="17"/>
        <v>0.10442968797299029</v>
      </c>
      <c r="BK32" s="329">
        <f t="shared" si="36"/>
        <v>0.17484311128167823</v>
      </c>
      <c r="BL32" s="329">
        <f t="shared" si="19"/>
        <v>0.11982808779734754</v>
      </c>
      <c r="BM32" s="9"/>
      <c r="BN32" s="240">
        <f t="shared" si="43"/>
        <v>11532.292173655907</v>
      </c>
      <c r="BO32" s="240">
        <f t="shared" si="44"/>
        <v>24319.008653869379</v>
      </c>
      <c r="BP32" s="240">
        <f t="shared" si="45"/>
        <v>6940.9564340750603</v>
      </c>
      <c r="BQ32" s="240">
        <f t="shared" si="37"/>
        <v>42792.257261600345</v>
      </c>
      <c r="BS32" s="264">
        <f t="shared" si="63"/>
        <v>190.62635517681579</v>
      </c>
      <c r="BT32" s="264">
        <f t="shared" si="64"/>
        <v>148.70972700834562</v>
      </c>
      <c r="BU32" s="264">
        <f t="shared" si="65"/>
        <v>196.22719971904255</v>
      </c>
      <c r="BV32" s="264">
        <f t="shared" si="66"/>
        <v>167.71343382250632</v>
      </c>
      <c r="BX32" s="264">
        <f t="shared" si="46"/>
        <v>336.96487184214345</v>
      </c>
      <c r="BY32" s="264">
        <f t="shared" si="47"/>
        <v>206.46683820681147</v>
      </c>
      <c r="BZ32" s="264">
        <f t="shared" si="48"/>
        <v>282.63217356929243</v>
      </c>
      <c r="CA32" s="264">
        <f t="shared" si="49"/>
        <v>248.68624714505265</v>
      </c>
      <c r="CC32" s="221">
        <f t="shared" si="50"/>
        <v>2198358.8238981441</v>
      </c>
      <c r="CD32" s="221">
        <f t="shared" si="51"/>
        <v>3616473.1380305099</v>
      </c>
      <c r="CE32" s="221">
        <f t="shared" si="52"/>
        <v>1362004.4444304202</v>
      </c>
      <c r="CF32" s="221">
        <f t="shared" si="53"/>
        <v>7176836.4063590746</v>
      </c>
    </row>
    <row r="33" spans="2:85">
      <c r="B33" s="21"/>
      <c r="C33" s="9" t="s">
        <v>180</v>
      </c>
      <c r="D33" s="42" t="s">
        <v>425</v>
      </c>
      <c r="G33" s="194">
        <v>3640.4232384296024</v>
      </c>
      <c r="H33" s="194">
        <v>10381.402867192013</v>
      </c>
      <c r="I33" s="194">
        <v>2953.5588889558767</v>
      </c>
      <c r="J33" s="318">
        <f t="shared" si="38"/>
        <v>16975.384994577493</v>
      </c>
      <c r="K33" s="132"/>
      <c r="L33" s="295">
        <v>240.11000000000004</v>
      </c>
      <c r="M33" s="295">
        <v>210.65</v>
      </c>
      <c r="N33" s="120">
        <v>250.81000000000003</v>
      </c>
      <c r="O33" s="55"/>
      <c r="P33" s="194">
        <f t="shared" si="54"/>
        <v>874102.02377933194</v>
      </c>
      <c r="Q33" s="194">
        <f t="shared" si="55"/>
        <v>2186842.5139739974</v>
      </c>
      <c r="R33" s="194">
        <f t="shared" si="56"/>
        <v>740782.1049390235</v>
      </c>
      <c r="S33" s="194">
        <f t="shared" si="57"/>
        <v>3801726.6426923531</v>
      </c>
      <c r="T33" s="21"/>
      <c r="U33" s="9" t="s">
        <v>509</v>
      </c>
      <c r="V33" s="42" t="s">
        <v>425</v>
      </c>
      <c r="W33" s="194">
        <v>5995.5847993251627</v>
      </c>
      <c r="X33" s="194">
        <v>13314.670036342497</v>
      </c>
      <c r="Y33" s="194">
        <v>3737.6938269847751</v>
      </c>
      <c r="Z33" s="194">
        <f t="shared" si="39"/>
        <v>23047.948662652434</v>
      </c>
      <c r="AA33" s="55"/>
      <c r="AB33" s="194">
        <f t="shared" si="58"/>
        <v>2355.1615608955603</v>
      </c>
      <c r="AC33" s="194">
        <f t="shared" si="58"/>
        <v>2933.2671691504838</v>
      </c>
      <c r="AD33" s="194">
        <f t="shared" si="58"/>
        <v>784.13493802889843</v>
      </c>
      <c r="AE33" s="194">
        <f t="shared" si="59"/>
        <v>6072.5636680749421</v>
      </c>
      <c r="AF33" s="194"/>
      <c r="AG33" s="248">
        <f t="shared" si="60"/>
        <v>240.11000000000004</v>
      </c>
      <c r="AH33" s="248">
        <f t="shared" si="60"/>
        <v>210.65</v>
      </c>
      <c r="AI33" s="248">
        <f t="shared" si="60"/>
        <v>250.81000000000003</v>
      </c>
      <c r="AJ33" s="55"/>
      <c r="AK33" s="134">
        <f t="shared" si="61"/>
        <v>565497.84238663304</v>
      </c>
      <c r="AL33" s="134">
        <f t="shared" si="61"/>
        <v>617892.7291815494</v>
      </c>
      <c r="AM33" s="134">
        <f t="shared" si="61"/>
        <v>196668.88380702803</v>
      </c>
      <c r="AN33" s="134">
        <f t="shared" si="62"/>
        <v>1380059.4553752104</v>
      </c>
      <c r="AO33" s="194"/>
      <c r="AP33" s="194">
        <f t="shared" si="40"/>
        <v>2794.6510137679452</v>
      </c>
      <c r="AQ33" s="194">
        <f t="shared" si="40"/>
        <v>4032.0149317659084</v>
      </c>
      <c r="AR33" s="194">
        <f t="shared" si="40"/>
        <v>1300.544363527601</v>
      </c>
      <c r="AS33" s="231">
        <f t="shared" si="12"/>
        <v>8127.2103090614546</v>
      </c>
      <c r="AT33" s="194"/>
      <c r="AU33" s="219">
        <f t="shared" si="41"/>
        <v>0.76767200699814664</v>
      </c>
      <c r="AV33" s="219">
        <f t="shared" si="41"/>
        <v>0.38838825381761699</v>
      </c>
      <c r="AW33" s="219">
        <f t="shared" si="41"/>
        <v>0.4403312791191244</v>
      </c>
      <c r="AY33" s="248">
        <v>193.13570182389293</v>
      </c>
      <c r="AZ33" s="295">
        <v>159.52294539758608</v>
      </c>
      <c r="BA33" s="248">
        <v>213.25347078940703</v>
      </c>
      <c r="BD33" s="221">
        <f t="shared" si="42"/>
        <v>539746.884896926</v>
      </c>
      <c r="BE33" s="221">
        <f t="shared" si="42"/>
        <v>643198.89780234476</v>
      </c>
      <c r="BF33" s="221">
        <f t="shared" si="42"/>
        <v>277345.59943786124</v>
      </c>
      <c r="BG33" s="221">
        <f t="shared" si="35"/>
        <v>1460291.3821371319</v>
      </c>
      <c r="BH33" s="9"/>
      <c r="BI33" s="329">
        <f t="shared" si="16"/>
        <v>0.12072482348562603</v>
      </c>
      <c r="BJ33" s="329">
        <f t="shared" si="17"/>
        <v>0.10583808148778803</v>
      </c>
      <c r="BK33" s="329">
        <f t="shared" si="36"/>
        <v>0.17484311128167834</v>
      </c>
      <c r="BL33" s="329">
        <f t="shared" si="19"/>
        <v>0.12103682135296699</v>
      </c>
      <c r="BM33" s="9"/>
      <c r="BN33" s="240">
        <f t="shared" si="43"/>
        <v>6435.074252197548</v>
      </c>
      <c r="BO33" s="240">
        <f t="shared" si="44"/>
        <v>14413.417798957922</v>
      </c>
      <c r="BP33" s="240">
        <f t="shared" si="45"/>
        <v>4254.1032524834773</v>
      </c>
      <c r="BQ33" s="240">
        <f t="shared" si="37"/>
        <v>25102.595303638947</v>
      </c>
      <c r="BS33" s="264">
        <f t="shared" si="63"/>
        <v>219.709804932466</v>
      </c>
      <c r="BT33" s="264">
        <f t="shared" si="64"/>
        <v>196.34769846059356</v>
      </c>
      <c r="BU33" s="264">
        <f t="shared" si="65"/>
        <v>239.32839518705103</v>
      </c>
      <c r="BV33" s="264">
        <f t="shared" si="66"/>
        <v>209.62047792989307</v>
      </c>
      <c r="BX33" s="264">
        <f t="shared" si="46"/>
        <v>388.37487184214348</v>
      </c>
      <c r="BY33" s="264">
        <f t="shared" si="47"/>
        <v>272.60683820681152</v>
      </c>
      <c r="BZ33" s="264">
        <f t="shared" si="48"/>
        <v>344.71217356929247</v>
      </c>
      <c r="CA33" s="264">
        <f t="shared" si="49"/>
        <v>309.97930394570437</v>
      </c>
      <c r="CC33" s="221">
        <f t="shared" si="50"/>
        <v>1413848.9086762578</v>
      </c>
      <c r="CD33" s="221">
        <f t="shared" si="51"/>
        <v>2830041.4117763424</v>
      </c>
      <c r="CE33" s="221">
        <f t="shared" si="52"/>
        <v>1018127.7043768847</v>
      </c>
      <c r="CF33" s="221">
        <f t="shared" si="53"/>
        <v>5262018.0248294855</v>
      </c>
    </row>
    <row r="34" spans="2:85">
      <c r="B34" s="21"/>
      <c r="C34" s="9" t="s">
        <v>350</v>
      </c>
      <c r="D34" s="42" t="s">
        <v>447</v>
      </c>
      <c r="G34" s="194">
        <v>56619.56556614078</v>
      </c>
      <c r="H34" s="194">
        <v>32033.355797621083</v>
      </c>
      <c r="I34" s="194">
        <v>101257.50784481918</v>
      </c>
      <c r="J34" s="318">
        <f t="shared" si="38"/>
        <v>189910.42920858104</v>
      </c>
      <c r="K34" s="132"/>
      <c r="L34" s="295">
        <v>208.17399999999998</v>
      </c>
      <c r="M34" s="295">
        <v>204.88916202343208</v>
      </c>
      <c r="N34" s="120">
        <v>310</v>
      </c>
      <c r="O34" s="55"/>
      <c r="P34" s="194">
        <f t="shared" si="54"/>
        <v>11786721.44216579</v>
      </c>
      <c r="Q34" s="194">
        <f t="shared" si="55"/>
        <v>6563287.4261730332</v>
      </c>
      <c r="R34" s="194">
        <f t="shared" si="56"/>
        <v>31389827.431893945</v>
      </c>
      <c r="S34" s="194">
        <f t="shared" si="57"/>
        <v>49739836.300232768</v>
      </c>
      <c r="T34" s="21"/>
      <c r="U34" s="9" t="s">
        <v>172</v>
      </c>
      <c r="V34" s="42" t="s">
        <v>173</v>
      </c>
      <c r="W34" s="194">
        <v>93260.276552952768</v>
      </c>
      <c r="X34" s="194">
        <v>41284.451255530868</v>
      </c>
      <c r="Y34" s="194">
        <v>128140.17808232605</v>
      </c>
      <c r="Z34" s="194">
        <f t="shared" si="39"/>
        <v>262684.90589080972</v>
      </c>
      <c r="AA34" s="55"/>
      <c r="AB34" s="194">
        <f t="shared" si="58"/>
        <v>36640.710986811988</v>
      </c>
      <c r="AC34" s="194">
        <f t="shared" si="58"/>
        <v>9251.0954579097852</v>
      </c>
      <c r="AD34" s="194">
        <f t="shared" si="58"/>
        <v>26882.670237506871</v>
      </c>
      <c r="AE34" s="194">
        <f t="shared" si="59"/>
        <v>72774.476682228647</v>
      </c>
      <c r="AF34" s="194"/>
      <c r="AG34" s="248">
        <f t="shared" si="60"/>
        <v>208.17399999999998</v>
      </c>
      <c r="AH34" s="248">
        <f t="shared" si="60"/>
        <v>204.88916202343208</v>
      </c>
      <c r="AI34" s="248">
        <f t="shared" si="60"/>
        <v>310</v>
      </c>
      <c r="AJ34" s="55"/>
      <c r="AK34" s="134">
        <f t="shared" si="61"/>
        <v>7627643.3689685976</v>
      </c>
      <c r="AL34" s="134">
        <f t="shared" si="61"/>
        <v>1895449.1961699144</v>
      </c>
      <c r="AM34" s="134">
        <f t="shared" si="61"/>
        <v>8333627.7736271303</v>
      </c>
      <c r="AN34" s="134">
        <f t="shared" si="62"/>
        <v>17856720.338765644</v>
      </c>
      <c r="AO34" s="194"/>
      <c r="AP34" s="194">
        <f t="shared" si="40"/>
        <v>43465.255533522446</v>
      </c>
      <c r="AQ34" s="194">
        <f t="shared" si="40"/>
        <v>12441.379122156488</v>
      </c>
      <c r="AR34" s="194">
        <f t="shared" si="40"/>
        <v>44586.847949724004</v>
      </c>
      <c r="AS34" s="231">
        <f t="shared" si="12"/>
        <v>100493.48260540294</v>
      </c>
      <c r="AT34" s="194"/>
      <c r="AU34" s="219">
        <f t="shared" si="41"/>
        <v>0.76767200699814664</v>
      </c>
      <c r="AV34" s="219">
        <f t="shared" si="41"/>
        <v>0.38838825381761694</v>
      </c>
      <c r="AW34" s="219">
        <f t="shared" si="41"/>
        <v>0.4403312791191244</v>
      </c>
      <c r="AY34" s="248">
        <v>193.13570182389293</v>
      </c>
      <c r="AZ34" s="295">
        <v>159.52294539758608</v>
      </c>
      <c r="BA34" s="248">
        <v>213.25347078940703</v>
      </c>
      <c r="BD34" s="221">
        <f t="shared" si="42"/>
        <v>8394692.632421704</v>
      </c>
      <c r="BE34" s="221">
        <f t="shared" si="42"/>
        <v>1984685.4423744369</v>
      </c>
      <c r="BF34" s="221">
        <f t="shared" si="42"/>
        <v>9508300.0768382009</v>
      </c>
      <c r="BG34" s="221">
        <f t="shared" si="35"/>
        <v>19887678.151634343</v>
      </c>
      <c r="BH34" s="9"/>
      <c r="BI34" s="329">
        <f t="shared" si="16"/>
        <v>0.1205333258648601</v>
      </c>
      <c r="BJ34" s="331">
        <f t="shared" si="17"/>
        <v>9.9592552350810062E-2</v>
      </c>
      <c r="BK34" s="329">
        <f t="shared" si="36"/>
        <v>0.17484311128167832</v>
      </c>
      <c r="BL34" s="329">
        <f t="shared" si="19"/>
        <v>0.1459583132884722</v>
      </c>
      <c r="BM34" s="9"/>
      <c r="BN34" s="240">
        <f t="shared" si="43"/>
        <v>100084.82109966323</v>
      </c>
      <c r="BO34" s="240">
        <f t="shared" si="44"/>
        <v>44474.734919777569</v>
      </c>
      <c r="BP34" s="240">
        <f t="shared" si="45"/>
        <v>145844.35579454317</v>
      </c>
      <c r="BQ34" s="240">
        <f t="shared" si="37"/>
        <v>290403.91181398393</v>
      </c>
      <c r="BS34" s="264">
        <f t="shared" si="63"/>
        <v>201.64310484694869</v>
      </c>
      <c r="BT34" s="264">
        <f t="shared" si="64"/>
        <v>192.19839947255656</v>
      </c>
      <c r="BU34" s="264">
        <f t="shared" si="65"/>
        <v>280.42310781191281</v>
      </c>
      <c r="BV34" s="264">
        <f t="shared" si="66"/>
        <v>239.76093853882551</v>
      </c>
      <c r="BX34" s="264">
        <f t="shared" si="46"/>
        <v>356.4388718421435</v>
      </c>
      <c r="BY34" s="264">
        <f t="shared" si="47"/>
        <v>266.84600023024353</v>
      </c>
      <c r="BZ34" s="264">
        <f t="shared" si="48"/>
        <v>403.90217356929247</v>
      </c>
      <c r="CA34" s="264">
        <f t="shared" si="49"/>
        <v>366.63344262886329</v>
      </c>
      <c r="CC34" s="221">
        <f t="shared" si="50"/>
        <v>20181414.074587494</v>
      </c>
      <c r="CD34" s="221">
        <f t="shared" si="51"/>
        <v>8547972.8685474694</v>
      </c>
      <c r="CE34" s="221">
        <f t="shared" si="52"/>
        <v>40898127.508732148</v>
      </c>
      <c r="CF34" s="221">
        <f t="shared" si="53"/>
        <v>69627514.451867104</v>
      </c>
    </row>
    <row r="35" spans="2:85">
      <c r="B35" s="21"/>
      <c r="C35" s="9" t="s">
        <v>519</v>
      </c>
      <c r="D35" s="42" t="s">
        <v>261</v>
      </c>
      <c r="G35" s="194">
        <v>2559</v>
      </c>
      <c r="H35" s="194">
        <v>7141</v>
      </c>
      <c r="I35" s="194">
        <v>2297</v>
      </c>
      <c r="J35" s="318">
        <f t="shared" si="38"/>
        <v>11997</v>
      </c>
      <c r="K35" s="132"/>
      <c r="L35" s="295">
        <v>159.732</v>
      </c>
      <c r="M35" s="295">
        <v>124.252</v>
      </c>
      <c r="N35" s="120">
        <v>114.84</v>
      </c>
      <c r="O35" s="55"/>
      <c r="P35" s="194">
        <f t="shared" si="54"/>
        <v>408754.18800000002</v>
      </c>
      <c r="Q35" s="194">
        <f t="shared" si="55"/>
        <v>887283.53200000001</v>
      </c>
      <c r="R35" s="194">
        <f t="shared" si="56"/>
        <v>263787.48</v>
      </c>
      <c r="S35" s="194">
        <f t="shared" si="57"/>
        <v>1559825.2</v>
      </c>
      <c r="T35" s="21"/>
      <c r="U35" s="9" t="s">
        <v>74</v>
      </c>
      <c r="V35" s="42" t="s">
        <v>75</v>
      </c>
      <c r="W35" s="194">
        <v>9989.6149376420053</v>
      </c>
      <c r="X35" s="194">
        <v>14644.79583276974</v>
      </c>
      <c r="Y35" s="194">
        <v>20388.139406585877</v>
      </c>
      <c r="Z35" s="194">
        <f t="shared" si="39"/>
        <v>45022.550176997625</v>
      </c>
      <c r="AA35" s="55"/>
      <c r="AB35" s="194">
        <f t="shared" si="58"/>
        <v>7430.6149376420053</v>
      </c>
      <c r="AC35" s="194">
        <f t="shared" si="58"/>
        <v>7503.7958327697397</v>
      </c>
      <c r="AD35" s="194">
        <f t="shared" si="58"/>
        <v>18091.139406585877</v>
      </c>
      <c r="AE35" s="194">
        <f t="shared" si="59"/>
        <v>33025.550176997625</v>
      </c>
      <c r="AF35" s="194"/>
      <c r="AG35" s="248">
        <f t="shared" si="60"/>
        <v>159.732</v>
      </c>
      <c r="AH35" s="248">
        <f t="shared" si="60"/>
        <v>124.252</v>
      </c>
      <c r="AI35" s="248">
        <f t="shared" si="60"/>
        <v>114.84</v>
      </c>
      <c r="AJ35" s="55"/>
      <c r="AK35" s="134">
        <f t="shared" si="61"/>
        <v>1186906.9852194327</v>
      </c>
      <c r="AL35" s="134">
        <f t="shared" si="61"/>
        <v>932361.63981330569</v>
      </c>
      <c r="AM35" s="134">
        <f t="shared" si="61"/>
        <v>2077586.4494523222</v>
      </c>
      <c r="AN35" s="134">
        <f t="shared" si="62"/>
        <v>4196855.0744850608</v>
      </c>
      <c r="AO35" s="194"/>
      <c r="AP35" s="194">
        <f t="shared" si="40"/>
        <v>1964.4726659082569</v>
      </c>
      <c r="AQ35" s="194">
        <f t="shared" si="40"/>
        <v>2773.4805205116027</v>
      </c>
      <c r="AR35" s="194">
        <f t="shared" si="40"/>
        <v>1011.4409481366288</v>
      </c>
      <c r="AS35" s="231">
        <f t="shared" si="12"/>
        <v>5749.394134556489</v>
      </c>
      <c r="AT35" s="194"/>
      <c r="AU35" s="219">
        <f t="shared" si="41"/>
        <v>0.76767200699814653</v>
      </c>
      <c r="AV35" s="219">
        <f t="shared" si="41"/>
        <v>0.38838825381761694</v>
      </c>
      <c r="AW35" s="219">
        <f t="shared" si="41"/>
        <v>0.4403312791191244</v>
      </c>
      <c r="AY35" s="248">
        <v>193.13570182389293</v>
      </c>
      <c r="AZ35" s="295">
        <v>159.52294539758608</v>
      </c>
      <c r="BA35" s="248">
        <v>213.25347078940703</v>
      </c>
      <c r="BD35" s="255">
        <f t="shared" si="42"/>
        <v>379409.80704404513</v>
      </c>
      <c r="BE35" s="255">
        <f t="shared" si="42"/>
        <v>442433.781634841</v>
      </c>
      <c r="BF35" s="255">
        <f t="shared" si="42"/>
        <v>215693.29268866472</v>
      </c>
      <c r="BG35" s="255">
        <f>BD35+BE35+BF35</f>
        <v>1037536.8813675509</v>
      </c>
      <c r="BH35" s="9"/>
      <c r="BI35" s="329">
        <f t="shared" si="16"/>
        <v>-2.136046217949882</v>
      </c>
      <c r="BJ35" s="329">
        <f t="shared" si="17"/>
        <v>-0.66241637197285208</v>
      </c>
      <c r="BK35" s="329">
        <f t="shared" si="36"/>
        <v>-7.4356545313231388</v>
      </c>
      <c r="BL35" s="329">
        <f t="shared" si="19"/>
        <v>-2.273581398886483</v>
      </c>
      <c r="BM35" s="9"/>
      <c r="BN35" s="240">
        <f t="shared" si="43"/>
        <v>4523.4726659082571</v>
      </c>
      <c r="BO35" s="240">
        <f t="shared" si="44"/>
        <v>9914.4805205116027</v>
      </c>
      <c r="BP35" s="240">
        <f t="shared" si="45"/>
        <v>3308.4409481366288</v>
      </c>
      <c r="BQ35" s="240">
        <f t="shared" si="37"/>
        <v>17746.394134556489</v>
      </c>
      <c r="BS35" s="264">
        <f t="shared" si="63"/>
        <v>174.23869961327412</v>
      </c>
      <c r="BT35" s="264">
        <f t="shared" si="64"/>
        <v>134.11870756958484</v>
      </c>
      <c r="BU35" s="264">
        <f t="shared" si="65"/>
        <v>144.92650169824449</v>
      </c>
      <c r="BV35" s="264">
        <f t="shared" si="66"/>
        <v>146.35999074932428</v>
      </c>
      <c r="BX35" s="264">
        <f t="shared" si="46"/>
        <v>307.99687184214349</v>
      </c>
      <c r="BY35" s="264">
        <f t="shared" si="47"/>
        <v>186.20883820681152</v>
      </c>
      <c r="BZ35" s="264">
        <f t="shared" si="48"/>
        <v>208.74217356929245</v>
      </c>
      <c r="CA35" s="264">
        <f t="shared" si="49"/>
        <v>216.50096535530136</v>
      </c>
      <c r="CC35" s="221">
        <f t="shared" si="50"/>
        <v>788163.99504404515</v>
      </c>
      <c r="CD35" s="221">
        <f t="shared" si="51"/>
        <v>1329717.313634841</v>
      </c>
      <c r="CE35" s="221">
        <f t="shared" si="52"/>
        <v>479480.77268866473</v>
      </c>
      <c r="CF35" s="221">
        <f t="shared" si="53"/>
        <v>2597362.0813675504</v>
      </c>
    </row>
    <row r="36" spans="2:85">
      <c r="B36" s="21"/>
      <c r="C36" s="9" t="s">
        <v>262</v>
      </c>
      <c r="D36" s="42" t="s">
        <v>188</v>
      </c>
      <c r="G36" s="194">
        <v>201.631472433412</v>
      </c>
      <c r="H36" s="194">
        <v>415.55032600872619</v>
      </c>
      <c r="I36" s="194">
        <v>159.4840128206024</v>
      </c>
      <c r="J36" s="318">
        <f t="shared" si="38"/>
        <v>776.66581126274059</v>
      </c>
      <c r="K36" s="132"/>
      <c r="L36" s="295">
        <v>48.55</v>
      </c>
      <c r="M36" s="295">
        <v>48.550000000000004</v>
      </c>
      <c r="N36" s="120">
        <v>48.55</v>
      </c>
      <c r="O36" s="55"/>
      <c r="P36" s="194">
        <f t="shared" si="54"/>
        <v>9789.2079866421518</v>
      </c>
      <c r="Q36" s="194">
        <f t="shared" si="55"/>
        <v>20174.968327723658</v>
      </c>
      <c r="R36" s="194">
        <f t="shared" si="56"/>
        <v>7742.9488224402457</v>
      </c>
      <c r="S36" s="194">
        <f t="shared" si="57"/>
        <v>37707.125136806055</v>
      </c>
      <c r="T36" s="21"/>
      <c r="U36" s="9" t="s">
        <v>550</v>
      </c>
      <c r="V36" s="225" t="s">
        <v>100</v>
      </c>
      <c r="W36" s="194">
        <v>3506.105148152772</v>
      </c>
      <c r="X36" s="194">
        <v>2991.962805001695</v>
      </c>
      <c r="Y36" s="194">
        <v>5695.3370461554823</v>
      </c>
      <c r="Z36" s="194">
        <f t="shared" si="39"/>
        <v>12193.404999309949</v>
      </c>
      <c r="AA36" s="55"/>
      <c r="AB36" s="194">
        <f t="shared" si="58"/>
        <v>3304.47367571936</v>
      </c>
      <c r="AC36" s="194">
        <f t="shared" si="58"/>
        <v>2576.4124789929688</v>
      </c>
      <c r="AD36" s="194">
        <f t="shared" si="58"/>
        <v>5535.8530333348799</v>
      </c>
      <c r="AE36" s="194">
        <f t="shared" si="59"/>
        <v>11416.73918804721</v>
      </c>
      <c r="AF36" s="194"/>
      <c r="AG36" s="248">
        <f t="shared" si="60"/>
        <v>48.55</v>
      </c>
      <c r="AH36" s="248">
        <f t="shared" si="60"/>
        <v>48.550000000000004</v>
      </c>
      <c r="AI36" s="248">
        <f t="shared" si="60"/>
        <v>48.55</v>
      </c>
      <c r="AJ36" s="55"/>
      <c r="AK36" s="134">
        <f t="shared" si="61"/>
        <v>160432.19695617491</v>
      </c>
      <c r="AL36" s="134">
        <f t="shared" si="61"/>
        <v>125084.82585510865</v>
      </c>
      <c r="AM36" s="134">
        <f t="shared" si="61"/>
        <v>268765.6647684084</v>
      </c>
      <c r="AN36" s="134">
        <f t="shared" si="62"/>
        <v>554282.68757969199</v>
      </c>
      <c r="AO36" s="194"/>
      <c r="AP36" s="233"/>
      <c r="AQ36" s="233"/>
      <c r="AR36" s="233"/>
      <c r="AS36" s="233"/>
      <c r="AT36" s="233"/>
      <c r="AU36" s="219"/>
      <c r="AV36" s="219"/>
      <c r="AW36" s="219"/>
      <c r="AY36" s="120"/>
      <c r="AZ36" s="120"/>
      <c r="BA36" s="120"/>
      <c r="BD36" s="5"/>
      <c r="BE36" s="5"/>
      <c r="BF36" s="5"/>
      <c r="BG36" s="221"/>
      <c r="BH36" s="9"/>
      <c r="BI36" s="329">
        <f t="shared" si="16"/>
        <v>-16.388679980555363</v>
      </c>
      <c r="BJ36" s="329">
        <f t="shared" si="17"/>
        <v>-6.2000011015245029</v>
      </c>
      <c r="BK36" s="329">
        <f t="shared" si="36"/>
        <v>-34.711021722045295</v>
      </c>
      <c r="BL36" s="329">
        <f t="shared" si="19"/>
        <v>-14.699680380529854</v>
      </c>
      <c r="BM36" s="9"/>
      <c r="BN36" s="240">
        <f t="shared" si="43"/>
        <v>201.631472433412</v>
      </c>
      <c r="BO36" s="240">
        <f t="shared" si="44"/>
        <v>415.55032600872619</v>
      </c>
      <c r="BP36" s="240">
        <f t="shared" si="45"/>
        <v>159.4840128206024</v>
      </c>
      <c r="BQ36" s="240">
        <f t="shared" si="37"/>
        <v>776.66581126274059</v>
      </c>
      <c r="BS36" s="264">
        <f t="shared" si="63"/>
        <v>48.55</v>
      </c>
      <c r="BT36" s="264">
        <f t="shared" si="64"/>
        <v>48.550000000000004</v>
      </c>
      <c r="BU36" s="264">
        <f t="shared" si="65"/>
        <v>48.55</v>
      </c>
      <c r="BV36" s="264">
        <f t="shared" si="66"/>
        <v>48.55</v>
      </c>
      <c r="BX36" s="264">
        <f t="shared" si="46"/>
        <v>48.55</v>
      </c>
      <c r="BY36" s="264">
        <f t="shared" si="47"/>
        <v>48.550000000000004</v>
      </c>
      <c r="BZ36" s="264">
        <f t="shared" si="48"/>
        <v>48.55</v>
      </c>
      <c r="CA36" s="264">
        <f t="shared" si="49"/>
        <v>48.55</v>
      </c>
      <c r="CC36" s="221">
        <f t="shared" si="50"/>
        <v>9789.2079866421518</v>
      </c>
      <c r="CD36" s="221">
        <f t="shared" si="51"/>
        <v>20174.968327723658</v>
      </c>
      <c r="CE36" s="221">
        <f t="shared" si="52"/>
        <v>7742.9488224402457</v>
      </c>
      <c r="CF36" s="221">
        <f t="shared" si="53"/>
        <v>37707.125136806055</v>
      </c>
    </row>
    <row r="37" spans="2:85">
      <c r="B37" s="21"/>
      <c r="C37" s="42" t="s">
        <v>165</v>
      </c>
      <c r="D37" s="41" t="s">
        <v>269</v>
      </c>
      <c r="G37" s="194">
        <v>20644.363654471883</v>
      </c>
      <c r="H37" s="194">
        <v>32433.40982316939</v>
      </c>
      <c r="I37" s="194">
        <v>6921.9195493771931</v>
      </c>
      <c r="J37" s="318">
        <f t="shared" si="38"/>
        <v>59999.69302701846</v>
      </c>
      <c r="K37" s="132"/>
      <c r="L37" s="295">
        <v>111.34355725743856</v>
      </c>
      <c r="M37" s="295">
        <v>104.4330788124533</v>
      </c>
      <c r="N37" s="120">
        <v>106.84</v>
      </c>
      <c r="O37" s="55"/>
      <c r="P37" s="194">
        <f t="shared" si="54"/>
        <v>2298616.8866050737</v>
      </c>
      <c r="Q37" s="194">
        <f t="shared" si="55"/>
        <v>3387120.844219646</v>
      </c>
      <c r="R37" s="194">
        <f t="shared" si="56"/>
        <v>739537.88465545932</v>
      </c>
      <c r="S37" s="194">
        <f t="shared" si="57"/>
        <v>6425275.615480179</v>
      </c>
      <c r="T37" s="21"/>
      <c r="U37" s="225" t="s">
        <v>101</v>
      </c>
      <c r="V37" s="226" t="s">
        <v>379</v>
      </c>
      <c r="W37" s="194">
        <v>20644.363654471883</v>
      </c>
      <c r="X37" s="194">
        <v>32433.40982316939</v>
      </c>
      <c r="Y37" s="194">
        <v>6921.9195493771931</v>
      </c>
      <c r="Z37" s="194">
        <f t="shared" si="39"/>
        <v>59999.69302701846</v>
      </c>
      <c r="AA37" s="55"/>
      <c r="AB37" s="55"/>
      <c r="AC37" s="55"/>
      <c r="AD37" s="55"/>
      <c r="AE37" s="55"/>
      <c r="AF37" s="194"/>
      <c r="AG37" s="194"/>
      <c r="AH37" s="194"/>
      <c r="AI37" s="194"/>
      <c r="AJ37" s="55"/>
      <c r="AK37" s="134"/>
      <c r="AL37" s="134"/>
      <c r="AM37" s="134"/>
      <c r="AN37" s="134"/>
      <c r="AO37" s="194"/>
      <c r="AP37" s="233"/>
      <c r="AQ37" s="233"/>
      <c r="AR37" s="233"/>
      <c r="AS37" s="233"/>
      <c r="AT37" s="233"/>
      <c r="AU37" s="219"/>
      <c r="AV37" s="219"/>
      <c r="AW37" s="219"/>
      <c r="AY37" s="120"/>
      <c r="AZ37" s="120"/>
      <c r="BA37" s="120"/>
      <c r="BD37" s="5"/>
      <c r="BE37" s="5"/>
      <c r="BF37" s="5"/>
      <c r="BG37" s="221"/>
      <c r="BH37" s="314"/>
      <c r="BI37" s="314"/>
      <c r="BJ37" s="314"/>
      <c r="BK37" s="314"/>
      <c r="BL37" s="314"/>
      <c r="BM37" s="9"/>
      <c r="BN37" s="240">
        <f t="shared" si="43"/>
        <v>20644.363654471883</v>
      </c>
      <c r="BO37" s="240">
        <f t="shared" si="44"/>
        <v>32433.40982316939</v>
      </c>
      <c r="BP37" s="240">
        <f t="shared" si="45"/>
        <v>6921.9195493771931</v>
      </c>
      <c r="BQ37" s="240">
        <f t="shared" si="37"/>
        <v>59999.69302701846</v>
      </c>
      <c r="BS37" s="264">
        <f t="shared" si="63"/>
        <v>111.34355725743856</v>
      </c>
      <c r="BT37" s="264">
        <f t="shared" si="64"/>
        <v>104.4330788124533</v>
      </c>
      <c r="BU37" s="264">
        <f t="shared" si="65"/>
        <v>106.84</v>
      </c>
      <c r="BV37" s="264">
        <f t="shared" si="66"/>
        <v>107.08847481247635</v>
      </c>
      <c r="BX37" s="264">
        <f t="shared" si="46"/>
        <v>111.34355725743856</v>
      </c>
      <c r="BY37" s="264">
        <f t="shared" si="47"/>
        <v>104.4330788124533</v>
      </c>
      <c r="BZ37" s="264">
        <f t="shared" si="48"/>
        <v>106.84</v>
      </c>
      <c r="CA37" s="264">
        <f t="shared" si="49"/>
        <v>107.08847481247635</v>
      </c>
      <c r="CC37" s="221">
        <f t="shared" si="50"/>
        <v>2298616.8866050737</v>
      </c>
      <c r="CD37" s="221">
        <f t="shared" si="51"/>
        <v>3387120.844219646</v>
      </c>
      <c r="CE37" s="221">
        <f t="shared" si="52"/>
        <v>739537.88465545932</v>
      </c>
      <c r="CF37" s="221">
        <f t="shared" si="53"/>
        <v>6425275.615480179</v>
      </c>
    </row>
    <row r="38" spans="2:85">
      <c r="B38" s="21"/>
      <c r="C38" s="42" t="s">
        <v>19</v>
      </c>
      <c r="D38" s="41" t="s">
        <v>121</v>
      </c>
      <c r="G38" s="194">
        <v>755.51977508935306</v>
      </c>
      <c r="H38" s="194">
        <v>2003.1246358252829</v>
      </c>
      <c r="I38" s="194">
        <v>7721.8719526795594</v>
      </c>
      <c r="J38" s="318">
        <f t="shared" si="38"/>
        <v>10480.516363594195</v>
      </c>
      <c r="K38" s="132"/>
      <c r="L38" s="295">
        <v>112.82318494448573</v>
      </c>
      <c r="M38" s="295">
        <v>104.1336143104833</v>
      </c>
      <c r="N38" s="120">
        <v>106.84</v>
      </c>
      <c r="O38" s="55"/>
      <c r="P38" s="194">
        <f t="shared" si="54"/>
        <v>85240.14731412234</v>
      </c>
      <c r="Q38" s="194">
        <f t="shared" si="55"/>
        <v>208592.60824285733</v>
      </c>
      <c r="R38" s="194">
        <f t="shared" si="56"/>
        <v>825004.79942428414</v>
      </c>
      <c r="S38" s="194">
        <f t="shared" si="57"/>
        <v>1118837.5549812638</v>
      </c>
      <c r="T38" s="21"/>
      <c r="U38" s="225" t="s">
        <v>135</v>
      </c>
      <c r="V38" s="226" t="s">
        <v>378</v>
      </c>
      <c r="W38" s="194">
        <v>755.51977508935306</v>
      </c>
      <c r="X38" s="194">
        <v>2003.1246358252829</v>
      </c>
      <c r="Y38" s="194">
        <v>7721.8719526795594</v>
      </c>
      <c r="Z38" s="194">
        <f t="shared" si="39"/>
        <v>10480.516363594195</v>
      </c>
      <c r="AA38" s="55"/>
      <c r="AB38" s="55"/>
      <c r="AC38" s="55"/>
      <c r="AD38" s="55"/>
      <c r="AE38" s="55"/>
      <c r="AF38" s="194"/>
      <c r="AG38" s="194"/>
      <c r="AH38" s="194"/>
      <c r="AI38" s="194"/>
      <c r="AJ38" s="55"/>
      <c r="AK38" s="134"/>
      <c r="AL38" s="134"/>
      <c r="AM38" s="134"/>
      <c r="AN38" s="134"/>
      <c r="AO38" s="194"/>
      <c r="AP38" s="233"/>
      <c r="AQ38" s="233"/>
      <c r="AR38" s="233"/>
      <c r="AS38" s="233"/>
      <c r="AT38" s="233"/>
      <c r="AU38" s="219"/>
      <c r="AV38" s="219"/>
      <c r="AW38" s="219"/>
      <c r="AY38" s="120"/>
      <c r="AZ38" s="120"/>
      <c r="BA38" s="120"/>
      <c r="BD38" s="5"/>
      <c r="BE38" s="5"/>
      <c r="BF38" s="5"/>
      <c r="BG38" s="221"/>
      <c r="BH38" s="314"/>
      <c r="BI38" s="314"/>
      <c r="BJ38" s="314"/>
      <c r="BK38" s="314"/>
      <c r="BL38" s="314"/>
      <c r="BM38" s="9"/>
      <c r="BN38" s="240">
        <f t="shared" si="43"/>
        <v>755.51977508935306</v>
      </c>
      <c r="BO38" s="240">
        <f t="shared" si="44"/>
        <v>2003.1246358252829</v>
      </c>
      <c r="BP38" s="240">
        <f t="shared" si="45"/>
        <v>7721.8719526795594</v>
      </c>
      <c r="BQ38" s="240">
        <f t="shared" si="37"/>
        <v>10480.516363594195</v>
      </c>
      <c r="BS38" s="264">
        <f t="shared" si="63"/>
        <v>112.82318494448573</v>
      </c>
      <c r="BT38" s="264">
        <f t="shared" si="64"/>
        <v>104.1336143104833</v>
      </c>
      <c r="BU38" s="264">
        <f t="shared" si="65"/>
        <v>106.84</v>
      </c>
      <c r="BV38" s="264">
        <f t="shared" si="66"/>
        <v>106.75404876688432</v>
      </c>
      <c r="BX38" s="264">
        <f t="shared" si="46"/>
        <v>112.82318494448573</v>
      </c>
      <c r="BY38" s="264">
        <f t="shared" si="47"/>
        <v>104.1336143104833</v>
      </c>
      <c r="BZ38" s="264">
        <f t="shared" si="48"/>
        <v>106.84</v>
      </c>
      <c r="CA38" s="264">
        <f t="shared" si="49"/>
        <v>106.75404876688432</v>
      </c>
      <c r="CC38" s="221">
        <f t="shared" si="50"/>
        <v>85240.14731412234</v>
      </c>
      <c r="CD38" s="221">
        <f t="shared" si="51"/>
        <v>208592.60824285733</v>
      </c>
      <c r="CE38" s="221">
        <f t="shared" si="52"/>
        <v>825004.79942428414</v>
      </c>
      <c r="CF38" s="221">
        <f t="shared" si="53"/>
        <v>1118837.5549812638</v>
      </c>
    </row>
    <row r="39" spans="2:85">
      <c r="B39" s="21"/>
      <c r="C39" s="9" t="s">
        <v>193</v>
      </c>
      <c r="D39" s="42" t="s">
        <v>352</v>
      </c>
      <c r="G39" s="194">
        <v>32911.338985626855</v>
      </c>
      <c r="H39" s="194">
        <v>6948.3876391959402</v>
      </c>
      <c r="I39" s="194">
        <v>0</v>
      </c>
      <c r="J39" s="318">
        <f t="shared" si="38"/>
        <v>39859.726624822797</v>
      </c>
      <c r="K39" s="132"/>
      <c r="L39" s="295">
        <v>55.625</v>
      </c>
      <c r="M39" s="295">
        <v>52.01</v>
      </c>
      <c r="N39" s="120"/>
      <c r="O39" s="55"/>
      <c r="P39" s="194">
        <f t="shared" si="54"/>
        <v>1830693.2310754939</v>
      </c>
      <c r="Q39" s="194">
        <f t="shared" si="55"/>
        <v>361385.64111458085</v>
      </c>
      <c r="R39" s="194">
        <f t="shared" si="56"/>
        <v>0</v>
      </c>
      <c r="S39" s="194">
        <f t="shared" si="57"/>
        <v>2192078.8721900745</v>
      </c>
      <c r="T39" s="21"/>
      <c r="U39" s="9" t="s">
        <v>164</v>
      </c>
      <c r="V39" s="225" t="s">
        <v>331</v>
      </c>
      <c r="W39" s="194">
        <v>32911.338985626855</v>
      </c>
      <c r="X39" s="194">
        <v>6948.3876391959402</v>
      </c>
      <c r="Y39" s="194">
        <v>0</v>
      </c>
      <c r="Z39" s="194">
        <f t="shared" si="39"/>
        <v>39859.726624822797</v>
      </c>
      <c r="AA39" s="55"/>
      <c r="AB39" s="55"/>
      <c r="AC39" s="55"/>
      <c r="AD39" s="55"/>
      <c r="AE39" s="55"/>
      <c r="AF39" s="194"/>
      <c r="AG39" s="194"/>
      <c r="AH39" s="194"/>
      <c r="AI39" s="194"/>
      <c r="AJ39" s="55"/>
      <c r="AK39" s="134"/>
      <c r="AL39" s="134"/>
      <c r="AM39" s="134"/>
      <c r="AN39" s="134"/>
      <c r="AO39" s="194"/>
      <c r="AP39" s="233"/>
      <c r="AQ39" s="233"/>
      <c r="AR39" s="233"/>
      <c r="AS39" s="233"/>
      <c r="AT39" s="233"/>
      <c r="AU39" s="219"/>
      <c r="AV39" s="219"/>
      <c r="AW39" s="219"/>
      <c r="AY39" s="120"/>
      <c r="AZ39" s="120"/>
      <c r="BA39" s="120"/>
      <c r="BD39" s="5"/>
      <c r="BE39" s="5"/>
      <c r="BF39" s="5"/>
      <c r="BG39" s="221"/>
      <c r="BH39" s="314"/>
      <c r="BI39" s="314"/>
      <c r="BJ39" s="314"/>
      <c r="BK39" s="314"/>
      <c r="BL39" s="314"/>
      <c r="BM39" s="9"/>
      <c r="BN39" s="240">
        <f t="shared" si="43"/>
        <v>32911.338985626855</v>
      </c>
      <c r="BO39" s="240">
        <f t="shared" si="44"/>
        <v>6948.3876391959402</v>
      </c>
      <c r="BP39" s="240">
        <f t="shared" si="45"/>
        <v>0</v>
      </c>
      <c r="BQ39" s="240">
        <f t="shared" si="37"/>
        <v>39859.726624822797</v>
      </c>
      <c r="BS39" s="264">
        <f t="shared" si="63"/>
        <v>55.625</v>
      </c>
      <c r="BT39" s="264">
        <f t="shared" si="64"/>
        <v>52.01</v>
      </c>
      <c r="BU39" s="264"/>
      <c r="BV39" s="264">
        <f t="shared" si="66"/>
        <v>54.994829563756944</v>
      </c>
      <c r="BX39" s="264">
        <f>CC39/G39</f>
        <v>55.625</v>
      </c>
      <c r="BY39" s="264">
        <f>CD39/H39</f>
        <v>52.01</v>
      </c>
      <c r="BZ39" s="264"/>
      <c r="CA39" s="264">
        <f>CF39/J39</f>
        <v>54.994829563756944</v>
      </c>
      <c r="CC39" s="221">
        <f>P39+BD39</f>
        <v>1830693.2310754939</v>
      </c>
      <c r="CD39" s="221">
        <f>Q39+BE39</f>
        <v>361385.64111458085</v>
      </c>
      <c r="CE39" s="221"/>
      <c r="CF39" s="221">
        <f t="shared" si="53"/>
        <v>2192078.8721900745</v>
      </c>
    </row>
    <row r="40" spans="2:85">
      <c r="B40" s="21"/>
      <c r="C40" s="41" t="s">
        <v>496</v>
      </c>
      <c r="D40" s="41" t="s">
        <v>260</v>
      </c>
      <c r="G40" s="194"/>
      <c r="H40" s="194"/>
      <c r="I40" s="194">
        <v>10810</v>
      </c>
      <c r="J40" s="318">
        <f t="shared" si="38"/>
        <v>10810</v>
      </c>
      <c r="K40" s="132"/>
      <c r="L40" s="295"/>
      <c r="M40" s="295"/>
      <c r="N40" s="120">
        <v>153.28962840000003</v>
      </c>
      <c r="O40" s="55"/>
      <c r="P40" s="194">
        <f t="shared" si="54"/>
        <v>0</v>
      </c>
      <c r="Q40" s="194">
        <f t="shared" si="55"/>
        <v>0</v>
      </c>
      <c r="R40" s="194">
        <f t="shared" si="56"/>
        <v>1657060.8830040002</v>
      </c>
      <c r="S40" s="194">
        <f t="shared" si="57"/>
        <v>1657060.8830040002</v>
      </c>
      <c r="T40" s="21" t="s">
        <v>446</v>
      </c>
      <c r="U40" s="226" t="s">
        <v>510</v>
      </c>
      <c r="V40" s="226" t="s">
        <v>300</v>
      </c>
      <c r="W40" s="194"/>
      <c r="X40" s="194"/>
      <c r="Y40" s="194">
        <v>10810</v>
      </c>
      <c r="Z40" s="194">
        <f t="shared" si="39"/>
        <v>10810</v>
      </c>
      <c r="AA40" s="55"/>
      <c r="AB40" s="55"/>
      <c r="AC40" s="55"/>
      <c r="AD40" s="55"/>
      <c r="AE40" s="55"/>
      <c r="AF40" s="194"/>
      <c r="AG40" s="194"/>
      <c r="AH40" s="194"/>
      <c r="AI40" s="194"/>
      <c r="AJ40" s="55"/>
      <c r="AK40" s="134"/>
      <c r="AL40" s="134"/>
      <c r="AM40" s="134"/>
      <c r="AN40" s="134"/>
      <c r="AO40" s="194"/>
      <c r="AP40" s="233"/>
      <c r="AQ40" s="233"/>
      <c r="AR40" s="233"/>
      <c r="AS40" s="233"/>
      <c r="AT40" s="233"/>
      <c r="AU40" s="219"/>
      <c r="AV40" s="219"/>
      <c r="AW40" s="219"/>
      <c r="AY40" s="120"/>
      <c r="AZ40" s="120"/>
      <c r="BA40" s="120"/>
      <c r="BD40" s="5"/>
      <c r="BE40" s="5"/>
      <c r="BF40" s="5"/>
      <c r="BG40" s="221"/>
      <c r="BH40" s="314"/>
      <c r="BI40" s="314"/>
      <c r="BJ40" s="314"/>
      <c r="BK40" s="329">
        <f>(AR40-AD40)/I40</f>
        <v>0</v>
      </c>
      <c r="BL40" s="329">
        <f>(AS40-AE40)/J40</f>
        <v>0</v>
      </c>
      <c r="BM40" s="9"/>
      <c r="BN40" s="239"/>
      <c r="BO40" s="239"/>
      <c r="BP40" s="240">
        <f>I40+AR40</f>
        <v>10810</v>
      </c>
      <c r="BQ40" s="240">
        <f>BN40+BO40+BP40</f>
        <v>10810</v>
      </c>
      <c r="BS40" s="55"/>
      <c r="BT40" s="55"/>
      <c r="BU40" s="264">
        <f t="shared" si="65"/>
        <v>153.28962840000003</v>
      </c>
      <c r="BV40" s="264">
        <f t="shared" si="66"/>
        <v>153.28962840000003</v>
      </c>
      <c r="BZ40" s="264">
        <f>CE40/I40</f>
        <v>153.28962840000003</v>
      </c>
      <c r="CA40" s="264">
        <f>CF40/J40</f>
        <v>153.28962840000003</v>
      </c>
      <c r="CC40" s="221"/>
      <c r="CD40" s="221"/>
      <c r="CE40" s="221">
        <f>R40+BF40</f>
        <v>1657060.8830040002</v>
      </c>
      <c r="CF40" s="221">
        <f t="shared" si="53"/>
        <v>1657060.8830040002</v>
      </c>
    </row>
    <row r="41" spans="2:85">
      <c r="B41" s="21" t="s">
        <v>399</v>
      </c>
      <c r="C41" s="41" t="s">
        <v>461</v>
      </c>
      <c r="D41" s="41" t="s">
        <v>4</v>
      </c>
      <c r="G41" s="194"/>
      <c r="H41" s="194"/>
      <c r="I41" s="194">
        <v>690</v>
      </c>
      <c r="J41" s="318">
        <f t="shared" si="38"/>
        <v>690</v>
      </c>
      <c r="K41" s="132"/>
      <c r="L41" s="120"/>
      <c r="M41" s="120"/>
      <c r="N41" s="120">
        <v>153.28962840000003</v>
      </c>
      <c r="O41" s="55"/>
      <c r="P41" s="194">
        <f t="shared" si="54"/>
        <v>0</v>
      </c>
      <c r="Q41" s="194">
        <f t="shared" si="55"/>
        <v>0</v>
      </c>
      <c r="R41" s="194">
        <f t="shared" si="56"/>
        <v>105769.84359600002</v>
      </c>
      <c r="S41" s="194">
        <f t="shared" si="57"/>
        <v>105769.84359600002</v>
      </c>
      <c r="T41" s="21" t="s">
        <v>341</v>
      </c>
      <c r="U41" s="41" t="s">
        <v>301</v>
      </c>
      <c r="V41" s="41" t="s">
        <v>302</v>
      </c>
      <c r="W41" s="194"/>
      <c r="X41" s="194"/>
      <c r="Y41" s="194">
        <v>690</v>
      </c>
      <c r="Z41" s="194">
        <f t="shared" si="39"/>
        <v>690</v>
      </c>
      <c r="AA41" s="55"/>
      <c r="AB41" s="55"/>
      <c r="AC41" s="55"/>
      <c r="AD41" s="55"/>
      <c r="AE41" s="55"/>
      <c r="AF41" s="194"/>
      <c r="AG41" s="194"/>
      <c r="AH41" s="194"/>
      <c r="AI41" s="194"/>
      <c r="AJ41" s="55"/>
      <c r="AK41" s="134"/>
      <c r="AL41" s="134"/>
      <c r="AM41" s="134"/>
      <c r="AN41" s="134"/>
      <c r="AO41" s="194"/>
      <c r="AP41" s="233"/>
      <c r="AQ41" s="233"/>
      <c r="AR41" s="233"/>
      <c r="AS41" s="233"/>
      <c r="AT41" s="233"/>
      <c r="AU41" s="219"/>
      <c r="AV41" s="219"/>
      <c r="AW41" s="219"/>
      <c r="AY41" s="120"/>
      <c r="AZ41" s="120"/>
      <c r="BA41" s="120"/>
      <c r="BD41" s="5"/>
      <c r="BE41" s="5"/>
      <c r="BF41" s="5"/>
      <c r="BG41" s="221"/>
      <c r="BH41" s="314"/>
      <c r="BI41" s="314"/>
      <c r="BJ41" s="314"/>
      <c r="BK41" s="329">
        <f>(AR41-AD41)/I41</f>
        <v>0</v>
      </c>
      <c r="BL41" s="329">
        <f>(AS41-AE41)/J41</f>
        <v>0</v>
      </c>
      <c r="BM41" s="9"/>
      <c r="BN41" s="239"/>
      <c r="BO41" s="239"/>
      <c r="BP41" s="240">
        <f>I41+AR41</f>
        <v>690</v>
      </c>
      <c r="BQ41" s="240">
        <f>BN41+BO41+BP41</f>
        <v>690</v>
      </c>
      <c r="BS41" s="55"/>
      <c r="BT41" s="55"/>
      <c r="BU41" s="264">
        <f t="shared" si="65"/>
        <v>153.28962840000003</v>
      </c>
      <c r="BV41" s="264">
        <f t="shared" si="66"/>
        <v>153.28962840000003</v>
      </c>
      <c r="BZ41" s="264">
        <f>CE41/I41</f>
        <v>153.28962840000003</v>
      </c>
      <c r="CA41" s="264">
        <f>CF41/J41</f>
        <v>153.28962840000003</v>
      </c>
      <c r="CC41" s="221"/>
      <c r="CD41" s="221"/>
      <c r="CE41" s="221">
        <f>R41+BF41</f>
        <v>105769.84359600002</v>
      </c>
      <c r="CF41" s="221">
        <f t="shared" si="53"/>
        <v>105769.84359600002</v>
      </c>
    </row>
    <row r="42" spans="2:85">
      <c r="B42" s="22" t="s">
        <v>130</v>
      </c>
      <c r="C42" s="9" t="s">
        <v>268</v>
      </c>
      <c r="D42" s="42" t="s">
        <v>507</v>
      </c>
      <c r="G42" s="239">
        <v>780.82950551405679</v>
      </c>
      <c r="H42" s="130">
        <f>0.35*X42/0.9</f>
        <v>6316.5595146260684</v>
      </c>
      <c r="I42" s="130">
        <f>0.35*Y42/0.9</f>
        <v>88938.200800044797</v>
      </c>
      <c r="J42" s="318">
        <f t="shared" si="38"/>
        <v>96035.58982018492</v>
      </c>
      <c r="K42" s="132"/>
      <c r="L42" s="120">
        <v>59.049078565500004</v>
      </c>
      <c r="M42" s="120">
        <v>48.07188</v>
      </c>
      <c r="N42" s="120">
        <v>45.54</v>
      </c>
      <c r="O42" s="55"/>
      <c r="P42" s="194">
        <f t="shared" si="54"/>
        <v>46107.262817360061</v>
      </c>
      <c r="Q42" s="130">
        <f t="shared" si="55"/>
        <v>303648.89099996263</v>
      </c>
      <c r="R42" s="130">
        <f t="shared" si="56"/>
        <v>4050245.66443404</v>
      </c>
      <c r="S42" s="194">
        <f t="shared" si="57"/>
        <v>4400001.818251363</v>
      </c>
      <c r="T42" s="22" t="s">
        <v>342</v>
      </c>
      <c r="U42" s="9" t="s">
        <v>83</v>
      </c>
      <c r="V42" s="42" t="s">
        <v>457</v>
      </c>
      <c r="W42" s="194">
        <v>2230.9414443258765</v>
      </c>
      <c r="X42" s="130">
        <v>16242.581609038461</v>
      </c>
      <c r="Y42" s="130">
        <v>228698.23062868664</v>
      </c>
      <c r="Z42" s="194">
        <f t="shared" si="39"/>
        <v>247171.75368205097</v>
      </c>
      <c r="AA42" s="55"/>
      <c r="AB42" s="194">
        <f>W42-G42</f>
        <v>1450.1119388118198</v>
      </c>
      <c r="AC42" s="194">
        <f>X42-H42</f>
        <v>9926.0220944123939</v>
      </c>
      <c r="AD42" s="194">
        <f>Y42-I42</f>
        <v>139760.02982864185</v>
      </c>
      <c r="AE42" s="194">
        <f t="shared" si="59"/>
        <v>151136.16386186608</v>
      </c>
      <c r="AF42" s="194"/>
      <c r="AG42" s="248">
        <f>L42</f>
        <v>59.049078565500004</v>
      </c>
      <c r="AH42" s="248">
        <f>M42</f>
        <v>48.07188</v>
      </c>
      <c r="AI42" s="248">
        <f>N42</f>
        <v>45.54</v>
      </c>
      <c r="AJ42" s="55"/>
      <c r="AK42" s="134">
        <f>AB42*AG42</f>
        <v>85627.773803668679</v>
      </c>
      <c r="AL42" s="134">
        <f>AC42*AH42</f>
        <v>477162.54299994127</v>
      </c>
      <c r="AM42" s="134">
        <f>AD42*AI42</f>
        <v>6364671.7583963498</v>
      </c>
      <c r="AN42" s="134">
        <f t="shared" si="62"/>
        <v>6927462.0751999598</v>
      </c>
      <c r="AO42" s="194"/>
      <c r="AP42" s="246">
        <f>AB42</f>
        <v>1450.1119388118198</v>
      </c>
      <c r="AQ42" s="246">
        <f>AC42</f>
        <v>9926.0220944123939</v>
      </c>
      <c r="AR42" s="246">
        <f>AD42</f>
        <v>139760.02982864185</v>
      </c>
      <c r="AS42" s="231">
        <f t="shared" si="12"/>
        <v>151136.16386186608</v>
      </c>
      <c r="AT42" s="246"/>
      <c r="AU42" s="219">
        <f>AP42/G42</f>
        <v>1.8571428571428572</v>
      </c>
      <c r="AV42" s="219">
        <f>AQ42/H42</f>
        <v>1.5714285714285716</v>
      </c>
      <c r="AW42" s="219">
        <f>AR42/I42</f>
        <v>1.5714285714285718</v>
      </c>
      <c r="AY42" s="243">
        <f>AG42</f>
        <v>59.049078565500004</v>
      </c>
      <c r="AZ42" s="248">
        <f>AH42</f>
        <v>48.07188</v>
      </c>
      <c r="BA42" s="248">
        <f>AI42</f>
        <v>45.54</v>
      </c>
      <c r="BD42" s="221">
        <f>AP42*AY42</f>
        <v>85627.773803668679</v>
      </c>
      <c r="BE42" s="221">
        <f>AQ42*AZ42</f>
        <v>477162.54299994127</v>
      </c>
      <c r="BF42" s="221">
        <f>AR42*BA42</f>
        <v>6364671.7583963498</v>
      </c>
      <c r="BG42" s="221">
        <f>BD42+BE42+BF42</f>
        <v>6927462.0751999598</v>
      </c>
      <c r="BH42" s="9"/>
      <c r="BI42" s="329">
        <f t="shared" si="16"/>
        <v>0</v>
      </c>
      <c r="BJ42" s="329">
        <f t="shared" si="17"/>
        <v>0</v>
      </c>
      <c r="BK42" s="329">
        <f>(AR42-AD42)/I42</f>
        <v>0</v>
      </c>
      <c r="BL42" s="329">
        <f t="shared" si="19"/>
        <v>0</v>
      </c>
      <c r="BM42" s="9"/>
      <c r="BN42" s="240">
        <f>G42+AP42</f>
        <v>2230.9414443258765</v>
      </c>
      <c r="BO42" s="240">
        <f>H42+AQ42</f>
        <v>16242.581609038461</v>
      </c>
      <c r="BP42" s="240">
        <f>I42+AR42</f>
        <v>228698.23062868667</v>
      </c>
      <c r="BQ42" s="240">
        <f>BN42+BO42+BP42</f>
        <v>247171.753682051</v>
      </c>
      <c r="BS42" s="264">
        <f t="shared" si="63"/>
        <v>59.049078565500004</v>
      </c>
      <c r="BT42" s="264">
        <f t="shared" si="64"/>
        <v>48.071880000000007</v>
      </c>
      <c r="BU42" s="264">
        <f t="shared" si="65"/>
        <v>45.54</v>
      </c>
      <c r="BV42" s="264">
        <f t="shared" si="66"/>
        <v>45.828310576387253</v>
      </c>
      <c r="BX42" s="264">
        <f>CC42/G42</f>
        <v>168.71165304428573</v>
      </c>
      <c r="BY42" s="264">
        <f>CD42/H42</f>
        <v>123.61340571428573</v>
      </c>
      <c r="BZ42" s="264">
        <f>CE42/I42</f>
        <v>117.10285714285716</v>
      </c>
      <c r="CA42" s="264">
        <f>CF42/J42</f>
        <v>117.95068801743848</v>
      </c>
      <c r="CC42" s="221">
        <f>P42+BD42</f>
        <v>131735.03662102873</v>
      </c>
      <c r="CD42" s="221">
        <f>Q42+BE42</f>
        <v>780811.43399990397</v>
      </c>
      <c r="CE42" s="221">
        <f>R42+BF42</f>
        <v>10414917.42283039</v>
      </c>
      <c r="CF42" s="221">
        <f t="shared" si="53"/>
        <v>11327463.893451322</v>
      </c>
    </row>
    <row r="43" spans="2:85">
      <c r="B43" s="126"/>
      <c r="C43" s="9"/>
      <c r="D43" s="42"/>
      <c r="G43" s="5"/>
      <c r="H43" s="139"/>
      <c r="I43" s="5"/>
      <c r="J43" s="94"/>
      <c r="K43" s="133"/>
      <c r="L43" s="93"/>
      <c r="M43" s="93"/>
      <c r="N43" s="93"/>
      <c r="O43" s="55"/>
      <c r="P43" s="134"/>
      <c r="Q43" s="134"/>
      <c r="R43" s="134"/>
      <c r="S43" s="134"/>
      <c r="T43" s="55"/>
      <c r="U43" s="55"/>
      <c r="V43" s="55"/>
      <c r="W43" s="194"/>
      <c r="X43" s="194"/>
      <c r="Y43" s="194"/>
      <c r="Z43" s="194"/>
      <c r="AA43" s="55"/>
      <c r="AB43" s="94"/>
      <c r="AC43" s="94"/>
      <c r="AD43" s="94"/>
      <c r="AE43" s="94"/>
      <c r="AF43" s="194"/>
      <c r="AG43" s="243"/>
      <c r="AH43" s="243"/>
      <c r="AI43" s="243"/>
      <c r="AJ43" s="55"/>
      <c r="AK43" s="127"/>
      <c r="AL43" s="127"/>
      <c r="AM43" s="127"/>
      <c r="AN43" s="129"/>
      <c r="AO43" s="94"/>
      <c r="AU43" s="113"/>
      <c r="AV43" s="219"/>
      <c r="AW43" s="219"/>
      <c r="AY43" s="120"/>
      <c r="AZ43" s="120"/>
      <c r="BA43" s="120"/>
      <c r="BD43" s="121"/>
      <c r="BE43" s="121"/>
      <c r="BF43" s="121"/>
      <c r="BH43" s="314"/>
      <c r="BI43" s="314"/>
      <c r="BJ43" s="314"/>
      <c r="BK43" s="314"/>
      <c r="BL43" s="314"/>
      <c r="BM43" s="302"/>
    </row>
    <row r="44" spans="2:85">
      <c r="B44" s="26"/>
      <c r="C44" s="9"/>
      <c r="D44" s="9"/>
      <c r="E44" s="9"/>
      <c r="F44" s="313" t="s">
        <v>47</v>
      </c>
      <c r="G44" s="132">
        <f>G46-G25-G26-SUM(G39:G42)</f>
        <v>95376.558591708759</v>
      </c>
      <c r="H44" s="132">
        <f>H46-H25-H26-SUM(H39:H42)</f>
        <v>117353.05005078674</v>
      </c>
      <c r="I44" s="132">
        <f>I46-I25-I26-SUM(I39:I42)</f>
        <v>139783.38148869638</v>
      </c>
      <c r="J44" s="194">
        <f>SUM(G44:I44)</f>
        <v>352512.99013119191</v>
      </c>
      <c r="K44" s="130"/>
      <c r="L44" s="91"/>
      <c r="M44" s="91"/>
      <c r="N44" s="91"/>
      <c r="O44" s="55"/>
      <c r="P44" s="134"/>
      <c r="Q44" s="134"/>
      <c r="R44" s="134"/>
      <c r="S44" s="134" t="s">
        <v>401</v>
      </c>
      <c r="T44" s="55"/>
      <c r="U44" s="55"/>
      <c r="V44" s="55"/>
      <c r="W44" s="194"/>
      <c r="X44" s="194"/>
      <c r="Y44" s="194"/>
      <c r="Z44" s="194"/>
      <c r="AA44" s="55"/>
      <c r="AB44" s="94"/>
      <c r="AC44" s="94"/>
      <c r="AD44" s="94"/>
      <c r="AE44" s="94"/>
      <c r="AF44" s="130"/>
      <c r="AG44" s="55"/>
      <c r="AH44" s="55"/>
      <c r="AI44" s="55"/>
      <c r="AJ44" s="55"/>
      <c r="AK44" s="127"/>
      <c r="AL44" s="127"/>
      <c r="AM44" s="127"/>
      <c r="AN44" s="129"/>
      <c r="AV44" s="219"/>
      <c r="AW44" s="219"/>
      <c r="AY44" s="243"/>
      <c r="AZ44" s="243"/>
      <c r="BA44" s="243"/>
      <c r="BD44" s="221"/>
      <c r="BE44" s="221"/>
      <c r="BF44" s="221"/>
      <c r="BG44" s="221"/>
      <c r="BH44" s="105"/>
      <c r="BI44" s="329">
        <f t="shared" si="16"/>
        <v>0</v>
      </c>
      <c r="BJ44" s="329">
        <f t="shared" si="17"/>
        <v>0</v>
      </c>
      <c r="BK44" s="329">
        <f>(AR44-AD44)/I44</f>
        <v>0</v>
      </c>
      <c r="BL44" s="329">
        <f t="shared" si="19"/>
        <v>0</v>
      </c>
      <c r="BM44" s="195"/>
    </row>
    <row r="45" spans="2:85" ht="16" thickBot="1">
      <c r="D45" s="42"/>
      <c r="F45" s="12" t="s">
        <v>339</v>
      </c>
      <c r="G45" s="90">
        <f>G46-G26-SUM(G40:G42)</f>
        <v>128988.89238495556</v>
      </c>
      <c r="H45" s="194">
        <f>H46-H26-SUM(H40:H42)</f>
        <v>124974.034511373</v>
      </c>
      <c r="I45" s="194">
        <f>I46-I26-SUM(I40:I42)</f>
        <v>139783.38148869638</v>
      </c>
      <c r="J45" s="90">
        <f>SUM(G45:I45)</f>
        <v>393746.30838502495</v>
      </c>
      <c r="K45" s="133"/>
      <c r="L45" s="91">
        <f t="shared" ref="L45:N46" si="67">P45/G45</f>
        <v>156.17473538140473</v>
      </c>
      <c r="M45" s="248">
        <f>Q45/H45</f>
        <v>185.88060139561722</v>
      </c>
      <c r="N45" s="248">
        <f>R45/I45</f>
        <v>364.11792882356912</v>
      </c>
      <c r="P45" s="194">
        <f>P46-P26-SUM(P40:P42)</f>
        <v>20144806.135360926</v>
      </c>
      <c r="Q45" s="194">
        <f>Q46-Q26-SUM(Q40:Q42)</f>
        <v>23230248.693810634</v>
      </c>
      <c r="R45" s="194">
        <f>R46-R26-SUM(R40:R42)</f>
        <v>50897635.35161896</v>
      </c>
      <c r="S45" s="94">
        <f>SUM(P45:R45)</f>
        <v>94272690.180790514</v>
      </c>
      <c r="T45" s="99" t="s">
        <v>339</v>
      </c>
      <c r="U45" s="12"/>
      <c r="V45" s="12"/>
      <c r="W45" s="194">
        <f>W46-W26-SUM(W40:W42)</f>
        <v>185998.95840009412</v>
      </c>
      <c r="X45" s="194">
        <f>X46-X26-SUM(X40:X42)</f>
        <v>156875.32520992597</v>
      </c>
      <c r="Y45" s="194">
        <f>Y46-SUM(Y40:Y42)</f>
        <v>195938.17294964768</v>
      </c>
      <c r="Z45" s="194">
        <f>Z46-Z26-SUM(Z40:Z42)</f>
        <v>538812.45655966771</v>
      </c>
      <c r="AA45" s="12"/>
      <c r="AB45" s="94">
        <f>AB46-AB26-SUM(AB40:AB42)</f>
        <v>57010.066015138582</v>
      </c>
      <c r="AC45" s="194">
        <f>AC46-AC26-SUM(AC40:AC42)</f>
        <v>31901.290698552963</v>
      </c>
      <c r="AD45" s="194">
        <f>AD46-SUM(AD40:AD42)</f>
        <v>56154.791460951325</v>
      </c>
      <c r="AE45" s="194">
        <f>AE46-AE26-SUM(AE40:AE42)</f>
        <v>145066.14817464285</v>
      </c>
      <c r="AF45" s="98"/>
      <c r="AG45" s="243">
        <f t="shared" ref="AG45:AI46" si="68">AK45/AB45</f>
        <v>192.02400450096135</v>
      </c>
      <c r="AH45" s="243">
        <f t="shared" si="68"/>
        <v>176.25279819080322</v>
      </c>
      <c r="AI45" s="243">
        <f t="shared" si="68"/>
        <v>212.05364929897644</v>
      </c>
      <c r="AK45" s="194">
        <f>AK46-AK26-SUM(AK40:AK42)</f>
        <v>10947301.173091074</v>
      </c>
      <c r="AL45" s="194">
        <f>AL46-AL26-SUM(AL40:AL42)</f>
        <v>5622691.7515182029</v>
      </c>
      <c r="AM45" s="194">
        <f>AM46-AM26-SUM(AM40:AM42)</f>
        <v>11907828.454917729</v>
      </c>
      <c r="AN45" s="254">
        <f>SUM(AK45:AM45)</f>
        <v>28477821.379527006</v>
      </c>
      <c r="AO45" s="99" t="s">
        <v>339</v>
      </c>
      <c r="AP45" s="228">
        <f>AP46-AP26-AP42</f>
        <v>57010.066015138582</v>
      </c>
      <c r="AQ45" s="240">
        <f>AQ46-AQ26-AQ42</f>
        <v>31901.290698552963</v>
      </c>
      <c r="AR45" s="240">
        <f>AR46-AR42</f>
        <v>56154.791460951325</v>
      </c>
      <c r="AS45" s="231">
        <f t="shared" si="12"/>
        <v>145066.14817464288</v>
      </c>
      <c r="AU45" s="219">
        <f t="shared" ref="AU45:AW46" si="69">AP45/G45</f>
        <v>0.44197655287245396</v>
      </c>
      <c r="AV45" s="269">
        <f t="shared" si="69"/>
        <v>0.25526334988929122</v>
      </c>
      <c r="AW45" s="219">
        <f t="shared" si="69"/>
        <v>0.40172723583376968</v>
      </c>
      <c r="AY45" s="243"/>
      <c r="AZ45" s="243"/>
      <c r="BA45" s="243"/>
      <c r="BD45" s="194">
        <f>BD46-BD26-SUM(BD40:BD42)</f>
        <v>10947301.173091076</v>
      </c>
      <c r="BE45" s="194">
        <f>BE46-BE26-SUM(BE40:BE42)</f>
        <v>5622691.751518202</v>
      </c>
      <c r="BF45" s="194">
        <f>BF46-BF26-SUM(BF40:BF42)</f>
        <v>11907828.454917729</v>
      </c>
      <c r="BG45" s="221">
        <f>BD45+BE45+BF45</f>
        <v>28477821.379527006</v>
      </c>
      <c r="BH45" s="12" t="s">
        <v>436</v>
      </c>
      <c r="BI45" s="329">
        <f t="shared" si="16"/>
        <v>0</v>
      </c>
      <c r="BJ45" s="329">
        <f t="shared" si="17"/>
        <v>0</v>
      </c>
      <c r="BK45" s="329">
        <f>(AR45-AD45)/I45</f>
        <v>0</v>
      </c>
      <c r="BL45" s="329">
        <f t="shared" si="19"/>
        <v>7.3915183042870624E-17</v>
      </c>
      <c r="BM45" s="12"/>
      <c r="BN45" s="138">
        <f>BN46-BN26-SUM(BN40:BN42)</f>
        <v>185998.9584000941</v>
      </c>
      <c r="BO45" s="221">
        <f>BO46-BO26-SUM(BO40:BO42)</f>
        <v>156875.32520992594</v>
      </c>
      <c r="BP45" s="221">
        <f>BP46-BP26-SUM(BP40:BP42)</f>
        <v>195938.17294964771</v>
      </c>
      <c r="BQ45" s="240">
        <f>BN45+BO45+BP45</f>
        <v>538812.45655966783</v>
      </c>
      <c r="BS45" s="142">
        <f t="shared" ref="BS45:BV46" si="70">CC45/BN45</f>
        <v>167.1628033613562</v>
      </c>
      <c r="BT45" s="142">
        <f t="shared" si="70"/>
        <v>183.92274506343611</v>
      </c>
      <c r="BU45" s="142">
        <f t="shared" si="70"/>
        <v>320.53715139354944</v>
      </c>
      <c r="BV45" s="142">
        <f t="shared" si="70"/>
        <v>227.81676642014347</v>
      </c>
      <c r="BW45" s="12" t="s">
        <v>458</v>
      </c>
      <c r="BX45" s="264">
        <f t="shared" ref="BX45:CA46" si="71">CC45/G45</f>
        <v>241.04484295950422</v>
      </c>
      <c r="BY45" s="264">
        <f t="shared" si="71"/>
        <v>230.87148108916287</v>
      </c>
      <c r="BZ45" s="264">
        <f t="shared" si="71"/>
        <v>449.30565520491064</v>
      </c>
      <c r="CA45" s="264">
        <f t="shared" si="71"/>
        <v>311.75025377072467</v>
      </c>
      <c r="CB45" s="12"/>
      <c r="CC45" s="138">
        <f>CC46-CC26-SUM(CC40:CC42)</f>
        <v>31092107.308452003</v>
      </c>
      <c r="CD45" s="255">
        <f>CD46-CD26-SUM(CD40:CD42)</f>
        <v>28852940.445328839</v>
      </c>
      <c r="CE45" s="255">
        <f>CE46-CE26-SUM(CE40:CE42)</f>
        <v>62805463.806536704</v>
      </c>
      <c r="CF45" s="221">
        <f>CC45+CD45+CE45</f>
        <v>122750511.56031755</v>
      </c>
    </row>
    <row r="46" spans="2:85" ht="16" thickBot="1">
      <c r="F46" s="12" t="s">
        <v>340</v>
      </c>
      <c r="G46" s="86">
        <f>G15+G29</f>
        <v>129769.72189046962</v>
      </c>
      <c r="H46" s="239">
        <f>H15+H29</f>
        <v>132277.22652599908</v>
      </c>
      <c r="I46" s="239">
        <f>I15+I29</f>
        <v>240221.58228874116</v>
      </c>
      <c r="J46" s="148">
        <f>SUM(G46:I46)</f>
        <v>502268.53070520982</v>
      </c>
      <c r="K46" s="180"/>
      <c r="L46" s="120">
        <f t="shared" si="67"/>
        <v>155.59032649557616</v>
      </c>
      <c r="M46" s="120">
        <f t="shared" si="67"/>
        <v>178.72496973706106</v>
      </c>
      <c r="N46" s="120">
        <f t="shared" si="67"/>
        <v>236.07667222209847</v>
      </c>
      <c r="P46" s="112">
        <f>P15+P29</f>
        <v>20190913.398178287</v>
      </c>
      <c r="Q46" s="239">
        <f>Q15+Q29</f>
        <v>23641243.307761557</v>
      </c>
      <c r="R46" s="239">
        <f>R15+R29</f>
        <v>56710711.742653005</v>
      </c>
      <c r="S46" s="112">
        <f>SUM(P46:R46)</f>
        <v>100542868.44859284</v>
      </c>
      <c r="T46" s="99" t="s">
        <v>340</v>
      </c>
      <c r="U46" s="12"/>
      <c r="V46" s="12"/>
      <c r="W46" s="239">
        <f>W15+W29</f>
        <v>188229.89984442</v>
      </c>
      <c r="X46" s="239">
        <f>X15+X29</f>
        <v>175654.96181896442</v>
      </c>
      <c r="Y46" s="239">
        <f>Y15+Y29</f>
        <v>436136.40357833431</v>
      </c>
      <c r="Z46" s="185">
        <f>Z15+Z29</f>
        <v>800021.26524171873</v>
      </c>
      <c r="AA46" s="12"/>
      <c r="AB46" s="112">
        <f>AB15+AB29</f>
        <v>58460.177953950399</v>
      </c>
      <c r="AC46" s="240">
        <f>AC15+AC29</f>
        <v>43377.735292965357</v>
      </c>
      <c r="AD46" s="240">
        <f>AD15+AD29</f>
        <v>195914.82128959318</v>
      </c>
      <c r="AE46" s="112">
        <f>SUM(AB46:AD46)</f>
        <v>297752.73453650891</v>
      </c>
      <c r="AF46" s="241"/>
      <c r="AG46" s="243">
        <f t="shared" si="68"/>
        <v>188.72554502973765</v>
      </c>
      <c r="AH46" s="243">
        <f t="shared" si="68"/>
        <v>144.51055105222432</v>
      </c>
      <c r="AI46" s="243">
        <f t="shared" si="68"/>
        <v>93.267574617565174</v>
      </c>
      <c r="AK46" s="255">
        <f>AK15+AK29</f>
        <v>11032928.946894743</v>
      </c>
      <c r="AL46" s="255">
        <f>AL15+AL29</f>
        <v>6268540.4305839427</v>
      </c>
      <c r="AM46" s="255">
        <f>AM15+AM29</f>
        <v>18272500.213314079</v>
      </c>
      <c r="AN46" s="255">
        <f>SUM(AK46:AM46)</f>
        <v>35573969.59079276</v>
      </c>
      <c r="AO46" s="99" t="s">
        <v>340</v>
      </c>
      <c r="AP46" s="228">
        <f>AP15+AP29</f>
        <v>58460.177953950399</v>
      </c>
      <c r="AQ46" s="240">
        <f>AQ15+AQ29</f>
        <v>43377.735292965357</v>
      </c>
      <c r="AR46" s="240">
        <f>AR15+AR29</f>
        <v>195914.82128959318</v>
      </c>
      <c r="AS46" s="231">
        <f t="shared" si="12"/>
        <v>297752.73453650891</v>
      </c>
      <c r="AU46" s="219">
        <f t="shared" si="69"/>
        <v>0.45049166402077151</v>
      </c>
      <c r="AV46" s="219">
        <f t="shared" si="69"/>
        <v>0.32793048684339832</v>
      </c>
      <c r="AW46" s="219">
        <f t="shared" si="69"/>
        <v>0.81555878294943451</v>
      </c>
      <c r="AY46" s="243"/>
      <c r="AZ46" s="243"/>
      <c r="BA46" s="243"/>
      <c r="BD46" s="240">
        <f>BD15+BD29</f>
        <v>11032928.946894744</v>
      </c>
      <c r="BE46" s="240">
        <f>BE15+BE29</f>
        <v>6268540.4305839418</v>
      </c>
      <c r="BF46" s="240">
        <f>BF15+BF29</f>
        <v>18272500.213314079</v>
      </c>
      <c r="BG46" s="221">
        <f>BD46+BE46+BF46</f>
        <v>35573969.59079276</v>
      </c>
      <c r="BH46" s="12" t="s">
        <v>437</v>
      </c>
      <c r="BI46" s="329">
        <f t="shared" si="16"/>
        <v>0</v>
      </c>
      <c r="BJ46" s="329">
        <f t="shared" si="17"/>
        <v>0</v>
      </c>
      <c r="BK46" s="329">
        <f>(AR46-AD46)/I46</f>
        <v>0</v>
      </c>
      <c r="BL46" s="329">
        <f t="shared" si="19"/>
        <v>0</v>
      </c>
      <c r="BM46" s="12"/>
      <c r="BN46" s="138">
        <f>BN15+BN29</f>
        <v>188229.89984441997</v>
      </c>
      <c r="BO46" s="221">
        <f>BO15+BO29</f>
        <v>175654.9618189644</v>
      </c>
      <c r="BP46" s="221">
        <f>BP15+BP29</f>
        <v>436136.40357833437</v>
      </c>
      <c r="BQ46" s="252">
        <f>BN46+BO46+BP46</f>
        <v>800021.26524171873</v>
      </c>
      <c r="BS46" s="142">
        <f t="shared" si="70"/>
        <v>165.88141613463571</v>
      </c>
      <c r="BT46" s="142">
        <f t="shared" si="70"/>
        <v>170.27576920469505</v>
      </c>
      <c r="BU46" s="142">
        <f t="shared" si="70"/>
        <v>171.92605648315109</v>
      </c>
      <c r="BV46" s="142">
        <f t="shared" si="70"/>
        <v>170.14152492341466</v>
      </c>
      <c r="BW46" s="12" t="s">
        <v>437</v>
      </c>
      <c r="BX46" s="264">
        <f t="shared" si="71"/>
        <v>240.60961131924975</v>
      </c>
      <c r="BY46" s="264">
        <f t="shared" si="71"/>
        <v>226.11438509762479</v>
      </c>
      <c r="BZ46" s="264">
        <f t="shared" si="71"/>
        <v>312.14186186584556</v>
      </c>
      <c r="CA46" s="264">
        <f t="shared" si="71"/>
        <v>271.00411377211083</v>
      </c>
      <c r="CB46" s="12"/>
      <c r="CC46" s="138">
        <f>CC15+CC29</f>
        <v>31223842.345073033</v>
      </c>
      <c r="CD46" s="221">
        <f>CD15+CD29</f>
        <v>29909783.738345504</v>
      </c>
      <c r="CE46" s="221">
        <f>CE15+CE29</f>
        <v>74983211.955967098</v>
      </c>
      <c r="CF46" s="221">
        <f>CC46+CD46+CE46</f>
        <v>136116838.03938562</v>
      </c>
    </row>
    <row r="47" spans="2:85">
      <c r="F47" s="131"/>
      <c r="G47" s="106">
        <f>G46-G45-G26-G42</f>
        <v>5.6843418860808015E-12</v>
      </c>
      <c r="H47" s="106">
        <f>H46-H45-(H26+SUM(H40:H42))</f>
        <v>1.3642420526593924E-11</v>
      </c>
      <c r="I47" s="233">
        <f>I46-I45-(I26+SUM(I40:I42))</f>
        <v>0</v>
      </c>
      <c r="J47" s="233">
        <f>J46-J45-(J26+SUM(J40:J42))</f>
        <v>0</v>
      </c>
      <c r="O47" s="131"/>
      <c r="P47" s="233">
        <f>P46-P45-(P26+SUM(P40:P42))</f>
        <v>4.0017766878008842E-10</v>
      </c>
      <c r="Q47" s="233">
        <f>Q46-Q45-(Q26+SUM(Q40:Q42))</f>
        <v>-2.5611370801925659E-9</v>
      </c>
      <c r="R47" s="233">
        <f>R46-R45-(R26+SUM(R40:R42))</f>
        <v>0</v>
      </c>
      <c r="S47" s="233">
        <f>S46-S45-(S26+SUM(S40:S42))</f>
        <v>0</v>
      </c>
      <c r="T47" s="131"/>
      <c r="U47" s="131"/>
      <c r="V47" s="131"/>
      <c r="W47" s="195"/>
      <c r="X47" s="195"/>
      <c r="Y47" s="195"/>
      <c r="Z47" s="251" t="s">
        <v>279</v>
      </c>
      <c r="AA47" s="131"/>
      <c r="AB47" s="233">
        <f>AB46-AB45-(AB26+SUM(AB40:AB42))</f>
        <v>-2.9558577807620168E-12</v>
      </c>
      <c r="AC47" s="233">
        <f>AC46-AC45-(AC26+SUM(AC40:AC42))</f>
        <v>0</v>
      </c>
      <c r="AD47" s="233">
        <f>AD46-AD45-(SUM(AD40:AD42))</f>
        <v>0</v>
      </c>
      <c r="AE47" s="233">
        <f>AE46-AE45-(AE26+SUM(AE40:AE42))</f>
        <v>0</v>
      </c>
      <c r="AG47" s="55"/>
      <c r="AH47" s="55"/>
      <c r="AI47" s="247"/>
      <c r="AJ47" s="131"/>
      <c r="AK47" s="233">
        <f>AK46-AK45-(AK26+SUM(AK40:AK42))</f>
        <v>-5.8207660913467407E-10</v>
      </c>
      <c r="AL47" s="233">
        <f>AL46-AL45-(AL26+SUM(AL40:AL42))</f>
        <v>0</v>
      </c>
      <c r="AM47" s="233">
        <f>AM46-AM45-(AM26+SUM(AM40:AM42))</f>
        <v>0</v>
      </c>
      <c r="AN47" s="233">
        <f>AN46-AN45-(AN26+SUM(AN40:AN42))</f>
        <v>0</v>
      </c>
      <c r="AO47" s="131" t="s">
        <v>394</v>
      </c>
      <c r="AP47" s="233">
        <f>AP46-AB46</f>
        <v>0</v>
      </c>
      <c r="AQ47" s="233">
        <f>AQ46-AC46</f>
        <v>0</v>
      </c>
      <c r="AR47" s="233">
        <f>AR46-AD46</f>
        <v>0</v>
      </c>
      <c r="AS47" s="233">
        <f>AS46-AE46</f>
        <v>0</v>
      </c>
      <c r="AT47" s="233"/>
      <c r="AV47" s="177"/>
      <c r="AW47" s="177"/>
      <c r="AY47" s="243"/>
      <c r="AZ47" s="243"/>
      <c r="BA47" s="243"/>
      <c r="BC47" s="131" t="s">
        <v>280</v>
      </c>
      <c r="BD47" s="186">
        <f>BD46-AK46</f>
        <v>0</v>
      </c>
      <c r="BE47" s="186">
        <f>BE46-AL46</f>
        <v>0</v>
      </c>
      <c r="BF47" s="186">
        <f>BF46-AM46</f>
        <v>0</v>
      </c>
      <c r="BG47" s="186">
        <f>BG46-AN46</f>
        <v>0</v>
      </c>
      <c r="CF47" s="54" t="s">
        <v>201</v>
      </c>
      <c r="CG47" s="54"/>
    </row>
    <row r="48" spans="2:85" ht="16" thickBot="1">
      <c r="F48" s="131"/>
      <c r="G48" s="167"/>
      <c r="H48" s="167"/>
      <c r="I48" s="167"/>
      <c r="J48" s="167"/>
      <c r="L48" s="273" t="s">
        <v>70</v>
      </c>
      <c r="M48" s="177"/>
      <c r="N48" s="177"/>
      <c r="X48" s="233" t="s">
        <v>71</v>
      </c>
      <c r="AB48" s="5"/>
      <c r="AC48" s="5"/>
      <c r="AD48" s="5"/>
      <c r="AF48" s="12" t="s">
        <v>491</v>
      </c>
      <c r="AG48" s="258">
        <f>(AK15-AK26)/(AB15-AB26)</f>
        <v>147.87979041622401</v>
      </c>
      <c r="AH48" s="259">
        <f>(AL15-AL26)/(AC15-AC26)</f>
        <v>346.15642689572286</v>
      </c>
      <c r="AI48" s="260">
        <f>(AM15)/(AD15)</f>
        <v>188.74983954643406</v>
      </c>
      <c r="AK48" s="128"/>
      <c r="AL48" s="128"/>
      <c r="AN48" s="253" t="s">
        <v>375</v>
      </c>
      <c r="AO48" s="89"/>
      <c r="AS48" s="240" t="s">
        <v>133</v>
      </c>
      <c r="AU48" s="312"/>
      <c r="AV48" s="312"/>
      <c r="AW48" s="312"/>
      <c r="AY48" s="243"/>
      <c r="AZ48" s="243"/>
      <c r="BA48" s="243"/>
      <c r="BD48" s="221"/>
      <c r="BE48" s="221"/>
      <c r="BF48" s="221"/>
      <c r="BG48" s="221"/>
      <c r="BI48" s="330"/>
      <c r="BJ48" s="131"/>
      <c r="BK48" s="131"/>
      <c r="BL48" s="131"/>
      <c r="BM48" s="131" t="s">
        <v>21</v>
      </c>
      <c r="BN48" s="186">
        <v>188229.89984442003</v>
      </c>
      <c r="BO48" s="186">
        <v>175654.96181896442</v>
      </c>
      <c r="BP48" s="186">
        <v>436136.40357833437</v>
      </c>
      <c r="BQ48" s="185">
        <v>800021.26524171885</v>
      </c>
      <c r="BR48" s="247" t="s">
        <v>114</v>
      </c>
      <c r="CC48" s="184">
        <v>31223842.345073033</v>
      </c>
      <c r="CD48" s="184">
        <v>29909783.738345496</v>
      </c>
      <c r="CE48" s="184">
        <v>74983211.955967098</v>
      </c>
      <c r="CF48" s="149">
        <v>136116838.03938562</v>
      </c>
      <c r="CG48" s="54" t="s">
        <v>368</v>
      </c>
    </row>
    <row r="49" spans="1:85" ht="16" thickBot="1">
      <c r="F49" s="131"/>
      <c r="G49" s="167"/>
      <c r="H49" s="167"/>
      <c r="I49" s="167"/>
      <c r="J49" s="167"/>
      <c r="L49" s="273" t="s">
        <v>78</v>
      </c>
      <c r="M49" s="177"/>
      <c r="N49" s="177"/>
      <c r="X49" s="233" t="s">
        <v>72</v>
      </c>
      <c r="AB49" s="5"/>
      <c r="AC49" s="5"/>
      <c r="AD49" s="5"/>
      <c r="AF49" s="12" t="s">
        <v>567</v>
      </c>
      <c r="AG49" s="261">
        <f>(AK29-AK42)/(AB29-AB42)</f>
        <v>193.13570182389293</v>
      </c>
      <c r="AH49" s="262">
        <f>(AL29-AL42)/(AC29-AC42)</f>
        <v>159.52294539758608</v>
      </c>
      <c r="AI49" s="263">
        <f>(AM29-AM42)/(AD29-AD42)</f>
        <v>213.25347078940703</v>
      </c>
      <c r="AK49" s="128"/>
      <c r="AL49" s="128"/>
      <c r="AN49" s="253">
        <f>AN46+S46</f>
        <v>136116838.03938562</v>
      </c>
      <c r="AO49" s="97"/>
      <c r="AS49" s="250">
        <f>AS46+J46</f>
        <v>800021.26524171873</v>
      </c>
      <c r="AT49" s="257"/>
      <c r="AU49" s="312"/>
      <c r="AV49" s="312"/>
      <c r="AW49" s="312"/>
      <c r="AY49" s="248"/>
      <c r="AZ49" s="243"/>
      <c r="BA49" s="243"/>
      <c r="BD49" s="221"/>
      <c r="BE49" s="221"/>
      <c r="BF49" s="221"/>
      <c r="BG49" s="221"/>
      <c r="BI49" s="330"/>
      <c r="BJ49" s="131"/>
      <c r="BK49" s="131"/>
      <c r="BL49" s="131"/>
      <c r="BM49" s="131" t="s">
        <v>13</v>
      </c>
      <c r="BN49" s="183">
        <f>100*(BN46-BN48)/BN48</f>
        <v>-3.0923706043289882E-14</v>
      </c>
      <c r="BO49" s="183">
        <f>100*(BO46-BO48)/BO48</f>
        <v>-1.6568749413824721E-14</v>
      </c>
      <c r="BP49" s="183">
        <f>100*(BP46-BP48)/BP48</f>
        <v>0</v>
      </c>
      <c r="BQ49" s="265">
        <f>100*(BQ46-BQ48)/BQ48</f>
        <v>-1.4551528426155151E-14</v>
      </c>
      <c r="BR49" s="268" t="s">
        <v>13</v>
      </c>
      <c r="CB49" s="131" t="s">
        <v>290</v>
      </c>
      <c r="CC49" s="183">
        <f>100*(CC46-CC48)/CC48</f>
        <v>0</v>
      </c>
      <c r="CD49" s="183">
        <f>100*(CD46-CD48)/CD48</f>
        <v>2.4910178763251625E-14</v>
      </c>
      <c r="CE49" s="183">
        <f>100*(CE46-CE48)/CE48</f>
        <v>0</v>
      </c>
      <c r="CF49" s="141">
        <f>100*((CF46/CF48)-1)</f>
        <v>0</v>
      </c>
      <c r="CG49" s="140" t="s">
        <v>13</v>
      </c>
    </row>
    <row r="50" spans="1:85" ht="16" thickBot="1">
      <c r="A50" s="47" t="s">
        <v>622</v>
      </c>
      <c r="AB50" s="5"/>
      <c r="AC50" s="5"/>
      <c r="AD50" s="5"/>
      <c r="AF50" s="5"/>
      <c r="AG50" s="55"/>
      <c r="AH50" s="55" t="s">
        <v>115</v>
      </c>
      <c r="AI50" s="55"/>
      <c r="AM50" s="131" t="s">
        <v>523</v>
      </c>
      <c r="AN50" s="186">
        <v>136116838.03938562</v>
      </c>
      <c r="AS50" s="215" t="s">
        <v>132</v>
      </c>
      <c r="AU50" s="312"/>
      <c r="AV50" s="312"/>
      <c r="AW50" s="312"/>
      <c r="AY50" s="243"/>
      <c r="AZ50" s="243"/>
      <c r="BA50" s="243"/>
      <c r="BD50" s="221"/>
      <c r="BE50" s="221"/>
      <c r="BF50" s="221"/>
      <c r="BG50" s="221"/>
    </row>
    <row r="51" spans="1:85" ht="16" thickBot="1">
      <c r="A51" s="47" t="s">
        <v>500</v>
      </c>
      <c r="AD51" s="215" t="s">
        <v>143</v>
      </c>
      <c r="AE51" s="252">
        <f>AE46+J46</f>
        <v>800021.26524171873</v>
      </c>
      <c r="AG51" s="55"/>
      <c r="AH51" s="55">
        <v>161.34305344220078</v>
      </c>
      <c r="AI51" s="55"/>
      <c r="AM51" s="54" t="s">
        <v>524</v>
      </c>
      <c r="AN51" s="256">
        <f>100*(AN49-AN50)/AN50</f>
        <v>0</v>
      </c>
      <c r="AU51" s="312"/>
      <c r="AV51" s="312"/>
      <c r="AW51" s="312"/>
      <c r="AY51" s="243"/>
      <c r="AZ51" s="243"/>
      <c r="BA51" s="243"/>
      <c r="BD51" s="264">
        <f>100*BD47/BD46</f>
        <v>0</v>
      </c>
      <c r="BE51" s="264">
        <f>100*BE47/BE46</f>
        <v>0</v>
      </c>
      <c r="BF51" s="264">
        <f>100*BF47/BF46</f>
        <v>0</v>
      </c>
      <c r="BG51" s="264">
        <f>100*BG47/BG46</f>
        <v>0</v>
      </c>
      <c r="CC51" s="266">
        <f>CC46-CC48</f>
        <v>0</v>
      </c>
      <c r="CD51" s="266">
        <f>CD46-CD48</f>
        <v>0</v>
      </c>
      <c r="CE51" s="266">
        <f>CE46-CE48</f>
        <v>0</v>
      </c>
      <c r="CF51" s="266">
        <f>CF46-CF48</f>
        <v>0</v>
      </c>
      <c r="CG51" s="54" t="s">
        <v>557</v>
      </c>
    </row>
    <row r="52" spans="1:85">
      <c r="B52" s="5" t="s">
        <v>353</v>
      </c>
      <c r="AG52" s="55"/>
      <c r="AH52" s="262" t="s">
        <v>116</v>
      </c>
      <c r="AI52" s="55"/>
      <c r="AU52" s="312"/>
      <c r="AV52" s="312"/>
      <c r="AW52" s="312"/>
      <c r="AY52" s="243"/>
      <c r="AZ52" s="243"/>
      <c r="BA52" s="243"/>
      <c r="BD52" s="221"/>
      <c r="BE52" s="221"/>
      <c r="BF52" s="221"/>
      <c r="BG52" s="221"/>
    </row>
    <row r="53" spans="1:85">
      <c r="AD53" s="309" t="s">
        <v>163</v>
      </c>
      <c r="AE53" s="309">
        <f>Z46-AE51</f>
        <v>0</v>
      </c>
      <c r="AU53" s="312"/>
      <c r="AV53" s="312"/>
      <c r="AW53" s="312"/>
      <c r="AY53" s="243"/>
      <c r="AZ53" s="243"/>
      <c r="BA53" s="243"/>
      <c r="BD53" s="221"/>
      <c r="BE53" s="221"/>
      <c r="BF53" s="221"/>
      <c r="BG53" s="221"/>
    </row>
    <row r="54" spans="1:85">
      <c r="A54" s="7" t="s">
        <v>362</v>
      </c>
      <c r="AU54" s="312"/>
      <c r="AV54" s="312"/>
      <c r="AW54" s="312"/>
      <c r="AY54" s="243"/>
      <c r="AZ54" s="243"/>
      <c r="BA54" s="243"/>
      <c r="BD54" s="221"/>
      <c r="BE54" s="221"/>
      <c r="BF54" s="221"/>
      <c r="BG54" s="221"/>
    </row>
    <row r="55" spans="1:85">
      <c r="A55" s="5" t="s">
        <v>283</v>
      </c>
      <c r="AU55" s="312"/>
      <c r="AV55" s="312"/>
      <c r="AW55" s="312"/>
      <c r="AY55" s="243"/>
      <c r="AZ55" s="243"/>
      <c r="BA55" s="243"/>
      <c r="BD55" s="221"/>
      <c r="BE55" s="221"/>
      <c r="BF55" s="221"/>
      <c r="BG55" s="221"/>
    </row>
    <row r="56" spans="1:85">
      <c r="A56" s="5" t="s">
        <v>583</v>
      </c>
      <c r="AU56" s="312"/>
      <c r="AV56" s="312"/>
      <c r="AW56" s="312"/>
      <c r="AY56" s="243"/>
      <c r="AZ56" s="243"/>
      <c r="BA56" s="243"/>
      <c r="BD56" s="221"/>
      <c r="BE56" s="221"/>
      <c r="BF56" s="221"/>
      <c r="BG56" s="221"/>
    </row>
    <row r="57" spans="1:85">
      <c r="A57" s="5" t="s">
        <v>238</v>
      </c>
      <c r="AU57" s="312"/>
      <c r="AV57" s="312"/>
      <c r="AW57" s="312"/>
      <c r="AY57" s="243"/>
      <c r="AZ57" s="243"/>
      <c r="BA57" s="243"/>
      <c r="BD57" s="221"/>
      <c r="BE57" s="221"/>
      <c r="BF57" s="221"/>
      <c r="BG57" s="221"/>
    </row>
    <row r="58" spans="1:85">
      <c r="A58" s="5" t="s">
        <v>529</v>
      </c>
      <c r="AY58" s="243"/>
      <c r="AZ58" s="243"/>
      <c r="BA58" s="248"/>
      <c r="BD58" s="255"/>
      <c r="BE58" s="255"/>
      <c r="BF58" s="255"/>
      <c r="BG58" s="255"/>
    </row>
    <row r="59" spans="1:85">
      <c r="A59" s="5" t="s">
        <v>484</v>
      </c>
      <c r="AY59" s="243"/>
      <c r="AZ59" s="243"/>
      <c r="BA59" s="248"/>
      <c r="BD59" s="255"/>
      <c r="BE59" s="255"/>
      <c r="BF59" s="255"/>
      <c r="BG59" s="255"/>
    </row>
    <row r="60" spans="1:85">
      <c r="A60" s="5" t="s">
        <v>129</v>
      </c>
      <c r="AY60" s="243"/>
      <c r="BA60" s="248"/>
      <c r="BD60" s="255"/>
      <c r="BE60" s="255"/>
      <c r="BF60" s="255"/>
      <c r="BG60" s="255"/>
    </row>
    <row r="61" spans="1:85">
      <c r="A61" s="5" t="s">
        <v>200</v>
      </c>
      <c r="BA61" s="248"/>
      <c r="BD61" s="255"/>
      <c r="BE61" s="255"/>
      <c r="BF61" s="255"/>
      <c r="BG61" s="255"/>
    </row>
    <row r="62" spans="1:85">
      <c r="BA62" s="248"/>
      <c r="BD62" s="255"/>
      <c r="BE62" s="255"/>
      <c r="BF62" s="255"/>
      <c r="BG62" s="255"/>
    </row>
    <row r="63" spans="1:85">
      <c r="BA63" s="248"/>
      <c r="BD63" s="255"/>
      <c r="BE63" s="255"/>
      <c r="BF63" s="255"/>
      <c r="BG63" s="255"/>
    </row>
    <row r="64" spans="1:85">
      <c r="I64" s="196"/>
      <c r="BA64" s="248"/>
      <c r="BD64" s="255"/>
      <c r="BE64" s="255"/>
      <c r="BF64" s="255"/>
      <c r="BG64" s="255"/>
    </row>
    <row r="65" spans="53:59">
      <c r="BA65" s="248"/>
      <c r="BD65" s="255"/>
      <c r="BE65" s="255"/>
      <c r="BF65" s="255"/>
      <c r="BG65" s="255"/>
    </row>
    <row r="66" spans="53:59">
      <c r="BA66" s="248"/>
      <c r="BD66" s="255"/>
      <c r="BE66" s="255"/>
      <c r="BF66" s="255"/>
      <c r="BG66" s="255"/>
    </row>
    <row r="67" spans="53:59">
      <c r="BA67" s="248"/>
      <c r="BD67" s="255"/>
      <c r="BE67" s="255"/>
      <c r="BF67" s="255"/>
      <c r="BG67" s="255"/>
    </row>
    <row r="68" spans="53:59">
      <c r="BA68" s="248"/>
      <c r="BD68" s="255"/>
      <c r="BE68" s="255"/>
      <c r="BF68" s="255"/>
      <c r="BG68" s="255"/>
    </row>
    <row r="69" spans="53:59">
      <c r="BA69" s="248"/>
      <c r="BD69" s="255"/>
      <c r="BE69" s="255"/>
      <c r="BF69" s="255"/>
      <c r="BG69" s="255"/>
    </row>
    <row r="70" spans="53:59">
      <c r="BA70" s="248"/>
      <c r="BD70" s="255"/>
      <c r="BE70" s="255"/>
      <c r="BF70" s="255"/>
      <c r="BG70" s="255"/>
    </row>
    <row r="71" spans="53:59">
      <c r="BD71" s="255"/>
      <c r="BE71" s="255"/>
      <c r="BF71" s="255"/>
      <c r="BG71" s="255"/>
    </row>
    <row r="72" spans="53:59">
      <c r="BD72" s="255"/>
      <c r="BE72" s="255"/>
      <c r="BF72" s="255"/>
      <c r="BG72" s="255"/>
    </row>
    <row r="73" spans="53:59">
      <c r="BD73" s="255"/>
      <c r="BE73" s="255"/>
      <c r="BF73" s="255"/>
      <c r="BG73" s="255"/>
    </row>
    <row r="74" spans="53:59">
      <c r="BD74" s="255"/>
      <c r="BE74" s="255"/>
      <c r="BF74" s="255"/>
      <c r="BG74" s="255"/>
    </row>
    <row r="75" spans="53:59">
      <c r="BD75" s="255"/>
      <c r="BE75" s="255"/>
      <c r="BF75" s="255"/>
      <c r="BG75" s="255"/>
    </row>
    <row r="76" spans="53:59">
      <c r="BD76" s="255"/>
      <c r="BE76" s="255"/>
      <c r="BF76" s="255"/>
      <c r="BG76" s="255"/>
    </row>
  </sheetData>
  <phoneticPr fontId="20"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AW79"/>
  <sheetViews>
    <sheetView tabSelected="1" workbookViewId="0">
      <pane xSplit="13740" ySplit="3900" topLeftCell="AO24"/>
      <selection activeCell="A6" sqref="A6"/>
      <selection pane="topRight" activeCell="AI11" sqref="AI11:AI38"/>
      <selection pane="bottomLeft" activeCell="J26" sqref="J26"/>
      <selection pane="bottomRight" activeCell="V29" sqref="V29:V36"/>
    </sheetView>
  </sheetViews>
  <sheetFormatPr baseColWidth="10" defaultRowHeight="15"/>
  <cols>
    <col min="1" max="1" width="6.6640625" customWidth="1"/>
    <col min="2" max="2" width="12.83203125" customWidth="1"/>
    <col min="3" max="3" width="12.1640625" customWidth="1"/>
    <col min="6" max="6" width="13" customWidth="1"/>
    <col min="7" max="8" width="10.83203125" style="384"/>
    <col min="9" max="9" width="10.6640625" style="384" customWidth="1"/>
    <col min="10" max="10" width="10.83203125" style="384"/>
    <col min="11" max="11" width="3.83203125" customWidth="1"/>
    <col min="12" max="15" width="10.33203125" style="384" customWidth="1"/>
    <col min="16" max="16" width="5.6640625" style="173" customWidth="1"/>
    <col min="17" max="17" width="12.5" style="30" customWidth="1"/>
    <col min="18" max="18" width="13" style="30" customWidth="1"/>
    <col min="19" max="19" width="11.83203125" style="30" customWidth="1"/>
    <col min="20" max="20" width="13" style="30" customWidth="1"/>
    <col min="21" max="21" width="12.83203125" style="275" customWidth="1"/>
    <col min="22" max="22" width="15.1640625" customWidth="1"/>
    <col min="23" max="26" width="13.6640625" style="35" customWidth="1"/>
    <col min="27" max="27" width="13.5" style="275" customWidth="1"/>
    <col min="28" max="28" width="10.1640625" style="198" customWidth="1"/>
    <col min="29" max="31" width="15.83203125" style="198" customWidth="1"/>
    <col min="32" max="32" width="6.83203125" style="5" customWidth="1"/>
    <col min="33" max="35" width="11.1640625" style="374" bestFit="1" customWidth="1"/>
    <col min="36" max="36" width="13.1640625" style="374" bestFit="1" customWidth="1"/>
    <col min="37" max="37" width="9.6640625" style="202" customWidth="1"/>
    <col min="42" max="42" width="6.1640625" customWidth="1"/>
    <col min="43" max="44" width="12" customWidth="1"/>
    <col min="45" max="45" width="12.83203125" customWidth="1"/>
    <col min="46" max="46" width="16" customWidth="1"/>
  </cols>
  <sheetData>
    <row r="1" spans="1:46" ht="18">
      <c r="A1" s="339" t="s">
        <v>631</v>
      </c>
      <c r="B1" s="340"/>
      <c r="C1" s="341"/>
      <c r="D1" s="137" t="s">
        <v>735</v>
      </c>
      <c r="E1" s="5"/>
      <c r="F1" s="5"/>
      <c r="G1" s="382"/>
      <c r="H1" s="382"/>
      <c r="I1" s="382"/>
      <c r="J1" s="382"/>
      <c r="K1" s="5"/>
      <c r="L1" s="413"/>
      <c r="M1" s="413"/>
      <c r="N1" s="413"/>
      <c r="O1" s="413"/>
      <c r="P1" s="87"/>
      <c r="Q1" s="27"/>
      <c r="R1" s="27"/>
      <c r="S1" s="27"/>
      <c r="T1" s="27"/>
      <c r="U1" s="55"/>
      <c r="V1" s="5"/>
      <c r="W1" s="321" t="s">
        <v>681</v>
      </c>
      <c r="X1" s="322"/>
      <c r="Y1" s="322"/>
      <c r="Z1" s="322"/>
      <c r="AA1" s="323"/>
      <c r="AB1" s="323"/>
      <c r="AC1" s="323"/>
      <c r="AD1" s="323"/>
      <c r="AE1" s="323"/>
      <c r="AF1" s="323"/>
      <c r="AG1" s="372" t="s">
        <v>488</v>
      </c>
      <c r="AH1" s="373"/>
      <c r="AI1" s="373"/>
      <c r="AJ1" s="373"/>
      <c r="AK1" s="324"/>
    </row>
    <row r="2" spans="1:46" ht="17">
      <c r="A2" s="342" t="s">
        <v>623</v>
      </c>
      <c r="B2" s="173"/>
      <c r="C2" s="343"/>
      <c r="D2" s="39"/>
      <c r="E2" s="39"/>
      <c r="F2" s="39"/>
      <c r="G2" s="39"/>
      <c r="H2" s="39"/>
      <c r="I2" s="39"/>
      <c r="J2" s="39"/>
      <c r="K2" s="5"/>
      <c r="L2" s="413"/>
      <c r="M2" s="413"/>
      <c r="N2" s="413"/>
      <c r="O2" s="413"/>
      <c r="P2" s="326"/>
      <c r="Q2" s="27"/>
      <c r="R2" s="27"/>
      <c r="S2" s="27"/>
      <c r="T2" s="27"/>
      <c r="U2" s="55"/>
      <c r="V2" s="5"/>
      <c r="W2" s="325">
        <f ca="1">W16+SUM(W29:W33)</f>
        <v>18056206.98751219</v>
      </c>
      <c r="X2" s="325">
        <f ca="1">X16+SUM(X29:X33)</f>
        <v>7730280.1262070658</v>
      </c>
      <c r="Y2" s="325">
        <f ca="1">Y16+SUM(Y29:Y33)</f>
        <v>36869060.617432326</v>
      </c>
      <c r="Z2" s="325">
        <f ca="1">Z16+SUM(Z29:Z33)</f>
        <v>62655547.731151588</v>
      </c>
      <c r="AA2" s="323"/>
      <c r="AB2" s="323"/>
      <c r="AC2" s="323"/>
      <c r="AD2" s="323"/>
      <c r="AE2" s="323"/>
      <c r="AF2" s="323"/>
      <c r="AG2" s="372">
        <f ca="1">(AG16+SUM(AG29:AG33))/1000</f>
        <v>3419.8252400190313</v>
      </c>
      <c r="AH2" s="372">
        <f t="shared" ref="AH2:AJ2" ca="1" si="0">(AH16+SUM(AH29:AH33))/1000</f>
        <v>3881.664082464496</v>
      </c>
      <c r="AI2" s="372">
        <f t="shared" ca="1" si="0"/>
        <v>16712.985778423088</v>
      </c>
      <c r="AJ2" s="372">
        <f t="shared" ca="1" si="0"/>
        <v>24014.475100906617</v>
      </c>
      <c r="AK2" s="324"/>
    </row>
    <row r="3" spans="1:46" ht="17">
      <c r="A3" s="356" t="s">
        <v>199</v>
      </c>
      <c r="B3" s="172"/>
      <c r="C3" s="343"/>
      <c r="D3" s="39"/>
      <c r="E3" s="39"/>
      <c r="F3" s="39"/>
      <c r="G3" s="39"/>
      <c r="H3" s="39"/>
      <c r="I3" s="39"/>
      <c r="J3" s="39"/>
      <c r="K3" s="5"/>
      <c r="L3" s="413"/>
      <c r="M3" s="413"/>
      <c r="N3" s="413"/>
      <c r="O3" s="413"/>
      <c r="P3" s="326"/>
      <c r="Q3" s="142"/>
      <c r="R3" s="142"/>
      <c r="S3" s="142"/>
      <c r="T3" s="142"/>
      <c r="U3" s="55"/>
      <c r="V3" s="5"/>
      <c r="W3" s="139"/>
      <c r="X3" s="139"/>
      <c r="Y3" s="139"/>
      <c r="Z3" s="139"/>
      <c r="AA3" s="55"/>
    </row>
    <row r="4" spans="1:46">
      <c r="A4" s="344" t="s">
        <v>275</v>
      </c>
      <c r="B4" s="173"/>
      <c r="C4" s="343"/>
      <c r="E4" s="5"/>
      <c r="P4" s="326"/>
      <c r="Q4" s="312"/>
      <c r="R4" s="312"/>
      <c r="S4" s="312"/>
      <c r="T4" s="312"/>
      <c r="U4" s="55"/>
      <c r="V4" s="5"/>
      <c r="W4" s="302"/>
      <c r="X4" s="302"/>
      <c r="Y4" s="302"/>
      <c r="Z4" s="302"/>
      <c r="AA4" s="55"/>
      <c r="AB4" s="312"/>
      <c r="AC4" s="312"/>
      <c r="AD4" s="312"/>
      <c r="AE4" s="312"/>
      <c r="AG4" s="381" t="s">
        <v>117</v>
      </c>
      <c r="AK4" s="272"/>
    </row>
    <row r="5" spans="1:46">
      <c r="A5" s="344" t="s">
        <v>652</v>
      </c>
      <c r="B5" s="173"/>
      <c r="C5" s="343"/>
      <c r="E5" s="5"/>
      <c r="G5" s="382"/>
      <c r="H5" s="382"/>
      <c r="I5" s="382"/>
      <c r="J5" s="382"/>
      <c r="K5" s="5"/>
      <c r="L5" s="413"/>
      <c r="M5" s="413"/>
      <c r="N5" s="413"/>
      <c r="O5" s="413"/>
      <c r="P5" s="326"/>
      <c r="Q5" s="142" t="s">
        <v>497</v>
      </c>
      <c r="S5" s="142"/>
      <c r="T5" s="142"/>
      <c r="U5" s="458" t="s">
        <v>682</v>
      </c>
      <c r="V5" s="5"/>
      <c r="W5" s="139"/>
      <c r="X5" s="139"/>
      <c r="Y5" s="139"/>
      <c r="Z5" s="139"/>
      <c r="AA5" s="55"/>
      <c r="AB5" s="203" t="s">
        <v>480</v>
      </c>
      <c r="AD5" s="369" t="s">
        <v>139</v>
      </c>
      <c r="AG5" s="381" t="s">
        <v>216</v>
      </c>
      <c r="AQ5" s="5" t="s">
        <v>209</v>
      </c>
    </row>
    <row r="6" spans="1:46" ht="16" thickBot="1">
      <c r="A6" s="510" t="s">
        <v>2</v>
      </c>
      <c r="B6" s="509"/>
      <c r="C6" s="345"/>
      <c r="D6" s="5"/>
      <c r="E6" s="5"/>
      <c r="F6" s="5"/>
      <c r="G6" s="382" t="s">
        <v>282</v>
      </c>
      <c r="H6" s="382"/>
      <c r="I6" s="382"/>
      <c r="J6" s="382"/>
      <c r="K6" s="5"/>
      <c r="L6" s="413" t="s">
        <v>282</v>
      </c>
      <c r="M6" s="413"/>
      <c r="N6" s="413"/>
      <c r="O6" s="413"/>
      <c r="P6" s="326"/>
      <c r="Q6" s="142" t="s">
        <v>11</v>
      </c>
      <c r="S6" s="27"/>
      <c r="T6" s="27"/>
      <c r="U6" s="458" t="s">
        <v>683</v>
      </c>
      <c r="V6" s="5"/>
      <c r="W6" s="439" t="s">
        <v>645</v>
      </c>
      <c r="X6" s="31"/>
      <c r="Y6" s="31"/>
      <c r="Z6" s="31"/>
      <c r="AA6" s="55"/>
      <c r="AB6" s="198" t="s">
        <v>65</v>
      </c>
    </row>
    <row r="7" spans="1:46" ht="16" thickBot="1">
      <c r="A7" s="12" t="s">
        <v>390</v>
      </c>
      <c r="B7" s="5"/>
      <c r="C7" s="5"/>
      <c r="D7" s="5"/>
      <c r="E7" s="5"/>
      <c r="F7" s="5"/>
      <c r="G7" s="385" t="s">
        <v>410</v>
      </c>
      <c r="H7" s="386"/>
      <c r="I7" s="386"/>
      <c r="J7" s="387"/>
      <c r="K7" s="5"/>
      <c r="L7" s="385" t="s">
        <v>448</v>
      </c>
      <c r="M7" s="386"/>
      <c r="N7" s="386"/>
      <c r="O7" s="446"/>
      <c r="P7" s="326"/>
      <c r="Q7" s="28" t="s">
        <v>687</v>
      </c>
      <c r="R7" s="200"/>
      <c r="S7" s="200"/>
      <c r="T7" s="201"/>
      <c r="U7" s="458" t="s">
        <v>684</v>
      </c>
      <c r="V7" s="5"/>
      <c r="W7" s="205" t="s">
        <v>676</v>
      </c>
      <c r="X7" s="32"/>
      <c r="Y7" s="32"/>
      <c r="Z7" s="33"/>
      <c r="AA7" s="55"/>
      <c r="AB7" s="199" t="s">
        <v>46</v>
      </c>
      <c r="AC7" s="200"/>
      <c r="AD7" s="200"/>
      <c r="AE7" s="201"/>
      <c r="AG7" s="375" t="s">
        <v>404</v>
      </c>
      <c r="AH7" s="376"/>
      <c r="AI7" s="376"/>
      <c r="AJ7" s="377"/>
      <c r="AL7" s="199" t="s">
        <v>551</v>
      </c>
      <c r="AM7" s="200"/>
      <c r="AN7" s="200"/>
      <c r="AO7" s="201"/>
      <c r="AP7" s="5"/>
      <c r="AQ7" s="205" t="s">
        <v>658</v>
      </c>
      <c r="AR7" s="206"/>
      <c r="AS7" s="206"/>
      <c r="AT7" s="207"/>
    </row>
    <row r="8" spans="1:46">
      <c r="A8" s="12" t="s">
        <v>391</v>
      </c>
      <c r="B8" s="16" t="s">
        <v>634</v>
      </c>
      <c r="C8" s="5" t="s">
        <v>422</v>
      </c>
      <c r="D8" s="5"/>
      <c r="E8" s="5"/>
      <c r="F8" s="5"/>
      <c r="G8" s="388" t="s">
        <v>346</v>
      </c>
      <c r="H8" s="388" t="s">
        <v>291</v>
      </c>
      <c r="I8" s="388"/>
      <c r="J8" s="388" t="s">
        <v>227</v>
      </c>
      <c r="K8" s="5"/>
      <c r="L8" s="415" t="s">
        <v>346</v>
      </c>
      <c r="M8" s="415" t="s">
        <v>291</v>
      </c>
      <c r="N8" s="415"/>
      <c r="O8" s="415" t="s">
        <v>227</v>
      </c>
      <c r="P8" s="326"/>
      <c r="Q8" s="29" t="s">
        <v>346</v>
      </c>
      <c r="R8" s="29" t="s">
        <v>291</v>
      </c>
      <c r="S8" s="29"/>
      <c r="T8" s="29" t="s">
        <v>227</v>
      </c>
      <c r="U8" s="458" t="s">
        <v>685</v>
      </c>
      <c r="V8" s="5"/>
      <c r="W8" s="34" t="s">
        <v>346</v>
      </c>
      <c r="X8" s="34" t="s">
        <v>291</v>
      </c>
      <c r="Y8" s="34"/>
      <c r="Z8" s="34" t="s">
        <v>227</v>
      </c>
      <c r="AA8" s="55"/>
      <c r="AB8" s="370" t="s">
        <v>346</v>
      </c>
      <c r="AC8" s="370" t="s">
        <v>291</v>
      </c>
      <c r="AD8" s="355"/>
      <c r="AE8" s="197" t="s">
        <v>227</v>
      </c>
      <c r="AG8" s="378" t="s">
        <v>405</v>
      </c>
      <c r="AH8" s="378" t="s">
        <v>406</v>
      </c>
      <c r="AI8" s="378"/>
      <c r="AJ8" s="378" t="s">
        <v>274</v>
      </c>
      <c r="AL8" s="197" t="s">
        <v>346</v>
      </c>
      <c r="AM8" s="197" t="s">
        <v>291</v>
      </c>
      <c r="AN8" s="197"/>
      <c r="AO8" s="197" t="s">
        <v>227</v>
      </c>
      <c r="AP8" s="5"/>
      <c r="AQ8" s="208" t="s">
        <v>405</v>
      </c>
      <c r="AR8" s="208" t="s">
        <v>406</v>
      </c>
      <c r="AS8" s="208"/>
      <c r="AT8" s="208" t="s">
        <v>274</v>
      </c>
    </row>
    <row r="9" spans="1:46">
      <c r="A9" s="12" t="s">
        <v>364</v>
      </c>
      <c r="B9" s="16" t="s">
        <v>228</v>
      </c>
      <c r="C9" s="5" t="s">
        <v>584</v>
      </c>
      <c r="D9" s="5" t="s">
        <v>365</v>
      </c>
      <c r="E9" s="5"/>
      <c r="F9" s="5"/>
      <c r="G9" s="388" t="s">
        <v>263</v>
      </c>
      <c r="H9" s="388" t="s">
        <v>414</v>
      </c>
      <c r="I9" s="388" t="s">
        <v>316</v>
      </c>
      <c r="J9" s="388" t="s">
        <v>414</v>
      </c>
      <c r="K9" s="5"/>
      <c r="L9" s="415" t="s">
        <v>263</v>
      </c>
      <c r="M9" s="415" t="s">
        <v>414</v>
      </c>
      <c r="N9" s="415" t="s">
        <v>316</v>
      </c>
      <c r="O9" s="415" t="s">
        <v>414</v>
      </c>
      <c r="P9" s="326"/>
      <c r="Q9" s="29" t="s">
        <v>263</v>
      </c>
      <c r="R9" s="29" t="s">
        <v>414</v>
      </c>
      <c r="S9" s="29" t="s">
        <v>316</v>
      </c>
      <c r="T9" s="29" t="s">
        <v>414</v>
      </c>
      <c r="U9" s="458" t="s">
        <v>686</v>
      </c>
      <c r="V9" s="5"/>
      <c r="W9" s="34" t="s">
        <v>263</v>
      </c>
      <c r="X9" s="34" t="s">
        <v>414</v>
      </c>
      <c r="Y9" s="34" t="s">
        <v>316</v>
      </c>
      <c r="Z9" s="34" t="s">
        <v>414</v>
      </c>
      <c r="AA9" s="55"/>
      <c r="AB9" s="370" t="s">
        <v>263</v>
      </c>
      <c r="AC9" s="370" t="s">
        <v>414</v>
      </c>
      <c r="AD9" s="370" t="s">
        <v>316</v>
      </c>
      <c r="AE9" s="197" t="s">
        <v>414</v>
      </c>
      <c r="AG9" s="378" t="s">
        <v>372</v>
      </c>
      <c r="AH9" s="378" t="s">
        <v>373</v>
      </c>
      <c r="AI9" s="378" t="s">
        <v>134</v>
      </c>
      <c r="AJ9" s="378" t="s">
        <v>55</v>
      </c>
      <c r="AL9" s="197" t="s">
        <v>263</v>
      </c>
      <c r="AM9" s="197" t="s">
        <v>414</v>
      </c>
      <c r="AN9" s="197" t="s">
        <v>316</v>
      </c>
      <c r="AO9" s="197" t="s">
        <v>414</v>
      </c>
      <c r="AP9" s="5"/>
      <c r="AQ9" s="208" t="s">
        <v>372</v>
      </c>
      <c r="AR9" s="208" t="s">
        <v>373</v>
      </c>
      <c r="AS9" s="208" t="s">
        <v>134</v>
      </c>
      <c r="AT9" s="208" t="s">
        <v>55</v>
      </c>
    </row>
    <row r="10" spans="1:46">
      <c r="A10" s="5"/>
      <c r="B10" s="16"/>
      <c r="C10" s="5"/>
      <c r="D10" s="5"/>
      <c r="E10" s="5"/>
      <c r="F10" s="5"/>
      <c r="G10" s="382"/>
      <c r="H10" s="382"/>
      <c r="I10" s="382"/>
      <c r="J10" s="382"/>
      <c r="K10" s="5"/>
      <c r="L10" s="413"/>
      <c r="M10" s="413"/>
      <c r="N10" s="413"/>
      <c r="O10" s="413"/>
      <c r="P10" s="326"/>
      <c r="Q10" s="53"/>
      <c r="R10" s="53"/>
      <c r="S10" s="53"/>
      <c r="T10" s="53"/>
      <c r="U10" s="371"/>
      <c r="V10" s="302"/>
      <c r="W10" s="53"/>
      <c r="X10" s="53"/>
      <c r="Y10" s="53"/>
      <c r="Z10" s="53"/>
      <c r="AA10" s="194"/>
      <c r="AB10" s="355"/>
      <c r="AC10" s="355"/>
      <c r="AD10" s="355"/>
    </row>
    <row r="11" spans="1:46">
      <c r="A11" s="5">
        <v>1</v>
      </c>
      <c r="B11" s="17" t="s">
        <v>182</v>
      </c>
      <c r="C11" s="8" t="s">
        <v>183</v>
      </c>
      <c r="D11" s="42" t="s">
        <v>577</v>
      </c>
      <c r="E11" s="5"/>
      <c r="F11" s="5"/>
      <c r="G11" s="411">
        <f ca="1">SUM(G12:G22)</f>
        <v>2036.7271116484985</v>
      </c>
      <c r="H11" s="411">
        <f ca="1">SUM(H12:H22)</f>
        <v>9385.3938245611353</v>
      </c>
      <c r="I11" s="411">
        <f ca="1">SUM(I12:I22)</f>
        <v>3696.0366600576413</v>
      </c>
      <c r="J11" s="411">
        <f ca="1">G11+H11+I11</f>
        <v>15118.157596267276</v>
      </c>
      <c r="K11" s="246"/>
      <c r="L11" s="429">
        <f>SUM(L12:L22)</f>
        <v>3437.1615697741568</v>
      </c>
      <c r="M11" s="429">
        <f>SUM(M12:M22)</f>
        <v>13795.452725362811</v>
      </c>
      <c r="N11" s="429">
        <f>SUM(N12:N22)</f>
        <v>6445.6587433078648</v>
      </c>
      <c r="O11" s="429">
        <f t="shared" ref="O11:O21" si="1">L11+M11+N11</f>
        <v>23678.273038444833</v>
      </c>
      <c r="P11" s="420"/>
      <c r="Q11" s="280">
        <f t="shared" ref="Q11" ca="1" si="2">W11/G11</f>
        <v>296.03275829282853</v>
      </c>
      <c r="R11" s="280">
        <f t="shared" ref="R11" ca="1" si="3">X11/H11</f>
        <v>546.60015609936727</v>
      </c>
      <c r="S11" s="280">
        <f t="shared" ref="S11" ca="1" si="4">Y11/I11</f>
        <v>1086.8770500797066</v>
      </c>
      <c r="T11" s="280">
        <f t="shared" ref="T11:T20" ca="1" si="5">Z11/J11</f>
        <v>644.92865842247102</v>
      </c>
      <c r="U11" s="371"/>
      <c r="V11" s="246"/>
      <c r="W11" s="411">
        <f ca="1">SUM(W12:W22)</f>
        <v>602937.94475109072</v>
      </c>
      <c r="X11" s="411">
        <f ca="1">SUM(X12:X22)</f>
        <v>5130057.7295591542</v>
      </c>
      <c r="Y11" s="411">
        <f ca="1">SUM(Y12:Y22)</f>
        <v>4017137.4220699002</v>
      </c>
      <c r="Z11" s="411">
        <f ca="1">W11+X11+Y11</f>
        <v>9750133.0963801444</v>
      </c>
      <c r="AA11" s="132"/>
      <c r="AB11" s="421">
        <f ca="1">AG11/G11</f>
        <v>46.698745311033541</v>
      </c>
      <c r="AC11" s="421">
        <f ca="1">AH11/H11</f>
        <v>103.45614049581889</v>
      </c>
      <c r="AD11" s="421">
        <f ca="1">AI11/I11</f>
        <v>582.82094720929751</v>
      </c>
      <c r="AE11" s="421">
        <f ca="1">AJ11/J11</f>
        <v>213.00325713680238</v>
      </c>
      <c r="AF11" s="281"/>
      <c r="AG11" s="411">
        <f ca="1">SUM(AG12:AG22)</f>
        <v>95112.600654950205</v>
      </c>
      <c r="AH11" s="411">
        <f ca="1">SUM(AH12:AH22)</f>
        <v>970976.62212238775</v>
      </c>
      <c r="AI11" s="411">
        <f ca="1">SUM(AI12:AI22)</f>
        <v>2154127.587135083</v>
      </c>
      <c r="AJ11" s="411">
        <f ca="1">AG11+AH11+AI11</f>
        <v>3220216.8099124208</v>
      </c>
      <c r="AK11" s="422"/>
      <c r="AL11" s="280">
        <f t="shared" ref="AL11:AL20" ca="1" si="6">AQ11/G11</f>
        <v>342.731503603862</v>
      </c>
      <c r="AM11" s="280">
        <f t="shared" ref="AM11:AM20" ca="1" si="7">AR11/H11</f>
        <v>650.05629659518627</v>
      </c>
      <c r="AN11" s="280">
        <f t="shared" ref="AN11:AN20" ca="1" si="8">AS11/I11</f>
        <v>1669.697997289004</v>
      </c>
      <c r="AO11" s="280">
        <f t="shared" ref="AO11:AO20" ca="1" si="9">AT11/J11</f>
        <v>857.93191555927342</v>
      </c>
      <c r="AP11" s="423"/>
      <c r="AQ11" s="424">
        <f ca="1">SUM(AQ12:AQ22)</f>
        <v>698050.54540604085</v>
      </c>
      <c r="AR11" s="424">
        <f ca="1">SUM(AR12:AR22)</f>
        <v>6101034.3516815426</v>
      </c>
      <c r="AS11" s="424">
        <f ca="1">SUM(AS12:AS22)</f>
        <v>6171265.0092049828</v>
      </c>
      <c r="AT11" s="448">
        <f ca="1">AQ11+AR11+AS11</f>
        <v>12970349.906292565</v>
      </c>
    </row>
    <row r="12" spans="1:46">
      <c r="A12" s="5">
        <v>2</v>
      </c>
      <c r="B12" s="18" t="s">
        <v>386</v>
      </c>
      <c r="C12" s="9" t="s">
        <v>387</v>
      </c>
      <c r="D12" s="6" t="s">
        <v>226</v>
      </c>
      <c r="E12" s="5"/>
      <c r="F12" s="5"/>
      <c r="G12" s="411">
        <f ca="1">'(2) Homes for non-HH earners'!G16</f>
        <v>73.068323586118268</v>
      </c>
      <c r="H12" s="411">
        <f ca="1">'(2) Homes for non-HH earners'!H16</f>
        <v>418.37451309653005</v>
      </c>
      <c r="I12" s="411">
        <f ca="1">'(2) Homes for non-HH earners'!I16</f>
        <v>882.38165577173538</v>
      </c>
      <c r="J12" s="411">
        <f ca="1">G12+H12+I12</f>
        <v>1373.8244924543837</v>
      </c>
      <c r="K12" s="246"/>
      <c r="L12" s="429">
        <v>164.34197698378634</v>
      </c>
      <c r="M12" s="429">
        <v>613.87144256812326</v>
      </c>
      <c r="N12" s="429">
        <v>1733.362916060456</v>
      </c>
      <c r="O12" s="429">
        <f t="shared" si="1"/>
        <v>2511.5763356123657</v>
      </c>
      <c r="P12" s="420"/>
      <c r="Q12" s="280">
        <v>2301.588096028373</v>
      </c>
      <c r="R12" s="280">
        <v>2128.0367685602801</v>
      </c>
      <c r="S12" s="280">
        <v>3262.2829959104115</v>
      </c>
      <c r="T12" s="280">
        <f t="shared" ca="1" si="5"/>
        <v>2865.7723193988049</v>
      </c>
      <c r="U12" s="371">
        <v>1</v>
      </c>
      <c r="V12" s="246"/>
      <c r="W12" s="411">
        <f ca="1">G12*Q12*$U12</f>
        <v>168173.183762559</v>
      </c>
      <c r="X12" s="411">
        <f t="shared" ref="X12:Y12" ca="1" si="10">H12*R12*$U12</f>
        <v>890316.34689792036</v>
      </c>
      <c r="Y12" s="411">
        <f t="shared" ca="1" si="10"/>
        <v>2878578.6715274062</v>
      </c>
      <c r="Z12" s="411">
        <f t="shared" ref="Z12:Z40" ca="1" si="11">W12+X12+Y12</f>
        <v>3937068.2021878855</v>
      </c>
      <c r="AA12" s="132"/>
      <c r="AB12" s="421">
        <v>315.55221315517986</v>
      </c>
      <c r="AC12" s="421">
        <v>309.49734556346704</v>
      </c>
      <c r="AD12" s="421">
        <v>1578.1445403057689</v>
      </c>
      <c r="AE12" s="280">
        <v>1732.3927200498772</v>
      </c>
      <c r="AF12" s="281"/>
      <c r="AG12" s="411">
        <f t="shared" ref="AG12:AG20" ca="1" si="12">G12*AB12</f>
        <v>23056.871219138447</v>
      </c>
      <c r="AH12" s="411">
        <f t="shared" ref="AH12:AH20" ca="1" si="13">H12*AC12</f>
        <v>129485.80125478403</v>
      </c>
      <c r="AI12" s="411">
        <f t="shared" ref="AI12:AI20" ca="1" si="14">I12*AD12</f>
        <v>1392525.7925221287</v>
      </c>
      <c r="AJ12" s="411">
        <f t="shared" ref="AJ12:AJ20" ca="1" si="15">AG12+AH12+AI12</f>
        <v>1545068.464996051</v>
      </c>
      <c r="AK12" s="422"/>
      <c r="AL12" s="280">
        <f t="shared" ca="1" si="6"/>
        <v>2617.1403091835527</v>
      </c>
      <c r="AM12" s="280">
        <f t="shared" ca="1" si="7"/>
        <v>2437.5341141237468</v>
      </c>
      <c r="AN12" s="280">
        <f t="shared" ca="1" si="8"/>
        <v>4840.4275362161807</v>
      </c>
      <c r="AO12" s="280">
        <f t="shared" ca="1" si="9"/>
        <v>3990.4199534177142</v>
      </c>
      <c r="AP12" s="423"/>
      <c r="AQ12" s="424">
        <f ca="1">W12+AG12</f>
        <v>191230.05498169744</v>
      </c>
      <c r="AR12" s="424">
        <f ca="1">X12+AH12</f>
        <v>1019802.1481527044</v>
      </c>
      <c r="AS12" s="424">
        <f ca="1">Y12+AI12</f>
        <v>4271104.4640495349</v>
      </c>
      <c r="AT12" s="424">
        <f t="shared" ref="AT12:AT46" ca="1" si="16">AQ12+AR12+AS12</f>
        <v>5482136.6671839366</v>
      </c>
    </row>
    <row r="13" spans="1:46">
      <c r="A13" s="5">
        <v>3</v>
      </c>
      <c r="B13" s="18"/>
      <c r="C13" s="9" t="s">
        <v>212</v>
      </c>
      <c r="D13" s="6" t="s">
        <v>398</v>
      </c>
      <c r="E13" s="5"/>
      <c r="F13" s="5"/>
      <c r="G13" s="411">
        <f ca="1">'(2) Homes for non-HH earners'!G17</f>
        <v>405.1970671593831</v>
      </c>
      <c r="H13" s="411">
        <f ca="1">'(2) Homes for non-HH earners'!H17</f>
        <v>2386.8172746096379</v>
      </c>
      <c r="I13" s="411">
        <f ca="1">'(2) Homes for non-HH earners'!I17</f>
        <v>930.99772496026071</v>
      </c>
      <c r="J13" s="411">
        <f t="shared" ref="J13:J22" ca="1" si="17">G13+H13+I13</f>
        <v>3723.0120667292817</v>
      </c>
      <c r="K13" s="246"/>
      <c r="L13" s="429">
        <v>911.35096327372412</v>
      </c>
      <c r="M13" s="429">
        <v>3502.1229010025154</v>
      </c>
      <c r="N13" s="429">
        <v>1828.8650050995996</v>
      </c>
      <c r="O13" s="429">
        <f t="shared" si="1"/>
        <v>6242.3388693758388</v>
      </c>
      <c r="P13" s="420"/>
      <c r="Q13" s="280">
        <v>414.68568164609638</v>
      </c>
      <c r="R13" s="280">
        <v>1076.2512523700495</v>
      </c>
      <c r="S13" s="280">
        <v>507.27549959361124</v>
      </c>
      <c r="T13" s="280">
        <f t="shared" ca="1" si="5"/>
        <v>861.96788554651789</v>
      </c>
      <c r="U13" s="445">
        <v>1</v>
      </c>
      <c r="V13" s="246"/>
      <c r="W13" s="411">
        <f t="shared" ref="W13:W21" ca="1" si="18">G13*Q13*$U13</f>
        <v>168029.42199598788</v>
      </c>
      <c r="X13" s="411">
        <f t="shared" ref="X13:X22" ca="1" si="19">H13*R13*$U13</f>
        <v>2568815.0809770911</v>
      </c>
      <c r="Y13" s="411">
        <f t="shared" ref="Y13:Y20" ca="1" si="20">I13*S13*$U13</f>
        <v>472272.3360497317</v>
      </c>
      <c r="Z13" s="411">
        <f t="shared" ca="1" si="11"/>
        <v>3209116.8390228106</v>
      </c>
      <c r="AA13" s="132"/>
      <c r="AB13" s="421">
        <v>116.7301793535444</v>
      </c>
      <c r="AC13" s="421">
        <v>203.56716305408384</v>
      </c>
      <c r="AD13" s="421">
        <v>77.459813446997401</v>
      </c>
      <c r="AE13" s="280">
        <v>157.38898066999803</v>
      </c>
      <c r="AF13" s="281"/>
      <c r="AG13" s="411">
        <f t="shared" ca="1" si="12"/>
        <v>47298.726323044968</v>
      </c>
      <c r="AH13" s="411">
        <f t="shared" ca="1" si="13"/>
        <v>485877.62132076418</v>
      </c>
      <c r="AI13" s="411">
        <f t="shared" ca="1" si="14"/>
        <v>72114.910095000785</v>
      </c>
      <c r="AJ13" s="411">
        <f t="shared" ca="1" si="15"/>
        <v>605291.25773880992</v>
      </c>
      <c r="AK13" s="422"/>
      <c r="AL13" s="280">
        <f t="shared" ca="1" si="6"/>
        <v>531.41586099964081</v>
      </c>
      <c r="AM13" s="280">
        <f t="shared" ca="1" si="7"/>
        <v>1279.8184154241333</v>
      </c>
      <c r="AN13" s="280">
        <f t="shared" ca="1" si="8"/>
        <v>584.73531304060862</v>
      </c>
      <c r="AO13" s="280">
        <f t="shared" ca="1" si="9"/>
        <v>1024.5489481081997</v>
      </c>
      <c r="AP13" s="423"/>
      <c r="AQ13" s="424">
        <f t="shared" ref="AQ13:AQ38" ca="1" si="21">W13+AG13</f>
        <v>215328.14831903286</v>
      </c>
      <c r="AR13" s="424">
        <f t="shared" ref="AR13:AS41" ca="1" si="22">X13+AH13</f>
        <v>3054692.7022978552</v>
      </c>
      <c r="AS13" s="424">
        <f t="shared" ref="AS13:AS40" ca="1" si="23">Y13+AI13</f>
        <v>544387.24614473246</v>
      </c>
      <c r="AT13" s="424">
        <f t="shared" ca="1" si="16"/>
        <v>3814408.0967616206</v>
      </c>
    </row>
    <row r="14" spans="1:46">
      <c r="A14" s="5">
        <v>4</v>
      </c>
      <c r="B14" s="18" t="s">
        <v>315</v>
      </c>
      <c r="C14" s="9" t="s">
        <v>191</v>
      </c>
      <c r="D14" s="42" t="s">
        <v>58</v>
      </c>
      <c r="E14" s="5"/>
      <c r="F14" s="5"/>
      <c r="G14" s="411">
        <f ca="1">'(2) Homes for non-HH earners'!G18</f>
        <v>273</v>
      </c>
      <c r="H14" s="411">
        <f ca="1">'(2) Homes for non-HH earners'!H18</f>
        <v>1514</v>
      </c>
      <c r="I14" s="411">
        <f ca="1">'(2) Homes for non-HH earners'!I18</f>
        <v>299</v>
      </c>
      <c r="J14" s="411">
        <f t="shared" ca="1" si="17"/>
        <v>2086</v>
      </c>
      <c r="K14" s="246"/>
      <c r="L14" s="429">
        <v>614.01928379669744</v>
      </c>
      <c r="M14" s="429">
        <v>2221.457892282509</v>
      </c>
      <c r="N14" s="429">
        <v>587.35979891693239</v>
      </c>
      <c r="O14" s="429">
        <f t="shared" si="1"/>
        <v>3422.8369749961389</v>
      </c>
      <c r="P14" s="420"/>
      <c r="Q14" s="280">
        <v>360.1614293617086</v>
      </c>
      <c r="R14" s="280">
        <v>375.02305427456565</v>
      </c>
      <c r="S14" s="280">
        <v>378.52299591041134</v>
      </c>
      <c r="T14" s="280">
        <f t="shared" ca="1" si="5"/>
        <v>373.57974600414758</v>
      </c>
      <c r="U14" s="445">
        <v>1</v>
      </c>
      <c r="V14" s="246"/>
      <c r="W14" s="411">
        <f t="shared" ca="1" si="18"/>
        <v>98324.070215746455</v>
      </c>
      <c r="X14" s="411">
        <f t="shared" ca="1" si="19"/>
        <v>567784.90417169244</v>
      </c>
      <c r="Y14" s="411">
        <f t="shared" ca="1" si="20"/>
        <v>113178.37577721299</v>
      </c>
      <c r="Z14" s="411">
        <f t="shared" ca="1" si="11"/>
        <v>779287.35016465187</v>
      </c>
      <c r="AA14" s="132"/>
      <c r="AB14" s="421">
        <v>43.028828716563922</v>
      </c>
      <c r="AC14" s="421">
        <v>137.54915569934698</v>
      </c>
      <c r="AD14" s="421">
        <v>233.29624915256639</v>
      </c>
      <c r="AE14" s="280">
        <v>141.45743139273671</v>
      </c>
      <c r="AF14" s="281"/>
      <c r="AG14" s="411">
        <f t="shared" ca="1" si="12"/>
        <v>11746.870239621951</v>
      </c>
      <c r="AH14" s="411">
        <f t="shared" ca="1" si="13"/>
        <v>208249.42172881134</v>
      </c>
      <c r="AI14" s="411">
        <f t="shared" ca="1" si="14"/>
        <v>69755.578496617352</v>
      </c>
      <c r="AJ14" s="411">
        <f t="shared" ca="1" si="15"/>
        <v>289751.87046505068</v>
      </c>
      <c r="AK14" s="422"/>
      <c r="AL14" s="280">
        <f t="shared" ca="1" si="6"/>
        <v>403.19025807827251</v>
      </c>
      <c r="AM14" s="280">
        <f t="shared" ca="1" si="7"/>
        <v>512.57220997391266</v>
      </c>
      <c r="AN14" s="280">
        <f t="shared" ca="1" si="8"/>
        <v>611.81924506297776</v>
      </c>
      <c r="AO14" s="280">
        <f t="shared" ca="1" si="9"/>
        <v>512.48284785700025</v>
      </c>
      <c r="AP14" s="423"/>
      <c r="AQ14" s="424">
        <f t="shared" ca="1" si="21"/>
        <v>110070.9404553684</v>
      </c>
      <c r="AR14" s="424">
        <f t="shared" ca="1" si="22"/>
        <v>776034.32590050378</v>
      </c>
      <c r="AS14" s="424">
        <f t="shared" ca="1" si="23"/>
        <v>182933.95427383034</v>
      </c>
      <c r="AT14" s="424">
        <f t="shared" ca="1" si="16"/>
        <v>1069039.2206297026</v>
      </c>
    </row>
    <row r="15" spans="1:46">
      <c r="A15" s="5">
        <v>5</v>
      </c>
      <c r="B15" s="18" t="s">
        <v>385</v>
      </c>
      <c r="C15" s="9" t="s">
        <v>180</v>
      </c>
      <c r="D15" s="8" t="s">
        <v>425</v>
      </c>
      <c r="E15" s="5"/>
      <c r="F15" s="5"/>
      <c r="G15" s="411">
        <f ca="1">'(2) Homes for non-HH earners'!G19</f>
        <v>197.82570688946015</v>
      </c>
      <c r="H15" s="411">
        <f ca="1">'(2) Homes for non-HH earners'!H19</f>
        <v>685.91208771434367</v>
      </c>
      <c r="I15" s="411">
        <f ca="1">'(2) Homes for non-HH earners'!I19</f>
        <v>216.02648296594066</v>
      </c>
      <c r="J15" s="411">
        <f t="shared" ca="1" si="17"/>
        <v>1099.7642775697445</v>
      </c>
      <c r="K15" s="246"/>
      <c r="L15" s="429">
        <v>444.94065516791829</v>
      </c>
      <c r="M15" s="429">
        <v>1006.4232633190234</v>
      </c>
      <c r="N15" s="429">
        <v>424.36545684149507</v>
      </c>
      <c r="O15" s="429">
        <f t="shared" si="1"/>
        <v>1875.7293753284366</v>
      </c>
      <c r="P15" s="420"/>
      <c r="Q15" s="280">
        <v>425.10254047281961</v>
      </c>
      <c r="R15" s="280">
        <v>466.35438760789901</v>
      </c>
      <c r="S15" s="280">
        <v>492.03299591041127</v>
      </c>
      <c r="T15" s="280">
        <f t="shared" ca="1" si="5"/>
        <v>415.0602322177109</v>
      </c>
      <c r="U15" s="445">
        <f>280/313</f>
        <v>0.89456869009584661</v>
      </c>
      <c r="V15" s="246"/>
      <c r="W15" s="411">
        <f t="shared" ca="1" si="18"/>
        <v>75229.836931218684</v>
      </c>
      <c r="X15" s="411">
        <f t="shared" ca="1" si="19"/>
        <v>286152.94330123294</v>
      </c>
      <c r="Y15" s="411">
        <f t="shared" ca="1" si="20"/>
        <v>95085.636200389577</v>
      </c>
      <c r="Z15" s="411">
        <f t="shared" ca="1" si="11"/>
        <v>456468.41643284122</v>
      </c>
      <c r="AA15" s="132"/>
      <c r="AB15" s="421">
        <v>43.028828716563922</v>
      </c>
      <c r="AC15" s="421">
        <v>137.54915569934698</v>
      </c>
      <c r="AD15" s="421">
        <v>233.29624915256639</v>
      </c>
      <c r="AE15" s="280">
        <v>141.87304746886508</v>
      </c>
      <c r="AF15" s="281"/>
      <c r="AG15" s="411">
        <f t="shared" ca="1" si="12"/>
        <v>8512.2084574797609</v>
      </c>
      <c r="AH15" s="411">
        <f t="shared" ca="1" si="13"/>
        <v>94346.628549084402</v>
      </c>
      <c r="AI15" s="411">
        <f t="shared" ca="1" si="14"/>
        <v>50398.168193574733</v>
      </c>
      <c r="AJ15" s="411">
        <f t="shared" ca="1" si="15"/>
        <v>153257.0052001389</v>
      </c>
      <c r="AK15" s="422"/>
      <c r="AL15" s="280">
        <f t="shared" ca="1" si="6"/>
        <v>423.31225150375082</v>
      </c>
      <c r="AM15" s="280">
        <f t="shared" ca="1" si="7"/>
        <v>554.73518934219601</v>
      </c>
      <c r="AN15" s="280">
        <f t="shared" ca="1" si="8"/>
        <v>673.45356178807799</v>
      </c>
      <c r="AO15" s="280">
        <f t="shared" ca="1" si="9"/>
        <v>554.41464509135483</v>
      </c>
      <c r="AP15" s="423"/>
      <c r="AQ15" s="424">
        <f t="shared" ca="1" si="21"/>
        <v>83742.045388698447</v>
      </c>
      <c r="AR15" s="424">
        <f t="shared" ca="1" si="22"/>
        <v>380499.57185031736</v>
      </c>
      <c r="AS15" s="424">
        <f t="shared" ca="1" si="23"/>
        <v>145483.8043939643</v>
      </c>
      <c r="AT15" s="424">
        <f t="shared" ca="1" si="16"/>
        <v>609725.42163298011</v>
      </c>
    </row>
    <row r="16" spans="1:46">
      <c r="A16" s="5">
        <v>6</v>
      </c>
      <c r="B16" s="18" t="s">
        <v>244</v>
      </c>
      <c r="C16" s="9" t="s">
        <v>350</v>
      </c>
      <c r="D16" s="42" t="s">
        <v>447</v>
      </c>
      <c r="E16" s="5"/>
      <c r="F16" s="5"/>
      <c r="G16" s="411">
        <f ca="1">'(2) Homes for non-HH earners'!G20</f>
        <v>8.0144387200686378</v>
      </c>
      <c r="H16" s="411">
        <f ca="1">'(2) Homes for non-HH earners'!H20</f>
        <v>254.68015419186904</v>
      </c>
      <c r="I16" s="411">
        <f ca="1">'(2) Homes for non-HH earners'!I20</f>
        <v>384.67464745420693</v>
      </c>
      <c r="J16" s="411">
        <f t="shared" ca="1" si="17"/>
        <v>647.3692403661446</v>
      </c>
      <c r="K16" s="246"/>
      <c r="L16" s="429">
        <v>18.025714003403166</v>
      </c>
      <c r="M16" s="429">
        <v>373.68641911311346</v>
      </c>
      <c r="N16" s="429">
        <v>755.6602795222235</v>
      </c>
      <c r="O16" s="429">
        <f t="shared" si="1"/>
        <v>1147.3724126387401</v>
      </c>
      <c r="P16" s="420"/>
      <c r="Q16" s="280">
        <v>355.09402585293662</v>
      </c>
      <c r="R16" s="280">
        <v>366.64021629799782</v>
      </c>
      <c r="S16" s="280">
        <v>822.03299591041127</v>
      </c>
      <c r="T16" s="280">
        <f t="shared" ca="1" si="5"/>
        <v>569.92719194769722</v>
      </c>
      <c r="U16" s="445">
        <f>280/313</f>
        <v>0.89456869009584661</v>
      </c>
      <c r="V16" s="246"/>
      <c r="W16" s="411">
        <f t="shared" ca="1" si="18"/>
        <v>2545.8345265719877</v>
      </c>
      <c r="X16" s="411">
        <f t="shared" ca="1" si="19"/>
        <v>83531.234215718869</v>
      </c>
      <c r="Y16" s="411">
        <f t="shared" ca="1" si="20"/>
        <v>282876.26457289979</v>
      </c>
      <c r="Z16" s="411">
        <f t="shared" ca="1" si="11"/>
        <v>368953.33331519063</v>
      </c>
      <c r="AA16" s="132"/>
      <c r="AB16" s="421">
        <v>26.873229935943062</v>
      </c>
      <c r="AC16" s="421">
        <v>22.614155001121127</v>
      </c>
      <c r="AD16" s="421">
        <v>1273.7051736752167</v>
      </c>
      <c r="AE16" s="280">
        <v>273.866161395213</v>
      </c>
      <c r="AF16" s="281"/>
      <c r="AG16" s="411">
        <f t="shared" ca="1" si="12"/>
        <v>215.37385453192971</v>
      </c>
      <c r="AH16" s="411">
        <f t="shared" ca="1" si="13"/>
        <v>5759.3764826043544</v>
      </c>
      <c r="AI16" s="411">
        <f t="shared" ca="1" si="14"/>
        <v>489962.08864411339</v>
      </c>
      <c r="AJ16" s="411">
        <f t="shared" ca="1" si="15"/>
        <v>495936.83898124966</v>
      </c>
      <c r="AK16" s="422"/>
      <c r="AL16" s="280">
        <f t="shared" ca="1" si="6"/>
        <v>344.52922750406526</v>
      </c>
      <c r="AM16" s="280">
        <f t="shared" ca="1" si="7"/>
        <v>350.5990130312789</v>
      </c>
      <c r="AN16" s="280">
        <f t="shared" ca="1" si="8"/>
        <v>2009.0701540423577</v>
      </c>
      <c r="AO16" s="280">
        <f t="shared" ca="1" si="9"/>
        <v>1336.0075183789525</v>
      </c>
      <c r="AP16" s="423"/>
      <c r="AQ16" s="424">
        <f t="shared" ca="1" si="21"/>
        <v>2761.2083811039174</v>
      </c>
      <c r="AR16" s="424">
        <f t="shared" ca="1" si="22"/>
        <v>89290.610698323217</v>
      </c>
      <c r="AS16" s="424">
        <f t="shared" ca="1" si="23"/>
        <v>772838.35321701318</v>
      </c>
      <c r="AT16" s="424">
        <f t="shared" ca="1" si="16"/>
        <v>864890.17229644035</v>
      </c>
    </row>
    <row r="17" spans="1:48">
      <c r="A17" s="5">
        <v>7</v>
      </c>
      <c r="B17" s="18" t="s">
        <v>518</v>
      </c>
      <c r="C17" s="9" t="s">
        <v>519</v>
      </c>
      <c r="D17" s="8" t="s">
        <v>261</v>
      </c>
      <c r="E17" s="5"/>
      <c r="F17" s="5"/>
      <c r="G17" s="4">
        <f ca="1">'(2) Homes for non-HH earners'!G21</f>
        <v>164</v>
      </c>
      <c r="H17" s="411">
        <f ca="1">'(2) Homes for non-HH earners'!H21</f>
        <v>860</v>
      </c>
      <c r="I17" s="411">
        <f ca="1">'(2) Homes for non-HH earners'!I21</f>
        <v>138</v>
      </c>
      <c r="J17" s="411">
        <f t="shared" ca="1" si="17"/>
        <v>1162</v>
      </c>
      <c r="K17" s="246"/>
      <c r="L17" s="4">
        <v>368.86140125515885</v>
      </c>
      <c r="M17" s="429">
        <v>1261.8585121287699</v>
      </c>
      <c r="N17" s="429">
        <v>271.08913796166109</v>
      </c>
      <c r="O17" s="429">
        <f t="shared" si="1"/>
        <v>1901.80905134559</v>
      </c>
      <c r="P17" s="420"/>
      <c r="Q17" s="2">
        <v>310.09047698075602</v>
      </c>
      <c r="R17" s="280">
        <v>318.9130542745657</v>
      </c>
      <c r="S17" s="280">
        <v>361.71299591041128</v>
      </c>
      <c r="T17" s="280">
        <f t="shared" ca="1" si="5"/>
        <v>228.91592041573912</v>
      </c>
      <c r="U17" s="445">
        <f>222/313</f>
        <v>0.70926517571884984</v>
      </c>
      <c r="V17" s="246"/>
      <c r="W17" s="4">
        <f t="shared" ca="1" si="18"/>
        <v>36069.565769697663</v>
      </c>
      <c r="X17" s="429">
        <f t="shared" ca="1" si="19"/>
        <v>194526.77419201302</v>
      </c>
      <c r="Y17" s="429">
        <f t="shared" ca="1" si="20"/>
        <v>35403.959561378142</v>
      </c>
      <c r="Z17" s="429">
        <f t="shared" ca="1" si="11"/>
        <v>266000.29952308885</v>
      </c>
      <c r="AA17" s="132"/>
      <c r="AB17" s="2">
        <v>12.264956329279965</v>
      </c>
      <c r="AC17" s="421">
        <v>39.74842313346749</v>
      </c>
      <c r="AD17" s="421">
        <v>64.491532800000002</v>
      </c>
      <c r="AE17" s="280">
        <v>42.913308399691772</v>
      </c>
      <c r="AF17" s="281"/>
      <c r="AG17" s="4">
        <f t="shared" ca="1" si="12"/>
        <v>2011.4528380019142</v>
      </c>
      <c r="AH17" s="411">
        <f t="shared" ca="1" si="13"/>
        <v>34183.643894782042</v>
      </c>
      <c r="AI17" s="411">
        <f t="shared" ca="1" si="14"/>
        <v>8899.8315263999993</v>
      </c>
      <c r="AJ17" s="411">
        <f t="shared" ca="1" si="15"/>
        <v>45094.928259183951</v>
      </c>
      <c r="AK17" s="422"/>
      <c r="AL17" s="2">
        <f t="shared" ca="1" si="6"/>
        <v>232.20133297377788</v>
      </c>
      <c r="AM17" s="280">
        <f t="shared" ca="1" si="7"/>
        <v>265.9423466125524</v>
      </c>
      <c r="AN17" s="280">
        <f t="shared" ca="1" si="8"/>
        <v>321.0419644041894</v>
      </c>
      <c r="AO17" s="280">
        <f t="shared" ca="1" si="9"/>
        <v>267.72394817751535</v>
      </c>
      <c r="AP17" s="423"/>
      <c r="AQ17" s="3">
        <f t="shared" ca="1" si="21"/>
        <v>38081.018607699574</v>
      </c>
      <c r="AR17" s="448">
        <f t="shared" ca="1" si="22"/>
        <v>228710.41808679508</v>
      </c>
      <c r="AS17" s="448">
        <f t="shared" ca="1" si="23"/>
        <v>44303.79108777814</v>
      </c>
      <c r="AT17" s="448">
        <f t="shared" ca="1" si="16"/>
        <v>311095.22778227285</v>
      </c>
    </row>
    <row r="18" spans="1:48">
      <c r="A18" s="5">
        <v>8</v>
      </c>
      <c r="B18" s="18"/>
      <c r="C18" s="9" t="s">
        <v>262</v>
      </c>
      <c r="D18" s="8" t="s">
        <v>188</v>
      </c>
      <c r="E18" s="5"/>
      <c r="F18" s="5"/>
      <c r="G18" s="411">
        <f ca="1">'(2) Homes for non-HH earners'!G22</f>
        <v>40.591306041131133</v>
      </c>
      <c r="H18" s="411">
        <f ca="1">'(2) Homes for non-HH earners'!H22</f>
        <v>235.94180362566135</v>
      </c>
      <c r="I18" s="411">
        <f ca="1">'(2) Homes for non-HH earners'!I22</f>
        <v>88.064721726642944</v>
      </c>
      <c r="J18" s="411">
        <f t="shared" ca="1" si="17"/>
        <v>364.5978313934354</v>
      </c>
      <c r="K18" s="246"/>
      <c r="L18" s="429">
        <v>40.591306041131133</v>
      </c>
      <c r="M18" s="429">
        <v>235.94180362566135</v>
      </c>
      <c r="N18" s="429">
        <v>88.064721726642944</v>
      </c>
      <c r="O18" s="429">
        <f t="shared" si="1"/>
        <v>364.5978313934354</v>
      </c>
      <c r="P18" s="420"/>
      <c r="Q18" s="280">
        <v>54.97</v>
      </c>
      <c r="R18" s="280">
        <v>59.940000000000005</v>
      </c>
      <c r="S18" s="280">
        <v>59.94</v>
      </c>
      <c r="T18" s="280">
        <f t="shared" ca="1" si="5"/>
        <v>42.120904961347662</v>
      </c>
      <c r="U18" s="445">
        <f>222/313</f>
        <v>0.70926517571884984</v>
      </c>
      <c r="V18" s="246"/>
      <c r="W18" s="411">
        <f t="shared" ca="1" si="18"/>
        <v>1582.5862896612691</v>
      </c>
      <c r="X18" s="411">
        <f t="shared" ca="1" si="19"/>
        <v>10030.677570190146</v>
      </c>
      <c r="Y18" s="411">
        <f t="shared" ca="1" si="20"/>
        <v>3743.9267453849361</v>
      </c>
      <c r="Z18" s="411">
        <f t="shared" ca="1" si="11"/>
        <v>15357.190605236352</v>
      </c>
      <c r="AA18" s="132"/>
      <c r="AB18" s="421"/>
      <c r="AC18" s="421"/>
      <c r="AD18" s="421"/>
      <c r="AE18" s="280"/>
      <c r="AF18" s="281"/>
      <c r="AG18" s="281"/>
      <c r="AH18" s="281"/>
      <c r="AI18" s="281"/>
      <c r="AJ18" s="281"/>
      <c r="AK18" s="422"/>
      <c r="AL18" s="280">
        <f t="shared" ca="1" si="6"/>
        <v>38.988306709265181</v>
      </c>
      <c r="AM18" s="280">
        <f t="shared" ca="1" si="7"/>
        <v>42.513354632587863</v>
      </c>
      <c r="AN18" s="280">
        <f t="shared" ca="1" si="8"/>
        <v>42.513354632587856</v>
      </c>
      <c r="AO18" s="280">
        <f t="shared" ca="1" si="9"/>
        <v>42.120904961347662</v>
      </c>
      <c r="AP18" s="423"/>
      <c r="AQ18" s="424">
        <f t="shared" ca="1" si="21"/>
        <v>1582.5862896612691</v>
      </c>
      <c r="AR18" s="424">
        <f t="shared" ca="1" si="22"/>
        <v>10030.677570190146</v>
      </c>
      <c r="AS18" s="424">
        <f t="shared" ca="1" si="23"/>
        <v>3743.9267453849361</v>
      </c>
      <c r="AT18" s="424">
        <f t="shared" ca="1" si="16"/>
        <v>15357.190605236352</v>
      </c>
    </row>
    <row r="19" spans="1:48">
      <c r="A19" s="5">
        <v>9</v>
      </c>
      <c r="B19" s="18"/>
      <c r="C19" s="8" t="s">
        <v>165</v>
      </c>
      <c r="D19" s="41" t="s">
        <v>269</v>
      </c>
      <c r="E19" s="5"/>
      <c r="F19" s="5"/>
      <c r="G19" s="411">
        <f ca="1">'(2) Homes for non-HH earners'!G23</f>
        <v>104.9526829691517</v>
      </c>
      <c r="H19" s="411">
        <f ca="1">'(2) Homes for non-HH earners'!H23</f>
        <v>1139.8754213249404</v>
      </c>
      <c r="I19" s="411">
        <f ca="1">'(2) Homes for non-HH earners'!I23</f>
        <v>563.64255215446599</v>
      </c>
      <c r="J19" s="411">
        <f t="shared" ca="1" si="17"/>
        <v>1808.4706564485582</v>
      </c>
      <c r="K19" s="246"/>
      <c r="L19" s="429">
        <v>104.9526829691517</v>
      </c>
      <c r="M19" s="429">
        <v>1139.8754213249404</v>
      </c>
      <c r="N19" s="429">
        <v>563.64255215446599</v>
      </c>
      <c r="O19" s="429">
        <f t="shared" si="1"/>
        <v>1808.4706564485582</v>
      </c>
      <c r="P19" s="420"/>
      <c r="Q19" s="280">
        <v>125.36571428571428</v>
      </c>
      <c r="R19" s="280">
        <v>157.16200000000001</v>
      </c>
      <c r="S19" s="280">
        <v>179.68</v>
      </c>
      <c r="T19" s="280">
        <f t="shared" ca="1" si="5"/>
        <v>162.33487768086732</v>
      </c>
      <c r="U19" s="371">
        <v>1</v>
      </c>
      <c r="V19" s="246"/>
      <c r="W19" s="411">
        <f t="shared" ca="1" si="18"/>
        <v>13157.468066629823</v>
      </c>
      <c r="X19" s="411">
        <f t="shared" ca="1" si="19"/>
        <v>179145.10096627029</v>
      </c>
      <c r="Y19" s="411">
        <f t="shared" ca="1" si="20"/>
        <v>101275.29377111445</v>
      </c>
      <c r="Z19" s="411">
        <f t="shared" ca="1" si="11"/>
        <v>293577.86280401453</v>
      </c>
      <c r="AA19" s="132"/>
      <c r="AB19" s="421">
        <v>15.3767412</v>
      </c>
      <c r="AC19" s="421">
        <v>2.0645766074038225</v>
      </c>
      <c r="AD19" s="421">
        <v>55.019240916873322</v>
      </c>
      <c r="AE19" s="280">
        <v>19.13056494297782</v>
      </c>
      <c r="AF19" s="281"/>
      <c r="AG19" s="411">
        <f t="shared" ca="1" si="12"/>
        <v>1613.8302442622933</v>
      </c>
      <c r="AH19" s="411">
        <f t="shared" ca="1" si="13"/>
        <v>2353.3601302220482</v>
      </c>
      <c r="AI19" s="411">
        <f t="shared" ca="1" si="14"/>
        <v>31011.185367987902</v>
      </c>
      <c r="AJ19" s="411">
        <f t="shared" ca="1" si="15"/>
        <v>34978.375742472243</v>
      </c>
      <c r="AK19" s="422"/>
      <c r="AL19" s="280">
        <f t="shared" ca="1" si="6"/>
        <v>140.74245548571429</v>
      </c>
      <c r="AM19" s="280">
        <f t="shared" ca="1" si="7"/>
        <v>159.22657660740384</v>
      </c>
      <c r="AN19" s="280">
        <f t="shared" ca="1" si="8"/>
        <v>234.69924091687335</v>
      </c>
      <c r="AO19" s="280">
        <f t="shared" ca="1" si="9"/>
        <v>181.67628950734516</v>
      </c>
      <c r="AP19" s="423"/>
      <c r="AQ19" s="424">
        <f t="shared" ca="1" si="21"/>
        <v>14771.298310892116</v>
      </c>
      <c r="AR19" s="424">
        <f t="shared" ca="1" si="22"/>
        <v>181498.46109649233</v>
      </c>
      <c r="AS19" s="424">
        <f t="shared" ca="1" si="23"/>
        <v>132286.47913910236</v>
      </c>
      <c r="AT19" s="424">
        <f t="shared" ca="1" si="16"/>
        <v>328556.23854648683</v>
      </c>
    </row>
    <row r="20" spans="1:48">
      <c r="A20" s="5">
        <v>10</v>
      </c>
      <c r="B20" s="18"/>
      <c r="C20" s="8" t="s">
        <v>19</v>
      </c>
      <c r="D20" s="41" t="s">
        <v>121</v>
      </c>
      <c r="E20" s="5"/>
      <c r="F20" s="5"/>
      <c r="G20" s="411">
        <f ca="1">'(2) Homes for non-HH earners'!G24</f>
        <v>69.082778663239068</v>
      </c>
      <c r="H20" s="4">
        <f ca="1">'(2) Homes for non-HH earners'!H24</f>
        <v>230.56324860782343</v>
      </c>
      <c r="I20" s="411">
        <f ca="1">'(2) Homes for non-HH earners'!I24</f>
        <v>193.24887502438833</v>
      </c>
      <c r="J20" s="411">
        <f t="shared" ca="1" si="17"/>
        <v>492.89490229545083</v>
      </c>
      <c r="K20" s="246"/>
      <c r="L20" s="429">
        <v>69.082778663239068</v>
      </c>
      <c r="M20" s="4">
        <v>230.56324860782343</v>
      </c>
      <c r="N20" s="429">
        <v>193.24887502438833</v>
      </c>
      <c r="O20" s="429">
        <f t="shared" si="1"/>
        <v>492.89490229545083</v>
      </c>
      <c r="P20" s="420"/>
      <c r="Q20" s="280">
        <v>125.36571428571429</v>
      </c>
      <c r="R20" s="2">
        <v>157.16199999999998</v>
      </c>
      <c r="S20" s="280">
        <v>179.68</v>
      </c>
      <c r="T20" s="280">
        <f t="shared" ca="1" si="5"/>
        <v>161.53413367281757</v>
      </c>
      <c r="U20" s="371">
        <v>1</v>
      </c>
      <c r="V20" s="246"/>
      <c r="W20" s="411">
        <f t="shared" ca="1" si="18"/>
        <v>8660.611891958868</v>
      </c>
      <c r="X20" s="4">
        <f t="shared" ca="1" si="19"/>
        <v>36235.781277702743</v>
      </c>
      <c r="Y20" s="411">
        <f t="shared" ca="1" si="20"/>
        <v>34722.957864382093</v>
      </c>
      <c r="Z20" s="411">
        <f t="shared" ca="1" si="11"/>
        <v>79619.351034043706</v>
      </c>
      <c r="AA20" s="132"/>
      <c r="AB20" s="421">
        <v>9.5142015359999998</v>
      </c>
      <c r="AC20" s="2">
        <v>46.498168403113155</v>
      </c>
      <c r="AD20" s="421">
        <v>204.19281760000001</v>
      </c>
      <c r="AE20" s="280">
        <v>103.25218596765542</v>
      </c>
      <c r="AF20" s="281"/>
      <c r="AG20" s="411">
        <f t="shared" ca="1" si="12"/>
        <v>657.26747886893713</v>
      </c>
      <c r="AH20" s="4">
        <f t="shared" ca="1" si="13"/>
        <v>10720.768761335419</v>
      </c>
      <c r="AI20" s="411">
        <f t="shared" ca="1" si="14"/>
        <v>39460.032289260125</v>
      </c>
      <c r="AJ20" s="411">
        <f t="shared" ca="1" si="15"/>
        <v>50838.068529464479</v>
      </c>
      <c r="AK20" s="422"/>
      <c r="AL20" s="280">
        <f t="shared" ca="1" si="6"/>
        <v>134.87991582171426</v>
      </c>
      <c r="AM20" s="2">
        <f t="shared" ca="1" si="7"/>
        <v>203.66016840311315</v>
      </c>
      <c r="AN20" s="280">
        <f t="shared" ca="1" si="8"/>
        <v>383.87281760000008</v>
      </c>
      <c r="AO20" s="280">
        <f t="shared" ca="1" si="9"/>
        <v>264.67593589618718</v>
      </c>
      <c r="AP20" s="423"/>
      <c r="AQ20" s="424">
        <f t="shared" ca="1" si="21"/>
        <v>9317.8793708278045</v>
      </c>
      <c r="AR20" s="3">
        <f t="shared" ca="1" si="22"/>
        <v>46956.550039038164</v>
      </c>
      <c r="AS20" s="424">
        <f t="shared" ca="1" si="23"/>
        <v>74182.990153642226</v>
      </c>
      <c r="AT20" s="424">
        <f t="shared" ca="1" si="16"/>
        <v>130457.41956350819</v>
      </c>
    </row>
    <row r="21" spans="1:48">
      <c r="A21" s="5">
        <v>11</v>
      </c>
      <c r="B21" s="18" t="s">
        <v>182</v>
      </c>
      <c r="C21" s="9" t="s">
        <v>193</v>
      </c>
      <c r="D21" s="8" t="s">
        <v>352</v>
      </c>
      <c r="E21" s="5"/>
      <c r="F21" s="5"/>
      <c r="G21" s="411">
        <f ca="1">'(2) Homes for non-HH earners'!G25</f>
        <v>700.99480761994664</v>
      </c>
      <c r="H21" s="411">
        <f ca="1">'(2) Homes for non-HH earners'!H25</f>
        <v>672.59682139033032</v>
      </c>
      <c r="I21" s="411"/>
      <c r="J21" s="411">
        <f t="shared" ca="1" si="17"/>
        <v>1373.5916290102768</v>
      </c>
      <c r="K21" s="246"/>
      <c r="L21" s="429">
        <v>700.99480761994664</v>
      </c>
      <c r="M21" s="429">
        <v>672.59682139033032</v>
      </c>
      <c r="N21" s="429">
        <v>0</v>
      </c>
      <c r="O21" s="429">
        <f t="shared" si="1"/>
        <v>1373.5916290102768</v>
      </c>
      <c r="P21" s="420"/>
      <c r="Q21" s="280">
        <v>62.682857142857003</v>
      </c>
      <c r="R21" s="280">
        <v>78.581000000000003</v>
      </c>
      <c r="S21" s="280"/>
      <c r="T21" s="280">
        <f ca="1">Z21/J21</f>
        <v>49.980205778544558</v>
      </c>
      <c r="U21" s="371">
        <f>222/313</f>
        <v>0.70926517571884984</v>
      </c>
      <c r="V21" s="246"/>
      <c r="W21" s="411">
        <f t="shared" ca="1" si="18"/>
        <v>31165.365301059082</v>
      </c>
      <c r="X21" s="411">
        <f t="shared" ca="1" si="19"/>
        <v>37487.026972560787</v>
      </c>
      <c r="Y21" s="411"/>
      <c r="Z21" s="411">
        <f t="shared" ca="1" si="11"/>
        <v>68652.392273619873</v>
      </c>
      <c r="AA21" s="132"/>
      <c r="AB21" s="421">
        <v>0</v>
      </c>
      <c r="AC21" s="421">
        <v>0</v>
      </c>
      <c r="AD21" s="421"/>
      <c r="AE21" s="280">
        <v>0</v>
      </c>
      <c r="AF21" s="281"/>
      <c r="AG21" s="411">
        <v>0</v>
      </c>
      <c r="AH21" s="411">
        <v>0</v>
      </c>
      <c r="AI21" s="411"/>
      <c r="AJ21" s="411">
        <v>0</v>
      </c>
      <c r="AK21" s="422"/>
      <c r="AL21" s="280">
        <f ca="1">AQ21/G21</f>
        <v>44.458767685988036</v>
      </c>
      <c r="AM21" s="280">
        <f ca="1">AR21/H21</f>
        <v>55.734766773162931</v>
      </c>
      <c r="AN21" s="280"/>
      <c r="AO21" s="280">
        <f ca="1">AT21/J21</f>
        <v>49.980205778544558</v>
      </c>
      <c r="AP21" s="423"/>
      <c r="AQ21" s="424">
        <f t="shared" ca="1" si="21"/>
        <v>31165.365301059082</v>
      </c>
      <c r="AR21" s="424">
        <f t="shared" ca="1" si="22"/>
        <v>37487.026972560787</v>
      </c>
      <c r="AS21" s="424"/>
      <c r="AT21" s="424">
        <f t="shared" ca="1" si="16"/>
        <v>68652.392273619873</v>
      </c>
    </row>
    <row r="22" spans="1:48">
      <c r="A22" s="5">
        <v>12</v>
      </c>
      <c r="B22" s="19" t="s">
        <v>386</v>
      </c>
      <c r="C22" s="9" t="s">
        <v>693</v>
      </c>
      <c r="D22" s="42" t="s">
        <v>507</v>
      </c>
      <c r="E22" s="5"/>
      <c r="F22" s="5"/>
      <c r="G22" s="411"/>
      <c r="H22" s="411">
        <f ca="1">'(2) Homes for non-HH earners'!H26</f>
        <v>986.63250000000005</v>
      </c>
      <c r="I22" s="411"/>
      <c r="J22" s="411">
        <f t="shared" ca="1" si="17"/>
        <v>986.63250000000005</v>
      </c>
      <c r="K22" s="246"/>
      <c r="L22" s="429">
        <v>0</v>
      </c>
      <c r="M22" s="429">
        <v>2537.0550000000003</v>
      </c>
      <c r="N22" s="429"/>
      <c r="O22" s="429">
        <f>L22+M22</f>
        <v>2537.0550000000003</v>
      </c>
      <c r="P22" s="420"/>
      <c r="Q22" s="246"/>
      <c r="R22" s="280">
        <v>279.77170731428572</v>
      </c>
      <c r="S22" s="280"/>
      <c r="T22" s="280">
        <f ca="1">Z22/J22</f>
        <v>279.77170731428572</v>
      </c>
      <c r="U22" s="371">
        <v>1</v>
      </c>
      <c r="V22" s="246"/>
      <c r="W22" s="411"/>
      <c r="X22" s="411">
        <f t="shared" ca="1" si="19"/>
        <v>276031.859016762</v>
      </c>
      <c r="Y22" s="411"/>
      <c r="Z22" s="411">
        <f t="shared" ca="1" si="11"/>
        <v>276031.859016762</v>
      </c>
      <c r="AA22" s="132"/>
      <c r="AB22" s="421"/>
      <c r="AC22" s="421">
        <v>0</v>
      </c>
      <c r="AD22" s="421"/>
      <c r="AE22" s="280">
        <v>0</v>
      </c>
      <c r="AF22" s="281"/>
      <c r="AG22" s="411"/>
      <c r="AH22" s="411">
        <v>0</v>
      </c>
      <c r="AI22" s="411"/>
      <c r="AJ22" s="411">
        <v>0</v>
      </c>
      <c r="AK22" s="422"/>
      <c r="AL22" s="281"/>
      <c r="AM22" s="280">
        <f ca="1">AR22/H22</f>
        <v>279.77170731428572</v>
      </c>
      <c r="AN22" s="280"/>
      <c r="AO22" s="280">
        <f ca="1">AT22/J22</f>
        <v>279.77170731428572</v>
      </c>
      <c r="AP22" s="423"/>
      <c r="AQ22" s="424"/>
      <c r="AR22" s="424">
        <f t="shared" ca="1" si="22"/>
        <v>276031.859016762</v>
      </c>
      <c r="AS22" s="424"/>
      <c r="AT22" s="424">
        <f t="shared" ca="1" si="16"/>
        <v>276031.859016762</v>
      </c>
    </row>
    <row r="23" spans="1:48">
      <c r="A23" s="5">
        <v>13</v>
      </c>
      <c r="B23" s="16"/>
      <c r="C23" s="9" t="s">
        <v>528</v>
      </c>
      <c r="D23" s="8"/>
      <c r="E23" s="5"/>
      <c r="F23" s="5"/>
      <c r="G23" s="411"/>
      <c r="H23" s="411"/>
      <c r="I23" s="411"/>
      <c r="J23" s="411"/>
      <c r="K23" s="246"/>
      <c r="L23" s="411"/>
      <c r="M23" s="429"/>
      <c r="N23" s="411"/>
      <c r="O23" s="411"/>
      <c r="P23" s="420"/>
      <c r="Q23" s="246"/>
      <c r="R23" s="280"/>
      <c r="S23" s="280"/>
      <c r="T23" s="280"/>
      <c r="U23" s="371"/>
      <c r="V23" s="246"/>
      <c r="W23" s="411"/>
      <c r="X23" s="411"/>
      <c r="Y23" s="411"/>
      <c r="Z23" s="411"/>
      <c r="AA23" s="132"/>
      <c r="AB23" s="421"/>
      <c r="AC23" s="421"/>
      <c r="AD23" s="425"/>
      <c r="AE23" s="426"/>
      <c r="AF23" s="281"/>
      <c r="AG23" s="427"/>
      <c r="AH23" s="427"/>
      <c r="AI23" s="427"/>
      <c r="AJ23" s="427"/>
      <c r="AK23" s="426"/>
      <c r="AL23" s="426"/>
      <c r="AM23" s="426"/>
      <c r="AN23" s="426"/>
      <c r="AO23" s="426"/>
      <c r="AP23" s="423"/>
      <c r="AQ23" s="428"/>
      <c r="AR23" s="428"/>
      <c r="AS23" s="428"/>
      <c r="AT23" s="424"/>
    </row>
    <row r="24" spans="1:48">
      <c r="A24" s="5">
        <v>27</v>
      </c>
      <c r="B24" s="20" t="s">
        <v>399</v>
      </c>
      <c r="C24" s="8" t="s">
        <v>183</v>
      </c>
      <c r="D24" s="42" t="s">
        <v>608</v>
      </c>
      <c r="E24" s="5"/>
      <c r="F24" s="5"/>
      <c r="G24" s="411">
        <f ca="1">SUM(G25:G41)</f>
        <v>127732.99477882113</v>
      </c>
      <c r="H24" s="411">
        <f ca="1">SUM(H25:H41)</f>
        <v>122891.83270440683</v>
      </c>
      <c r="I24" s="411">
        <f ca="1">SUM(I25:I41)</f>
        <v>236525.54562868335</v>
      </c>
      <c r="J24" s="411">
        <f ca="1">G24+H24+I24</f>
        <v>487150.37311191129</v>
      </c>
      <c r="K24" s="246"/>
      <c r="L24" s="411">
        <f ca="1">SUM(L25:L41)</f>
        <v>184792.73827464585</v>
      </c>
      <c r="M24" s="411">
        <f ca="1">SUM(M25:M41)</f>
        <v>161859.50909360163</v>
      </c>
      <c r="N24" s="411">
        <f ca="1">SUM(N25:N41)</f>
        <v>429690.74483502645</v>
      </c>
      <c r="O24" s="429">
        <f ca="1">L24+M24+N24</f>
        <v>776342.99220327393</v>
      </c>
      <c r="P24" s="420"/>
      <c r="Q24" s="280">
        <f t="shared" ref="Q24" ca="1" si="24">W24/G24</f>
        <v>216.78295930639666</v>
      </c>
      <c r="R24" s="280">
        <f t="shared" ref="R24" ca="1" si="25">X24/H24</f>
        <v>188.70214476420671</v>
      </c>
      <c r="S24" s="280">
        <f t="shared" ref="S24" ca="1" si="26">Y24/I24</f>
        <v>280.87802276265984</v>
      </c>
      <c r="T24" s="280">
        <f t="shared" ref="T24:T28" ca="1" si="27">Z24/J24</f>
        <v>240.81910448755929</v>
      </c>
      <c r="U24" s="371"/>
      <c r="V24" s="246"/>
      <c r="W24" s="411">
        <f>SUM(W25:W41)</f>
        <v>27690336.609221358</v>
      </c>
      <c r="X24" s="411">
        <f ca="1">SUM(X25:X41)</f>
        <v>23189952.405325651</v>
      </c>
      <c r="Y24" s="411">
        <f ca="1">SUM(Y25:Y41)</f>
        <v>66434827.589043856</v>
      </c>
      <c r="Z24" s="411">
        <f t="shared" ca="1" si="11"/>
        <v>117315116.60359086</v>
      </c>
      <c r="AA24" s="132"/>
      <c r="AB24" s="421">
        <f ca="1">AG24/G24</f>
        <v>37.1486963243959</v>
      </c>
      <c r="AC24" s="421">
        <f t="shared" ref="AC24" ca="1" si="28">AH24/H24</f>
        <v>60.221047888697221</v>
      </c>
      <c r="AD24" s="421">
        <f t="shared" ref="AD24" ca="1" si="29">AI24/I24</f>
        <v>91.644238445273729</v>
      </c>
      <c r="AE24" s="421">
        <f t="shared" ref="AE24" ca="1" si="30">AJ24/J24</f>
        <v>69.4282392970469</v>
      </c>
      <c r="AF24" s="281"/>
      <c r="AG24" s="411">
        <f>SUM(AG25:AG38)</f>
        <v>4745114.2336440729</v>
      </c>
      <c r="AH24" s="411">
        <f t="shared" ref="AH24:AJ24" ca="1" si="31">SUM(AH25:AH38)</f>
        <v>7400674.9424218507</v>
      </c>
      <c r="AI24" s="411">
        <f t="shared" si="31"/>
        <v>21676203.501993529</v>
      </c>
      <c r="AJ24" s="411">
        <f t="shared" ca="1" si="31"/>
        <v>33821992.678059459</v>
      </c>
      <c r="AK24" s="422"/>
      <c r="AL24" s="280">
        <f t="shared" ref="AL24:AL27" ca="1" si="32">AQ24/G24</f>
        <v>253.93165563079259</v>
      </c>
      <c r="AM24" s="280">
        <f t="shared" ref="AM24:AM27" ca="1" si="33">AR24/H24</f>
        <v>248.92319265290391</v>
      </c>
      <c r="AN24" s="280">
        <f t="shared" ref="AN24:AN27" ca="1" si="34">AS24/I24</f>
        <v>372.52226120793352</v>
      </c>
      <c r="AO24" s="280">
        <f t="shared" ref="AO24:AO33" ca="1" si="35">AT24/J24</f>
        <v>310.24734378460619</v>
      </c>
      <c r="AP24" s="423"/>
      <c r="AQ24" s="424">
        <f>SUM(AQ25:AQ41)</f>
        <v>32435450.842865434</v>
      </c>
      <c r="AR24" s="424">
        <f ca="1">SUM(AR25:AR41)</f>
        <v>30590627.347747497</v>
      </c>
      <c r="AS24" s="424">
        <f ca="1">SUM(AS25:AS41)</f>
        <v>88111031.091037378</v>
      </c>
      <c r="AT24" s="424">
        <f t="shared" ca="1" si="16"/>
        <v>151137109.2816503</v>
      </c>
    </row>
    <row r="25" spans="1:48">
      <c r="A25" s="5">
        <v>28</v>
      </c>
      <c r="B25" s="21" t="s">
        <v>130</v>
      </c>
      <c r="C25" s="9" t="s">
        <v>387</v>
      </c>
      <c r="D25" s="6" t="s">
        <v>226</v>
      </c>
      <c r="E25" s="5"/>
      <c r="F25" s="5"/>
      <c r="G25" s="411">
        <v>536.22582205709273</v>
      </c>
      <c r="H25" s="411">
        <f ca="1">'(2) Homes for non-HH earners'!H30</f>
        <v>1352.9526393621529</v>
      </c>
      <c r="I25" s="429">
        <v>6823.2121432489412</v>
      </c>
      <c r="J25" s="411">
        <f t="shared" ref="J25:J41" ca="1" si="36">G25+H25+I25</f>
        <v>8712.3906046681877</v>
      </c>
      <c r="K25" s="246"/>
      <c r="L25" s="411">
        <f ca="1">'(2) Homes for non-HH earners'!BN30</f>
        <v>947.87137507989212</v>
      </c>
      <c r="M25" s="411">
        <f ca="1">'(2) Homes for non-HH earners'!BO30</f>
        <v>1878.4235524619555</v>
      </c>
      <c r="N25" s="411">
        <f ca="1">'(2) Homes for non-HH earners'!BP30</f>
        <v>9827.6858739868894</v>
      </c>
      <c r="O25" s="429">
        <f t="shared" ref="O25:O41" ca="1" si="37">L25+M25+N25</f>
        <v>12653.980801528738</v>
      </c>
      <c r="P25" s="420"/>
      <c r="Q25" s="280">
        <v>1199.650705175477</v>
      </c>
      <c r="R25" s="280">
        <v>1443.1139810639543</v>
      </c>
      <c r="S25" s="280">
        <v>1770.9684235692926</v>
      </c>
      <c r="T25" s="280">
        <f t="shared" ca="1" si="27"/>
        <v>1684.8925253980265</v>
      </c>
      <c r="U25" s="371">
        <v>1</v>
      </c>
      <c r="V25" s="246"/>
      <c r="W25" s="411">
        <f>G25*Q25*$U25</f>
        <v>643283.6855640912</v>
      </c>
      <c r="X25" s="411">
        <f t="shared" ref="X25:Y25" ca="1" si="38">H25*R25*$U25</f>
        <v>1952464.869580901</v>
      </c>
      <c r="Y25" s="411">
        <f t="shared" si="38"/>
        <v>12083693.253008431</v>
      </c>
      <c r="Z25" s="411">
        <f t="shared" ca="1" si="11"/>
        <v>14679441.808153423</v>
      </c>
      <c r="AA25" s="132"/>
      <c r="AB25" s="421">
        <v>147.89824143553011</v>
      </c>
      <c r="AC25" s="421">
        <v>152.73506955191178</v>
      </c>
      <c r="AD25" s="421">
        <v>545.28040882324308</v>
      </c>
      <c r="AE25" s="280">
        <v>681.01271038105563</v>
      </c>
      <c r="AF25" s="281"/>
      <c r="AG25" s="411">
        <f t="shared" ref="AG25:AI32" si="39">G25*AB25</f>
        <v>79306.856094565504</v>
      </c>
      <c r="AH25" s="411">
        <f t="shared" ca="1" si="39"/>
        <v>206643.31547342104</v>
      </c>
      <c r="AI25" s="411">
        <f t="shared" si="39"/>
        <v>3720563.9069584995</v>
      </c>
      <c r="AJ25" s="411">
        <f t="shared" ref="AJ25:AJ37" ca="1" si="40">AG25+AH25+AI25</f>
        <v>4006514.0785264862</v>
      </c>
      <c r="AK25" s="422"/>
      <c r="AL25" s="280">
        <f t="shared" si="32"/>
        <v>1347.5489466110071</v>
      </c>
      <c r="AM25" s="280">
        <f t="shared" ca="1" si="33"/>
        <v>1595.8490506158662</v>
      </c>
      <c r="AN25" s="280">
        <f t="shared" si="34"/>
        <v>2316.2488323925359</v>
      </c>
      <c r="AO25" s="280">
        <f t="shared" ca="1" si="35"/>
        <v>2144.7564433885441</v>
      </c>
      <c r="AP25" s="423"/>
      <c r="AQ25" s="424">
        <f t="shared" si="21"/>
        <v>722590.54165865667</v>
      </c>
      <c r="AR25" s="424">
        <f t="shared" ca="1" si="22"/>
        <v>2159108.1850543222</v>
      </c>
      <c r="AS25" s="424">
        <f t="shared" si="23"/>
        <v>15804257.159966931</v>
      </c>
      <c r="AT25" s="424">
        <f t="shared" ca="1" si="16"/>
        <v>18685955.88667991</v>
      </c>
    </row>
    <row r="26" spans="1:48">
      <c r="A26" s="5">
        <v>29</v>
      </c>
      <c r="B26" s="21"/>
      <c r="C26" s="9" t="s">
        <v>388</v>
      </c>
      <c r="D26" s="6" t="s">
        <v>398</v>
      </c>
      <c r="E26" s="5"/>
      <c r="F26" s="5"/>
      <c r="G26" s="4">
        <v>2560.0967590580822</v>
      </c>
      <c r="H26" s="411">
        <f ca="1">'(2) Homes for non-HH earners'!H31</f>
        <v>6350.08945843726</v>
      </c>
      <c r="I26" s="429">
        <v>3133.7904367373903</v>
      </c>
      <c r="J26" s="411">
        <f t="shared" ca="1" si="36"/>
        <v>12043.976654232732</v>
      </c>
      <c r="K26" s="246"/>
      <c r="L26" s="4">
        <f ca="1">'(2) Homes for non-HH earners'!BN31</f>
        <v>4525.4113761936505</v>
      </c>
      <c r="M26" s="411">
        <f ca="1">'(2) Homes for non-HH earners'!BO31</f>
        <v>8816.3896147853629</v>
      </c>
      <c r="N26" s="411">
        <f ca="1">'(2) Homes for non-HH earners'!BP31</f>
        <v>4513.6963882372447</v>
      </c>
      <c r="O26" s="429">
        <f t="shared" ca="1" si="37"/>
        <v>17855.497379216256</v>
      </c>
      <c r="P26" s="420"/>
      <c r="Q26" s="2">
        <v>391.54184256500628</v>
      </c>
      <c r="R26" s="280">
        <v>252.30897460645593</v>
      </c>
      <c r="S26" s="280">
        <v>419.30514454340482</v>
      </c>
      <c r="T26" s="280">
        <f t="shared" ca="1" si="27"/>
        <v>325.35632761888803</v>
      </c>
      <c r="U26" s="371">
        <v>1</v>
      </c>
      <c r="V26" s="246"/>
      <c r="W26" s="4">
        <f t="shared" ref="W26:W41" si="41">G26*Q26*$U26</f>
        <v>1002385.0021863024</v>
      </c>
      <c r="X26" s="411">
        <f t="shared" ref="X26:X41" ca="1" si="42">H26*R26*$U26</f>
        <v>1602184.5599175701</v>
      </c>
      <c r="Y26" s="411">
        <f t="shared" ref="Y26:Y41" si="43">I26*S26*$U26</f>
        <v>1314014.4520449112</v>
      </c>
      <c r="Z26" s="411">
        <f t="shared" ca="1" si="11"/>
        <v>3918584.0141487839</v>
      </c>
      <c r="AA26" s="132"/>
      <c r="AB26" s="2">
        <v>132.64103205082475</v>
      </c>
      <c r="AC26" s="421">
        <v>175.76116185987379</v>
      </c>
      <c r="AD26" s="421">
        <v>88.326184172558484</v>
      </c>
      <c r="AE26" s="280">
        <v>160.15220341437765</v>
      </c>
      <c r="AF26" s="281"/>
      <c r="AG26" s="4">
        <f t="shared" si="39"/>
        <v>339573.87627143564</v>
      </c>
      <c r="AH26" s="411">
        <f t="shared" ca="1" si="39"/>
        <v>1116099.1011290697</v>
      </c>
      <c r="AI26" s="411">
        <f t="shared" si="39"/>
        <v>276795.75127346924</v>
      </c>
      <c r="AJ26" s="411">
        <f t="shared" ca="1" si="40"/>
        <v>1732468.7286739748</v>
      </c>
      <c r="AK26" s="422"/>
      <c r="AL26" s="2">
        <f t="shared" si="32"/>
        <v>524.182874615831</v>
      </c>
      <c r="AM26" s="280">
        <f t="shared" ca="1" si="33"/>
        <v>428.07013646632976</v>
      </c>
      <c r="AN26" s="280">
        <f t="shared" si="34"/>
        <v>507.63132871596332</v>
      </c>
      <c r="AO26" s="280">
        <f t="shared" ca="1" si="35"/>
        <v>469.20156897155346</v>
      </c>
      <c r="AP26" s="423"/>
      <c r="AQ26" s="3">
        <f t="shared" si="21"/>
        <v>1341958.8784577381</v>
      </c>
      <c r="AR26" s="424">
        <f t="shared" ca="1" si="22"/>
        <v>2718283.66104664</v>
      </c>
      <c r="AS26" s="424">
        <f t="shared" si="23"/>
        <v>1590810.2033183805</v>
      </c>
      <c r="AT26" s="424">
        <f t="shared" ca="1" si="16"/>
        <v>5651052.7428227589</v>
      </c>
    </row>
    <row r="27" spans="1:48">
      <c r="A27" s="5">
        <v>30</v>
      </c>
      <c r="B27" s="21"/>
      <c r="C27" s="9" t="s">
        <v>191</v>
      </c>
      <c r="D27" s="42" t="s">
        <v>58</v>
      </c>
      <c r="E27" s="5"/>
      <c r="F27" s="5"/>
      <c r="G27" s="411">
        <v>6524</v>
      </c>
      <c r="H27" s="411">
        <f ca="1">'(2) Homes for non-HH earners'!H32</f>
        <v>17516</v>
      </c>
      <c r="I27" s="429">
        <v>4819</v>
      </c>
      <c r="J27" s="411">
        <f t="shared" ca="1" si="36"/>
        <v>28859</v>
      </c>
      <c r="K27" s="246"/>
      <c r="L27" s="411">
        <f ca="1">'(2) Homes for non-HH earners'!BN32</f>
        <v>11532.292173655907</v>
      </c>
      <c r="M27" s="411">
        <f ca="1">'(2) Homes for non-HH earners'!BO32</f>
        <v>24319.008653869379</v>
      </c>
      <c r="N27" s="411">
        <f ca="1">'(2) Homes for non-HH earners'!BP32</f>
        <v>6940.9564340750603</v>
      </c>
      <c r="O27" s="429">
        <f t="shared" ca="1" si="37"/>
        <v>42792.257261600345</v>
      </c>
      <c r="P27" s="420"/>
      <c r="Q27" s="280">
        <v>336.96487184214345</v>
      </c>
      <c r="R27" s="280">
        <v>206.46683820681147</v>
      </c>
      <c r="S27" s="280">
        <v>282.63217356929243</v>
      </c>
      <c r="T27" s="280">
        <f t="shared" ca="1" si="27"/>
        <v>248.68624714505265</v>
      </c>
      <c r="U27" s="445">
        <v>1</v>
      </c>
      <c r="V27" s="246"/>
      <c r="W27" s="411">
        <f t="shared" si="41"/>
        <v>2198358.8238981441</v>
      </c>
      <c r="X27" s="411">
        <f t="shared" ca="1" si="42"/>
        <v>3616473.1380305099</v>
      </c>
      <c r="Y27" s="411">
        <f t="shared" si="43"/>
        <v>1362004.4444304202</v>
      </c>
      <c r="Z27" s="411">
        <f t="shared" ca="1" si="11"/>
        <v>7176836.4063590746</v>
      </c>
      <c r="AA27" s="132"/>
      <c r="AB27" s="421">
        <v>39.794560065989508</v>
      </c>
      <c r="AC27" s="421">
        <v>50.560093280826621</v>
      </c>
      <c r="AD27" s="421">
        <v>38.896449405717114</v>
      </c>
      <c r="AE27" s="280">
        <v>59.404992287614519</v>
      </c>
      <c r="AF27" s="281"/>
      <c r="AG27" s="411">
        <f t="shared" si="39"/>
        <v>259619.70987051554</v>
      </c>
      <c r="AH27" s="411">
        <f t="shared" ca="1" si="39"/>
        <v>885610.59390695905</v>
      </c>
      <c r="AI27" s="411">
        <f t="shared" si="39"/>
        <v>187441.98968615077</v>
      </c>
      <c r="AJ27" s="411">
        <f t="shared" ca="1" si="40"/>
        <v>1332672.2934636255</v>
      </c>
      <c r="AK27" s="422"/>
      <c r="AL27" s="280">
        <f t="shared" si="32"/>
        <v>376.75943190813297</v>
      </c>
      <c r="AM27" s="280">
        <f t="shared" ca="1" si="33"/>
        <v>257.02693148763808</v>
      </c>
      <c r="AN27" s="280">
        <f t="shared" si="34"/>
        <v>321.52862297500957</v>
      </c>
      <c r="AO27" s="280">
        <f t="shared" ca="1" si="35"/>
        <v>294.86498838569247</v>
      </c>
      <c r="AP27" s="423"/>
      <c r="AQ27" s="424">
        <f t="shared" si="21"/>
        <v>2457978.5337686595</v>
      </c>
      <c r="AR27" s="424">
        <f t="shared" ca="1" si="22"/>
        <v>4502083.731937469</v>
      </c>
      <c r="AS27" s="424">
        <f t="shared" si="23"/>
        <v>1549446.434116571</v>
      </c>
      <c r="AT27" s="424">
        <f t="shared" ca="1" si="16"/>
        <v>8509508.6998226997</v>
      </c>
    </row>
    <row r="28" spans="1:48">
      <c r="A28" s="5">
        <v>31</v>
      </c>
      <c r="B28" s="21"/>
      <c r="C28" s="9" t="s">
        <v>180</v>
      </c>
      <c r="D28" s="8" t="s">
        <v>425</v>
      </c>
      <c r="E28" s="5"/>
      <c r="F28" s="5"/>
      <c r="G28" s="411">
        <v>3640.4232384296024</v>
      </c>
      <c r="H28" s="411">
        <f ca="1">'(2) Homes for non-HH earners'!H33</f>
        <v>10381.402867192013</v>
      </c>
      <c r="I28" s="429">
        <v>2953.5588889558767</v>
      </c>
      <c r="J28" s="411">
        <f t="shared" ca="1" si="36"/>
        <v>16975.384994577493</v>
      </c>
      <c r="K28" s="246"/>
      <c r="L28" s="411">
        <f ca="1">'(2) Homes for non-HH earners'!BN33</f>
        <v>6435.074252197548</v>
      </c>
      <c r="M28" s="411">
        <f ca="1">'(2) Homes for non-HH earners'!BO33</f>
        <v>14413.417798957922</v>
      </c>
      <c r="N28" s="411">
        <f ca="1">'(2) Homes for non-HH earners'!BP33</f>
        <v>4254.1032524834773</v>
      </c>
      <c r="O28" s="429">
        <f t="shared" ca="1" si="37"/>
        <v>25102.595303638947</v>
      </c>
      <c r="P28" s="447"/>
      <c r="Q28" s="421">
        <v>388.37487184214348</v>
      </c>
      <c r="R28" s="421">
        <v>272.60683820681152</v>
      </c>
      <c r="S28" s="421">
        <v>344.71217356929247</v>
      </c>
      <c r="T28" s="280">
        <f t="shared" ca="1" si="27"/>
        <v>277.29777988753102</v>
      </c>
      <c r="U28" s="445">
        <f>280/313</f>
        <v>0.89456869009584661</v>
      </c>
      <c r="V28" s="246"/>
      <c r="W28" s="429">
        <f t="shared" si="41"/>
        <v>1264784.9662279622</v>
      </c>
      <c r="X28" s="429">
        <f t="shared" ca="1" si="42"/>
        <v>2531666.4386497629</v>
      </c>
      <c r="Y28" s="429">
        <f t="shared" si="43"/>
        <v>910785.16685472126</v>
      </c>
      <c r="Z28" s="411">
        <f t="shared" ca="1" si="11"/>
        <v>4707236.5717324466</v>
      </c>
      <c r="AA28" s="436" t="s">
        <v>651</v>
      </c>
      <c r="AB28" s="421">
        <v>39.794560065989508</v>
      </c>
      <c r="AC28" s="421">
        <v>50.560093280826621</v>
      </c>
      <c r="AD28" s="421">
        <v>38.896449405717114</v>
      </c>
      <c r="AE28" s="280">
        <v>59.456608171915597</v>
      </c>
      <c r="AF28" s="281"/>
      <c r="AG28" s="411">
        <f t="shared" si="39"/>
        <v>144869.04122731087</v>
      </c>
      <c r="AH28" s="411">
        <f t="shared" ca="1" si="39"/>
        <v>524884.69735106907</v>
      </c>
      <c r="AI28" s="411">
        <f t="shared" si="39"/>
        <v>114882.9538910783</v>
      </c>
      <c r="AJ28" s="411">
        <f t="shared" ca="1" si="40"/>
        <v>784636.69246945833</v>
      </c>
      <c r="AK28" s="422"/>
      <c r="AL28" s="280">
        <f t="shared" ref="AL28:AL32" si="44">AQ28/G28</f>
        <v>387.22256043595809</v>
      </c>
      <c r="AM28" s="280">
        <f t="shared" ref="AM28:AM33" ca="1" si="45">AR28/H28</f>
        <v>294.42563544666439</v>
      </c>
      <c r="AN28" s="280">
        <f t="shared" ref="AN28:AN32" si="46">AS28/I28</f>
        <v>347.26516697569122</v>
      </c>
      <c r="AO28" s="280">
        <f t="shared" ca="1" si="35"/>
        <v>323.51980623450913</v>
      </c>
      <c r="AP28" s="423"/>
      <c r="AQ28" s="448">
        <f t="shared" ref="AQ28:AQ32" si="47">W28+AG28</f>
        <v>1409654.0074552731</v>
      </c>
      <c r="AR28" s="448">
        <f t="shared" ref="AR28:AR33" ca="1" si="48">X28+AH28</f>
        <v>3056551.1360008321</v>
      </c>
      <c r="AS28" s="448">
        <f t="shared" ref="AS28:AS32" si="49">Y28+AI28</f>
        <v>1025668.1207457995</v>
      </c>
      <c r="AT28" s="448">
        <f t="shared" ca="1" si="16"/>
        <v>5491873.2642019046</v>
      </c>
      <c r="AV28" t="s">
        <v>655</v>
      </c>
    </row>
    <row r="29" spans="1:48">
      <c r="A29" s="5">
        <v>32</v>
      </c>
      <c r="B29" s="21"/>
      <c r="C29" s="9" t="s">
        <v>254</v>
      </c>
      <c r="D29" s="225" t="s">
        <v>464</v>
      </c>
      <c r="E29" s="55"/>
      <c r="F29" s="55"/>
      <c r="G29" s="429">
        <v>1132.3913113228157</v>
      </c>
      <c r="H29" s="429">
        <f>0.02*21307.43275</f>
        <v>426.14865500000002</v>
      </c>
      <c r="I29" s="429">
        <f>0.02*101257.507844819</f>
        <v>2025.1501568963802</v>
      </c>
      <c r="J29" s="429">
        <f t="shared" si="36"/>
        <v>3583.6901232191958</v>
      </c>
      <c r="K29" s="132"/>
      <c r="L29" s="429">
        <v>2001.6964219932645</v>
      </c>
      <c r="M29" s="429">
        <v>509.79702240466656</v>
      </c>
      <c r="N29" s="429">
        <v>2916.8871158908632</v>
      </c>
      <c r="O29" s="429">
        <f t="shared" si="37"/>
        <v>5428.3805602887942</v>
      </c>
      <c r="P29" s="447" t="s">
        <v>615</v>
      </c>
      <c r="Q29" s="421">
        <v>356.4388718421435</v>
      </c>
      <c r="R29" s="421">
        <v>266.84600020551187</v>
      </c>
      <c r="S29" s="421">
        <v>403.90217356929315</v>
      </c>
      <c r="T29" s="421">
        <f>(Z29/J29)/U29</f>
        <v>372.60668468360979</v>
      </c>
      <c r="U29" s="445">
        <f t="shared" ref="U29:U33" si="50">280/313</f>
        <v>0.89456869009584661</v>
      </c>
      <c r="V29" s="132"/>
      <c r="W29" s="429">
        <f t="shared" si="41"/>
        <v>361073.22305971239</v>
      </c>
      <c r="X29" s="429">
        <f t="shared" si="42"/>
        <v>101726.83048664029</v>
      </c>
      <c r="Y29" s="429">
        <f t="shared" si="43"/>
        <v>731723.6870571886</v>
      </c>
      <c r="Z29" s="429">
        <f t="shared" si="11"/>
        <v>1194523.7406035413</v>
      </c>
      <c r="AA29" s="451" t="s">
        <v>650</v>
      </c>
      <c r="AB29" s="421">
        <v>312.37850720257956</v>
      </c>
      <c r="AC29" s="421">
        <v>578.61366737276012</v>
      </c>
      <c r="AD29" s="421">
        <v>1102.1634569826188</v>
      </c>
      <c r="AE29" s="421">
        <v>2040.1991435837683</v>
      </c>
      <c r="AF29" s="452"/>
      <c r="AG29" s="429">
        <f t="shared" si="39"/>
        <v>353734.70740019268</v>
      </c>
      <c r="AH29" s="429">
        <f t="shared" si="39"/>
        <v>246575.43611551911</v>
      </c>
      <c r="AI29" s="429">
        <f t="shared" si="39"/>
        <v>2232046.497833807</v>
      </c>
      <c r="AJ29" s="429">
        <f t="shared" si="40"/>
        <v>2832356.6413495187</v>
      </c>
      <c r="AK29" s="453"/>
      <c r="AL29" s="421">
        <f t="shared" si="44"/>
        <v>631.23756188564721</v>
      </c>
      <c r="AM29" s="421">
        <f t="shared" si="45"/>
        <v>817.32574423392089</v>
      </c>
      <c r="AN29" s="421">
        <f t="shared" si="46"/>
        <v>1463.4816953193665</v>
      </c>
      <c r="AO29" s="421">
        <f t="shared" si="35"/>
        <v>1123.6686888362296</v>
      </c>
      <c r="AP29" s="454"/>
      <c r="AQ29" s="448">
        <f t="shared" si="47"/>
        <v>714807.93045990507</v>
      </c>
      <c r="AR29" s="448">
        <f t="shared" si="48"/>
        <v>348302.26660215942</v>
      </c>
      <c r="AS29" s="448">
        <f t="shared" si="49"/>
        <v>2963770.1848909957</v>
      </c>
      <c r="AT29" s="448">
        <f t="shared" si="16"/>
        <v>4026880.3819530602</v>
      </c>
      <c r="AV29" t="s">
        <v>654</v>
      </c>
    </row>
    <row r="30" spans="1:48">
      <c r="A30" s="5">
        <v>33</v>
      </c>
      <c r="B30" s="21"/>
      <c r="C30" s="9" t="s">
        <v>516</v>
      </c>
      <c r="D30" s="225" t="s">
        <v>581</v>
      </c>
      <c r="E30" s="55"/>
      <c r="F30" s="55"/>
      <c r="G30" s="429">
        <v>10191.521801905341</v>
      </c>
      <c r="H30" s="429">
        <f>0.18*21307.43275</f>
        <v>3835.3378949999997</v>
      </c>
      <c r="I30" s="429">
        <f>0.18*101257.507844819</f>
        <v>18226.351412067419</v>
      </c>
      <c r="J30" s="429">
        <f t="shared" si="36"/>
        <v>32253.211108972759</v>
      </c>
      <c r="K30" s="132"/>
      <c r="L30" s="429">
        <v>18015.267797939381</v>
      </c>
      <c r="M30" s="429">
        <v>4588.1732016419992</v>
      </c>
      <c r="N30" s="429">
        <v>26251.984043017768</v>
      </c>
      <c r="O30" s="429">
        <f t="shared" si="37"/>
        <v>48855.425042599149</v>
      </c>
      <c r="P30" s="447"/>
      <c r="Q30" s="455">
        <v>356.4388718421435</v>
      </c>
      <c r="R30" s="455">
        <v>266.84600020551187</v>
      </c>
      <c r="S30" s="455">
        <v>403.90217356929315</v>
      </c>
      <c r="T30" s="421">
        <f t="shared" ref="T30:T33" si="51">(Z30/J30)/U30</f>
        <v>372.60668468360979</v>
      </c>
      <c r="U30" s="445">
        <f t="shared" si="50"/>
        <v>0.89456869009584661</v>
      </c>
      <c r="V30" s="132"/>
      <c r="W30" s="429">
        <f t="shared" si="41"/>
        <v>3249659.0075374115</v>
      </c>
      <c r="X30" s="429">
        <f t="shared" si="42"/>
        <v>915541.47437976254</v>
      </c>
      <c r="Y30" s="429">
        <f t="shared" si="43"/>
        <v>6585513.1835146965</v>
      </c>
      <c r="Z30" s="429">
        <f t="shared" si="11"/>
        <v>10750713.66543187</v>
      </c>
      <c r="AA30" s="436" t="s">
        <v>643</v>
      </c>
      <c r="AB30" s="421">
        <v>129.82143694461701</v>
      </c>
      <c r="AC30" s="421">
        <v>208.83483357927449</v>
      </c>
      <c r="AD30" s="421">
        <v>311.08856473974612</v>
      </c>
      <c r="AE30" s="421">
        <v>486.5005631807739</v>
      </c>
      <c r="AF30" s="452"/>
      <c r="AG30" s="429">
        <f t="shared" si="39"/>
        <v>1323078.0049757436</v>
      </c>
      <c r="AH30" s="429">
        <f t="shared" si="39"/>
        <v>800952.15102260991</v>
      </c>
      <c r="AI30" s="429">
        <f t="shared" si="39"/>
        <v>5670009.5012222985</v>
      </c>
      <c r="AJ30" s="429">
        <f t="shared" si="40"/>
        <v>7794039.6572206523</v>
      </c>
      <c r="AK30" s="453"/>
      <c r="AL30" s="421">
        <f t="shared" si="44"/>
        <v>448.68049162768466</v>
      </c>
      <c r="AM30" s="421">
        <f t="shared" si="45"/>
        <v>447.54691044043528</v>
      </c>
      <c r="AN30" s="421">
        <f t="shared" si="46"/>
        <v>672.40680307649393</v>
      </c>
      <c r="AO30" s="421">
        <f t="shared" si="35"/>
        <v>574.97386105203714</v>
      </c>
      <c r="AP30" s="454"/>
      <c r="AQ30" s="448">
        <f t="shared" si="47"/>
        <v>4572737.0125131551</v>
      </c>
      <c r="AR30" s="448">
        <f t="shared" si="48"/>
        <v>1716493.6254023723</v>
      </c>
      <c r="AS30" s="448">
        <f t="shared" si="49"/>
        <v>12255522.684736995</v>
      </c>
      <c r="AT30" s="448">
        <f t="shared" si="16"/>
        <v>18544753.322652522</v>
      </c>
      <c r="AV30" s="210">
        <f>SUM(AT29:AT33)</f>
        <v>85805132.659761757</v>
      </c>
    </row>
    <row r="31" spans="1:48">
      <c r="A31" s="5">
        <v>34</v>
      </c>
      <c r="B31" s="21"/>
      <c r="C31" s="9" t="s">
        <v>517</v>
      </c>
      <c r="D31" s="225" t="s">
        <v>632</v>
      </c>
      <c r="E31" s="55"/>
      <c r="F31" s="55"/>
      <c r="G31" s="429">
        <v>22647.826226456313</v>
      </c>
      <c r="H31" s="429">
        <f>0.4*21307.43275</f>
        <v>8522.9731000000011</v>
      </c>
      <c r="I31" s="4">
        <f>0.4*101257.507844819</f>
        <v>40503.003137927604</v>
      </c>
      <c r="J31" s="429">
        <f t="shared" si="36"/>
        <v>71673.802464383916</v>
      </c>
      <c r="K31" s="132"/>
      <c r="L31" s="429">
        <v>40033.928439865296</v>
      </c>
      <c r="M31" s="429">
        <v>10195.940448093332</v>
      </c>
      <c r="N31" s="4">
        <v>58337.742317817268</v>
      </c>
      <c r="O31" s="429">
        <f t="shared" si="37"/>
        <v>108567.6112057759</v>
      </c>
      <c r="P31" s="447"/>
      <c r="Q31" s="455">
        <v>356.4388718421435</v>
      </c>
      <c r="R31" s="455">
        <v>266.84600020551187</v>
      </c>
      <c r="S31" s="1">
        <v>403.90217356929315</v>
      </c>
      <c r="T31" s="421">
        <f t="shared" si="51"/>
        <v>372.60668468360979</v>
      </c>
      <c r="U31" s="445">
        <f t="shared" si="50"/>
        <v>0.89456869009584661</v>
      </c>
      <c r="V31" s="132"/>
      <c r="W31" s="429">
        <f t="shared" si="41"/>
        <v>7221464.461194247</v>
      </c>
      <c r="X31" s="429">
        <f t="shared" si="42"/>
        <v>2034536.609732806</v>
      </c>
      <c r="Y31" s="4">
        <f t="shared" si="43"/>
        <v>14634473.741143772</v>
      </c>
      <c r="Z31" s="429">
        <f t="shared" si="11"/>
        <v>23890474.812070824</v>
      </c>
      <c r="AA31" s="438">
        <v>69627514.451867104</v>
      </c>
      <c r="AB31" s="421">
        <v>62.854405086563681</v>
      </c>
      <c r="AC31" s="421">
        <v>96.410465740107426</v>
      </c>
      <c r="AD31" s="2">
        <v>182.48038697538311</v>
      </c>
      <c r="AE31" s="421">
        <v>125.12321413504705</v>
      </c>
      <c r="AF31" s="452"/>
      <c r="AG31" s="429">
        <f t="shared" si="39"/>
        <v>1423515.6439677859</v>
      </c>
      <c r="AH31" s="429">
        <f t="shared" si="39"/>
        <v>821703.80606140732</v>
      </c>
      <c r="AI31" s="4">
        <f t="shared" si="39"/>
        <v>7391003.6862741858</v>
      </c>
      <c r="AJ31" s="429">
        <f t="shared" si="40"/>
        <v>9636223.1363033801</v>
      </c>
      <c r="AK31" s="453"/>
      <c r="AL31" s="421">
        <f t="shared" si="44"/>
        <v>381.7134597696313</v>
      </c>
      <c r="AM31" s="421">
        <f t="shared" si="45"/>
        <v>335.12254260126821</v>
      </c>
      <c r="AN31" s="2">
        <f t="shared" si="46"/>
        <v>543.79862531213087</v>
      </c>
      <c r="AO31" s="421">
        <f t="shared" si="35"/>
        <v>467.76781467725613</v>
      </c>
      <c r="AP31" s="454"/>
      <c r="AQ31" s="448">
        <f t="shared" si="47"/>
        <v>8644980.1051620319</v>
      </c>
      <c r="AR31" s="448">
        <f t="shared" si="48"/>
        <v>2856240.4157942133</v>
      </c>
      <c r="AS31" s="3">
        <f t="shared" si="49"/>
        <v>22025477.427417956</v>
      </c>
      <c r="AT31" s="448">
        <f t="shared" si="16"/>
        <v>33526697.948374201</v>
      </c>
    </row>
    <row r="32" spans="1:48">
      <c r="A32" s="5">
        <v>35</v>
      </c>
      <c r="B32" s="21"/>
      <c r="C32" s="9" t="s">
        <v>423</v>
      </c>
      <c r="D32" s="225" t="s">
        <v>678</v>
      </c>
      <c r="E32" s="55"/>
      <c r="F32" s="55"/>
      <c r="G32" s="429">
        <v>22647.826226456313</v>
      </c>
      <c r="H32" s="429">
        <f>0.4*21307.43275</f>
        <v>8522.9731000000011</v>
      </c>
      <c r="I32" s="429">
        <f>0.4*101257.507844819</f>
        <v>40503.003137927604</v>
      </c>
      <c r="J32" s="429">
        <f t="shared" si="36"/>
        <v>71673.802464383916</v>
      </c>
      <c r="K32" s="132"/>
      <c r="L32" s="429">
        <v>40033.928439865296</v>
      </c>
      <c r="M32" s="429">
        <v>10195.940448093332</v>
      </c>
      <c r="N32" s="429">
        <v>58337.742317817268</v>
      </c>
      <c r="O32" s="429">
        <f t="shared" si="37"/>
        <v>108567.6112057759</v>
      </c>
      <c r="P32" s="447"/>
      <c r="Q32" s="455">
        <v>356.4388718421435</v>
      </c>
      <c r="R32" s="455">
        <v>266.84600020551187</v>
      </c>
      <c r="S32" s="455">
        <v>403.90217356929315</v>
      </c>
      <c r="T32" s="421">
        <f t="shared" si="51"/>
        <v>372.60668468360979</v>
      </c>
      <c r="U32" s="445">
        <f t="shared" si="50"/>
        <v>0.89456869009584661</v>
      </c>
      <c r="V32" s="132"/>
      <c r="W32" s="429">
        <f t="shared" si="41"/>
        <v>7221464.461194247</v>
      </c>
      <c r="X32" s="429">
        <f t="shared" si="42"/>
        <v>2034536.609732806</v>
      </c>
      <c r="Y32" s="429">
        <f t="shared" si="43"/>
        <v>14634473.741143772</v>
      </c>
      <c r="Z32" s="429">
        <f t="shared" si="11"/>
        <v>23890474.812070824</v>
      </c>
      <c r="AA32" s="436" t="s">
        <v>644</v>
      </c>
      <c r="AB32" s="421">
        <v>14.097666885478191</v>
      </c>
      <c r="AC32" s="421">
        <v>43.327894650701062</v>
      </c>
      <c r="AD32" s="421">
        <v>22.960371636686205</v>
      </c>
      <c r="AE32" s="421">
        <v>38.886670926575441</v>
      </c>
      <c r="AF32" s="452"/>
      <c r="AG32" s="429">
        <f t="shared" si="39"/>
        <v>319281.50982077763</v>
      </c>
      <c r="AH32" s="429">
        <f t="shared" si="39"/>
        <v>369282.48058755911</v>
      </c>
      <c r="AI32" s="429">
        <f t="shared" si="39"/>
        <v>929964.00444868533</v>
      </c>
      <c r="AJ32" s="429">
        <f t="shared" si="40"/>
        <v>1618527.9948570221</v>
      </c>
      <c r="AK32" s="453"/>
      <c r="AL32" s="421">
        <f t="shared" si="44"/>
        <v>332.95672156854585</v>
      </c>
      <c r="AM32" s="421">
        <f t="shared" si="45"/>
        <v>282.03997151186184</v>
      </c>
      <c r="AN32" s="421">
        <f t="shared" si="46"/>
        <v>384.27860997343407</v>
      </c>
      <c r="AO32" s="421">
        <f t="shared" si="35"/>
        <v>355.90413693488301</v>
      </c>
      <c r="AP32" s="454"/>
      <c r="AQ32" s="448">
        <f t="shared" si="47"/>
        <v>7540745.9710150249</v>
      </c>
      <c r="AR32" s="448">
        <f t="shared" si="48"/>
        <v>2403819.090320365</v>
      </c>
      <c r="AS32" s="448">
        <f t="shared" si="49"/>
        <v>15564437.745592458</v>
      </c>
      <c r="AT32" s="448">
        <f t="shared" si="16"/>
        <v>25509002.806927849</v>
      </c>
    </row>
    <row r="33" spans="1:49">
      <c r="A33" s="5">
        <v>36</v>
      </c>
      <c r="B33" s="21"/>
      <c r="C33" s="9" t="s">
        <v>452</v>
      </c>
      <c r="D33" s="225" t="s">
        <v>723</v>
      </c>
      <c r="E33" s="55"/>
      <c r="F33" s="55"/>
      <c r="G33" s="429"/>
      <c r="H33" s="429">
        <v>10725.923050589983</v>
      </c>
      <c r="I33" s="429"/>
      <c r="J33" s="429">
        <f t="shared" si="36"/>
        <v>10725.923050589983</v>
      </c>
      <c r="K33" s="132"/>
      <c r="L33" s="429"/>
      <c r="M33" s="429">
        <v>18984.88379954427</v>
      </c>
      <c r="N33" s="429"/>
      <c r="O33" s="429">
        <f t="shared" si="37"/>
        <v>18984.88379954427</v>
      </c>
      <c r="P33" s="447"/>
      <c r="Q33" s="455">
        <v>356.4388718421435</v>
      </c>
      <c r="R33" s="455">
        <v>266.84600020551187</v>
      </c>
      <c r="S33" s="455">
        <v>403.90217356929315</v>
      </c>
      <c r="T33" s="421">
        <f t="shared" si="51"/>
        <v>266.84600020551181</v>
      </c>
      <c r="U33" s="445">
        <f t="shared" si="50"/>
        <v>0.89456869009584661</v>
      </c>
      <c r="V33" s="132"/>
      <c r="W33" s="429"/>
      <c r="X33" s="429">
        <f t="shared" si="42"/>
        <v>2560407.3676593318</v>
      </c>
      <c r="Y33" s="429"/>
      <c r="Z33" s="429">
        <f t="shared" si="11"/>
        <v>2560407.3676593318</v>
      </c>
      <c r="AA33" s="438">
        <f>SUM(Z29:Z33)</f>
        <v>62286594.397836395</v>
      </c>
      <c r="AB33" s="421"/>
      <c r="AC33" s="421">
        <v>152.65733536142895</v>
      </c>
      <c r="AD33" s="421"/>
      <c r="AE33" s="421">
        <v>152.65733536142895</v>
      </c>
      <c r="AF33" s="452"/>
      <c r="AG33" s="429"/>
      <c r="AH33" s="429">
        <f>H33*AC33</f>
        <v>1637390.8321947961</v>
      </c>
      <c r="AI33" s="429"/>
      <c r="AJ33" s="429">
        <f t="shared" si="40"/>
        <v>1637390.8321947961</v>
      </c>
      <c r="AK33" s="453"/>
      <c r="AL33" s="421"/>
      <c r="AM33" s="421">
        <f t="shared" si="45"/>
        <v>391.36941222258969</v>
      </c>
      <c r="AN33" s="421"/>
      <c r="AO33" s="421">
        <f t="shared" si="35"/>
        <v>391.36941222258969</v>
      </c>
      <c r="AP33" s="454"/>
      <c r="AQ33" s="448"/>
      <c r="AR33" s="448">
        <f t="shared" si="48"/>
        <v>4197798.1998541281</v>
      </c>
      <c r="AS33" s="448"/>
      <c r="AT33" s="448">
        <f t="shared" si="16"/>
        <v>4197798.1998541281</v>
      </c>
    </row>
    <row r="34" spans="1:49">
      <c r="A34" s="5">
        <v>37</v>
      </c>
      <c r="B34" s="21"/>
      <c r="C34" s="9" t="s">
        <v>519</v>
      </c>
      <c r="D34" s="8" t="s">
        <v>261</v>
      </c>
      <c r="E34" s="5"/>
      <c r="F34" s="5"/>
      <c r="G34" s="411">
        <v>2559</v>
      </c>
      <c r="H34" s="411">
        <f ca="1">'(2) Homes for non-HH earners'!H35</f>
        <v>7141</v>
      </c>
      <c r="I34" s="411">
        <v>2297</v>
      </c>
      <c r="J34" s="411">
        <f t="shared" ca="1" si="36"/>
        <v>11997</v>
      </c>
      <c r="K34" s="246"/>
      <c r="L34" s="411">
        <f ca="1">'(2) Homes for non-HH earners'!BN35</f>
        <v>4523.4726659082571</v>
      </c>
      <c r="M34" s="411">
        <f ca="1">'(2) Homes for non-HH earners'!BO35</f>
        <v>9914.4805205116027</v>
      </c>
      <c r="N34" s="411">
        <f ca="1">'(2) Homes for non-HH earners'!BP35</f>
        <v>3308.4409481366288</v>
      </c>
      <c r="O34" s="429">
        <f t="shared" ca="1" si="37"/>
        <v>17746.394134556489</v>
      </c>
      <c r="P34" s="420"/>
      <c r="Q34" s="280">
        <v>307.99687184214349</v>
      </c>
      <c r="R34" s="280">
        <v>186.20883820681152</v>
      </c>
      <c r="S34" s="280">
        <v>208.74217356929245</v>
      </c>
      <c r="T34" s="280">
        <f t="shared" ref="T34:T41" ca="1" si="52">Z34/J34</f>
        <v>193.67498498237822</v>
      </c>
      <c r="U34" s="445">
        <f>280/313</f>
        <v>0.89456869009584661</v>
      </c>
      <c r="V34" s="132"/>
      <c r="W34" s="429">
        <f t="shared" si="41"/>
        <v>705066.83262726082</v>
      </c>
      <c r="X34" s="429">
        <f t="shared" ca="1" si="42"/>
        <v>1189523.4754560879</v>
      </c>
      <c r="Y34" s="429">
        <f t="shared" si="43"/>
        <v>428928.48675024317</v>
      </c>
      <c r="Z34" s="411">
        <f t="shared" ca="1" si="11"/>
        <v>2323518.7948335917</v>
      </c>
      <c r="AA34" s="132"/>
      <c r="AB34" s="421">
        <v>25.2159645257811</v>
      </c>
      <c r="AC34" s="421">
        <v>36.177270817396085</v>
      </c>
      <c r="AD34" s="421">
        <v>90.868449657060921</v>
      </c>
      <c r="AE34" s="280">
        <v>50.163074044969541</v>
      </c>
      <c r="AF34" s="281"/>
      <c r="AG34" s="411">
        <f>G34*AB34</f>
        <v>64527.653221473833</v>
      </c>
      <c r="AH34" s="411">
        <f ca="1">H34*AC34</f>
        <v>258341.89090702543</v>
      </c>
      <c r="AI34" s="411">
        <f>I34*AD34</f>
        <v>208724.82886226894</v>
      </c>
      <c r="AJ34" s="411">
        <f t="shared" ca="1" si="40"/>
        <v>531594.37299076817</v>
      </c>
      <c r="AK34" s="422"/>
      <c r="AL34" s="280">
        <f>AQ34/G34</f>
        <v>300.74032272322574</v>
      </c>
      <c r="AM34" s="280">
        <f t="shared" ref="AM34:AM38" ca="1" si="53">AR34/H34</f>
        <v>202.75386729633291</v>
      </c>
      <c r="AN34" s="280">
        <f>AS34/I34</f>
        <v>277.60266243470272</v>
      </c>
      <c r="AO34" s="280">
        <f t="shared" ref="AO34:AO41" ca="1" si="54">AT34/J34</f>
        <v>237.98559371712597</v>
      </c>
      <c r="AP34" s="423"/>
      <c r="AQ34" s="448">
        <f t="shared" si="21"/>
        <v>769594.48584873462</v>
      </c>
      <c r="AR34" s="448">
        <f t="shared" ca="1" si="22"/>
        <v>1447865.3663631133</v>
      </c>
      <c r="AS34" s="448">
        <f t="shared" si="23"/>
        <v>637653.31561251217</v>
      </c>
      <c r="AT34" s="448">
        <f t="shared" ca="1" si="16"/>
        <v>2855113.1678243601</v>
      </c>
    </row>
    <row r="35" spans="1:49">
      <c r="A35" s="5">
        <v>38</v>
      </c>
      <c r="B35" s="21"/>
      <c r="C35" s="9" t="s">
        <v>262</v>
      </c>
      <c r="D35" s="8" t="s">
        <v>188</v>
      </c>
      <c r="E35" s="5"/>
      <c r="F35" s="5"/>
      <c r="G35" s="411">
        <v>201.631472433412</v>
      </c>
      <c r="H35" s="411">
        <f ca="1">'(2) Homes for non-HH earners'!H36</f>
        <v>415.55032600872619</v>
      </c>
      <c r="I35" s="411">
        <v>159.4840128206024</v>
      </c>
      <c r="J35" s="411">
        <f t="shared" ca="1" si="36"/>
        <v>776.66581126274059</v>
      </c>
      <c r="K35" s="246"/>
      <c r="L35" s="411">
        <f ca="1">'(2) Homes for non-HH earners'!BN36</f>
        <v>201.631472433412</v>
      </c>
      <c r="M35" s="411">
        <f ca="1">'(2) Homes for non-HH earners'!BO36</f>
        <v>415.55032600872619</v>
      </c>
      <c r="N35" s="411">
        <f ca="1">'(2) Homes for non-HH earners'!BP36</f>
        <v>159.4840128206024</v>
      </c>
      <c r="O35" s="429">
        <f t="shared" ca="1" si="37"/>
        <v>776.66581126274059</v>
      </c>
      <c r="P35" s="420"/>
      <c r="Q35" s="280">
        <v>48.55</v>
      </c>
      <c r="R35" s="280">
        <v>48.55</v>
      </c>
      <c r="S35" s="280">
        <v>48.55</v>
      </c>
      <c r="T35" s="280">
        <v>48.55</v>
      </c>
      <c r="U35" s="445">
        <f>280/313</f>
        <v>0.89456869009584661</v>
      </c>
      <c r="V35" s="132"/>
      <c r="W35" s="429">
        <f>G35*Q35*$U35</f>
        <v>8757.1189656862698</v>
      </c>
      <c r="X35" s="429">
        <f t="shared" ca="1" si="42"/>
        <v>18047.894989656943</v>
      </c>
      <c r="Y35" s="429">
        <f t="shared" si="43"/>
        <v>6926.5995855695483</v>
      </c>
      <c r="Z35" s="411">
        <f t="shared" ca="1" si="11"/>
        <v>33731.61354091276</v>
      </c>
      <c r="AA35" s="437"/>
      <c r="AB35" s="421"/>
      <c r="AC35" s="421"/>
      <c r="AD35" s="421"/>
      <c r="AE35" s="280"/>
      <c r="AF35" s="281"/>
      <c r="AG35" s="281"/>
      <c r="AH35" s="281"/>
      <c r="AI35" s="281"/>
      <c r="AJ35" s="281"/>
      <c r="AK35" s="281"/>
      <c r="AL35" s="280">
        <f>AQ35/G35</f>
        <v>43.431309904153352</v>
      </c>
      <c r="AM35" s="280">
        <f t="shared" ca="1" si="53"/>
        <v>43.431309904153352</v>
      </c>
      <c r="AN35" s="280">
        <f>AS35/I35</f>
        <v>43.431309904153345</v>
      </c>
      <c r="AO35" s="280">
        <f t="shared" ca="1" si="54"/>
        <v>43.431309904153345</v>
      </c>
      <c r="AP35" s="423"/>
      <c r="AQ35" s="448">
        <f t="shared" si="21"/>
        <v>8757.1189656862698</v>
      </c>
      <c r="AR35" s="448">
        <f t="shared" ca="1" si="22"/>
        <v>18047.894989656943</v>
      </c>
      <c r="AS35" s="448">
        <f t="shared" si="23"/>
        <v>6926.5995855695483</v>
      </c>
      <c r="AT35" s="448">
        <f t="shared" ca="1" si="16"/>
        <v>33731.61354091276</v>
      </c>
    </row>
    <row r="36" spans="1:49">
      <c r="A36" s="5">
        <v>39</v>
      </c>
      <c r="B36" s="21"/>
      <c r="C36" s="8" t="s">
        <v>165</v>
      </c>
      <c r="D36" s="41" t="s">
        <v>269</v>
      </c>
      <c r="E36" s="5"/>
      <c r="F36" s="5"/>
      <c r="G36" s="411">
        <v>20644.363654471883</v>
      </c>
      <c r="H36" s="411">
        <f ca="1">'(2) Homes for non-HH earners'!H37</f>
        <v>32433.40982316939</v>
      </c>
      <c r="I36" s="4">
        <v>6921.9195493771931</v>
      </c>
      <c r="J36" s="411">
        <f t="shared" ca="1" si="36"/>
        <v>59999.69302701846</v>
      </c>
      <c r="K36" s="246"/>
      <c r="L36" s="411">
        <f ca="1">'(2) Homes for non-HH earners'!BN37</f>
        <v>20644.363654471883</v>
      </c>
      <c r="M36" s="411">
        <f ca="1">'(2) Homes for non-HH earners'!BO37</f>
        <v>32433.40982316939</v>
      </c>
      <c r="N36" s="4">
        <f ca="1">'(2) Homes for non-HH earners'!BP37</f>
        <v>6921.9195493771931</v>
      </c>
      <c r="O36" s="429">
        <f t="shared" ca="1" si="37"/>
        <v>59999.69302701846</v>
      </c>
      <c r="P36" s="420"/>
      <c r="Q36" s="280">
        <v>111.34355725743856</v>
      </c>
      <c r="R36" s="280">
        <v>104.4330788124533</v>
      </c>
      <c r="S36" s="2">
        <v>106.84</v>
      </c>
      <c r="T36" s="421">
        <f t="shared" ca="1" si="52"/>
        <v>107.08847481247635</v>
      </c>
      <c r="U36" s="445">
        <v>1</v>
      </c>
      <c r="V36" s="132"/>
      <c r="W36" s="411">
        <f t="shared" si="41"/>
        <v>2298616.8866050737</v>
      </c>
      <c r="X36" s="411">
        <f t="shared" ref="X36" ca="1" si="55">H36*R36*$U36</f>
        <v>3387120.844219646</v>
      </c>
      <c r="Y36" s="4">
        <f t="shared" ref="Y36" si="56">I36*S36*$U36</f>
        <v>739537.88465545932</v>
      </c>
      <c r="Z36" s="411">
        <f t="shared" ca="1" si="11"/>
        <v>6425275.615480179</v>
      </c>
      <c r="AA36" s="132"/>
      <c r="AB36" s="421">
        <v>20.870988750313149</v>
      </c>
      <c r="AC36" s="421">
        <v>9.9736081615728729</v>
      </c>
      <c r="AD36" s="2">
        <v>18.121918392179175</v>
      </c>
      <c r="AE36" s="280">
        <v>15.935974182579118</v>
      </c>
      <c r="AF36" s="281"/>
      <c r="AG36" s="411">
        <f t="shared" ref="AG36:AI37" si="57">G36*AB36</f>
        <v>430868.28158985631</v>
      </c>
      <c r="AH36" s="411">
        <f t="shared" ca="1" si="57"/>
        <v>323478.12092000002</v>
      </c>
      <c r="AI36" s="4">
        <f t="shared" si="57"/>
        <v>125438.46119104314</v>
      </c>
      <c r="AJ36" s="411">
        <f t="shared" ca="1" si="40"/>
        <v>879784.86370089941</v>
      </c>
      <c r="AK36" s="422"/>
      <c r="AL36" s="280">
        <f>AQ36/G36</f>
        <v>132.21454600775172</v>
      </c>
      <c r="AM36" s="280">
        <f t="shared" ca="1" si="53"/>
        <v>114.40668697402617</v>
      </c>
      <c r="AN36" s="2">
        <f>AS36/I36</f>
        <v>124.96191839217917</v>
      </c>
      <c r="AO36" s="280">
        <f t="shared" ca="1" si="54"/>
        <v>121.75163089403702</v>
      </c>
      <c r="AP36" s="423"/>
      <c r="AQ36" s="424">
        <f t="shared" si="21"/>
        <v>2729485.1681949301</v>
      </c>
      <c r="AR36" s="424">
        <f t="shared" ca="1" si="22"/>
        <v>3710598.9651396461</v>
      </c>
      <c r="AS36" s="3">
        <f t="shared" si="22"/>
        <v>864976.34584650246</v>
      </c>
      <c r="AT36" s="448">
        <f t="shared" ca="1" si="16"/>
        <v>7305060.4791810783</v>
      </c>
    </row>
    <row r="37" spans="1:49">
      <c r="A37" s="5">
        <v>40</v>
      </c>
      <c r="B37" s="21"/>
      <c r="C37" s="8" t="s">
        <v>19</v>
      </c>
      <c r="D37" s="41" t="s">
        <v>121</v>
      </c>
      <c r="E37" s="5"/>
      <c r="F37" s="5"/>
      <c r="G37" s="411">
        <v>755.51977508935306</v>
      </c>
      <c r="H37" s="411">
        <f ca="1">'(2) Homes for non-HH earners'!H38</f>
        <v>2003.1246358252829</v>
      </c>
      <c r="I37" s="411">
        <v>7721.8719526795594</v>
      </c>
      <c r="J37" s="411">
        <f t="shared" ca="1" si="36"/>
        <v>10480.516363594195</v>
      </c>
      <c r="K37" s="246"/>
      <c r="L37" s="411">
        <f ca="1">'(2) Homes for non-HH earners'!BN38</f>
        <v>755.51977508935306</v>
      </c>
      <c r="M37" s="411">
        <f ca="1">'(2) Homes for non-HH earners'!BO38</f>
        <v>2003.1246358252829</v>
      </c>
      <c r="N37" s="411">
        <f ca="1">'(2) Homes for non-HH earners'!BP38</f>
        <v>7721.8719526795594</v>
      </c>
      <c r="O37" s="429">
        <f t="shared" ca="1" si="37"/>
        <v>10480.516363594195</v>
      </c>
      <c r="P37" s="420"/>
      <c r="Q37" s="280">
        <v>112.82318494448573</v>
      </c>
      <c r="R37" s="280">
        <v>104.1336143104833</v>
      </c>
      <c r="S37" s="280">
        <v>106.84</v>
      </c>
      <c r="T37" s="280">
        <f t="shared" ca="1" si="52"/>
        <v>106.75404876688432</v>
      </c>
      <c r="U37" s="371">
        <v>1</v>
      </c>
      <c r="V37" s="246"/>
      <c r="W37" s="411">
        <f t="shared" si="41"/>
        <v>85240.14731412234</v>
      </c>
      <c r="X37" s="411">
        <f t="shared" ca="1" si="42"/>
        <v>208592.60824285733</v>
      </c>
      <c r="Y37" s="411">
        <f t="shared" si="43"/>
        <v>825004.79942428414</v>
      </c>
      <c r="Z37" s="411">
        <f t="shared" ca="1" si="11"/>
        <v>1118837.5549812638</v>
      </c>
      <c r="AA37" s="132"/>
      <c r="AB37" s="421">
        <v>8.9196198784047311</v>
      </c>
      <c r="AC37" s="421">
        <v>104.69269510332566</v>
      </c>
      <c r="AD37" s="421">
        <v>106.10534924342122</v>
      </c>
      <c r="AE37" s="280">
        <v>127.73556925729213</v>
      </c>
      <c r="AF37" s="281"/>
      <c r="AG37" s="411">
        <f t="shared" si="57"/>
        <v>6738.9492044148656</v>
      </c>
      <c r="AH37" s="411">
        <f t="shared" ca="1" si="57"/>
        <v>209712.51675241659</v>
      </c>
      <c r="AI37" s="411">
        <f t="shared" si="57"/>
        <v>819331.92035204358</v>
      </c>
      <c r="AJ37" s="411">
        <f t="shared" ca="1" si="40"/>
        <v>1035783.3863088751</v>
      </c>
      <c r="AK37" s="422"/>
      <c r="AL37" s="280">
        <f>AQ37/G37</f>
        <v>121.74280482289045</v>
      </c>
      <c r="AM37" s="280">
        <f t="shared" ca="1" si="53"/>
        <v>208.82630941380896</v>
      </c>
      <c r="AN37" s="280">
        <f>AS37/I37</f>
        <v>212.94534924342122</v>
      </c>
      <c r="AO37" s="280">
        <f t="shared" ca="1" si="54"/>
        <v>205.58347189596216</v>
      </c>
      <c r="AP37" s="423"/>
      <c r="AQ37" s="424">
        <f t="shared" si="21"/>
        <v>91979.096518537204</v>
      </c>
      <c r="AR37" s="424">
        <f t="shared" ca="1" si="22"/>
        <v>418305.12499527389</v>
      </c>
      <c r="AS37" s="424">
        <f t="shared" si="23"/>
        <v>1644336.7197763277</v>
      </c>
      <c r="AT37" s="424">
        <f t="shared" ca="1" si="16"/>
        <v>2154620.9412901388</v>
      </c>
    </row>
    <row r="38" spans="1:49">
      <c r="A38" s="5">
        <v>41</v>
      </c>
      <c r="B38" s="21"/>
      <c r="C38" s="9" t="s">
        <v>193</v>
      </c>
      <c r="D38" s="225" t="s">
        <v>352</v>
      </c>
      <c r="E38" s="55"/>
      <c r="F38" s="55"/>
      <c r="G38" s="429">
        <v>32911.338985626855</v>
      </c>
      <c r="H38" s="429">
        <f ca="1">'(2) Homes for non-HH earners'!H39</f>
        <v>6948.3876391959402</v>
      </c>
      <c r="I38" s="429">
        <v>0</v>
      </c>
      <c r="J38" s="429">
        <f t="shared" ca="1" si="36"/>
        <v>39859.726624822797</v>
      </c>
      <c r="K38" s="132"/>
      <c r="L38" s="429">
        <f ca="1">'(2) Homes for non-HH earners'!BN39</f>
        <v>32911.338985626855</v>
      </c>
      <c r="M38" s="429">
        <f ca="1">'(2) Homes for non-HH earners'!BO39</f>
        <v>6948.3876391959402</v>
      </c>
      <c r="N38" s="429">
        <f ca="1">'(2) Homes for non-HH earners'!BP39</f>
        <v>0</v>
      </c>
      <c r="O38" s="429">
        <f t="shared" ca="1" si="37"/>
        <v>39859.726624822797</v>
      </c>
      <c r="P38" s="447"/>
      <c r="Q38" s="421">
        <v>55.625</v>
      </c>
      <c r="R38" s="421">
        <v>52.01</v>
      </c>
      <c r="S38" s="421"/>
      <c r="T38" s="421">
        <f t="shared" ca="1" si="52"/>
        <v>39.005917454166266</v>
      </c>
      <c r="U38" s="371">
        <f>222/313</f>
        <v>0.70926517571884984</v>
      </c>
      <c r="V38" s="132"/>
      <c r="W38" s="429">
        <f t="shared" si="41"/>
        <v>1298446.956226069</v>
      </c>
      <c r="X38" s="429">
        <f t="shared" ca="1" si="42"/>
        <v>256318.25024740238</v>
      </c>
      <c r="Y38" s="429"/>
      <c r="Z38" s="429">
        <f t="shared" ca="1" si="11"/>
        <v>1554765.2064734714</v>
      </c>
      <c r="AA38" s="132"/>
      <c r="AB38" s="132">
        <v>0</v>
      </c>
      <c r="AC38" s="132">
        <v>0</v>
      </c>
      <c r="AD38" s="132">
        <v>0</v>
      </c>
      <c r="AE38" s="132">
        <v>0</v>
      </c>
      <c r="AF38" s="281"/>
      <c r="AG38" s="132">
        <v>0</v>
      </c>
      <c r="AH38" s="132">
        <v>0</v>
      </c>
      <c r="AI38" s="132">
        <v>0</v>
      </c>
      <c r="AJ38" s="132">
        <v>0</v>
      </c>
      <c r="AK38" s="422"/>
      <c r="AL38" s="280">
        <f>AQ38/G38</f>
        <v>39.45287539936102</v>
      </c>
      <c r="AM38" s="280">
        <f t="shared" ca="1" si="53"/>
        <v>36.888881789137379</v>
      </c>
      <c r="AN38" s="280"/>
      <c r="AO38" s="280">
        <f t="shared" ca="1" si="54"/>
        <v>39.005917454166266</v>
      </c>
      <c r="AP38" s="454"/>
      <c r="AQ38" s="448">
        <f t="shared" si="21"/>
        <v>1298446.956226069</v>
      </c>
      <c r="AR38" s="448">
        <f t="shared" ca="1" si="22"/>
        <v>256318.25024740238</v>
      </c>
      <c r="AS38" s="448"/>
      <c r="AT38" s="448">
        <f t="shared" ca="1" si="16"/>
        <v>1554765.2064734714</v>
      </c>
    </row>
    <row r="39" spans="1:49">
      <c r="A39" s="5">
        <v>42</v>
      </c>
      <c r="B39" s="21"/>
      <c r="C39" s="41" t="s">
        <v>496</v>
      </c>
      <c r="D39" s="41" t="s">
        <v>260</v>
      </c>
      <c r="E39" s="5"/>
      <c r="F39" s="5"/>
      <c r="G39" s="411"/>
      <c r="H39" s="411"/>
      <c r="I39" s="411">
        <v>10810</v>
      </c>
      <c r="J39" s="411">
        <f t="shared" si="36"/>
        <v>10810</v>
      </c>
      <c r="K39" s="246"/>
      <c r="L39" s="246"/>
      <c r="M39" s="246"/>
      <c r="N39" s="411">
        <f ca="1">'(2) Homes for non-HH earners'!BP40</f>
        <v>10810</v>
      </c>
      <c r="O39" s="429">
        <f t="shared" ca="1" si="37"/>
        <v>10810</v>
      </c>
      <c r="P39" s="420"/>
      <c r="Q39" s="246"/>
      <c r="R39" s="246"/>
      <c r="S39" s="280">
        <v>153.28962840000003</v>
      </c>
      <c r="T39" s="280">
        <f t="shared" si="52"/>
        <v>153.28962840000003</v>
      </c>
      <c r="U39" s="371">
        <v>1</v>
      </c>
      <c r="V39" s="246"/>
      <c r="W39" s="411"/>
      <c r="X39" s="411"/>
      <c r="Y39" s="411">
        <f t="shared" si="43"/>
        <v>1657060.8830040002</v>
      </c>
      <c r="Z39" s="411">
        <f t="shared" si="11"/>
        <v>1657060.8830040002</v>
      </c>
      <c r="AA39" s="132"/>
      <c r="AB39" s="132"/>
      <c r="AC39" s="132"/>
      <c r="AD39" s="132"/>
      <c r="AE39" s="132"/>
      <c r="AF39" s="281"/>
      <c r="AG39" s="411"/>
      <c r="AH39" s="411"/>
      <c r="AI39" s="411"/>
      <c r="AJ39" s="411"/>
      <c r="AK39" s="422"/>
      <c r="AL39" s="422"/>
      <c r="AM39" s="422"/>
      <c r="AN39" s="280">
        <f>AS39/I39</f>
        <v>153.28962840000003</v>
      </c>
      <c r="AO39" s="280">
        <f t="shared" si="54"/>
        <v>153.28962840000003</v>
      </c>
      <c r="AP39" s="423"/>
      <c r="AQ39" s="428"/>
      <c r="AR39" s="428"/>
      <c r="AS39" s="424">
        <f t="shared" si="23"/>
        <v>1657060.8830040002</v>
      </c>
      <c r="AT39" s="424">
        <f t="shared" si="16"/>
        <v>1657060.8830040002</v>
      </c>
    </row>
    <row r="40" spans="1:49">
      <c r="A40" s="5">
        <v>43</v>
      </c>
      <c r="B40" s="21" t="s">
        <v>407</v>
      </c>
      <c r="C40" s="41" t="s">
        <v>461</v>
      </c>
      <c r="D40" s="41" t="s">
        <v>4</v>
      </c>
      <c r="E40" s="5"/>
      <c r="F40" s="5"/>
      <c r="G40" s="411"/>
      <c r="H40" s="411"/>
      <c r="I40" s="411">
        <v>690</v>
      </c>
      <c r="J40" s="411">
        <f t="shared" si="36"/>
        <v>690</v>
      </c>
      <c r="K40" s="246"/>
      <c r="L40" s="246"/>
      <c r="M40" s="246"/>
      <c r="N40" s="411">
        <f ca="1">'(2) Homes for non-HH earners'!BP41</f>
        <v>690</v>
      </c>
      <c r="O40" s="429">
        <f t="shared" ca="1" si="37"/>
        <v>690</v>
      </c>
      <c r="P40" s="420"/>
      <c r="Q40" s="246"/>
      <c r="R40" s="246"/>
      <c r="S40" s="280">
        <v>153.28962840000003</v>
      </c>
      <c r="T40" s="280">
        <f t="shared" si="52"/>
        <v>153.28962840000003</v>
      </c>
      <c r="U40" s="371">
        <v>1</v>
      </c>
      <c r="V40" s="246"/>
      <c r="W40" s="411"/>
      <c r="X40" s="411"/>
      <c r="Y40" s="411">
        <f t="shared" si="43"/>
        <v>105769.84359600002</v>
      </c>
      <c r="Z40" s="411">
        <f t="shared" si="11"/>
        <v>105769.84359600002</v>
      </c>
      <c r="AA40" s="132"/>
      <c r="AB40" s="132"/>
      <c r="AC40" s="132"/>
      <c r="AD40" s="132"/>
      <c r="AE40" s="132"/>
      <c r="AF40" s="281"/>
      <c r="AG40" s="411"/>
      <c r="AH40" s="411"/>
      <c r="AI40" s="411"/>
      <c r="AJ40" s="411"/>
      <c r="AK40" s="508"/>
      <c r="AL40" s="422"/>
      <c r="AM40" s="422"/>
      <c r="AN40" s="280">
        <f>AS40/I40</f>
        <v>153.28962840000003</v>
      </c>
      <c r="AO40" s="280">
        <f t="shared" si="54"/>
        <v>153.28962840000003</v>
      </c>
      <c r="AP40" s="423"/>
      <c r="AQ40" s="428"/>
      <c r="AR40" s="428"/>
      <c r="AS40" s="424">
        <f t="shared" si="23"/>
        <v>105769.84359600002</v>
      </c>
      <c r="AT40" s="424">
        <f t="shared" si="16"/>
        <v>105769.84359600002</v>
      </c>
    </row>
    <row r="41" spans="1:49">
      <c r="A41" s="5">
        <v>44</v>
      </c>
      <c r="B41" s="22" t="s">
        <v>408</v>
      </c>
      <c r="C41" s="9" t="s">
        <v>693</v>
      </c>
      <c r="D41" s="42" t="s">
        <v>507</v>
      </c>
      <c r="E41" s="5"/>
      <c r="F41" s="5"/>
      <c r="G41" s="411">
        <v>780.82950551405679</v>
      </c>
      <c r="H41" s="411">
        <f ca="1">'(2) Homes for non-HH earners'!H42</f>
        <v>6316.5595146260684</v>
      </c>
      <c r="I41" s="4">
        <f ca="1">'(2) Homes for non-HH earners'!I42</f>
        <v>88938.200800044797</v>
      </c>
      <c r="J41" s="411">
        <f t="shared" ca="1" si="36"/>
        <v>96035.58982018492</v>
      </c>
      <c r="K41" s="246"/>
      <c r="L41" s="411">
        <v>2230.9414443258765</v>
      </c>
      <c r="M41" s="411">
        <v>16242.581609038461</v>
      </c>
      <c r="N41" s="4">
        <v>228698.23062868664</v>
      </c>
      <c r="O41" s="429">
        <f t="shared" si="37"/>
        <v>247171.75368205097</v>
      </c>
      <c r="P41" s="420"/>
      <c r="Q41" s="280">
        <v>168.71165304428573</v>
      </c>
      <c r="R41" s="280">
        <v>123.61340571428573</v>
      </c>
      <c r="S41" s="2">
        <v>117.10285714285716</v>
      </c>
      <c r="T41" s="280">
        <f t="shared" ca="1" si="52"/>
        <v>117.95068801743848</v>
      </c>
      <c r="U41" s="445">
        <v>1</v>
      </c>
      <c r="V41" s="246"/>
      <c r="W41" s="411">
        <f t="shared" si="41"/>
        <v>131735.03662102873</v>
      </c>
      <c r="X41" s="411">
        <f t="shared" ca="1" si="42"/>
        <v>780811.43399990397</v>
      </c>
      <c r="Y41" s="4">
        <f t="shared" ca="1" si="43"/>
        <v>10414917.42283039</v>
      </c>
      <c r="Z41" s="411">
        <v>11327463.893451322</v>
      </c>
      <c r="AA41" s="132"/>
      <c r="AB41" s="132"/>
      <c r="AC41" s="132"/>
      <c r="AD41" s="132"/>
      <c r="AE41" s="132"/>
      <c r="AF41" s="281"/>
      <c r="AG41" s="411"/>
      <c r="AH41" s="411"/>
      <c r="AI41" s="411"/>
      <c r="AJ41" s="411"/>
      <c r="AK41" s="508"/>
      <c r="AL41" s="280">
        <f>AQ41/G41</f>
        <v>168.71165304428573</v>
      </c>
      <c r="AM41" s="280">
        <f ca="1">AR41/H41</f>
        <v>123.61340571428573</v>
      </c>
      <c r="AN41" s="2">
        <f ca="1">AS41/I41</f>
        <v>117.10285714285716</v>
      </c>
      <c r="AO41" s="280">
        <f t="shared" ca="1" si="54"/>
        <v>117.95068801743848</v>
      </c>
      <c r="AP41" s="423"/>
      <c r="AQ41" s="424">
        <f>W41+AG41</f>
        <v>131735.03662102873</v>
      </c>
      <c r="AR41" s="424">
        <f t="shared" ca="1" si="22"/>
        <v>780811.43399990397</v>
      </c>
      <c r="AS41" s="3">
        <f ca="1">Y41+AI41</f>
        <v>10414917.42283039</v>
      </c>
      <c r="AT41" s="424">
        <f t="shared" ca="1" si="16"/>
        <v>11327463.893451322</v>
      </c>
    </row>
    <row r="42" spans="1:49">
      <c r="A42" s="5">
        <v>45</v>
      </c>
      <c r="B42" s="16"/>
      <c r="C42" s="9" t="s">
        <v>528</v>
      </c>
      <c r="D42" s="8"/>
      <c r="E42" s="5"/>
      <c r="F42" s="5"/>
      <c r="G42" s="382"/>
      <c r="H42" s="382"/>
      <c r="I42" s="382"/>
      <c r="J42" s="382"/>
      <c r="K42" s="53"/>
      <c r="L42" s="413"/>
      <c r="M42" s="413"/>
      <c r="N42" s="413"/>
      <c r="O42" s="413"/>
      <c r="P42" s="326"/>
      <c r="Q42" s="257"/>
      <c r="R42" s="257"/>
      <c r="S42" s="257"/>
      <c r="T42" s="257"/>
      <c r="U42" s="194"/>
      <c r="V42" s="302"/>
      <c r="W42" s="333"/>
      <c r="X42" s="333"/>
      <c r="Y42" s="333"/>
      <c r="Z42" s="333"/>
      <c r="AA42" s="194"/>
      <c r="AE42" s="194"/>
      <c r="AG42" s="381" t="s">
        <v>117</v>
      </c>
      <c r="AK42" s="374"/>
      <c r="AL42" s="374"/>
      <c r="AM42" s="374"/>
      <c r="AN42" s="374"/>
      <c r="AO42" s="374"/>
      <c r="AP42" s="374"/>
      <c r="AQ42" s="374"/>
      <c r="AR42" s="374"/>
      <c r="AS42" s="374"/>
      <c r="AT42" s="374"/>
      <c r="AU42" s="374"/>
      <c r="AV42" s="374"/>
    </row>
    <row r="43" spans="1:49">
      <c r="A43" s="5"/>
      <c r="B43" s="26"/>
      <c r="C43" s="9"/>
      <c r="D43" s="42"/>
      <c r="E43" s="5"/>
      <c r="F43" s="5"/>
      <c r="G43" s="382"/>
      <c r="H43" s="382"/>
      <c r="I43" s="382"/>
      <c r="J43" s="382"/>
      <c r="K43" s="302"/>
      <c r="L43" s="413"/>
      <c r="M43" s="413"/>
      <c r="N43" s="413"/>
      <c r="O43" s="413"/>
      <c r="P43" s="326"/>
      <c r="Q43" s="302"/>
      <c r="R43" s="302"/>
      <c r="S43" s="302"/>
      <c r="T43" s="302"/>
      <c r="U43" s="194"/>
      <c r="V43" s="302"/>
      <c r="W43" s="333"/>
      <c r="X43" s="333"/>
      <c r="Y43" s="333"/>
      <c r="Z43" s="333"/>
      <c r="AA43" s="194"/>
      <c r="AB43" s="333"/>
      <c r="AC43" s="333"/>
      <c r="AD43" s="333"/>
      <c r="AG43" s="381" t="s">
        <v>216</v>
      </c>
      <c r="AK43" s="374"/>
      <c r="AL43" s="374"/>
      <c r="AM43" s="374"/>
      <c r="AN43" s="374"/>
      <c r="AO43" s="374"/>
      <c r="AP43" s="374"/>
      <c r="AQ43" s="430">
        <f ca="1">AQ46/1000000</f>
        <v>33.133501388271476</v>
      </c>
      <c r="AR43" s="430">
        <f t="shared" ref="AR43:AT43" ca="1" si="58">AR46/1000000</f>
        <v>36.691661699429041</v>
      </c>
      <c r="AS43" s="430">
        <f t="shared" ca="1" si="58"/>
        <v>94.282296100242363</v>
      </c>
      <c r="AT43" s="430">
        <f t="shared" ca="1" si="58"/>
        <v>164.10745918794285</v>
      </c>
      <c r="AU43" s="374"/>
      <c r="AV43" s="374"/>
    </row>
    <row r="44" spans="1:49">
      <c r="A44" s="5"/>
      <c r="B44" s="26"/>
      <c r="C44" s="9"/>
      <c r="D44" s="42"/>
      <c r="E44" s="5"/>
      <c r="F44" s="12" t="s">
        <v>80</v>
      </c>
      <c r="G44" s="382">
        <f ca="1">G46-G21-G22-SUM(G38:G41)</f>
        <v>95376.558591708759</v>
      </c>
      <c r="H44" s="382">
        <f ca="1">H46-H21-H22-SUM(H38:H41)</f>
        <v>117353.05005375562</v>
      </c>
      <c r="I44" s="382">
        <f ca="1">I46-I21-I22-SUM(I38:I41)</f>
        <v>139783.38148869621</v>
      </c>
      <c r="J44" s="382">
        <f ca="1">J46-J21-J22-SUM(J38:J41)</f>
        <v>352512.99013416062</v>
      </c>
      <c r="K44" s="302"/>
      <c r="L44" s="413"/>
      <c r="M44" s="413"/>
      <c r="N44" s="413"/>
      <c r="O44" s="413"/>
      <c r="P44" s="326"/>
      <c r="Q44" s="302"/>
      <c r="R44" s="302"/>
      <c r="S44" s="302"/>
      <c r="T44" s="302"/>
      <c r="U44" s="194"/>
      <c r="V44" s="302"/>
      <c r="W44" s="302"/>
      <c r="X44" s="302"/>
      <c r="Y44" s="302"/>
      <c r="Z44" s="302"/>
      <c r="AA44" s="194"/>
      <c r="AB44" s="312">
        <f ca="1">AG44/G44</f>
        <v>50.748600135796806</v>
      </c>
      <c r="AC44" s="333">
        <f ca="1">AH44/H44</f>
        <v>71.337315567933317</v>
      </c>
      <c r="AD44" s="333">
        <f ca="1">AI44/I44</f>
        <v>170.48043075890027</v>
      </c>
      <c r="AE44" s="333">
        <f t="shared" ref="AE44" ca="1" si="59">AJ42/J44</f>
        <v>0</v>
      </c>
      <c r="AF44" s="274" t="s">
        <v>213</v>
      </c>
      <c r="AG44" s="390">
        <f ca="1">AG11+AG24</f>
        <v>4840226.8342990233</v>
      </c>
      <c r="AH44" s="390">
        <f ca="1">AH11+AH24</f>
        <v>8371651.5645442382</v>
      </c>
      <c r="AI44" s="390">
        <f ca="1">AI11+AI24</f>
        <v>23830331.089128613</v>
      </c>
      <c r="AJ44" s="374">
        <f ca="1">SUM(AG44:AI44)</f>
        <v>37042209.487971872</v>
      </c>
      <c r="AK44" s="272"/>
      <c r="AQ44" s="210"/>
      <c r="AR44" s="210"/>
      <c r="AS44" s="210"/>
      <c r="AT44" s="210"/>
    </row>
    <row r="45" spans="1:49" s="5" customFormat="1" ht="16" thickBot="1">
      <c r="B45" s="58"/>
      <c r="C45" s="9"/>
      <c r="D45" s="42"/>
      <c r="F45" s="12" t="s">
        <v>10</v>
      </c>
      <c r="G45" s="382">
        <f ca="1">G46-G22-SUM(G39:G41)</f>
        <v>128988.89238495556</v>
      </c>
      <c r="H45" s="382">
        <f ca="1">H46-H22-SUM(H39:H41)</f>
        <v>124974.03451434188</v>
      </c>
      <c r="I45" s="382">
        <f ca="1">I46-I22-SUM(I39:I41)</f>
        <v>139783.38148869621</v>
      </c>
      <c r="J45" s="382">
        <f ca="1">G45+H45+I45</f>
        <v>393746.30838799366</v>
      </c>
      <c r="K45" s="152"/>
      <c r="L45" s="413">
        <f ca="1">L46-L22-SUM(L39:L41)</f>
        <v>185998.95840009412</v>
      </c>
      <c r="M45" s="413">
        <f ca="1">M46-M22-SUM(M39:M41)</f>
        <v>156875.325209926</v>
      </c>
      <c r="N45" s="413">
        <f ca="1">N46-N22-SUM(N39:N41)</f>
        <v>195938.17294964768</v>
      </c>
      <c r="O45" s="413">
        <f ca="1">L45+M45+N45</f>
        <v>538812.45655966783</v>
      </c>
      <c r="P45" s="326"/>
      <c r="Q45" s="269">
        <f t="shared" ref="Q45:T46" ca="1" si="60">W45/G45</f>
        <v>218.32530690554253</v>
      </c>
      <c r="R45" s="269">
        <f t="shared" ca="1" si="60"/>
        <v>218.15064983550201</v>
      </c>
      <c r="S45" s="269">
        <f t="shared" ca="1" si="60"/>
        <v>416.88944881044961</v>
      </c>
      <c r="T45" s="269">
        <f t="shared" ca="1" si="60"/>
        <v>288.76187737832743</v>
      </c>
      <c r="U45" s="55"/>
      <c r="W45" s="358">
        <f ca="1">W46-W22-SUM(W39:W41)</f>
        <v>28161539.517351419</v>
      </c>
      <c r="X45" s="358">
        <f ca="1">X46-X22-SUM(X39:X41)</f>
        <v>27263166.84186814</v>
      </c>
      <c r="Y45" s="358">
        <f ca="1">Y46-Y22-SUM(Y39:Y41)</f>
        <v>58274216.861683369</v>
      </c>
      <c r="Z45" s="151">
        <f ca="1">W45+X45+Y45</f>
        <v>113698923.22090292</v>
      </c>
      <c r="AA45" s="55"/>
      <c r="AB45" s="198">
        <f t="shared" ref="AB45:AD46" ca="1" si="61">AG44/G45</f>
        <v>37.524369306574158</v>
      </c>
      <c r="AC45" s="333">
        <f t="shared" ca="1" si="61"/>
        <v>66.987127342708277</v>
      </c>
      <c r="AD45" s="333">
        <f t="shared" ca="1" si="61"/>
        <v>170.48043075890027</v>
      </c>
      <c r="AE45" s="333">
        <f t="shared" ref="AE45" ca="1" si="62">AJ42/J45</f>
        <v>0</v>
      </c>
      <c r="AF45" s="131" t="s">
        <v>276</v>
      </c>
      <c r="AG45" s="390">
        <f ca="1">AG44</f>
        <v>4840226.8342990233</v>
      </c>
      <c r="AH45" s="390">
        <f t="shared" ref="AH45:AI45" ca="1" si="63">AH44</f>
        <v>8371651.5645442382</v>
      </c>
      <c r="AI45" s="390">
        <f t="shared" ca="1" si="63"/>
        <v>23830331.089128613</v>
      </c>
      <c r="AJ45" s="374">
        <f t="shared" ref="AJ45:AJ46" ca="1" si="64">SUM(AG45:AI45)</f>
        <v>37042209.487971872</v>
      </c>
      <c r="AK45" s="203"/>
      <c r="AL45" s="211">
        <f t="shared" ref="AL45:AO46" ca="1" si="65">AQ45/G45</f>
        <v>255.84967621211669</v>
      </c>
      <c r="AM45" s="211">
        <f t="shared" ca="1" si="65"/>
        <v>285.13777717821029</v>
      </c>
      <c r="AN45" s="211">
        <f t="shared" ca="1" si="65"/>
        <v>587.36987956934979</v>
      </c>
      <c r="AO45" s="211">
        <f t="shared" ca="1" si="65"/>
        <v>382.83821206099026</v>
      </c>
      <c r="AP45" s="12" t="s">
        <v>207</v>
      </c>
      <c r="AQ45" s="209">
        <f ca="1">AQ46-AQ22-SUM(AQ39:AQ41)</f>
        <v>33001766.351650443</v>
      </c>
      <c r="AR45" s="255">
        <f ca="1">AR46-AR22-SUM(AR39:AR41)</f>
        <v>35634818.406412378</v>
      </c>
      <c r="AS45" s="255">
        <f ca="1">AS46-AS22-SUM(AS39:AS41)</f>
        <v>82104547.950811967</v>
      </c>
      <c r="AT45" s="209">
        <f t="shared" ca="1" si="16"/>
        <v>150741132.70887479</v>
      </c>
      <c r="AU45" s="381" t="s">
        <v>215</v>
      </c>
      <c r="AV45" s="194"/>
      <c r="AW45"/>
    </row>
    <row r="46" spans="1:49" s="5" customFormat="1" ht="16" thickBot="1">
      <c r="B46" s="58"/>
      <c r="C46" s="9"/>
      <c r="D46" s="42"/>
      <c r="F46" s="12" t="s">
        <v>412</v>
      </c>
      <c r="G46" s="382">
        <f ca="1">G11+G24</f>
        <v>129769.72189046962</v>
      </c>
      <c r="H46" s="382">
        <f ca="1">H11+H24</f>
        <v>132277.22652896796</v>
      </c>
      <c r="I46" s="382">
        <f ca="1">I11+I24</f>
        <v>240221.58228874099</v>
      </c>
      <c r="J46" s="382">
        <f ca="1">J11+J24</f>
        <v>502268.53070817859</v>
      </c>
      <c r="K46" s="152"/>
      <c r="L46" s="413">
        <f ca="1">L11+L24</f>
        <v>188229.89984442</v>
      </c>
      <c r="M46" s="413">
        <f ca="1">M11+M24</f>
        <v>175654.96181896445</v>
      </c>
      <c r="N46" s="413">
        <f ca="1">N11+N24</f>
        <v>436136.40357833431</v>
      </c>
      <c r="O46" s="379">
        <f ca="1">L46+M46+N46</f>
        <v>800021.26524171885</v>
      </c>
      <c r="P46" s="326"/>
      <c r="Q46" s="269">
        <f t="shared" ca="1" si="60"/>
        <v>218.02677960466775</v>
      </c>
      <c r="R46" s="269">
        <f t="shared" ca="1" si="60"/>
        <v>214.09588693396805</v>
      </c>
      <c r="S46" s="269">
        <f t="shared" ca="1" si="60"/>
        <v>293.2790815041426</v>
      </c>
      <c r="T46" s="269">
        <f t="shared" ca="1" si="60"/>
        <v>252.98270134665631</v>
      </c>
      <c r="U46" s="55"/>
      <c r="W46" s="358">
        <f ca="1">W11+W24</f>
        <v>28293274.553972449</v>
      </c>
      <c r="X46" s="358">
        <f ca="1">X11+X24</f>
        <v>28320010.134884804</v>
      </c>
      <c r="Y46" s="358">
        <f ca="1">Y11+Y24</f>
        <v>70451965.011113763</v>
      </c>
      <c r="Z46" s="150">
        <f ca="1">W46+X46+Y46</f>
        <v>127065249.69997102</v>
      </c>
      <c r="AA46" s="55"/>
      <c r="AB46" s="203">
        <f t="shared" ca="1" si="61"/>
        <v>37.298583704944299</v>
      </c>
      <c r="AC46" s="333">
        <f t="shared" ca="1" si="61"/>
        <v>63.288683806134188</v>
      </c>
      <c r="AD46" s="333">
        <f t="shared" ca="1" si="61"/>
        <v>99.20145751302681</v>
      </c>
      <c r="AE46" s="333">
        <f t="shared" ref="AE46" ca="1" si="66">AJ43/J46</f>
        <v>0</v>
      </c>
      <c r="AF46" s="131" t="s">
        <v>277</v>
      </c>
      <c r="AG46" s="390">
        <f ca="1">AG44</f>
        <v>4840226.8342990233</v>
      </c>
      <c r="AH46" s="390">
        <f t="shared" ref="AH46:AI46" ca="1" si="67">AH44</f>
        <v>8371651.5645442382</v>
      </c>
      <c r="AI46" s="390">
        <f t="shared" ca="1" si="67"/>
        <v>23830331.089128613</v>
      </c>
      <c r="AJ46" s="379">
        <f t="shared" ca="1" si="64"/>
        <v>37042209.487971872</v>
      </c>
      <c r="AK46" s="203"/>
      <c r="AL46" s="211">
        <f t="shared" ca="1" si="65"/>
        <v>255.32536330961207</v>
      </c>
      <c r="AM46" s="211">
        <f t="shared" ca="1" si="65"/>
        <v>277.38457074010222</v>
      </c>
      <c r="AN46" s="211">
        <f t="shared" ca="1" si="65"/>
        <v>392.48053901716935</v>
      </c>
      <c r="AO46" s="211">
        <f t="shared" ca="1" si="65"/>
        <v>326.73251289814613</v>
      </c>
      <c r="AP46" s="12" t="s">
        <v>217</v>
      </c>
      <c r="AQ46" s="209">
        <f ca="1">AQ11+AQ24</f>
        <v>33133501.388271473</v>
      </c>
      <c r="AR46" s="255">
        <f ca="1">AR11+AR24</f>
        <v>36691661.699429043</v>
      </c>
      <c r="AS46" s="255">
        <f ca="1">AS11+AS24</f>
        <v>94282296.100242361</v>
      </c>
      <c r="AT46" s="276">
        <f t="shared" ca="1" si="16"/>
        <v>164107459.18794286</v>
      </c>
      <c r="AU46" s="381" t="s">
        <v>214</v>
      </c>
      <c r="AV46" s="333"/>
      <c r="AW46"/>
    </row>
    <row r="47" spans="1:49">
      <c r="A47" s="5"/>
      <c r="B47" s="58"/>
      <c r="C47" s="9"/>
      <c r="D47" s="42"/>
      <c r="F47" s="131" t="s">
        <v>313</v>
      </c>
      <c r="G47" s="383">
        <f ca="1">G46-'(2) Homes for non-HH earners'!G46</f>
        <v>0</v>
      </c>
      <c r="H47" s="383">
        <f ca="1">H46-'(2) Homes for non-HH earners'!H46</f>
        <v>2.9688817448914051E-6</v>
      </c>
      <c r="I47" s="383">
        <f ca="1">I46-'(2) Homes for non-HH earners'!I46</f>
        <v>0</v>
      </c>
      <c r="J47" s="383">
        <f ca="1">J46-'(2) Homes for non-HH earners'!J46</f>
        <v>2.9687653295695782E-6</v>
      </c>
      <c r="K47" s="35"/>
      <c r="L47" s="418">
        <f ca="1">L46-'(2) Homes for non-HH earners'!BN46</f>
        <v>0</v>
      </c>
      <c r="M47" s="418">
        <f ca="1">M46-'(2) Homes for non-HH earners'!BO46</f>
        <v>0</v>
      </c>
      <c r="N47" s="418">
        <f ca="1">N46-'(2) Homes for non-HH earners'!BP46</f>
        <v>0</v>
      </c>
      <c r="O47" s="418">
        <f ca="1">O46-'(2) Homes for non-HH earners'!BQ46</f>
        <v>0</v>
      </c>
      <c r="P47" s="326"/>
      <c r="Q47" s="233" t="s">
        <v>59</v>
      </c>
      <c r="R47" s="35"/>
      <c r="S47" s="35"/>
      <c r="T47" s="46"/>
      <c r="U47" s="55"/>
      <c r="V47" s="5"/>
      <c r="W47" s="358"/>
      <c r="X47" s="358"/>
      <c r="Y47" s="358"/>
      <c r="Z47" s="257"/>
      <c r="AA47" s="247"/>
      <c r="AS47" s="443" t="s">
        <v>653</v>
      </c>
      <c r="AT47" s="354">
        <v>164107459.18794289</v>
      </c>
      <c r="AU47" s="444" t="s">
        <v>656</v>
      </c>
    </row>
    <row r="48" spans="1:49">
      <c r="A48" s="5"/>
      <c r="B48" s="58"/>
      <c r="C48" s="9"/>
      <c r="D48" s="42"/>
      <c r="G48" s="389" t="s">
        <v>197</v>
      </c>
      <c r="H48" s="384">
        <v>21307.4327470311</v>
      </c>
      <c r="K48" s="35"/>
      <c r="L48" s="389" t="s">
        <v>359</v>
      </c>
      <c r="M48" s="384">
        <f>41284.45*H48/H$50</f>
        <v>27460.926898532911</v>
      </c>
      <c r="P48" s="326"/>
      <c r="Q48" s="35"/>
      <c r="R48" s="35"/>
      <c r="S48" s="35"/>
      <c r="T48" s="142"/>
      <c r="U48" s="55"/>
      <c r="V48" s="5"/>
      <c r="W48" s="359">
        <v>31223842.345073033</v>
      </c>
      <c r="X48" s="359">
        <v>29909783.738345496</v>
      </c>
      <c r="Y48" s="360">
        <v>74983211.955967098</v>
      </c>
      <c r="Z48" s="149">
        <v>136116838.03938562</v>
      </c>
      <c r="AA48" s="247" t="s">
        <v>649</v>
      </c>
      <c r="AE48" s="312"/>
      <c r="AF48" s="312"/>
      <c r="AG48" s="380" t="s">
        <v>272</v>
      </c>
      <c r="AT48" s="210"/>
    </row>
    <row r="49" spans="1:40">
      <c r="A49" s="5"/>
      <c r="B49" s="58"/>
      <c r="C49" s="9"/>
      <c r="D49" s="42"/>
      <c r="G49" s="389" t="s">
        <v>198</v>
      </c>
      <c r="H49" s="384">
        <v>10725.923050589983</v>
      </c>
      <c r="K49" s="35"/>
      <c r="L49" s="389" t="s">
        <v>360</v>
      </c>
      <c r="M49" s="384">
        <f>41284.45*H49/H$50</f>
        <v>13823.523101467084</v>
      </c>
      <c r="P49" s="326"/>
      <c r="Q49" s="35"/>
      <c r="R49" s="35"/>
      <c r="S49" s="35"/>
      <c r="T49" s="142"/>
      <c r="U49" s="55"/>
      <c r="V49" s="5"/>
      <c r="W49" s="273">
        <f ca="1">100*(W46-W48)/W48</f>
        <v>-9.3856731619163245</v>
      </c>
      <c r="X49" s="273">
        <f ca="1">100*(X46-X48)/X48</f>
        <v>-5.3152293489255182</v>
      </c>
      <c r="Y49" s="273">
        <f ca="1">100*(Y46-Y48)/Y48</f>
        <v>-6.0430152652226345</v>
      </c>
      <c r="Z49" s="273">
        <f ca="1">100*(Z46-Z48)/Z48</f>
        <v>-6.6498667393342661</v>
      </c>
      <c r="AA49" s="440" t="s">
        <v>648</v>
      </c>
      <c r="AE49" s="312"/>
      <c r="AF49" s="12" t="s">
        <v>10</v>
      </c>
      <c r="AG49" s="374">
        <f ca="1">100*AG45/AQ45</f>
        <v>14.666569003379905</v>
      </c>
      <c r="AH49" s="374">
        <f t="shared" ref="AH49:AJ50" ca="1" si="68">100*AH45/AR45</f>
        <v>23.492898066902409</v>
      </c>
      <c r="AI49" s="374">
        <f t="shared" ca="1" si="68"/>
        <v>29.024374025425647</v>
      </c>
      <c r="AJ49" s="434">
        <f t="shared" ca="1" si="68"/>
        <v>24.573392027981647</v>
      </c>
    </row>
    <row r="50" spans="1:40">
      <c r="A50" s="5"/>
      <c r="G50" s="389" t="s">
        <v>358</v>
      </c>
      <c r="H50" s="384">
        <f>H48+H49</f>
        <v>32033.355797621083</v>
      </c>
      <c r="K50" s="35"/>
      <c r="L50" s="389" t="s">
        <v>361</v>
      </c>
      <c r="M50" s="384">
        <f>M48+M49</f>
        <v>41284.449999999997</v>
      </c>
      <c r="N50" s="384">
        <v>128140.17808232605</v>
      </c>
      <c r="P50" s="326"/>
      <c r="Q50" s="35"/>
      <c r="R50" s="272"/>
      <c r="S50" s="35"/>
      <c r="T50" s="56"/>
      <c r="U50" s="55"/>
      <c r="V50" s="5"/>
      <c r="W50" s="57"/>
      <c r="X50" s="57"/>
      <c r="Y50" s="57"/>
      <c r="Z50" s="57"/>
      <c r="AA50" s="441" t="s">
        <v>646</v>
      </c>
      <c r="AF50" s="12" t="s">
        <v>412</v>
      </c>
      <c r="AG50" s="374">
        <f t="shared" ref="AG50" ca="1" si="69">100*AG46/AQ46</f>
        <v>14.608256391557688</v>
      </c>
      <c r="AH50" s="374">
        <f t="shared" ca="1" si="68"/>
        <v>22.816223569058224</v>
      </c>
      <c r="AI50" s="434">
        <f t="shared" ca="1" si="68"/>
        <v>25.275509904629228</v>
      </c>
      <c r="AJ50" s="434">
        <f t="shared" ca="1" si="68"/>
        <v>22.571923099211205</v>
      </c>
    </row>
    <row r="51" spans="1:40">
      <c r="A51" s="5"/>
      <c r="K51" s="271" t="s">
        <v>732</v>
      </c>
      <c r="L51" s="384">
        <f ca="1">L45/G45</f>
        <v>1.4419765528724537</v>
      </c>
      <c r="M51" s="384">
        <f t="shared" ref="M51:O51" ca="1" si="70">M45/H45</f>
        <v>1.2552633498594714</v>
      </c>
      <c r="N51" s="384">
        <f t="shared" ca="1" si="70"/>
        <v>1.4017272358337711</v>
      </c>
      <c r="O51" s="384">
        <f t="shared" ca="1" si="70"/>
        <v>1.3684254177914157</v>
      </c>
      <c r="P51" s="326"/>
      <c r="Q51" s="35"/>
      <c r="R51" s="35"/>
      <c r="S51" s="35"/>
      <c r="T51" s="269"/>
      <c r="U51" s="55"/>
      <c r="V51" s="5"/>
      <c r="W51" s="257"/>
      <c r="X51" s="257"/>
      <c r="Y51" s="257"/>
      <c r="Z51" s="257"/>
      <c r="AA51" s="442" t="s">
        <v>647</v>
      </c>
      <c r="AB51" s="7" t="s">
        <v>118</v>
      </c>
      <c r="AC51" s="269"/>
      <c r="AD51" s="269"/>
      <c r="AE51" s="269"/>
      <c r="AJ51" s="435">
        <f>(1-0.576)*0.371*0.241</f>
        <v>3.7910264000000006E-2</v>
      </c>
      <c r="AL51" t="s">
        <v>82</v>
      </c>
      <c r="AN51" s="99" t="s">
        <v>91</v>
      </c>
    </row>
    <row r="52" spans="1:40">
      <c r="A52" s="7" t="s">
        <v>453</v>
      </c>
      <c r="K52" s="271" t="s">
        <v>733</v>
      </c>
      <c r="L52" s="384">
        <f ca="1">L46/G46</f>
        <v>1.4504916640207715</v>
      </c>
      <c r="M52" s="384">
        <f t="shared" ref="M52" ca="1" si="71">M46/H46</f>
        <v>1.3279304868135937</v>
      </c>
      <c r="N52" s="384">
        <f t="shared" ref="N52" ca="1" si="72">N46/I46</f>
        <v>1.8155587829494357</v>
      </c>
      <c r="O52" s="384">
        <f t="shared" ref="O52" ca="1" si="73">O46/J46</f>
        <v>1.5928158272502575</v>
      </c>
      <c r="P52" s="326"/>
      <c r="Q52" s="35"/>
      <c r="R52" s="35"/>
      <c r="S52" s="35"/>
      <c r="T52" s="56"/>
      <c r="U52" s="55"/>
      <c r="V52" s="5"/>
      <c r="W52" s="57"/>
      <c r="X52" s="57"/>
      <c r="Y52" s="57"/>
      <c r="Z52" s="57"/>
      <c r="AA52" s="55"/>
      <c r="AB52" s="5" t="s">
        <v>81</v>
      </c>
      <c r="AL52" t="s">
        <v>90</v>
      </c>
      <c r="AN52" s="99" t="s">
        <v>92</v>
      </c>
    </row>
    <row r="53" spans="1:40">
      <c r="A53" s="432" t="s">
        <v>564</v>
      </c>
      <c r="K53" s="271" t="s">
        <v>734</v>
      </c>
      <c r="L53" s="384">
        <f ca="1">(L46-L45)/(G46-G45)</f>
        <v>2.8571428571428306</v>
      </c>
      <c r="M53" s="384">
        <f t="shared" ref="M53:O53" ca="1" si="74">(M46-M45)/(H46-H45)</f>
        <v>2.5714285714285658</v>
      </c>
      <c r="N53" s="384">
        <f t="shared" ca="1" si="74"/>
        <v>2.3915027222249838</v>
      </c>
      <c r="O53" s="384">
        <f t="shared" ca="1" si="74"/>
        <v>2.406961478464551</v>
      </c>
      <c r="P53" s="326"/>
      <c r="Q53" s="315"/>
      <c r="R53" s="315"/>
      <c r="S53" s="315"/>
      <c r="T53" s="432"/>
      <c r="U53" s="55"/>
      <c r="V53" s="5"/>
      <c r="W53" s="302"/>
      <c r="X53" s="302"/>
      <c r="Y53" s="302"/>
      <c r="Z53" s="302"/>
      <c r="AA53" s="55"/>
      <c r="AB53" s="5"/>
      <c r="AC53" s="432"/>
      <c r="AD53" s="432"/>
      <c r="AE53" s="432"/>
      <c r="AG53" s="413"/>
      <c r="AH53" s="413"/>
      <c r="AI53" s="413"/>
      <c r="AJ53" s="413"/>
      <c r="AK53" s="272"/>
      <c r="AN53" s="99"/>
    </row>
    <row r="54" spans="1:40">
      <c r="A54" s="5" t="s">
        <v>383</v>
      </c>
      <c r="K54" s="35"/>
      <c r="P54" s="326"/>
      <c r="Q54" s="35"/>
      <c r="R54" s="35"/>
      <c r="S54" s="35"/>
      <c r="T54" s="46"/>
      <c r="U54" s="55"/>
      <c r="V54" s="5"/>
      <c r="W54" s="53"/>
      <c r="X54" s="53"/>
      <c r="Y54" s="53"/>
      <c r="Z54" s="53"/>
      <c r="AA54" s="55"/>
      <c r="AB54" s="5" t="s">
        <v>435</v>
      </c>
      <c r="AK54" s="131" t="s">
        <v>276</v>
      </c>
      <c r="AL54" s="357">
        <f ca="1">(AQ45+AR45)/(G45+H45)</f>
        <v>270.26222132523662</v>
      </c>
      <c r="AN54" s="357">
        <f ca="1">AN45/AL54</f>
        <v>2.1733332786549631</v>
      </c>
    </row>
    <row r="55" spans="1:40">
      <c r="A55" s="5" t="s">
        <v>522</v>
      </c>
      <c r="P55" s="326"/>
      <c r="T55" s="46"/>
      <c r="U55" s="55"/>
      <c r="V55" s="5"/>
      <c r="W55" s="53"/>
      <c r="X55" s="53"/>
      <c r="Y55" s="53"/>
      <c r="Z55" s="53"/>
      <c r="AA55" s="55"/>
      <c r="AB55" s="5" t="s">
        <v>483</v>
      </c>
      <c r="AK55" s="131" t="s">
        <v>277</v>
      </c>
      <c r="AL55" s="357">
        <f ca="1">(AQ46+AR46)/(G46+H46)</f>
        <v>266.46050835111032</v>
      </c>
      <c r="AN55" s="357">
        <f ca="1">AN46/AL55</f>
        <v>1.4729407424983392</v>
      </c>
    </row>
    <row r="56" spans="1:40">
      <c r="A56" s="7"/>
      <c r="B56" s="5" t="s">
        <v>724</v>
      </c>
      <c r="P56" s="326"/>
      <c r="T56" s="46"/>
      <c r="U56" s="55"/>
      <c r="V56" s="5"/>
      <c r="W56" s="53"/>
      <c r="X56" s="53"/>
      <c r="Y56" s="53"/>
      <c r="Z56" s="53"/>
      <c r="AA56" s="55"/>
      <c r="AB56" s="55"/>
      <c r="AC56" s="55"/>
    </row>
    <row r="57" spans="1:40">
      <c r="A57" s="5" t="s">
        <v>357</v>
      </c>
      <c r="Q57" s="146"/>
      <c r="R57" s="146"/>
      <c r="S57" s="146"/>
      <c r="T57" s="147"/>
      <c r="U57" s="55"/>
      <c r="V57" s="143"/>
      <c r="W57" s="145">
        <v>19880544.116541695</v>
      </c>
      <c r="X57" s="145">
        <v>8526527.368562635</v>
      </c>
      <c r="Y57" s="145">
        <v>38186840.583154976</v>
      </c>
      <c r="Z57" s="145">
        <v>66593912.068259306</v>
      </c>
      <c r="AA57" s="55"/>
      <c r="AB57" s="55"/>
      <c r="AC57" s="55"/>
    </row>
    <row r="58" spans="1:40">
      <c r="A58" s="7"/>
      <c r="B58" s="5" t="s">
        <v>520</v>
      </c>
      <c r="T58" s="46"/>
      <c r="U58" s="55"/>
      <c r="V58" s="5"/>
      <c r="W58" s="53"/>
      <c r="X58" s="139" t="s">
        <v>369</v>
      </c>
      <c r="Y58" s="53"/>
      <c r="Z58" s="53"/>
      <c r="AA58" s="55"/>
      <c r="AB58" s="55"/>
      <c r="AC58" s="55"/>
    </row>
    <row r="59" spans="1:40">
      <c r="S59" s="163"/>
      <c r="T59" s="46"/>
      <c r="U59" s="55"/>
      <c r="V59" s="5"/>
      <c r="W59" s="53"/>
      <c r="X59" s="53">
        <v>2824095.2187264785</v>
      </c>
      <c r="Y59" s="53"/>
      <c r="Z59" s="53"/>
      <c r="AA59" s="55"/>
      <c r="AB59" s="55"/>
      <c r="AC59" s="55"/>
      <c r="AN59" t="s">
        <v>493</v>
      </c>
    </row>
    <row r="60" spans="1:40">
      <c r="A60" s="143" t="s">
        <v>482</v>
      </c>
      <c r="B60" s="144"/>
      <c r="C60" s="144"/>
      <c r="D60" s="144"/>
      <c r="S60" s="163"/>
      <c r="T60" s="46"/>
      <c r="U60" s="55"/>
      <c r="V60" s="5"/>
      <c r="W60" s="53"/>
      <c r="X60" s="53"/>
      <c r="Y60" s="53"/>
      <c r="Z60" s="53"/>
      <c r="AA60" s="55"/>
      <c r="AB60" s="55"/>
      <c r="AC60" s="55"/>
    </row>
    <row r="61" spans="1:40">
      <c r="S61" s="163"/>
      <c r="T61" s="46"/>
      <c r="U61" s="55"/>
      <c r="V61" s="5"/>
      <c r="W61" s="53"/>
      <c r="X61" s="53"/>
      <c r="Y61" s="53"/>
      <c r="Z61" s="53"/>
      <c r="AA61" s="55"/>
    </row>
    <row r="62" spans="1:40">
      <c r="S62" s="163"/>
      <c r="T62" s="46"/>
      <c r="U62" s="55"/>
      <c r="V62" s="5"/>
      <c r="W62" s="53"/>
      <c r="X62" s="53"/>
      <c r="Y62" s="53"/>
      <c r="Z62" s="53"/>
      <c r="AA62" s="55"/>
    </row>
    <row r="63" spans="1:40">
      <c r="F63" s="270" t="s">
        <v>487</v>
      </c>
      <c r="G63" s="384">
        <f ca="1">100*(G16+SUM(G29:G32))/G45</f>
        <v>43.90112897152494</v>
      </c>
      <c r="S63" s="163"/>
      <c r="T63" s="46"/>
      <c r="U63" s="55"/>
      <c r="V63" s="5"/>
      <c r="W63" s="53"/>
      <c r="X63" s="53"/>
      <c r="Y63" s="53"/>
      <c r="Z63" s="53"/>
      <c r="AA63" s="55"/>
    </row>
    <row r="64" spans="1:40">
      <c r="F64" s="270" t="s">
        <v>626</v>
      </c>
      <c r="G64" s="384">
        <f ca="1">100*(SUM(G12:G15)+SUM(G25:G28))/G45</f>
        <v>11.016326021911855</v>
      </c>
      <c r="T64" s="46"/>
      <c r="U64" s="55"/>
      <c r="V64" s="5"/>
      <c r="W64" s="53"/>
      <c r="X64" s="53"/>
      <c r="Y64" s="53"/>
      <c r="Z64" s="53"/>
      <c r="AA64" s="55"/>
    </row>
    <row r="65" spans="6:27">
      <c r="F65" s="270" t="s">
        <v>627</v>
      </c>
      <c r="G65" s="384">
        <f ca="1">100*(G19+G20+G36+G37)/G45</f>
        <v>16.725408283070013</v>
      </c>
      <c r="T65" s="46"/>
      <c r="U65" s="55"/>
      <c r="V65" s="5"/>
      <c r="W65" s="53"/>
      <c r="X65" s="53"/>
      <c r="Y65" s="53"/>
      <c r="Z65" s="53"/>
      <c r="AA65" s="55"/>
    </row>
    <row r="66" spans="6:27">
      <c r="F66" s="270" t="s">
        <v>628</v>
      </c>
      <c r="G66" s="384">
        <f ca="1">100*(G17+G18+G21+G34+G35+G38)/G45</f>
        <v>28.357136723493191</v>
      </c>
      <c r="T66" s="46"/>
      <c r="U66" s="55"/>
      <c r="V66" s="5"/>
      <c r="W66" s="53"/>
      <c r="X66" s="53"/>
      <c r="Y66" s="53"/>
      <c r="Z66" s="53"/>
      <c r="AA66" s="55"/>
    </row>
    <row r="67" spans="6:27">
      <c r="T67" s="46"/>
      <c r="U67" s="55"/>
      <c r="V67" s="5"/>
      <c r="W67" s="53"/>
      <c r="X67" s="53"/>
      <c r="Y67" s="53"/>
      <c r="Z67" s="53"/>
      <c r="AA67" s="55"/>
    </row>
    <row r="68" spans="6:27">
      <c r="T68" s="46"/>
      <c r="U68" s="55"/>
      <c r="V68" s="5"/>
      <c r="W68" s="53"/>
      <c r="X68" s="53"/>
      <c r="Y68" s="53"/>
      <c r="Z68" s="53"/>
      <c r="AA68" s="55"/>
    </row>
    <row r="69" spans="6:27">
      <c r="T69" s="46"/>
      <c r="U69" s="55"/>
      <c r="V69" s="5"/>
      <c r="W69" s="53"/>
      <c r="X69" s="53"/>
      <c r="Y69" s="53"/>
      <c r="Z69" s="53"/>
      <c r="AA69" s="55"/>
    </row>
    <row r="70" spans="6:27">
      <c r="T70" s="46"/>
      <c r="U70" s="55"/>
      <c r="V70" s="5"/>
      <c r="W70" s="53"/>
      <c r="X70" s="53"/>
      <c r="Y70" s="53"/>
      <c r="Z70" s="53"/>
      <c r="AA70" s="55"/>
    </row>
    <row r="71" spans="6:27">
      <c r="T71" s="46"/>
      <c r="U71" s="55"/>
      <c r="V71" s="5"/>
      <c r="W71" s="53"/>
      <c r="X71" s="53"/>
      <c r="Y71" s="53"/>
      <c r="Z71" s="53"/>
      <c r="AA71" s="55"/>
    </row>
    <row r="72" spans="6:27">
      <c r="T72" s="46"/>
      <c r="U72" s="55"/>
      <c r="V72" s="5"/>
      <c r="W72" s="53"/>
      <c r="X72" s="53"/>
      <c r="Y72" s="53"/>
      <c r="Z72" s="53"/>
      <c r="AA72" s="55"/>
    </row>
    <row r="73" spans="6:27">
      <c r="T73" s="46"/>
      <c r="U73" s="55"/>
      <c r="V73" s="5"/>
      <c r="W73" s="53"/>
      <c r="X73" s="53"/>
      <c r="Y73" s="53"/>
      <c r="Z73" s="53"/>
      <c r="AA73" s="55"/>
    </row>
    <row r="74" spans="6:27">
      <c r="T74" s="46"/>
      <c r="U74" s="55"/>
      <c r="V74" s="5"/>
      <c r="W74" s="53"/>
      <c r="X74" s="53"/>
      <c r="Y74" s="53"/>
      <c r="Z74" s="53"/>
      <c r="AA74" s="55"/>
    </row>
    <row r="75" spans="6:27">
      <c r="T75" s="46"/>
      <c r="U75" s="55"/>
      <c r="V75" s="5"/>
      <c r="W75" s="53"/>
      <c r="X75" s="53"/>
      <c r="Y75" s="53"/>
      <c r="Z75" s="53"/>
      <c r="AA75" s="55"/>
    </row>
    <row r="76" spans="6:27">
      <c r="T76" s="46"/>
      <c r="U76" s="55"/>
      <c r="V76" s="5"/>
      <c r="W76" s="53"/>
      <c r="X76" s="53"/>
      <c r="Y76" s="53"/>
      <c r="Z76" s="53"/>
      <c r="AA76" s="55"/>
    </row>
    <row r="77" spans="6:27">
      <c r="T77" s="46"/>
      <c r="U77" s="55"/>
      <c r="V77" s="5"/>
      <c r="W77" s="53"/>
      <c r="X77" s="53"/>
      <c r="Y77" s="53"/>
      <c r="Z77" s="53"/>
      <c r="AA77" s="55"/>
    </row>
    <row r="78" spans="6:27">
      <c r="T78" s="46"/>
      <c r="U78" s="55"/>
      <c r="V78" s="5"/>
      <c r="W78" s="53"/>
      <c r="X78" s="53"/>
      <c r="Y78" s="53"/>
      <c r="Z78" s="53"/>
      <c r="AA78" s="55"/>
    </row>
    <row r="79" spans="6:27">
      <c r="T79" s="46"/>
      <c r="U79" s="55"/>
      <c r="V79" s="5"/>
      <c r="W79" s="53"/>
      <c r="X79" s="53"/>
      <c r="Y79" s="53"/>
      <c r="Z79" s="53"/>
      <c r="AA79" s="55"/>
    </row>
  </sheetData>
  <phoneticPr fontId="20" type="noConversion"/>
  <pageMargins left="0.75" right="0.75" top="1" bottom="1" header="0.5" footer="0.5"/>
  <ignoredErrors>
    <ignoredError sqref="G24" emptyCellReference="1"/>
  </ignoredError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V49"/>
  <sheetViews>
    <sheetView workbookViewId="0">
      <pane xSplit="11320" ySplit="3440" topLeftCell="M31"/>
      <selection activeCell="D2" sqref="D2"/>
      <selection pane="topRight" activeCell="O8" sqref="O8"/>
      <selection pane="bottomLeft" activeCell="A17" sqref="A17"/>
      <selection pane="bottomRight" activeCell="Q37" sqref="Q37:S47"/>
    </sheetView>
  </sheetViews>
  <sheetFormatPr baseColWidth="10" defaultRowHeight="15"/>
  <cols>
    <col min="1" max="1" width="10.1640625" style="5" customWidth="1"/>
    <col min="2" max="2" width="12.5" style="87" customWidth="1"/>
    <col min="3" max="4" width="10.83203125" style="5"/>
    <col min="5" max="5" width="14.33203125" style="5" customWidth="1"/>
    <col min="6" max="6" width="12.83203125" style="413" customWidth="1"/>
    <col min="7" max="7" width="12.33203125" style="413" customWidth="1"/>
    <col min="8" max="8" width="10.83203125" style="175"/>
    <col min="9" max="9" width="14.1640625" style="209" customWidth="1"/>
    <col min="10" max="10" width="4.83203125" style="175" customWidth="1"/>
    <col min="11" max="11" width="11.83203125" style="175" bestFit="1" customWidth="1"/>
    <col min="12" max="12" width="13.6640625" style="399" customWidth="1"/>
    <col min="13" max="13" width="4.83203125" style="217" customWidth="1"/>
    <col min="14" max="14" width="13.33203125" style="175" customWidth="1"/>
    <col min="15" max="15" width="15" style="209" customWidth="1"/>
    <col min="16" max="16" width="4.33203125" style="5" customWidth="1"/>
    <col min="17" max="17" width="12.6640625" style="214" customWidth="1"/>
    <col min="18" max="18" width="13" style="219" customWidth="1"/>
    <col min="19" max="19" width="12.83203125" style="5" customWidth="1"/>
    <col min="20" max="20" width="4.83203125" style="5" customWidth="1"/>
    <col min="21" max="21" width="13.6640625" style="5" customWidth="1"/>
    <col min="22" max="22" width="16.33203125" style="5" customWidth="1"/>
    <col min="23" max="23" width="12" style="5" customWidth="1"/>
    <col min="24" max="16384" width="10.83203125" style="5"/>
  </cols>
  <sheetData>
    <row r="1" spans="1:22" ht="17">
      <c r="A1" s="5" t="s">
        <v>670</v>
      </c>
      <c r="C1" s="38" t="s">
        <v>270</v>
      </c>
    </row>
    <row r="2" spans="1:22" ht="17">
      <c r="A2" s="220" t="s">
        <v>665</v>
      </c>
      <c r="C2" s="39"/>
      <c r="D2" s="5" t="s">
        <v>719</v>
      </c>
      <c r="R2" s="5"/>
      <c r="S2" s="160" t="s">
        <v>476</v>
      </c>
    </row>
    <row r="3" spans="1:22">
      <c r="A3" s="220" t="s">
        <v>666</v>
      </c>
      <c r="R3" s="5"/>
      <c r="S3" s="160" t="s">
        <v>479</v>
      </c>
    </row>
    <row r="4" spans="1:22">
      <c r="B4" s="218"/>
      <c r="C4" s="47"/>
      <c r="H4" s="456" t="s">
        <v>660</v>
      </c>
      <c r="I4" s="456" t="s">
        <v>660</v>
      </c>
      <c r="K4" s="51" t="s">
        <v>472</v>
      </c>
      <c r="N4" s="212" t="s">
        <v>463</v>
      </c>
      <c r="Q4" s="168" t="s">
        <v>637</v>
      </c>
      <c r="R4" s="5"/>
    </row>
    <row r="5" spans="1:22">
      <c r="G5" s="457" t="s">
        <v>210</v>
      </c>
      <c r="H5" s="181" t="s">
        <v>542</v>
      </c>
      <c r="K5" s="51" t="s">
        <v>477</v>
      </c>
      <c r="N5" s="51" t="s">
        <v>661</v>
      </c>
      <c r="Q5" s="168" t="s">
        <v>142</v>
      </c>
      <c r="R5" s="5"/>
    </row>
    <row r="6" spans="1:22">
      <c r="A6" s="12"/>
      <c r="F6" s="393" t="s">
        <v>304</v>
      </c>
      <c r="G6" s="414" t="s">
        <v>308</v>
      </c>
      <c r="H6" s="153" t="s">
        <v>421</v>
      </c>
      <c r="I6" s="162" t="s">
        <v>332</v>
      </c>
      <c r="J6" s="5"/>
      <c r="K6" s="153" t="s">
        <v>421</v>
      </c>
      <c r="L6" s="400" t="s">
        <v>84</v>
      </c>
      <c r="M6" s="162"/>
      <c r="N6" s="213" t="s">
        <v>421</v>
      </c>
      <c r="O6" s="164" t="s">
        <v>84</v>
      </c>
      <c r="Q6" s="214" t="s">
        <v>636</v>
      </c>
      <c r="R6" s="5"/>
    </row>
    <row r="7" spans="1:22">
      <c r="A7" s="12"/>
      <c r="B7" s="58" t="s">
        <v>634</v>
      </c>
      <c r="C7" s="5" t="s">
        <v>422</v>
      </c>
      <c r="F7" s="415" t="s">
        <v>303</v>
      </c>
      <c r="G7" s="415" t="s">
        <v>231</v>
      </c>
      <c r="H7" s="197" t="s">
        <v>445</v>
      </c>
      <c r="I7" s="165" t="s">
        <v>248</v>
      </c>
      <c r="J7" s="5"/>
      <c r="K7" s="197" t="s">
        <v>445</v>
      </c>
      <c r="L7" s="401" t="s">
        <v>229</v>
      </c>
      <c r="M7" s="197"/>
      <c r="N7" s="197" t="s">
        <v>445</v>
      </c>
      <c r="O7" s="165" t="s">
        <v>232</v>
      </c>
      <c r="Q7" s="169" t="s">
        <v>474</v>
      </c>
      <c r="R7" s="12" t="s">
        <v>474</v>
      </c>
      <c r="S7" s="12" t="s">
        <v>310</v>
      </c>
    </row>
    <row r="8" spans="1:22" s="7" customFormat="1">
      <c r="A8" s="13" t="s">
        <v>305</v>
      </c>
      <c r="B8" s="178" t="s">
        <v>306</v>
      </c>
      <c r="C8" s="7" t="s">
        <v>307</v>
      </c>
      <c r="D8" s="7" t="s">
        <v>317</v>
      </c>
      <c r="F8" s="416" t="s">
        <v>728</v>
      </c>
      <c r="G8" s="416" t="s">
        <v>729</v>
      </c>
      <c r="H8" s="289" t="s">
        <v>729</v>
      </c>
      <c r="I8" s="283" t="s">
        <v>729</v>
      </c>
      <c r="J8" s="288"/>
      <c r="K8" s="289" t="s">
        <v>729</v>
      </c>
      <c r="L8" s="402" t="s">
        <v>729</v>
      </c>
      <c r="M8" s="287"/>
      <c r="N8" s="289" t="s">
        <v>536</v>
      </c>
      <c r="O8" s="283" t="s">
        <v>536</v>
      </c>
      <c r="P8" s="287"/>
      <c r="Q8" s="296" t="s">
        <v>527</v>
      </c>
      <c r="R8" s="13" t="s">
        <v>475</v>
      </c>
      <c r="S8" s="13" t="s">
        <v>473</v>
      </c>
    </row>
    <row r="9" spans="1:22">
      <c r="A9" s="12">
        <v>1</v>
      </c>
      <c r="B9" s="156" t="s">
        <v>490</v>
      </c>
      <c r="C9" s="5" t="s">
        <v>502</v>
      </c>
      <c r="D9" s="5" t="s">
        <v>503</v>
      </c>
      <c r="F9" s="413">
        <v>40.591306041131133</v>
      </c>
      <c r="G9" s="415">
        <v>40.591306041131133</v>
      </c>
      <c r="H9" s="327">
        <v>38.988306709265181</v>
      </c>
      <c r="I9" s="165">
        <v>1582.5862896612691</v>
      </c>
      <c r="J9" s="224"/>
      <c r="K9" s="327">
        <v>0</v>
      </c>
      <c r="L9" s="327">
        <v>0</v>
      </c>
      <c r="M9" s="215"/>
      <c r="N9" s="50">
        <v>38.988306709265181</v>
      </c>
      <c r="O9" s="165">
        <v>1582.5862896612691</v>
      </c>
      <c r="P9" s="215"/>
      <c r="Q9" s="169">
        <f>(G9/G$35)</f>
        <v>3.1279489121038324E-4</v>
      </c>
      <c r="R9" s="277">
        <f>(O9/O$35)</f>
        <v>4.7763931469719942E-5</v>
      </c>
      <c r="S9" s="160">
        <f>Q9*(Q9-R9)</f>
        <v>8.2900330219464252E-8</v>
      </c>
    </row>
    <row r="10" spans="1:22">
      <c r="A10" s="12">
        <v>1</v>
      </c>
      <c r="B10" s="157" t="s">
        <v>465</v>
      </c>
      <c r="C10" s="5" t="s">
        <v>546</v>
      </c>
      <c r="D10" s="5" t="s">
        <v>547</v>
      </c>
      <c r="F10" s="413">
        <v>32911.338985626855</v>
      </c>
      <c r="G10" s="415">
        <v>32911.338985626855</v>
      </c>
      <c r="H10" s="327">
        <v>39.45287539936102</v>
      </c>
      <c r="I10" s="165">
        <v>1298446.956226069</v>
      </c>
      <c r="J10" s="224"/>
      <c r="K10" s="328">
        <v>0</v>
      </c>
      <c r="L10" s="403">
        <v>0</v>
      </c>
      <c r="M10" s="215"/>
      <c r="N10" s="328">
        <v>39.45287539936102</v>
      </c>
      <c r="O10" s="165">
        <v>1298446.956226069</v>
      </c>
      <c r="P10" s="215"/>
      <c r="Q10" s="169">
        <f>(G10/G$35)+Q9</f>
        <v>0.25392618410233336</v>
      </c>
      <c r="R10" s="277">
        <f>(O10/O$35)+R9</f>
        <v>3.923610509138379E-2</v>
      </c>
      <c r="S10" s="284">
        <f>(Q10-Q9)*(Q10-R10+Q9-R9)</f>
        <v>5.4515493967916412E-2</v>
      </c>
    </row>
    <row r="11" spans="1:22">
      <c r="A11" s="12">
        <v>1</v>
      </c>
      <c r="B11" s="157" t="s">
        <v>465</v>
      </c>
      <c r="C11" s="5" t="s">
        <v>502</v>
      </c>
      <c r="D11" s="5" t="s">
        <v>503</v>
      </c>
      <c r="F11" s="413">
        <v>201.631472433412</v>
      </c>
      <c r="G11" s="415">
        <v>201.631472433412</v>
      </c>
      <c r="H11" s="327">
        <v>43.431309904153352</v>
      </c>
      <c r="I11" s="165">
        <v>8757.1189656862698</v>
      </c>
      <c r="J11" s="224"/>
      <c r="K11" s="328">
        <v>0</v>
      </c>
      <c r="L11" s="403">
        <v>0</v>
      </c>
      <c r="M11" s="215"/>
      <c r="N11" s="328">
        <v>43.431309904153352</v>
      </c>
      <c r="O11" s="165">
        <v>8757.1189656862698</v>
      </c>
      <c r="P11" s="215"/>
      <c r="Q11" s="277">
        <f t="shared" ref="Q11:Q32" si="0">(G11/G$35)+Q10</f>
        <v>0.25547994771911597</v>
      </c>
      <c r="R11" s="277">
        <f t="shared" ref="R11:R32" si="1">(O11/O$35)+R10</f>
        <v>3.9500403116004459E-2</v>
      </c>
      <c r="S11" s="284">
        <f t="shared" ref="S11:S32" si="2">(Q11-Q10)*(Q11-R11+Q10-R10)</f>
        <v>6.6915879202498921E-4</v>
      </c>
    </row>
    <row r="12" spans="1:22">
      <c r="A12" s="12">
        <v>1</v>
      </c>
      <c r="B12" s="156" t="s">
        <v>490</v>
      </c>
      <c r="C12" s="5" t="s">
        <v>546</v>
      </c>
      <c r="D12" s="5" t="s">
        <v>547</v>
      </c>
      <c r="F12" s="413">
        <v>700.99480761994664</v>
      </c>
      <c r="G12" s="415">
        <v>700.99480761994664</v>
      </c>
      <c r="H12" s="327">
        <v>44.458767685988036</v>
      </c>
      <c r="I12" s="165">
        <v>31165.365301059082</v>
      </c>
      <c r="J12" s="224"/>
      <c r="K12" s="328">
        <v>0</v>
      </c>
      <c r="L12" s="403">
        <v>0</v>
      </c>
      <c r="M12" s="215"/>
      <c r="N12" s="328">
        <v>44.458767685988036</v>
      </c>
      <c r="O12" s="165">
        <v>31165.365301059082</v>
      </c>
      <c r="P12" s="215"/>
      <c r="Q12" s="277">
        <f t="shared" si="0"/>
        <v>0.26088178412138252</v>
      </c>
      <c r="R12" s="277">
        <f t="shared" si="1"/>
        <v>4.0441002931757432E-2</v>
      </c>
      <c r="S12" s="284">
        <f t="shared" si="2"/>
        <v>2.3574712025562303E-3</v>
      </c>
    </row>
    <row r="13" spans="1:22">
      <c r="A13" s="12">
        <v>1</v>
      </c>
      <c r="B13" s="157" t="s">
        <v>465</v>
      </c>
      <c r="C13" s="5" t="s">
        <v>688</v>
      </c>
      <c r="D13" s="5" t="s">
        <v>595</v>
      </c>
      <c r="F13" s="413">
        <v>755.51977508935306</v>
      </c>
      <c r="G13" s="415">
        <v>755.51977508935306</v>
      </c>
      <c r="H13" s="327">
        <v>112.82318494448573</v>
      </c>
      <c r="I13" s="165">
        <v>85240.14731412234</v>
      </c>
      <c r="J13" s="224"/>
      <c r="K13" s="328">
        <v>8.9196198784047311</v>
      </c>
      <c r="L13" s="403">
        <v>6738.9492044148656</v>
      </c>
      <c r="M13" s="215"/>
      <c r="N13" s="328">
        <v>121.74280482289045</v>
      </c>
      <c r="O13" s="165">
        <v>91979.096518537204</v>
      </c>
      <c r="P13" s="215"/>
      <c r="Q13" s="277">
        <f t="shared" si="0"/>
        <v>0.26670378762176022</v>
      </c>
      <c r="R13" s="277">
        <f t="shared" si="1"/>
        <v>4.3217017921561553E-2</v>
      </c>
      <c r="S13" s="284">
        <f t="shared" si="2"/>
        <v>2.584547755194655E-3</v>
      </c>
    </row>
    <row r="14" spans="1:22">
      <c r="A14" s="12">
        <v>1</v>
      </c>
      <c r="B14" s="157" t="s">
        <v>465</v>
      </c>
      <c r="C14" s="5" t="s">
        <v>599</v>
      </c>
      <c r="D14" s="5" t="s">
        <v>600</v>
      </c>
      <c r="F14" s="413">
        <v>20644.363654471883</v>
      </c>
      <c r="G14" s="415">
        <v>20644.363654471883</v>
      </c>
      <c r="H14" s="327">
        <v>111.34355725743856</v>
      </c>
      <c r="I14" s="165">
        <v>2298616.8866050737</v>
      </c>
      <c r="J14" s="224"/>
      <c r="K14" s="328">
        <v>20.870988750313149</v>
      </c>
      <c r="L14" s="403">
        <v>430868.28158985631</v>
      </c>
      <c r="M14" s="215"/>
      <c r="N14" s="328">
        <v>132.21454600775172</v>
      </c>
      <c r="O14" s="165">
        <v>2729485.1681949301</v>
      </c>
      <c r="P14" s="215"/>
      <c r="Q14" s="277">
        <f t="shared" si="0"/>
        <v>0.4257883826546176</v>
      </c>
      <c r="R14" s="277">
        <f t="shared" si="1"/>
        <v>0.12559542810555457</v>
      </c>
      <c r="S14" s="284">
        <f t="shared" si="2"/>
        <v>8.330937685911223E-2</v>
      </c>
      <c r="U14" s="54">
        <f>(0.4-Q13)/(Q14-Q13)</f>
        <v>0.83789516106640471</v>
      </c>
      <c r="V14" s="54">
        <f>100*(R13+(U14*(R14-R13)))</f>
        <v>11.224148919107273</v>
      </c>
    </row>
    <row r="15" spans="1:22">
      <c r="A15" s="12">
        <v>1</v>
      </c>
      <c r="B15" s="156" t="s">
        <v>490</v>
      </c>
      <c r="C15" s="5" t="s">
        <v>688</v>
      </c>
      <c r="D15" s="5" t="s">
        <v>595</v>
      </c>
      <c r="F15" s="413">
        <v>69.082778663239068</v>
      </c>
      <c r="G15" s="415">
        <v>69.082778663239068</v>
      </c>
      <c r="H15" s="327">
        <v>125.36571428571429</v>
      </c>
      <c r="I15" s="165">
        <v>8660.611891958868</v>
      </c>
      <c r="J15" s="224"/>
      <c r="K15" s="328">
        <v>9.5142015359999998</v>
      </c>
      <c r="L15" s="417">
        <v>657.26747886893713</v>
      </c>
      <c r="M15" s="215"/>
      <c r="N15" s="328">
        <v>134.87991582171426</v>
      </c>
      <c r="O15" s="165">
        <v>9317.8793708278045</v>
      </c>
      <c r="P15" s="215"/>
      <c r="Q15" s="277">
        <f t="shared" si="0"/>
        <v>0.42632073163138084</v>
      </c>
      <c r="R15" s="277">
        <f t="shared" si="1"/>
        <v>0.12587665040263804</v>
      </c>
      <c r="S15" s="284">
        <f t="shared" si="2"/>
        <v>3.1974851140242151E-4</v>
      </c>
      <c r="U15"/>
      <c r="V15" s="54">
        <f>100-V14</f>
        <v>88.775851080892721</v>
      </c>
    </row>
    <row r="16" spans="1:22">
      <c r="A16" s="12">
        <v>1</v>
      </c>
      <c r="B16" s="156" t="s">
        <v>490</v>
      </c>
      <c r="C16" s="5" t="s">
        <v>599</v>
      </c>
      <c r="D16" s="5" t="s">
        <v>600</v>
      </c>
      <c r="F16" s="413">
        <v>104.9526829691517</v>
      </c>
      <c r="G16" s="415">
        <v>104.9526829691517</v>
      </c>
      <c r="H16" s="327">
        <v>125.36571428571428</v>
      </c>
      <c r="I16" s="165">
        <v>13157.468066629823</v>
      </c>
      <c r="J16" s="224"/>
      <c r="K16" s="328">
        <v>15.376741200000001</v>
      </c>
      <c r="L16" s="403">
        <v>1613.8302442622933</v>
      </c>
      <c r="M16" s="215"/>
      <c r="N16" s="328">
        <v>140.74245548571429</v>
      </c>
      <c r="O16" s="165">
        <v>14771.298310892116</v>
      </c>
      <c r="P16" s="215"/>
      <c r="Q16" s="277">
        <f t="shared" si="0"/>
        <v>0.42712949257684807</v>
      </c>
      <c r="R16" s="277">
        <f t="shared" si="1"/>
        <v>0.12632246197376648</v>
      </c>
      <c r="S16" s="284">
        <f t="shared" si="2"/>
        <v>4.8626841766832586E-4</v>
      </c>
      <c r="U16" s="54">
        <f>(SUM(O9:O13)+(U14*O14))/(SUM(G9:G13)+(U14*G14))</f>
        <v>71.645247515306366</v>
      </c>
      <c r="V16" s="54"/>
    </row>
    <row r="17" spans="1:22">
      <c r="A17" s="12">
        <v>1</v>
      </c>
      <c r="B17" s="157" t="s">
        <v>465</v>
      </c>
      <c r="C17" s="5" t="s">
        <v>693</v>
      </c>
      <c r="D17" s="5" t="s">
        <v>677</v>
      </c>
      <c r="F17" s="413">
        <v>2230.9414443258765</v>
      </c>
      <c r="G17" s="413">
        <v>780.82950551405679</v>
      </c>
      <c r="H17" s="327">
        <v>168.71165304428573</v>
      </c>
      <c r="I17" s="165">
        <v>131735.03662102873</v>
      </c>
      <c r="J17" s="224"/>
      <c r="K17" s="328">
        <v>0</v>
      </c>
      <c r="L17" s="415">
        <v>0</v>
      </c>
      <c r="M17" s="215"/>
      <c r="N17" s="328">
        <v>168.71165304428573</v>
      </c>
      <c r="O17" s="165">
        <v>131735.03662102873</v>
      </c>
      <c r="P17" s="215"/>
      <c r="Q17" s="277">
        <f t="shared" si="0"/>
        <v>0.43314653179168977</v>
      </c>
      <c r="R17" s="277">
        <f t="shared" si="1"/>
        <v>0.13029834834560824</v>
      </c>
      <c r="S17" s="284">
        <f t="shared" si="2"/>
        <v>3.6322170951774758E-3</v>
      </c>
    </row>
    <row r="18" spans="1:22">
      <c r="A18" s="12">
        <v>1</v>
      </c>
      <c r="B18" s="156" t="s">
        <v>490</v>
      </c>
      <c r="C18" s="5" t="s">
        <v>489</v>
      </c>
      <c r="D18" s="5" t="s">
        <v>501</v>
      </c>
      <c r="F18" s="413">
        <v>368.86140125515885</v>
      </c>
      <c r="G18" s="415">
        <v>164</v>
      </c>
      <c r="H18" s="327">
        <v>219.93637664449795</v>
      </c>
      <c r="I18" s="165">
        <v>36069.565769697663</v>
      </c>
      <c r="J18" s="224"/>
      <c r="K18" s="328">
        <v>12.264956329279965</v>
      </c>
      <c r="L18" s="403">
        <v>2011.4528380019142</v>
      </c>
      <c r="M18" s="215"/>
      <c r="N18" s="328">
        <v>232.20133297377788</v>
      </c>
      <c r="O18" s="165">
        <v>38081.018607699574</v>
      </c>
      <c r="P18" s="215"/>
      <c r="Q18" s="277">
        <f t="shared" si="0"/>
        <v>0.43441030887012433</v>
      </c>
      <c r="R18" s="277">
        <f t="shared" si="1"/>
        <v>0.13144766903349606</v>
      </c>
      <c r="S18" s="284">
        <f t="shared" si="2"/>
        <v>7.6560983233225747E-4</v>
      </c>
    </row>
    <row r="19" spans="1:22">
      <c r="A19" s="12">
        <v>1</v>
      </c>
      <c r="B19" s="157" t="s">
        <v>465</v>
      </c>
      <c r="C19" s="5" t="s">
        <v>489</v>
      </c>
      <c r="D19" s="5" t="s">
        <v>501</v>
      </c>
      <c r="F19" s="413">
        <v>4523.4726659082571</v>
      </c>
      <c r="G19" s="415">
        <v>2559</v>
      </c>
      <c r="H19" s="327">
        <v>275.52435819744466</v>
      </c>
      <c r="I19" s="165">
        <v>705066.83262726082</v>
      </c>
      <c r="J19" s="327"/>
      <c r="K19" s="328">
        <v>25.2159645257811</v>
      </c>
      <c r="L19" s="417">
        <v>64527.653221473833</v>
      </c>
      <c r="M19" s="318"/>
      <c r="N19" s="328">
        <v>300.74032272322574</v>
      </c>
      <c r="O19" s="165">
        <v>769594.48584873462</v>
      </c>
      <c r="P19" s="318"/>
      <c r="Q19" s="277">
        <f t="shared" si="0"/>
        <v>0.45412985486838031</v>
      </c>
      <c r="R19" s="277">
        <f t="shared" si="1"/>
        <v>0.15467474898590802</v>
      </c>
      <c r="S19" s="284">
        <f t="shared" si="2"/>
        <v>1.1879404446873481E-2</v>
      </c>
      <c r="V19" s="459" t="s">
        <v>663</v>
      </c>
    </row>
    <row r="20" spans="1:22">
      <c r="A20" s="12">
        <v>1</v>
      </c>
      <c r="B20" s="157" t="s">
        <v>465</v>
      </c>
      <c r="C20" s="5" t="s">
        <v>562</v>
      </c>
      <c r="D20" s="5" t="s">
        <v>568</v>
      </c>
      <c r="F20" s="413">
        <v>40033.928439865296</v>
      </c>
      <c r="G20" s="415">
        <v>22647.826226456313</v>
      </c>
      <c r="H20" s="327">
        <v>318.85905468306765</v>
      </c>
      <c r="I20" s="165">
        <v>7221464.461194247</v>
      </c>
      <c r="J20" s="224"/>
      <c r="K20" s="328">
        <v>14.097666885478191</v>
      </c>
      <c r="L20" s="403">
        <v>319281.50982077763</v>
      </c>
      <c r="M20" s="215"/>
      <c r="N20" s="328">
        <v>332.95672156854585</v>
      </c>
      <c r="O20" s="165">
        <v>7540745.9710150249</v>
      </c>
      <c r="P20" s="215"/>
      <c r="Q20" s="277">
        <f t="shared" si="0"/>
        <v>0.62865304792547805</v>
      </c>
      <c r="R20" s="277">
        <f t="shared" si="1"/>
        <v>0.38226150121742081</v>
      </c>
      <c r="S20" s="284">
        <f t="shared" si="2"/>
        <v>9.526290072962755E-2</v>
      </c>
      <c r="U20" s="459">
        <f>(0.5-Q19)/(Q20-Q19)</f>
        <v>0.26283122791944691</v>
      </c>
      <c r="V20" s="459">
        <f>N19+(U20*(N20-N19))</f>
        <v>309.20779839088385</v>
      </c>
    </row>
    <row r="21" spans="1:22">
      <c r="A21" s="12">
        <v>1</v>
      </c>
      <c r="B21" s="156" t="s">
        <v>490</v>
      </c>
      <c r="C21" s="5" t="s">
        <v>586</v>
      </c>
      <c r="D21" s="5" t="s">
        <v>596</v>
      </c>
      <c r="F21" s="413">
        <v>18.025714003403166</v>
      </c>
      <c r="G21" s="415">
        <v>8.0144387200686378</v>
      </c>
      <c r="H21" s="327">
        <v>317.65599756812219</v>
      </c>
      <c r="I21" s="165">
        <v>2545.8345265719877</v>
      </c>
      <c r="J21" s="224"/>
      <c r="K21" s="328">
        <v>26.873229935943062</v>
      </c>
      <c r="L21" s="403">
        <v>215.37385453192971</v>
      </c>
      <c r="M21" s="215"/>
      <c r="N21" s="328">
        <v>344.52922750406526</v>
      </c>
      <c r="O21" s="165">
        <v>2761.2083811039174</v>
      </c>
      <c r="P21" s="215"/>
      <c r="Q21" s="277">
        <f t="shared" si="0"/>
        <v>0.6287148068520082</v>
      </c>
      <c r="R21" s="277">
        <f t="shared" si="1"/>
        <v>0.38234483706378208</v>
      </c>
      <c r="S21" s="284">
        <f t="shared" si="2"/>
        <v>3.0432422294180862E-5</v>
      </c>
    </row>
    <row r="22" spans="1:22">
      <c r="A22" s="12">
        <v>1</v>
      </c>
      <c r="B22" s="157" t="s">
        <v>465</v>
      </c>
      <c r="C22" s="5" t="s">
        <v>505</v>
      </c>
      <c r="D22" s="5" t="s">
        <v>506</v>
      </c>
      <c r="F22" s="413">
        <v>11532.292173655907</v>
      </c>
      <c r="G22" s="415">
        <v>6524</v>
      </c>
      <c r="H22" s="327">
        <v>336.96487184214345</v>
      </c>
      <c r="I22" s="165">
        <v>2198358.8238981441</v>
      </c>
      <c r="J22" s="224"/>
      <c r="K22" s="328">
        <v>39.794560065989508</v>
      </c>
      <c r="L22" s="403">
        <v>259619.70987051554</v>
      </c>
      <c r="M22" s="215"/>
      <c r="N22" s="328">
        <v>376.75943190813297</v>
      </c>
      <c r="O22" s="165">
        <v>2457978.5337686595</v>
      </c>
      <c r="P22" s="215"/>
      <c r="Q22" s="277">
        <f t="shared" si="0"/>
        <v>0.67898847550875763</v>
      </c>
      <c r="R22" s="277">
        <f t="shared" si="1"/>
        <v>0.45652892358591252</v>
      </c>
      <c r="S22" s="284">
        <f t="shared" si="2"/>
        <v>2.3569780031004704E-2</v>
      </c>
    </row>
    <row r="23" spans="1:22">
      <c r="A23" s="12">
        <v>1</v>
      </c>
      <c r="B23" s="157" t="s">
        <v>465</v>
      </c>
      <c r="C23" s="5" t="s">
        <v>635</v>
      </c>
      <c r="D23" s="5" t="s">
        <v>569</v>
      </c>
      <c r="F23" s="413">
        <v>40033.928439865296</v>
      </c>
      <c r="G23" s="415">
        <v>22647.826226456313</v>
      </c>
      <c r="H23" s="327">
        <v>318.85905468306765</v>
      </c>
      <c r="I23" s="165">
        <v>7221464.461194247</v>
      </c>
      <c r="J23" s="224"/>
      <c r="K23" s="328">
        <v>62.854405086563673</v>
      </c>
      <c r="L23" s="403">
        <v>1423515.6439677859</v>
      </c>
      <c r="M23" s="215"/>
      <c r="N23" s="328">
        <v>381.7134597696313</v>
      </c>
      <c r="O23" s="165">
        <v>8644980.1051620319</v>
      </c>
      <c r="P23" s="215"/>
      <c r="Q23" s="277">
        <f t="shared" si="0"/>
        <v>0.85351166856585536</v>
      </c>
      <c r="R23" s="277">
        <f t="shared" si="1"/>
        <v>0.71744249272117333</v>
      </c>
      <c r="S23" s="284">
        <f t="shared" si="2"/>
        <v>6.2571578372687772E-2</v>
      </c>
      <c r="U23" s="54">
        <f>(0.8-Q22)/(Q23-Q22)</f>
        <v>0.69338362639085904</v>
      </c>
      <c r="V23" s="54">
        <f>100*(R22+(U23*(R23-R22)))</f>
        <v>63.744212032750184</v>
      </c>
    </row>
    <row r="24" spans="1:22">
      <c r="A24" s="12">
        <v>1</v>
      </c>
      <c r="B24" s="157" t="s">
        <v>465</v>
      </c>
      <c r="C24" s="5" t="s">
        <v>585</v>
      </c>
      <c r="D24" s="5" t="s">
        <v>425</v>
      </c>
      <c r="F24" s="413">
        <v>6435.074252197548</v>
      </c>
      <c r="G24" s="415">
        <v>3640.4232384296024</v>
      </c>
      <c r="H24" s="327">
        <v>347.42800036996857</v>
      </c>
      <c r="I24" s="165">
        <v>1264784.9662279622</v>
      </c>
      <c r="J24" s="224"/>
      <c r="K24" s="328">
        <v>39.794560065989508</v>
      </c>
      <c r="L24" s="403">
        <v>144869.04122731087</v>
      </c>
      <c r="M24" s="215"/>
      <c r="N24" s="328">
        <v>387.22256043595809</v>
      </c>
      <c r="O24" s="165">
        <v>1409654.0074552731</v>
      </c>
      <c r="P24" s="215"/>
      <c r="Q24" s="277">
        <f t="shared" si="0"/>
        <v>0.88156461639834172</v>
      </c>
      <c r="R24" s="277">
        <f t="shared" si="1"/>
        <v>0.75998716649218201</v>
      </c>
      <c r="S24" s="284">
        <f t="shared" si="2"/>
        <v>7.227747351404498E-3</v>
      </c>
      <c r="U24"/>
      <c r="V24" s="54">
        <f>100-V23</f>
        <v>36.255787967249816</v>
      </c>
    </row>
    <row r="25" spans="1:22">
      <c r="A25" s="12">
        <v>1</v>
      </c>
      <c r="B25" s="156" t="s">
        <v>490</v>
      </c>
      <c r="C25" s="5" t="s">
        <v>505</v>
      </c>
      <c r="D25" s="5" t="s">
        <v>506</v>
      </c>
      <c r="F25" s="413">
        <v>614.01928379669744</v>
      </c>
      <c r="G25" s="415">
        <v>273</v>
      </c>
      <c r="H25" s="327">
        <v>360.1614293617086</v>
      </c>
      <c r="I25" s="165">
        <v>98324.070215746455</v>
      </c>
      <c r="J25" s="224"/>
      <c r="K25" s="328">
        <v>43.028828716563922</v>
      </c>
      <c r="L25" s="403">
        <v>11746.870239621951</v>
      </c>
      <c r="M25" s="215"/>
      <c r="N25" s="328">
        <v>403.19025807827251</v>
      </c>
      <c r="O25" s="165">
        <v>110070.9404553684</v>
      </c>
      <c r="P25" s="215"/>
      <c r="Q25" s="277">
        <f t="shared" si="0"/>
        <v>0.88366834287646745</v>
      </c>
      <c r="R25" s="277">
        <f t="shared" si="1"/>
        <v>0.76330921021963216</v>
      </c>
      <c r="S25" s="284">
        <f t="shared" si="2"/>
        <v>5.0896839476502552E-4</v>
      </c>
      <c r="U25" s="54">
        <f>(SUM(O24:O$32)+((1-U23)*O23))/(SUM(G24:G$32)+((1-U23)*G23))</f>
        <v>462.85111174071602</v>
      </c>
      <c r="V25" s="54"/>
    </row>
    <row r="26" spans="1:22">
      <c r="A26" s="12">
        <v>1</v>
      </c>
      <c r="B26" s="156" t="s">
        <v>490</v>
      </c>
      <c r="C26" s="5" t="s">
        <v>585</v>
      </c>
      <c r="D26" s="5" t="s">
        <v>425</v>
      </c>
      <c r="F26" s="413">
        <v>444.94065516791829</v>
      </c>
      <c r="G26" s="415">
        <v>197.82570688946015</v>
      </c>
      <c r="H26" s="327">
        <v>380.28342278718691</v>
      </c>
      <c r="I26" s="165">
        <v>75229.836931218684</v>
      </c>
      <c r="J26" s="224"/>
      <c r="K26" s="328">
        <v>43.028828716563929</v>
      </c>
      <c r="L26" s="403">
        <v>8512.2084574797609</v>
      </c>
      <c r="M26" s="215"/>
      <c r="N26" s="328">
        <v>423.31225150375082</v>
      </c>
      <c r="O26" s="165">
        <v>83742.045388698447</v>
      </c>
      <c r="P26" s="215"/>
      <c r="Q26" s="277">
        <f t="shared" si="0"/>
        <v>0.8851927794245894</v>
      </c>
      <c r="R26" s="277">
        <f t="shared" si="1"/>
        <v>0.76583662331755309</v>
      </c>
      <c r="S26" s="284">
        <f t="shared" si="2"/>
        <v>3.6543074733525399E-4</v>
      </c>
      <c r="U26" s="54">
        <f>(SUM(O25:O$32)+((1-U24)*O24))/(SUM(G25:G$32)+((1-U24)*G24))</f>
        <v>492.4904085910614</v>
      </c>
      <c r="V26" s="54"/>
    </row>
    <row r="27" spans="1:22">
      <c r="A27" s="12">
        <v>1</v>
      </c>
      <c r="B27" s="157" t="s">
        <v>465</v>
      </c>
      <c r="C27" s="5" t="s">
        <v>549</v>
      </c>
      <c r="D27" s="5" t="s">
        <v>578</v>
      </c>
      <c r="F27" s="413">
        <v>18015.267797939381</v>
      </c>
      <c r="G27" s="415">
        <v>10191.521801905341</v>
      </c>
      <c r="H27" s="327">
        <v>318.85905468306765</v>
      </c>
      <c r="I27" s="165">
        <v>3249659.0075374115</v>
      </c>
      <c r="J27" s="224"/>
      <c r="K27" s="328">
        <v>129.82143694461701</v>
      </c>
      <c r="L27" s="403">
        <v>1323078.0049757436</v>
      </c>
      <c r="M27" s="215"/>
      <c r="N27" s="328">
        <v>448.68049162768466</v>
      </c>
      <c r="O27" s="165">
        <v>4572737.0125131551</v>
      </c>
      <c r="P27" s="215"/>
      <c r="Q27" s="277">
        <f t="shared" si="0"/>
        <v>0.96372821630028338</v>
      </c>
      <c r="R27" s="277">
        <f t="shared" si="1"/>
        <v>0.90384609472620425</v>
      </c>
      <c r="S27" s="284">
        <f t="shared" si="2"/>
        <v>1.4076556442533351E-2</v>
      </c>
      <c r="U27" s="54">
        <f>(0.9-Q26)/(Q27-Q26)</f>
        <v>0.18854190114008676</v>
      </c>
      <c r="V27" s="54">
        <f>100*(R26+(U27*(R27-R26)))</f>
        <v>79.185719143227857</v>
      </c>
    </row>
    <row r="28" spans="1:22">
      <c r="A28" s="12">
        <v>1</v>
      </c>
      <c r="B28" s="157" t="s">
        <v>465</v>
      </c>
      <c r="C28" s="5" t="s">
        <v>205</v>
      </c>
      <c r="D28" s="5" t="s">
        <v>420</v>
      </c>
      <c r="F28" s="413">
        <v>4525.4113761936505</v>
      </c>
      <c r="G28" s="415">
        <v>2560.0967590580822</v>
      </c>
      <c r="H28" s="327">
        <v>391.54184256500628</v>
      </c>
      <c r="I28" s="165">
        <v>1002385.0021863024</v>
      </c>
      <c r="J28" s="224"/>
      <c r="K28" s="328">
        <v>132.64103205082475</v>
      </c>
      <c r="L28" s="403">
        <v>339573.87627143564</v>
      </c>
      <c r="M28" s="215"/>
      <c r="N28" s="328">
        <v>524.182874615831</v>
      </c>
      <c r="O28" s="165">
        <v>1341958.8784577381</v>
      </c>
      <c r="P28" s="215"/>
      <c r="Q28" s="277">
        <f t="shared" si="0"/>
        <v>0.98345621387755255</v>
      </c>
      <c r="R28" s="277">
        <f t="shared" si="1"/>
        <v>0.94434766631479472</v>
      </c>
      <c r="S28" s="284">
        <f t="shared" si="2"/>
        <v>1.9528876809037719E-3</v>
      </c>
      <c r="U28"/>
      <c r="V28" s="54">
        <f>100-V27</f>
        <v>20.814280856772143</v>
      </c>
    </row>
    <row r="29" spans="1:22">
      <c r="A29" s="12">
        <v>1</v>
      </c>
      <c r="B29" s="156" t="s">
        <v>490</v>
      </c>
      <c r="C29" s="5" t="s">
        <v>204</v>
      </c>
      <c r="D29" s="5" t="s">
        <v>420</v>
      </c>
      <c r="F29" s="413">
        <v>911.35096327372412</v>
      </c>
      <c r="G29" s="415">
        <v>405.1970671593831</v>
      </c>
      <c r="H29" s="327">
        <v>414.68568164609638</v>
      </c>
      <c r="I29" s="165">
        <v>168029.42199598788</v>
      </c>
      <c r="J29" s="224"/>
      <c r="K29" s="328">
        <v>116.73017935354441</v>
      </c>
      <c r="L29" s="403">
        <v>47298.726323044968</v>
      </c>
      <c r="M29" s="215"/>
      <c r="N29" s="328">
        <v>531.41586099964081</v>
      </c>
      <c r="O29" s="165">
        <v>215328.14831903286</v>
      </c>
      <c r="P29" s="215"/>
      <c r="Q29" s="277">
        <f t="shared" si="0"/>
        <v>0.98657864537587525</v>
      </c>
      <c r="R29" s="277">
        <f t="shared" si="1"/>
        <v>0.95084647082675178</v>
      </c>
      <c r="S29" s="284">
        <f t="shared" si="2"/>
        <v>2.3368502807935383E-4</v>
      </c>
      <c r="U29" s="54">
        <f>(SUM(O28:O$32)+((1-U27)*O27))/(SUM(G28:G$32)+((1-U27)*G27))</f>
        <v>531.44138217836462</v>
      </c>
      <c r="V29" s="54"/>
    </row>
    <row r="30" spans="1:22">
      <c r="A30" s="12">
        <v>1</v>
      </c>
      <c r="B30" s="157" t="s">
        <v>465</v>
      </c>
      <c r="C30" s="5" t="s">
        <v>548</v>
      </c>
      <c r="D30" s="5" t="s">
        <v>558</v>
      </c>
      <c r="F30" s="413">
        <v>2001.6964219932645</v>
      </c>
      <c r="G30" s="415">
        <v>1132.3913113228157</v>
      </c>
      <c r="H30" s="327">
        <v>318.85905468306765</v>
      </c>
      <c r="I30" s="165">
        <v>361073.22305971239</v>
      </c>
      <c r="J30" s="224"/>
      <c r="K30" s="328">
        <v>312.37850720257956</v>
      </c>
      <c r="L30" s="403">
        <v>353734.70740019268</v>
      </c>
      <c r="M30" s="215"/>
      <c r="N30" s="328">
        <v>631.23756188564721</v>
      </c>
      <c r="O30" s="165">
        <v>714807.93045990507</v>
      </c>
      <c r="P30" s="215"/>
      <c r="Q30" s="277">
        <f t="shared" si="0"/>
        <v>0.99530480502873009</v>
      </c>
      <c r="R30" s="277">
        <f t="shared" si="1"/>
        <v>0.97242004139762217</v>
      </c>
      <c r="S30" s="284">
        <f t="shared" si="2"/>
        <v>5.1150076092222141E-4</v>
      </c>
      <c r="U30" s="54">
        <f>(0.99-Q29)/(Q30-Q29)</f>
        <v>0.39208022317187541</v>
      </c>
      <c r="V30" s="54">
        <f>100*(R29+(U30*(R30-R29)))</f>
        <v>95.930504119079288</v>
      </c>
    </row>
    <row r="31" spans="1:22">
      <c r="A31" s="12">
        <v>1</v>
      </c>
      <c r="B31" s="157" t="s">
        <v>465</v>
      </c>
      <c r="C31" s="5" t="s">
        <v>689</v>
      </c>
      <c r="D31" s="5" t="s">
        <v>226</v>
      </c>
      <c r="F31" s="413">
        <v>947.87137507989212</v>
      </c>
      <c r="G31" s="415">
        <v>536.22582205709273</v>
      </c>
      <c r="H31" s="327">
        <v>1199.650705175477</v>
      </c>
      <c r="I31" s="165">
        <v>643283.6855640912</v>
      </c>
      <c r="J31" s="224"/>
      <c r="K31" s="328">
        <v>147.89824143553011</v>
      </c>
      <c r="L31" s="403">
        <v>79306.856094565504</v>
      </c>
      <c r="M31" s="215"/>
      <c r="N31" s="328">
        <v>1347.5489466110071</v>
      </c>
      <c r="O31" s="165">
        <v>722590.54165865667</v>
      </c>
      <c r="P31" s="215"/>
      <c r="Q31" s="277">
        <f t="shared" si="0"/>
        <v>0.99943693858226956</v>
      </c>
      <c r="R31" s="277">
        <f t="shared" si="1"/>
        <v>0.99422849843906358</v>
      </c>
      <c r="S31" s="284">
        <f t="shared" si="2"/>
        <v>1.1608486994226427E-4</v>
      </c>
      <c r="U31"/>
      <c r="V31" s="54">
        <f>100-V30</f>
        <v>4.0694958809207122</v>
      </c>
    </row>
    <row r="32" spans="1:22">
      <c r="A32" s="12">
        <v>1</v>
      </c>
      <c r="B32" s="156" t="s">
        <v>490</v>
      </c>
      <c r="C32" s="5" t="s">
        <v>689</v>
      </c>
      <c r="D32" s="5" t="s">
        <v>226</v>
      </c>
      <c r="F32" s="413">
        <v>164.34197698378634</v>
      </c>
      <c r="G32" s="415">
        <v>73.068323586118268</v>
      </c>
      <c r="H32" s="327">
        <v>2301.588096028373</v>
      </c>
      <c r="I32" s="165">
        <v>168173.183762559</v>
      </c>
      <c r="J32" s="224"/>
      <c r="K32" s="328">
        <v>315.55221315517986</v>
      </c>
      <c r="L32" s="403">
        <v>23056.871219138447</v>
      </c>
      <c r="M32" s="215"/>
      <c r="N32" s="328">
        <v>2617.1403091835527</v>
      </c>
      <c r="O32" s="165">
        <v>191230.05498169744</v>
      </c>
      <c r="P32" s="215"/>
      <c r="Q32" s="277">
        <f t="shared" si="0"/>
        <v>0.99999999999999989</v>
      </c>
      <c r="R32" s="277">
        <f t="shared" si="1"/>
        <v>1</v>
      </c>
      <c r="S32" s="284">
        <f t="shared" si="2"/>
        <v>2.9326716911970413E-6</v>
      </c>
      <c r="U32" s="54">
        <f>(SUM(O31:O$32)+((1-U30)*O30))/(SUM(G31:G$32)+((1-U30)*G30))</f>
        <v>1039.045514283059</v>
      </c>
      <c r="V32" s="54"/>
    </row>
    <row r="33" spans="4:22">
      <c r="P33" s="215"/>
      <c r="Q33" s="169"/>
      <c r="R33" s="12"/>
      <c r="S33" s="12"/>
      <c r="U33" s="54"/>
      <c r="V33" s="54"/>
    </row>
    <row r="34" spans="4:22">
      <c r="E34" s="12" t="s">
        <v>498</v>
      </c>
      <c r="F34" s="413">
        <v>185998.95840009412</v>
      </c>
      <c r="G34" s="413">
        <v>128988.89238495556</v>
      </c>
      <c r="H34" s="327">
        <v>218.32530690554253</v>
      </c>
      <c r="I34" s="413">
        <v>28161539.517351419</v>
      </c>
      <c r="J34" s="224"/>
      <c r="K34" s="328">
        <v>37.524369306574158</v>
      </c>
      <c r="L34" s="413">
        <v>4840226.8342990233</v>
      </c>
      <c r="M34" s="257"/>
      <c r="N34" s="224">
        <v>255.84967621211669</v>
      </c>
      <c r="O34" s="413">
        <v>33001766.351650443</v>
      </c>
      <c r="P34" s="215"/>
      <c r="Q34" s="169"/>
      <c r="R34" s="12"/>
      <c r="S34" s="277">
        <f>SUM(S9:S32)</f>
        <v>0.36694986528377993</v>
      </c>
    </row>
    <row r="35" spans="4:22">
      <c r="E35" s="12" t="s">
        <v>412</v>
      </c>
      <c r="F35" s="413">
        <v>188229.89984442</v>
      </c>
      <c r="G35" s="413">
        <v>129769.72189046962</v>
      </c>
      <c r="H35" s="327">
        <v>218.02677960466775</v>
      </c>
      <c r="I35" s="413">
        <v>28293274.553972449</v>
      </c>
      <c r="J35" s="224"/>
      <c r="K35" s="328">
        <v>37.298583704944299</v>
      </c>
      <c r="L35" s="413">
        <v>4840226.8342990233</v>
      </c>
      <c r="M35" s="257"/>
      <c r="N35" s="224">
        <v>255.32536330961207</v>
      </c>
      <c r="O35" s="413">
        <v>33133501.388271473</v>
      </c>
      <c r="P35" s="215"/>
      <c r="Q35" s="169" t="s">
        <v>662</v>
      </c>
      <c r="R35" s="12"/>
      <c r="S35" s="12"/>
    </row>
    <row r="36" spans="4:22" ht="16" thickBot="1">
      <c r="F36" s="5"/>
      <c r="J36" s="224"/>
      <c r="K36" s="224"/>
      <c r="M36" s="257"/>
      <c r="N36" s="223"/>
      <c r="P36" s="158"/>
      <c r="Q36" s="81"/>
      <c r="R36" s="81"/>
      <c r="S36" s="81"/>
      <c r="T36" s="81"/>
    </row>
    <row r="37" spans="4:22" ht="16" thickBot="1">
      <c r="D37" s="5" t="s">
        <v>593</v>
      </c>
      <c r="J37" s="224"/>
      <c r="K37" s="224"/>
      <c r="P37" s="158"/>
      <c r="Q37" s="55" t="s">
        <v>492</v>
      </c>
      <c r="R37" s="347">
        <f>S34</f>
        <v>0.36694986528377993</v>
      </c>
      <c r="S37" s="95" t="s">
        <v>322</v>
      </c>
      <c r="T37" s="81"/>
    </row>
    <row r="38" spans="4:22">
      <c r="D38" s="5" t="s">
        <v>532</v>
      </c>
      <c r="J38" s="224"/>
      <c r="K38" s="224"/>
      <c r="P38" s="81"/>
      <c r="Q38" s="55"/>
      <c r="R38" s="95" t="s">
        <v>610</v>
      </c>
      <c r="S38" s="95" t="s">
        <v>450</v>
      </c>
      <c r="T38" s="81"/>
    </row>
    <row r="39" spans="4:22">
      <c r="D39" s="5" t="s">
        <v>544</v>
      </c>
      <c r="N39" s="219" t="s">
        <v>224</v>
      </c>
      <c r="P39" s="81"/>
      <c r="Q39" s="55" t="s">
        <v>439</v>
      </c>
      <c r="R39" s="282">
        <v>4.0694958809207122</v>
      </c>
      <c r="S39" s="371">
        <v>1039.045514283059</v>
      </c>
      <c r="T39" s="81"/>
    </row>
    <row r="40" spans="4:22">
      <c r="D40" s="5" t="s">
        <v>565</v>
      </c>
      <c r="N40" s="219" t="s">
        <v>589</v>
      </c>
      <c r="P40" s="81"/>
      <c r="Q40" s="55" t="s">
        <v>440</v>
      </c>
      <c r="R40" s="282">
        <v>12.0278350878963</v>
      </c>
      <c r="S40" s="371">
        <v>614.20227272904458</v>
      </c>
      <c r="T40" s="81"/>
    </row>
    <row r="41" spans="4:22">
      <c r="D41" s="5" t="s">
        <v>402</v>
      </c>
      <c r="P41" s="81"/>
      <c r="Q41" s="55" t="s">
        <v>190</v>
      </c>
      <c r="R41" s="282">
        <v>20.814280856772143</v>
      </c>
      <c r="S41" s="371">
        <v>531.44138217836462</v>
      </c>
      <c r="T41" s="81"/>
    </row>
    <row r="42" spans="4:22">
      <c r="D42" s="5" t="s">
        <v>574</v>
      </c>
      <c r="P42" s="81"/>
      <c r="Q42" s="55" t="s">
        <v>5</v>
      </c>
      <c r="R42" s="282">
        <v>36.255787967249816</v>
      </c>
      <c r="S42" s="371">
        <v>462.85111174071602</v>
      </c>
      <c r="T42" s="81"/>
    </row>
    <row r="43" spans="4:22">
      <c r="D43" s="5" t="s">
        <v>449</v>
      </c>
      <c r="P43" s="81"/>
      <c r="Q43" s="55" t="s">
        <v>264</v>
      </c>
      <c r="R43" s="282">
        <f>100-R42-R44</f>
        <v>52.520063113642912</v>
      </c>
      <c r="S43" s="371">
        <v>335.2426048883658</v>
      </c>
      <c r="T43" s="81"/>
      <c r="U43" s="5">
        <f>(R46-(0.2*S42)-(0.4*S44))/0.4</f>
        <v>335.2426048883658</v>
      </c>
    </row>
    <row r="44" spans="4:22">
      <c r="D44" s="5" t="s">
        <v>614</v>
      </c>
      <c r="P44" s="81"/>
      <c r="Q44" s="55" t="s">
        <v>265</v>
      </c>
      <c r="R44" s="282">
        <v>11.224148919107273</v>
      </c>
      <c r="S44" s="371">
        <v>71.645247515306366</v>
      </c>
      <c r="T44" s="81"/>
    </row>
    <row r="45" spans="4:22">
      <c r="D45" s="5" t="s">
        <v>721</v>
      </c>
      <c r="P45" s="81"/>
      <c r="Q45" s="55"/>
      <c r="R45" s="282"/>
      <c r="S45" s="282"/>
      <c r="T45" s="81"/>
    </row>
    <row r="46" spans="4:22">
      <c r="D46" s="5" t="s">
        <v>531</v>
      </c>
      <c r="P46" s="81"/>
      <c r="Q46" s="55" t="s">
        <v>430</v>
      </c>
      <c r="R46" s="282">
        <v>255.32536330961207</v>
      </c>
      <c r="S46" s="55"/>
      <c r="T46" s="81"/>
    </row>
    <row r="47" spans="4:22">
      <c r="D47" s="5" t="s">
        <v>572</v>
      </c>
      <c r="P47" s="81"/>
      <c r="Q47" s="55" t="s">
        <v>255</v>
      </c>
      <c r="R47" s="282">
        <v>309.20779839088385</v>
      </c>
      <c r="S47" s="55"/>
      <c r="T47" s="81"/>
    </row>
    <row r="48" spans="4:22">
      <c r="D48" s="5" t="s">
        <v>607</v>
      </c>
      <c r="P48" s="81"/>
      <c r="Q48" s="81"/>
      <c r="R48" s="81"/>
      <c r="S48" s="81"/>
      <c r="T48" s="81"/>
    </row>
    <row r="49" spans="17:17">
      <c r="Q49" s="214" t="s">
        <v>338</v>
      </c>
    </row>
  </sheetData>
  <sortState ref="A11:V35">
    <sortCondition ref="N11:N35"/>
  </sortState>
  <phoneticPr fontId="20" type="noConversion"/>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Y72"/>
  <sheetViews>
    <sheetView workbookViewId="0">
      <pane xSplit="14480" ySplit="3700" topLeftCell="N33"/>
      <selection activeCell="E4" sqref="E4"/>
      <selection pane="topRight" activeCell="S11" sqref="S11:S35"/>
      <selection pane="bottomLeft" activeCell="C23" sqref="C23"/>
      <selection pane="bottomRight" activeCell="Q38" sqref="Q38:S48"/>
    </sheetView>
  </sheetViews>
  <sheetFormatPr baseColWidth="10" defaultRowHeight="15"/>
  <cols>
    <col min="1" max="1" width="9.6640625" customWidth="1"/>
    <col min="2" max="2" width="12.33203125" style="173" customWidth="1"/>
    <col min="5" max="5" width="19" customWidth="1"/>
    <col min="6" max="6" width="12.33203125" style="384" customWidth="1"/>
    <col min="7" max="7" width="11" style="413" bestFit="1" customWidth="1"/>
    <col min="8" max="8" width="10.83203125" style="5"/>
    <col min="9" max="9" width="14.5" style="413" customWidth="1"/>
    <col min="10" max="10" width="4.83203125" style="5" customWidth="1"/>
    <col min="11" max="11" width="10.83203125" style="5"/>
    <col min="12" max="12" width="11.1640625" style="406" bestFit="1" customWidth="1"/>
    <col min="13" max="13" width="4.83203125" style="5" customWidth="1"/>
    <col min="14" max="14" width="10.83203125" style="5"/>
    <col min="15" max="15" width="11.33203125" style="5" bestFit="1" customWidth="1"/>
    <col min="16" max="16" width="4.83203125" customWidth="1"/>
    <col min="17" max="17" width="12.5" style="5" customWidth="1"/>
    <col min="18" max="18" width="12.83203125" style="5" customWidth="1"/>
    <col min="19" max="19" width="12.6640625" style="5" customWidth="1"/>
    <col min="20" max="25" width="10.83203125" style="5"/>
  </cols>
  <sheetData>
    <row r="1" spans="1:25" ht="18">
      <c r="A1" t="s">
        <v>559</v>
      </c>
      <c r="C1" s="137" t="s">
        <v>384</v>
      </c>
      <c r="D1" s="5"/>
      <c r="E1" s="5"/>
      <c r="F1" s="413"/>
      <c r="H1" s="159"/>
      <c r="J1" s="159"/>
      <c r="K1" s="159" t="s">
        <v>601</v>
      </c>
      <c r="M1" s="159"/>
      <c r="N1" s="159"/>
      <c r="O1" s="159"/>
    </row>
    <row r="2" spans="1:25">
      <c r="A2" s="40">
        <v>40575</v>
      </c>
      <c r="C2" s="5" t="s">
        <v>719</v>
      </c>
      <c r="D2" s="5"/>
      <c r="E2" s="5"/>
      <c r="F2" s="413"/>
      <c r="H2" s="159"/>
      <c r="J2" s="159"/>
      <c r="K2" s="159"/>
      <c r="M2" s="159"/>
      <c r="N2" s="159"/>
      <c r="O2" s="159"/>
      <c r="S2" s="160"/>
    </row>
    <row r="3" spans="1:25">
      <c r="A3" s="220" t="s">
        <v>667</v>
      </c>
      <c r="C3" s="54"/>
      <c r="D3" s="54"/>
      <c r="F3" s="413"/>
      <c r="H3" s="224"/>
      <c r="J3" s="224"/>
      <c r="K3" s="224"/>
      <c r="M3" s="224"/>
      <c r="N3" s="224"/>
      <c r="O3" s="224"/>
      <c r="S3" s="160" t="s">
        <v>476</v>
      </c>
    </row>
    <row r="4" spans="1:25">
      <c r="A4" s="220" t="s">
        <v>692</v>
      </c>
      <c r="B4" s="87"/>
      <c r="C4" s="5"/>
      <c r="D4" s="5"/>
      <c r="E4" s="5"/>
      <c r="F4" s="413"/>
      <c r="H4" s="159"/>
      <c r="J4" s="159"/>
      <c r="K4" s="159"/>
      <c r="M4" s="159"/>
      <c r="N4" s="159"/>
      <c r="O4" s="159"/>
      <c r="S4" s="160" t="s">
        <v>479</v>
      </c>
    </row>
    <row r="5" spans="1:25">
      <c r="A5" s="5"/>
      <c r="B5" s="172"/>
      <c r="C5" s="172"/>
      <c r="D5" s="172"/>
      <c r="E5" s="172"/>
      <c r="F5" s="413"/>
      <c r="Q5" s="168" t="s">
        <v>637</v>
      </c>
    </row>
    <row r="6" spans="1:25">
      <c r="A6" s="5"/>
      <c r="B6" s="87"/>
      <c r="C6" s="5"/>
      <c r="D6" s="5"/>
      <c r="E6" s="5"/>
      <c r="F6" s="413"/>
      <c r="H6" s="159"/>
      <c r="J6" s="159"/>
      <c r="K6" s="51" t="s">
        <v>588</v>
      </c>
      <c r="M6" s="159"/>
      <c r="N6" s="212" t="s">
        <v>186</v>
      </c>
      <c r="O6" s="159"/>
      <c r="Q6" s="59" t="s">
        <v>230</v>
      </c>
    </row>
    <row r="7" spans="1:25">
      <c r="A7" s="12"/>
      <c r="B7" s="87"/>
      <c r="C7" s="5"/>
      <c r="D7" s="5"/>
      <c r="E7" s="5"/>
      <c r="F7" s="393" t="s">
        <v>304</v>
      </c>
      <c r="G7" s="393" t="s">
        <v>210</v>
      </c>
      <c r="H7" s="181" t="s">
        <v>236</v>
      </c>
      <c r="J7" s="159"/>
      <c r="K7" s="51" t="s">
        <v>258</v>
      </c>
      <c r="M7" s="159"/>
      <c r="N7" s="51" t="s">
        <v>298</v>
      </c>
      <c r="O7" s="159"/>
      <c r="Q7" s="5" t="s">
        <v>380</v>
      </c>
    </row>
    <row r="8" spans="1:25" ht="15" customHeight="1">
      <c r="A8" s="12"/>
      <c r="B8" s="58" t="s">
        <v>634</v>
      </c>
      <c r="C8" s="5" t="s">
        <v>422</v>
      </c>
      <c r="D8" s="5"/>
      <c r="E8" s="5"/>
      <c r="F8" s="415" t="s">
        <v>303</v>
      </c>
      <c r="G8" s="414" t="s">
        <v>415</v>
      </c>
      <c r="H8" s="52" t="s">
        <v>541</v>
      </c>
      <c r="I8" s="413" t="s">
        <v>233</v>
      </c>
      <c r="J8" s="159"/>
      <c r="K8" s="52" t="s">
        <v>541</v>
      </c>
      <c r="L8" s="407" t="s">
        <v>602</v>
      </c>
      <c r="M8" s="159"/>
      <c r="N8" s="213" t="s">
        <v>187</v>
      </c>
      <c r="O8" s="52" t="s">
        <v>579</v>
      </c>
      <c r="Q8" s="12" t="s">
        <v>474</v>
      </c>
      <c r="R8" s="12" t="s">
        <v>474</v>
      </c>
      <c r="S8" s="12" t="s">
        <v>310</v>
      </c>
    </row>
    <row r="9" spans="1:25" s="290" customFormat="1" ht="15" customHeight="1">
      <c r="A9" s="13" t="s">
        <v>110</v>
      </c>
      <c r="B9" s="178" t="s">
        <v>111</v>
      </c>
      <c r="C9" s="7" t="s">
        <v>112</v>
      </c>
      <c r="D9" s="7" t="s">
        <v>113</v>
      </c>
      <c r="E9" s="7"/>
      <c r="F9" s="416" t="s">
        <v>329</v>
      </c>
      <c r="G9" s="416" t="s">
        <v>330</v>
      </c>
      <c r="H9" s="283" t="s">
        <v>151</v>
      </c>
      <c r="I9" s="416" t="s">
        <v>251</v>
      </c>
      <c r="J9" s="288"/>
      <c r="K9" s="289" t="s">
        <v>152</v>
      </c>
      <c r="L9" s="408" t="s">
        <v>151</v>
      </c>
      <c r="M9" s="288"/>
      <c r="N9" s="289" t="s">
        <v>152</v>
      </c>
      <c r="O9" s="283" t="s">
        <v>580</v>
      </c>
      <c r="Q9" s="13" t="s">
        <v>153</v>
      </c>
      <c r="R9" s="13" t="s">
        <v>85</v>
      </c>
      <c r="S9" s="13" t="s">
        <v>323</v>
      </c>
      <c r="T9" s="7"/>
      <c r="U9" s="7"/>
      <c r="V9" s="7"/>
      <c r="W9" s="7"/>
      <c r="X9" s="7"/>
      <c r="Y9" s="7"/>
    </row>
    <row r="10" spans="1:25" ht="15" customHeight="1">
      <c r="A10" s="5">
        <v>2</v>
      </c>
      <c r="B10" s="285" t="s">
        <v>108</v>
      </c>
      <c r="C10" s="5" t="s">
        <v>546</v>
      </c>
      <c r="D10" s="5" t="s">
        <v>547</v>
      </c>
      <c r="E10" s="5"/>
      <c r="F10" s="411">
        <v>6948.3876391959402</v>
      </c>
      <c r="G10" s="411">
        <v>6948.3876391959402</v>
      </c>
      <c r="H10" s="280">
        <f t="shared" ref="H10:H35" si="0">I10/G10</f>
        <v>36.888881789137379</v>
      </c>
      <c r="I10" s="411">
        <v>256318.25024740238</v>
      </c>
      <c r="J10" s="281"/>
      <c r="K10" s="412">
        <v>0</v>
      </c>
      <c r="L10" s="410">
        <v>0</v>
      </c>
      <c r="M10" s="281"/>
      <c r="N10" s="432">
        <f t="shared" ref="N10:N35" si="1">O10/G10</f>
        <v>36.888881789137379</v>
      </c>
      <c r="O10" s="314">
        <f t="shared" ref="O10:O35" si="2">I10+L10</f>
        <v>256318.25024740238</v>
      </c>
      <c r="P10" s="281"/>
      <c r="Q10" s="335">
        <f>G10/G$38</f>
        <v>5.2528978884164031E-2</v>
      </c>
      <c r="R10" s="335">
        <f>O10/O$38</f>
        <v>6.9857356787793286E-3</v>
      </c>
      <c r="S10" s="160">
        <f>Q10*(Q10-R10)</f>
        <v>2.3923400606519997E-3</v>
      </c>
    </row>
    <row r="11" spans="1:25" ht="15" customHeight="1">
      <c r="A11" s="5">
        <v>2</v>
      </c>
      <c r="B11" s="286" t="s">
        <v>109</v>
      </c>
      <c r="C11" s="5" t="s">
        <v>502</v>
      </c>
      <c r="D11" s="5" t="s">
        <v>503</v>
      </c>
      <c r="E11" s="5"/>
      <c r="F11" s="411">
        <v>235.94180362566135</v>
      </c>
      <c r="G11" s="411">
        <v>235.94180362566135</v>
      </c>
      <c r="H11" s="280">
        <f t="shared" si="0"/>
        <v>42.513354632587863</v>
      </c>
      <c r="I11" s="411">
        <v>10030.677570190146</v>
      </c>
      <c r="J11" s="281"/>
      <c r="K11" s="280"/>
      <c r="L11" s="411"/>
      <c r="M11" s="281"/>
      <c r="N11" s="432">
        <f t="shared" si="1"/>
        <v>42.513354632587863</v>
      </c>
      <c r="O11" s="314">
        <f t="shared" si="2"/>
        <v>10030.677570190146</v>
      </c>
      <c r="P11" s="281"/>
      <c r="Q11" s="335">
        <f>(G11/G$38)+Q10</f>
        <v>5.4312670679168451E-2</v>
      </c>
      <c r="R11" s="335">
        <f>(O11/O$38)+R10</f>
        <v>7.2591132557438039E-3</v>
      </c>
      <c r="S11" s="160">
        <f>(Q11-Q10)*(Q11-R11+Q10-R10)</f>
        <v>1.6516415352526738E-4</v>
      </c>
    </row>
    <row r="12" spans="1:25" ht="15" customHeight="1">
      <c r="A12" s="5">
        <v>2</v>
      </c>
      <c r="B12" s="285" t="s">
        <v>108</v>
      </c>
      <c r="C12" s="5" t="s">
        <v>502</v>
      </c>
      <c r="D12" s="5" t="s">
        <v>503</v>
      </c>
      <c r="E12" s="5"/>
      <c r="F12" s="411">
        <v>415.55032600872619</v>
      </c>
      <c r="G12" s="411">
        <v>415.55032600872619</v>
      </c>
      <c r="H12" s="280">
        <f t="shared" si="0"/>
        <v>43.431309904153352</v>
      </c>
      <c r="I12" s="411">
        <v>18047.894989656943</v>
      </c>
      <c r="J12" s="281"/>
      <c r="K12" s="405"/>
      <c r="L12" s="410"/>
      <c r="M12" s="281"/>
      <c r="N12" s="432">
        <f t="shared" si="1"/>
        <v>43.431309904153352</v>
      </c>
      <c r="O12" s="314">
        <f t="shared" si="2"/>
        <v>18047.894989656943</v>
      </c>
      <c r="P12" s="281"/>
      <c r="Q12" s="335">
        <f t="shared" ref="Q12:Q35" si="3">(G12/G$38)+Q11</f>
        <v>5.74541814056405E-2</v>
      </c>
      <c r="R12" s="335">
        <f t="shared" ref="R12:R35" si="4">(O12/O$38)+R11</f>
        <v>7.7509932675432639E-3</v>
      </c>
      <c r="S12" s="160">
        <f t="shared" ref="S12:S35" si="5">(Q12-Q11)*(Q12-R12+Q11-R11)</f>
        <v>3.0396235404004789E-4</v>
      </c>
    </row>
    <row r="13" spans="1:25" ht="15" customHeight="1">
      <c r="A13" s="5">
        <v>2</v>
      </c>
      <c r="B13" s="286" t="s">
        <v>109</v>
      </c>
      <c r="C13" s="5" t="s">
        <v>546</v>
      </c>
      <c r="D13" s="5" t="s">
        <v>547</v>
      </c>
      <c r="E13" s="5"/>
      <c r="F13" s="411">
        <v>672.59682139033032</v>
      </c>
      <c r="G13" s="411">
        <v>672.59682139033032</v>
      </c>
      <c r="H13" s="280">
        <f t="shared" si="0"/>
        <v>55.734766773162931</v>
      </c>
      <c r="I13" s="411">
        <v>37487.026972560787</v>
      </c>
      <c r="J13" s="281"/>
      <c r="K13" s="405">
        <v>0</v>
      </c>
      <c r="L13" s="410">
        <v>0</v>
      </c>
      <c r="M13" s="281"/>
      <c r="N13" s="432">
        <f t="shared" si="1"/>
        <v>55.734766773162931</v>
      </c>
      <c r="O13" s="314">
        <f t="shared" si="2"/>
        <v>37487.026972560787</v>
      </c>
      <c r="P13" s="281"/>
      <c r="Q13" s="335">
        <f t="shared" si="3"/>
        <v>6.2538932870723832E-2</v>
      </c>
      <c r="R13" s="335">
        <f t="shared" si="4"/>
        <v>8.772670270881168E-3</v>
      </c>
      <c r="S13" s="160">
        <f t="shared" si="5"/>
        <v>5.2611644123110751E-4</v>
      </c>
    </row>
    <row r="14" spans="1:25" ht="15" customHeight="1">
      <c r="A14" s="5">
        <v>2</v>
      </c>
      <c r="B14" s="285" t="s">
        <v>108</v>
      </c>
      <c r="C14" s="5" t="s">
        <v>599</v>
      </c>
      <c r="D14" s="5" t="s">
        <v>600</v>
      </c>
      <c r="E14" s="5"/>
      <c r="F14" s="411">
        <v>32433.40982316939</v>
      </c>
      <c r="G14" s="411">
        <v>32433.40982316939</v>
      </c>
      <c r="H14" s="280">
        <f t="shared" si="0"/>
        <v>104.4330788124533</v>
      </c>
      <c r="I14" s="411">
        <v>3387120.844219646</v>
      </c>
      <c r="J14" s="281"/>
      <c r="K14" s="405">
        <v>9.9736081615728729</v>
      </c>
      <c r="L14" s="410">
        <v>323478.12092000002</v>
      </c>
      <c r="M14" s="281"/>
      <c r="N14" s="432">
        <f t="shared" si="1"/>
        <v>114.40668697402617</v>
      </c>
      <c r="O14" s="314">
        <f t="shared" si="2"/>
        <v>3710598.9651396461</v>
      </c>
      <c r="P14" s="281"/>
      <c r="Q14" s="335">
        <f t="shared" si="3"/>
        <v>0.30773162910605545</v>
      </c>
      <c r="R14" s="335">
        <f t="shared" si="4"/>
        <v>0.10990188582770583</v>
      </c>
      <c r="S14" s="160">
        <f t="shared" si="5"/>
        <v>6.1689503043314303E-2</v>
      </c>
    </row>
    <row r="15" spans="1:25" ht="15" customHeight="1">
      <c r="A15" s="5">
        <v>2</v>
      </c>
      <c r="B15" s="285" t="s">
        <v>108</v>
      </c>
      <c r="C15" s="5" t="s">
        <v>659</v>
      </c>
      <c r="D15" s="5" t="s">
        <v>545</v>
      </c>
      <c r="E15" s="5"/>
      <c r="F15" s="390">
        <v>16242.581609038461</v>
      </c>
      <c r="G15" s="390">
        <v>6316.5595146260684</v>
      </c>
      <c r="H15" s="280">
        <f t="shared" si="0"/>
        <v>123.61340571428573</v>
      </c>
      <c r="I15" s="390">
        <v>780811.43399990397</v>
      </c>
      <c r="J15" s="281"/>
      <c r="K15" s="412">
        <v>0</v>
      </c>
      <c r="L15" s="410">
        <v>0</v>
      </c>
      <c r="M15" s="281"/>
      <c r="N15" s="432">
        <f t="shared" si="1"/>
        <v>123.61340571428573</v>
      </c>
      <c r="O15" s="354">
        <f t="shared" si="2"/>
        <v>780811.43399990397</v>
      </c>
      <c r="P15" s="281"/>
      <c r="Q15" s="335">
        <f t="shared" si="3"/>
        <v>0.35548406299340174</v>
      </c>
      <c r="R15" s="335">
        <f t="shared" si="4"/>
        <v>0.13118223667134327</v>
      </c>
      <c r="S15" s="160">
        <f t="shared" si="5"/>
        <v>2.0157809869105203E-2</v>
      </c>
    </row>
    <row r="16" spans="1:25" ht="15" customHeight="1">
      <c r="A16" s="5">
        <v>2</v>
      </c>
      <c r="B16" s="286" t="s">
        <v>109</v>
      </c>
      <c r="C16" s="5" t="s">
        <v>599</v>
      </c>
      <c r="D16" s="5" t="s">
        <v>600</v>
      </c>
      <c r="E16" s="5"/>
      <c r="F16" s="411">
        <v>1139.8754213249404</v>
      </c>
      <c r="G16" s="411">
        <v>1139.8754213249404</v>
      </c>
      <c r="H16" s="280">
        <f t="shared" si="0"/>
        <v>157.16200000000001</v>
      </c>
      <c r="I16" s="411">
        <v>179145.10096627029</v>
      </c>
      <c r="J16" s="281"/>
      <c r="K16" s="405">
        <v>2.0645766074038225</v>
      </c>
      <c r="L16" s="410">
        <v>2353.3601302220482</v>
      </c>
      <c r="M16" s="281"/>
      <c r="N16" s="432">
        <f t="shared" si="1"/>
        <v>159.22657660740384</v>
      </c>
      <c r="O16" s="314">
        <f t="shared" si="2"/>
        <v>181498.46109649233</v>
      </c>
      <c r="P16" s="281"/>
      <c r="Q16" s="335">
        <f t="shared" si="3"/>
        <v>0.36410138474436327</v>
      </c>
      <c r="R16" s="335">
        <f t="shared" si="4"/>
        <v>0.13612882269907056</v>
      </c>
      <c r="S16" s="160">
        <f t="shared" si="5"/>
        <v>3.8973939242807959E-3</v>
      </c>
    </row>
    <row r="17" spans="1:22" ht="15" customHeight="1">
      <c r="A17" s="5">
        <v>2</v>
      </c>
      <c r="B17" s="285" t="s">
        <v>108</v>
      </c>
      <c r="C17" s="5" t="s">
        <v>489</v>
      </c>
      <c r="D17" s="5" t="s">
        <v>501</v>
      </c>
      <c r="E17" s="5"/>
      <c r="F17" s="411">
        <v>9914.4805205116027</v>
      </c>
      <c r="G17" s="411">
        <v>7141</v>
      </c>
      <c r="H17" s="280">
        <f t="shared" si="0"/>
        <v>166.57659647893684</v>
      </c>
      <c r="I17" s="411">
        <v>1189523.4754560879</v>
      </c>
      <c r="J17" s="281"/>
      <c r="K17" s="405">
        <v>36.177270817396085</v>
      </c>
      <c r="L17" s="410">
        <v>258341.89090702543</v>
      </c>
      <c r="M17" s="281"/>
      <c r="N17" s="432">
        <f t="shared" si="1"/>
        <v>202.75386729633291</v>
      </c>
      <c r="O17" s="314">
        <f t="shared" si="2"/>
        <v>1447865.3663631133</v>
      </c>
      <c r="P17" s="281"/>
      <c r="Q17" s="335">
        <f t="shared" si="3"/>
        <v>0.41808649002199894</v>
      </c>
      <c r="R17" s="335">
        <f t="shared" si="4"/>
        <v>0.17558916053341955</v>
      </c>
      <c r="S17" s="160">
        <f t="shared" si="5"/>
        <v>2.5398366624413918E-2</v>
      </c>
      <c r="U17" s="54">
        <f>(0.4-Q16)/(Q17-Q16)</f>
        <v>0.66497258958775107</v>
      </c>
      <c r="V17" s="54">
        <f>100*(R16+(U17*(R17-R16)))</f>
        <v>16.236886573478511</v>
      </c>
    </row>
    <row r="18" spans="1:22" ht="15" customHeight="1">
      <c r="A18" s="5">
        <v>2</v>
      </c>
      <c r="B18" s="286" t="s">
        <v>109</v>
      </c>
      <c r="C18" s="5" t="s">
        <v>688</v>
      </c>
      <c r="D18" s="5" t="s">
        <v>595</v>
      </c>
      <c r="E18" s="5"/>
      <c r="F18" s="411">
        <v>230.56324860782343</v>
      </c>
      <c r="G18" s="411">
        <v>230.56324860782343</v>
      </c>
      <c r="H18" s="280">
        <f t="shared" si="0"/>
        <v>157.16199999999998</v>
      </c>
      <c r="I18" s="411">
        <v>36235.781277702743</v>
      </c>
      <c r="J18" s="281"/>
      <c r="K18" s="405">
        <v>46.498168403113155</v>
      </c>
      <c r="L18" s="410">
        <v>10720.768761335419</v>
      </c>
      <c r="M18" s="281"/>
      <c r="N18" s="432">
        <f t="shared" si="1"/>
        <v>203.66016840311315</v>
      </c>
      <c r="O18" s="314">
        <f t="shared" si="2"/>
        <v>46956.550039038164</v>
      </c>
      <c r="P18" s="281"/>
      <c r="Q18" s="335">
        <f t="shared" si="3"/>
        <v>0.41982952058483985</v>
      </c>
      <c r="R18" s="335">
        <f t="shared" si="4"/>
        <v>0.17686892132549534</v>
      </c>
      <c r="S18" s="160">
        <f t="shared" si="5"/>
        <v>8.461680067810807E-4</v>
      </c>
      <c r="V18" s="54">
        <f>100-V17</f>
        <v>83.763113426521485</v>
      </c>
    </row>
    <row r="19" spans="1:22" ht="15" customHeight="1">
      <c r="A19" s="5">
        <v>2</v>
      </c>
      <c r="B19" s="285" t="s">
        <v>108</v>
      </c>
      <c r="C19" s="5" t="s">
        <v>688</v>
      </c>
      <c r="D19" s="5" t="s">
        <v>595</v>
      </c>
      <c r="E19" s="5"/>
      <c r="F19" s="411">
        <v>2003.1246358252829</v>
      </c>
      <c r="G19" s="411">
        <v>2003.1246358252829</v>
      </c>
      <c r="H19" s="280">
        <f t="shared" si="0"/>
        <v>104.1336143104833</v>
      </c>
      <c r="I19" s="411">
        <v>208592.60824285733</v>
      </c>
      <c r="J19" s="281"/>
      <c r="K19" s="405">
        <v>104.69269510332566</v>
      </c>
      <c r="L19" s="410">
        <v>209712.51675241659</v>
      </c>
      <c r="M19" s="281"/>
      <c r="N19" s="432">
        <f t="shared" si="1"/>
        <v>208.82630941380896</v>
      </c>
      <c r="O19" s="314">
        <f t="shared" si="2"/>
        <v>418305.12499527389</v>
      </c>
      <c r="P19" s="281"/>
      <c r="Q19" s="335">
        <f t="shared" si="3"/>
        <v>0.43497290307318232</v>
      </c>
      <c r="R19" s="335">
        <f t="shared" si="4"/>
        <v>0.18826947135841421</v>
      </c>
      <c r="S19" s="160">
        <f t="shared" si="5"/>
        <v>7.4151697118245569E-3</v>
      </c>
      <c r="U19" s="54">
        <f>(SUM(O8:O16)+(U17*O17))/(SUM(G8:G16)+(U17*G17))</f>
        <v>112.59654530850165</v>
      </c>
      <c r="V19" s="5" t="s">
        <v>664</v>
      </c>
    </row>
    <row r="20" spans="1:22" ht="15" customHeight="1">
      <c r="A20" s="5">
        <v>2</v>
      </c>
      <c r="B20" s="285" t="s">
        <v>108</v>
      </c>
      <c r="C20" s="5" t="s">
        <v>505</v>
      </c>
      <c r="D20" s="5" t="s">
        <v>506</v>
      </c>
      <c r="E20" s="5"/>
      <c r="F20" s="411">
        <v>24319.008653869379</v>
      </c>
      <c r="G20" s="411">
        <v>17516</v>
      </c>
      <c r="H20" s="280">
        <f t="shared" si="0"/>
        <v>206.46683820681147</v>
      </c>
      <c r="I20" s="411">
        <v>3616473.1380305099</v>
      </c>
      <c r="J20" s="281"/>
      <c r="K20" s="405">
        <v>50.560093280826621</v>
      </c>
      <c r="L20" s="410">
        <v>885610.59390695905</v>
      </c>
      <c r="M20" s="281"/>
      <c r="N20" s="432">
        <f t="shared" si="1"/>
        <v>257.02693148763808</v>
      </c>
      <c r="O20" s="314">
        <f t="shared" si="2"/>
        <v>4502083.731937469</v>
      </c>
      <c r="P20" s="281"/>
      <c r="Q20" s="335">
        <f t="shared" si="3"/>
        <v>0.56739176654371404</v>
      </c>
      <c r="R20" s="335">
        <f t="shared" si="4"/>
        <v>0.31096993035690995</v>
      </c>
      <c r="S20" s="160">
        <f t="shared" si="5"/>
        <v>6.6623276158832984E-2</v>
      </c>
      <c r="U20">
        <f>(0.5-Q19)/(Q20-Q19)</f>
        <v>0.4910712508968838</v>
      </c>
      <c r="V20" s="5">
        <f>N19+(U20*(N20-N19))</f>
        <v>232.49624918961217</v>
      </c>
    </row>
    <row r="21" spans="1:22" ht="15" customHeight="1">
      <c r="A21" s="5">
        <v>2</v>
      </c>
      <c r="B21" s="286" t="s">
        <v>109</v>
      </c>
      <c r="C21" s="5" t="s">
        <v>489</v>
      </c>
      <c r="D21" s="5" t="s">
        <v>501</v>
      </c>
      <c r="E21" s="5"/>
      <c r="F21" s="411">
        <v>1261.8585121287699</v>
      </c>
      <c r="G21" s="411">
        <v>860</v>
      </c>
      <c r="H21" s="280">
        <f t="shared" si="0"/>
        <v>226.1939234790849</v>
      </c>
      <c r="I21" s="411">
        <v>194526.77419201302</v>
      </c>
      <c r="J21" s="281"/>
      <c r="K21" s="405">
        <v>39.74842313346749</v>
      </c>
      <c r="L21" s="410">
        <v>34183.643894782042</v>
      </c>
      <c r="M21" s="281"/>
      <c r="N21" s="432">
        <f t="shared" si="1"/>
        <v>265.9423466125524</v>
      </c>
      <c r="O21" s="314">
        <f t="shared" si="2"/>
        <v>228710.41808679508</v>
      </c>
      <c r="P21" s="281"/>
      <c r="Q21" s="335">
        <f t="shared" si="3"/>
        <v>0.57389326360837822</v>
      </c>
      <c r="R21" s="335">
        <f t="shared" si="4"/>
        <v>0.31720323807571393</v>
      </c>
      <c r="S21" s="160">
        <f t="shared" si="5"/>
        <v>3.3359952628134988E-3</v>
      </c>
    </row>
    <row r="22" spans="1:22" ht="15" customHeight="1">
      <c r="A22" s="5">
        <v>2</v>
      </c>
      <c r="B22" s="286" t="s">
        <v>109</v>
      </c>
      <c r="C22" s="5" t="s">
        <v>693</v>
      </c>
      <c r="D22" s="5" t="s">
        <v>545</v>
      </c>
      <c r="E22" s="5"/>
      <c r="F22" s="411">
        <v>2537.0550000000003</v>
      </c>
      <c r="G22" s="418">
        <v>986.63250000000005</v>
      </c>
      <c r="H22" s="280">
        <f t="shared" si="0"/>
        <v>279.77170731428572</v>
      </c>
      <c r="I22" s="411">
        <v>276031.859016762</v>
      </c>
      <c r="J22" s="281"/>
      <c r="K22" s="405">
        <v>0</v>
      </c>
      <c r="L22" s="410">
        <v>0</v>
      </c>
      <c r="M22" s="281"/>
      <c r="N22" s="432">
        <f t="shared" si="1"/>
        <v>279.77170731428572</v>
      </c>
      <c r="O22" s="314">
        <f t="shared" si="2"/>
        <v>276031.859016762</v>
      </c>
      <c r="P22" s="281"/>
      <c r="Q22" s="335">
        <f t="shared" si="3"/>
        <v>0.58135208721611342</v>
      </c>
      <c r="R22" s="335">
        <f t="shared" si="4"/>
        <v>0.3247262513771545</v>
      </c>
      <c r="S22" s="160">
        <f t="shared" si="5"/>
        <v>3.8287324650235917E-3</v>
      </c>
      <c r="U22" s="54"/>
      <c r="V22" s="54"/>
    </row>
    <row r="23" spans="1:22" ht="15" customHeight="1">
      <c r="A23" s="5">
        <v>2</v>
      </c>
      <c r="B23" s="285" t="s">
        <v>108</v>
      </c>
      <c r="C23" s="5" t="s">
        <v>562</v>
      </c>
      <c r="D23" s="5" t="s">
        <v>568</v>
      </c>
      <c r="E23" s="5"/>
      <c r="F23" s="411">
        <v>10195.940448093332</v>
      </c>
      <c r="G23" s="411">
        <v>8522.9731000000011</v>
      </c>
      <c r="H23" s="280">
        <f t="shared" si="0"/>
        <v>238.71207686116077</v>
      </c>
      <c r="I23" s="411">
        <v>2034536.609732806</v>
      </c>
      <c r="J23" s="281"/>
      <c r="K23" s="405">
        <v>43.327894650701062</v>
      </c>
      <c r="L23" s="410">
        <v>369282.48058755911</v>
      </c>
      <c r="M23" s="281"/>
      <c r="N23" s="432">
        <f t="shared" si="1"/>
        <v>282.03997151186184</v>
      </c>
      <c r="O23" s="314">
        <f t="shared" si="2"/>
        <v>2403819.090320365</v>
      </c>
      <c r="P23" s="281"/>
      <c r="Q23" s="335">
        <f t="shared" si="3"/>
        <v>0.64578474371827799</v>
      </c>
      <c r="R23" s="335">
        <f t="shared" si="4"/>
        <v>0.39024029405017335</v>
      </c>
      <c r="S23" s="160">
        <f t="shared" si="5"/>
        <v>3.300049207669218E-2</v>
      </c>
      <c r="U23" s="54"/>
      <c r="V23" s="54"/>
    </row>
    <row r="24" spans="1:22" ht="15" customHeight="1">
      <c r="A24" s="5">
        <v>2</v>
      </c>
      <c r="B24" s="285" t="s">
        <v>108</v>
      </c>
      <c r="C24" s="5" t="s">
        <v>585</v>
      </c>
      <c r="D24" s="5" t="s">
        <v>425</v>
      </c>
      <c r="E24" s="5"/>
      <c r="F24" s="411">
        <v>14413.417798957922</v>
      </c>
      <c r="G24" s="411">
        <v>10381.402867192013</v>
      </c>
      <c r="H24" s="280">
        <f t="shared" si="0"/>
        <v>243.86554216583775</v>
      </c>
      <c r="I24" s="411">
        <v>2531666.4386497629</v>
      </c>
      <c r="J24" s="281"/>
      <c r="K24" s="405">
        <v>50.560093280826621</v>
      </c>
      <c r="L24" s="410">
        <v>524884.69735106907</v>
      </c>
      <c r="M24" s="281"/>
      <c r="N24" s="432">
        <f t="shared" si="1"/>
        <v>294.42563544666439</v>
      </c>
      <c r="O24" s="314">
        <f t="shared" si="2"/>
        <v>3056551.1360008321</v>
      </c>
      <c r="P24" s="281"/>
      <c r="Q24" s="335">
        <f t="shared" si="3"/>
        <v>0.72426690682077199</v>
      </c>
      <c r="R24" s="335">
        <f t="shared" si="4"/>
        <v>0.47354399288615157</v>
      </c>
      <c r="S24" s="160">
        <f t="shared" si="5"/>
        <v>3.9732957803738707E-2</v>
      </c>
    </row>
    <row r="25" spans="1:22" ht="15" customHeight="1">
      <c r="A25" s="5">
        <v>2</v>
      </c>
      <c r="B25" s="285" t="s">
        <v>108</v>
      </c>
      <c r="C25" s="5" t="s">
        <v>635</v>
      </c>
      <c r="D25" s="5" t="s">
        <v>617</v>
      </c>
      <c r="E25" s="5"/>
      <c r="F25" s="411">
        <v>10195.940448093332</v>
      </c>
      <c r="G25" s="411">
        <v>8522.9731000000011</v>
      </c>
      <c r="H25" s="280">
        <f t="shared" si="0"/>
        <v>238.71207686116077</v>
      </c>
      <c r="I25" s="411">
        <v>2034536.609732806</v>
      </c>
      <c r="J25" s="281"/>
      <c r="K25" s="405">
        <v>96.410465740107426</v>
      </c>
      <c r="L25" s="410">
        <v>821703.80606140732</v>
      </c>
      <c r="M25" s="281"/>
      <c r="N25" s="432">
        <f t="shared" si="1"/>
        <v>335.12254260126821</v>
      </c>
      <c r="O25" s="314">
        <f t="shared" si="2"/>
        <v>2856240.4157942133</v>
      </c>
      <c r="P25" s="281"/>
      <c r="Q25" s="335">
        <f t="shared" si="3"/>
        <v>0.78869956332293656</v>
      </c>
      <c r="R25" s="335">
        <f t="shared" si="4"/>
        <v>0.55138839358928626</v>
      </c>
      <c r="S25" s="160">
        <f t="shared" si="5"/>
        <v>3.1445332474346326E-2</v>
      </c>
    </row>
    <row r="26" spans="1:22" ht="15" customHeight="1">
      <c r="A26" s="5">
        <v>2</v>
      </c>
      <c r="B26" s="286" t="s">
        <v>109</v>
      </c>
      <c r="C26" s="5" t="s">
        <v>586</v>
      </c>
      <c r="D26" s="5" t="s">
        <v>596</v>
      </c>
      <c r="E26" s="5"/>
      <c r="F26" s="411">
        <v>373.68641911311346</v>
      </c>
      <c r="G26" s="411">
        <v>254.68015419186904</v>
      </c>
      <c r="H26" s="280">
        <f t="shared" si="0"/>
        <v>327.9848580301578</v>
      </c>
      <c r="I26" s="411">
        <v>83531.234215718869</v>
      </c>
      <c r="J26" s="281"/>
      <c r="K26" s="405">
        <v>22.614155001121127</v>
      </c>
      <c r="L26" s="410">
        <v>5759.3764826043544</v>
      </c>
      <c r="M26" s="281"/>
      <c r="N26" s="432">
        <f t="shared" si="1"/>
        <v>350.5990130312789</v>
      </c>
      <c r="O26" s="314">
        <f t="shared" si="2"/>
        <v>89290.610698323217</v>
      </c>
      <c r="P26" s="281"/>
      <c r="Q26" s="335">
        <f t="shared" si="3"/>
        <v>0.7906249148053861</v>
      </c>
      <c r="R26" s="335">
        <f t="shared" si="4"/>
        <v>0.55382193316102257</v>
      </c>
      <c r="S26" s="160">
        <f t="shared" si="5"/>
        <v>9.1283638420596662E-4</v>
      </c>
    </row>
    <row r="27" spans="1:22" ht="15" customHeight="1">
      <c r="A27" s="5">
        <v>2</v>
      </c>
      <c r="B27" s="285" t="s">
        <v>108</v>
      </c>
      <c r="C27" s="5" t="s">
        <v>96</v>
      </c>
      <c r="D27" s="5" t="s">
        <v>107</v>
      </c>
      <c r="E27" s="5"/>
      <c r="F27" s="411">
        <v>18984.88379954427</v>
      </c>
      <c r="G27" s="411">
        <v>10725.923050589983</v>
      </c>
      <c r="H27" s="280">
        <f t="shared" si="0"/>
        <v>238.71207686116074</v>
      </c>
      <c r="I27" s="411">
        <v>2560407.3676593318</v>
      </c>
      <c r="J27" s="281"/>
      <c r="K27" s="405">
        <v>152.65733536142895</v>
      </c>
      <c r="L27" s="410">
        <v>1637390.8321947961</v>
      </c>
      <c r="M27" s="281"/>
      <c r="N27" s="432">
        <f t="shared" si="1"/>
        <v>391.36941222258969</v>
      </c>
      <c r="O27" s="314">
        <f t="shared" si="2"/>
        <v>4197798.1998541281</v>
      </c>
      <c r="P27" s="281"/>
      <c r="Q27" s="335">
        <f t="shared" si="3"/>
        <v>0.87171160925797253</v>
      </c>
      <c r="R27" s="335">
        <f t="shared" si="4"/>
        <v>0.66822934905408504</v>
      </c>
      <c r="S27" s="160">
        <f t="shared" si="5"/>
        <v>3.5701274877732246E-2</v>
      </c>
    </row>
    <row r="28" spans="1:22" ht="15" customHeight="1">
      <c r="A28" s="5">
        <v>2</v>
      </c>
      <c r="B28" s="285" t="s">
        <v>108</v>
      </c>
      <c r="C28" s="5" t="s">
        <v>525</v>
      </c>
      <c r="D28" s="5" t="s">
        <v>420</v>
      </c>
      <c r="E28" s="5"/>
      <c r="F28" s="411">
        <v>8816.3896147853629</v>
      </c>
      <c r="G28" s="411">
        <v>6350.08945843726</v>
      </c>
      <c r="H28" s="280">
        <f t="shared" si="0"/>
        <v>252.30897460645593</v>
      </c>
      <c r="I28" s="411">
        <v>1602184.5599175701</v>
      </c>
      <c r="J28" s="281"/>
      <c r="K28" s="405">
        <v>175.76116185987379</v>
      </c>
      <c r="L28" s="410">
        <v>1116099.1011290697</v>
      </c>
      <c r="M28" s="281"/>
      <c r="N28" s="432">
        <f t="shared" si="1"/>
        <v>428.07013646632976</v>
      </c>
      <c r="O28" s="314">
        <f t="shared" si="2"/>
        <v>2718283.66104664</v>
      </c>
      <c r="P28" s="281"/>
      <c r="Q28" s="335">
        <f t="shared" si="3"/>
        <v>0.91971752550725694</v>
      </c>
      <c r="R28" s="335">
        <f t="shared" si="4"/>
        <v>0.74231385586422327</v>
      </c>
      <c r="S28" s="160">
        <f t="shared" si="5"/>
        <v>1.8284778048762117E-2</v>
      </c>
      <c r="U28" s="54">
        <f>(0.9-Q27)/(Q28-Q27)</f>
        <v>0.58926884334697327</v>
      </c>
      <c r="V28" s="54">
        <f>100*(R27+(U28*(R28-R27)))</f>
        <v>71.188504069202622</v>
      </c>
    </row>
    <row r="29" spans="1:22" ht="15" customHeight="1">
      <c r="A29" s="5">
        <v>2</v>
      </c>
      <c r="B29" s="285" t="s">
        <v>108</v>
      </c>
      <c r="C29" s="5" t="s">
        <v>549</v>
      </c>
      <c r="D29" s="5" t="s">
        <v>578</v>
      </c>
      <c r="E29" s="5"/>
      <c r="F29" s="411">
        <v>4588.1732016419992</v>
      </c>
      <c r="G29" s="411">
        <v>3835.3378949999997</v>
      </c>
      <c r="H29" s="280">
        <f t="shared" si="0"/>
        <v>238.7120768611608</v>
      </c>
      <c r="I29" s="411">
        <v>915541.47437976254</v>
      </c>
      <c r="J29" s="281"/>
      <c r="K29" s="405">
        <v>208.83483357927449</v>
      </c>
      <c r="L29" s="410">
        <v>800952.15102260991</v>
      </c>
      <c r="M29" s="281"/>
      <c r="N29" s="432">
        <f t="shared" si="1"/>
        <v>447.54691044043528</v>
      </c>
      <c r="O29" s="314">
        <f t="shared" si="2"/>
        <v>1716493.6254023723</v>
      </c>
      <c r="P29" s="281"/>
      <c r="Q29" s="335">
        <f t="shared" si="3"/>
        <v>0.94871222093323093</v>
      </c>
      <c r="R29" s="335">
        <f t="shared" si="4"/>
        <v>0.789095428186119</v>
      </c>
      <c r="S29" s="160">
        <f t="shared" si="5"/>
        <v>9.7718056593231947E-3</v>
      </c>
      <c r="U29"/>
      <c r="V29" s="54">
        <f>100-V28</f>
        <v>28.811495930797378</v>
      </c>
    </row>
    <row r="30" spans="1:22" ht="15" customHeight="1">
      <c r="A30" s="5">
        <v>2</v>
      </c>
      <c r="B30" s="286" t="s">
        <v>109</v>
      </c>
      <c r="C30" s="5" t="s">
        <v>505</v>
      </c>
      <c r="D30" s="5" t="s">
        <v>506</v>
      </c>
      <c r="E30" s="5"/>
      <c r="F30" s="411">
        <v>2221.457892282509</v>
      </c>
      <c r="G30" s="411">
        <v>1514</v>
      </c>
      <c r="H30" s="280">
        <f t="shared" si="0"/>
        <v>375.02305427456565</v>
      </c>
      <c r="I30" s="411">
        <v>567784.90417169244</v>
      </c>
      <c r="J30" s="281"/>
      <c r="K30" s="405">
        <v>137.54915569934698</v>
      </c>
      <c r="L30" s="410">
        <v>208249.42172881134</v>
      </c>
      <c r="M30" s="281"/>
      <c r="N30" s="432">
        <f t="shared" si="1"/>
        <v>512.57220997391266</v>
      </c>
      <c r="O30" s="314">
        <f t="shared" si="2"/>
        <v>776034.32590050378</v>
      </c>
      <c r="P30" s="281"/>
      <c r="Q30" s="335">
        <f t="shared" si="3"/>
        <v>0.96015787971916289</v>
      </c>
      <c r="R30" s="335">
        <f t="shared" si="4"/>
        <v>0.81024558301578098</v>
      </c>
      <c r="S30" s="160">
        <f t="shared" si="5"/>
        <v>3.5427643421705617E-3</v>
      </c>
      <c r="U30" s="54">
        <f>(0.95-Q29)/(Q30-Q29)</f>
        <v>0.11251244605962338</v>
      </c>
      <c r="V30" s="54">
        <f>100*(R29+(U30*(R30-R29)))</f>
        <v>79.147508384054404</v>
      </c>
    </row>
    <row r="31" spans="1:22" ht="15" customHeight="1">
      <c r="A31" s="5">
        <v>2</v>
      </c>
      <c r="B31" s="286" t="s">
        <v>109</v>
      </c>
      <c r="C31" s="5" t="s">
        <v>585</v>
      </c>
      <c r="D31" s="5" t="s">
        <v>425</v>
      </c>
      <c r="E31" s="5"/>
      <c r="F31" s="411">
        <v>1006.4232633190234</v>
      </c>
      <c r="G31" s="411">
        <v>685.91208771434367</v>
      </c>
      <c r="H31" s="280">
        <f t="shared" si="0"/>
        <v>417.18603364284894</v>
      </c>
      <c r="I31" s="411">
        <v>286152.94330123294</v>
      </c>
      <c r="J31" s="281"/>
      <c r="K31" s="405">
        <v>137.54915569934698</v>
      </c>
      <c r="L31" s="410">
        <v>94346.628549084402</v>
      </c>
      <c r="M31" s="281"/>
      <c r="N31" s="432">
        <f t="shared" si="1"/>
        <v>554.73518934219601</v>
      </c>
      <c r="O31" s="314">
        <f t="shared" si="2"/>
        <v>380499.57185031736</v>
      </c>
      <c r="P31" s="281"/>
      <c r="Q31" s="335">
        <f t="shared" si="3"/>
        <v>0.96534329300392152</v>
      </c>
      <c r="R31" s="335">
        <f t="shared" si="4"/>
        <v>0.82061577488572945</v>
      </c>
      <c r="S31" s="160">
        <f t="shared" si="5"/>
        <v>1.5278292099946134E-3</v>
      </c>
      <c r="U31"/>
      <c r="V31" s="54">
        <f>100-V30</f>
        <v>20.852491615945596</v>
      </c>
    </row>
    <row r="32" spans="1:22" ht="15" customHeight="1">
      <c r="A32" s="5">
        <v>2</v>
      </c>
      <c r="B32" s="285" t="s">
        <v>108</v>
      </c>
      <c r="C32" s="5" t="s">
        <v>548</v>
      </c>
      <c r="D32" s="5" t="s">
        <v>556</v>
      </c>
      <c r="E32" s="5"/>
      <c r="F32" s="411">
        <v>509.79702240466656</v>
      </c>
      <c r="G32" s="411">
        <v>426.14865500000002</v>
      </c>
      <c r="H32" s="280">
        <f t="shared" si="0"/>
        <v>238.71207686116077</v>
      </c>
      <c r="I32" s="411">
        <v>101726.83048664029</v>
      </c>
      <c r="J32" s="281"/>
      <c r="K32" s="405">
        <v>578.61366737276012</v>
      </c>
      <c r="L32" s="410">
        <v>246575.43611551911</v>
      </c>
      <c r="M32" s="281"/>
      <c r="N32" s="432">
        <f t="shared" si="1"/>
        <v>817.32574423392089</v>
      </c>
      <c r="O32" s="314">
        <f t="shared" si="2"/>
        <v>348302.26660215942</v>
      </c>
      <c r="P32" s="281"/>
      <c r="Q32" s="335">
        <f t="shared" si="3"/>
        <v>0.96856492582902975</v>
      </c>
      <c r="R32" s="335">
        <f t="shared" si="4"/>
        <v>0.83010845661422095</v>
      </c>
      <c r="S32" s="160">
        <f t="shared" si="5"/>
        <v>9.1231482913702987E-4</v>
      </c>
      <c r="U32" s="54">
        <f>(SUM(O31:O$35)+((1-U30)*O30))/(SUM(G31:G$35)+((1-U30)*G30))</f>
        <v>1156.8318871501313</v>
      </c>
      <c r="V32" s="54"/>
    </row>
    <row r="33" spans="1:22" ht="15" customHeight="1">
      <c r="A33" s="5">
        <v>2</v>
      </c>
      <c r="B33" s="286" t="s">
        <v>109</v>
      </c>
      <c r="C33" s="5" t="s">
        <v>525</v>
      </c>
      <c r="D33" s="5" t="s">
        <v>420</v>
      </c>
      <c r="E33" s="5"/>
      <c r="F33" s="411">
        <v>3502.1229010025154</v>
      </c>
      <c r="G33" s="411">
        <v>2386.8172746096379</v>
      </c>
      <c r="H33" s="280">
        <f t="shared" si="0"/>
        <v>1076.2512523700495</v>
      </c>
      <c r="I33" s="411">
        <v>2568815.0809770911</v>
      </c>
      <c r="J33" s="281"/>
      <c r="K33" s="405">
        <v>203.56716305408384</v>
      </c>
      <c r="L33" s="410">
        <v>485877.62132076418</v>
      </c>
      <c r="M33" s="281"/>
      <c r="N33" s="432">
        <f t="shared" si="1"/>
        <v>1279.8184154241333</v>
      </c>
      <c r="O33" s="314">
        <f t="shared" si="2"/>
        <v>3054692.7022978552</v>
      </c>
      <c r="P33" s="281"/>
      <c r="Q33" s="335">
        <f t="shared" si="3"/>
        <v>0.98660897874154629</v>
      </c>
      <c r="R33" s="335">
        <f t="shared" si="4"/>
        <v>0.91336150542191208</v>
      </c>
      <c r="S33" s="160">
        <f t="shared" si="5"/>
        <v>3.8199971408798528E-3</v>
      </c>
      <c r="U33"/>
      <c r="V33"/>
    </row>
    <row r="34" spans="1:22" ht="15" customHeight="1">
      <c r="A34" s="5">
        <v>2</v>
      </c>
      <c r="B34" s="285" t="s">
        <v>108</v>
      </c>
      <c r="C34" s="5" t="s">
        <v>689</v>
      </c>
      <c r="D34" s="5" t="s">
        <v>226</v>
      </c>
      <c r="E34" s="5"/>
      <c r="F34" s="411">
        <v>1878.4235524619555</v>
      </c>
      <c r="G34" s="411">
        <v>1352.9526393621529</v>
      </c>
      <c r="H34" s="280">
        <f t="shared" si="0"/>
        <v>1443.1139810639543</v>
      </c>
      <c r="I34" s="411">
        <v>1952464.869580901</v>
      </c>
      <c r="J34" s="281"/>
      <c r="K34" s="405">
        <v>152.73506955191178</v>
      </c>
      <c r="L34" s="410">
        <v>206643.31547342104</v>
      </c>
      <c r="M34" s="281"/>
      <c r="N34" s="432">
        <f t="shared" si="1"/>
        <v>1595.8490506158662</v>
      </c>
      <c r="O34" s="314">
        <f t="shared" si="2"/>
        <v>2159108.1850543222</v>
      </c>
      <c r="P34" s="281"/>
      <c r="Q34" s="335">
        <f t="shared" si="3"/>
        <v>0.99683713875717728</v>
      </c>
      <c r="R34" s="335">
        <f t="shared" si="4"/>
        <v>0.9722061607210184</v>
      </c>
      <c r="S34" s="160">
        <f t="shared" si="5"/>
        <v>1.0011164625492062E-3</v>
      </c>
      <c r="U34" s="54">
        <f>(0.99-Q33)/(Q34-Q33)</f>
        <v>0.33153775979955691</v>
      </c>
      <c r="V34" s="54">
        <f>100*(R33+(U34*(R34-R33)))</f>
        <v>93.287073061595493</v>
      </c>
    </row>
    <row r="35" spans="1:22" ht="15" customHeight="1">
      <c r="A35" s="5">
        <v>2</v>
      </c>
      <c r="B35" s="286" t="s">
        <v>109</v>
      </c>
      <c r="C35" s="5" t="s">
        <v>689</v>
      </c>
      <c r="D35" s="5" t="s">
        <v>226</v>
      </c>
      <c r="E35" s="5"/>
      <c r="F35" s="413">
        <v>613.87144256812326</v>
      </c>
      <c r="G35" s="413">
        <v>418.37451309653005</v>
      </c>
      <c r="H35" s="280">
        <f t="shared" si="0"/>
        <v>2128.0367685602801</v>
      </c>
      <c r="I35" s="413">
        <v>890316.34689792036</v>
      </c>
      <c r="K35" s="404">
        <v>309.49734556346704</v>
      </c>
      <c r="L35" s="409">
        <v>129485.80125478403</v>
      </c>
      <c r="N35" s="432">
        <f t="shared" si="1"/>
        <v>2437.5341141237468</v>
      </c>
      <c r="O35" s="314">
        <f t="shared" si="2"/>
        <v>1019802.1481527044</v>
      </c>
      <c r="P35" s="5"/>
      <c r="Q35" s="335">
        <f t="shared" si="3"/>
        <v>0.99999999999999978</v>
      </c>
      <c r="R35" s="335">
        <f t="shared" si="4"/>
        <v>1.0000000000000002</v>
      </c>
      <c r="S35" s="160">
        <f t="shared" si="5"/>
        <v>7.7904365803377801E-5</v>
      </c>
      <c r="U35"/>
      <c r="V35" s="54">
        <f>100-V34</f>
        <v>6.7129269384045074</v>
      </c>
    </row>
    <row r="36" spans="1:22" ht="15" customHeight="1">
      <c r="A36" s="5"/>
      <c r="B36" s="87"/>
      <c r="C36" s="5"/>
      <c r="D36" s="5"/>
      <c r="E36" s="5"/>
      <c r="F36" s="413"/>
      <c r="P36" s="5"/>
      <c r="S36" s="334">
        <f>SUM(S10:S35)</f>
        <v>0.37631140175117367</v>
      </c>
      <c r="U36" s="54">
        <f>(SUM(O35:O$35)+((1-U34)*O34))/(SUM(G35:G$35)+((1-U34)*G34))</f>
        <v>1862.0623572190407</v>
      </c>
      <c r="V36" s="54"/>
    </row>
    <row r="37" spans="1:22" ht="15" customHeight="1" thickBot="1">
      <c r="A37" s="5"/>
      <c r="B37" s="87"/>
      <c r="C37" s="5"/>
      <c r="D37" s="5"/>
      <c r="E37" s="12" t="s">
        <v>498</v>
      </c>
      <c r="F37" s="413">
        <v>156875.15268540391</v>
      </c>
      <c r="G37" s="413">
        <v>125442.6710748668</v>
      </c>
      <c r="H37" s="292">
        <v>230.00897702483061</v>
      </c>
      <c r="I37" s="413">
        <v>28852940.44919242</v>
      </c>
      <c r="K37" s="292">
        <f>L37/G37</f>
        <v>66.736872651156034</v>
      </c>
      <c r="L37" s="406">
        <f>SUM(L10:L35)</f>
        <v>8371651.5645442409</v>
      </c>
      <c r="N37" s="292">
        <f>O37/G37</f>
        <v>248.47825347035294</v>
      </c>
      <c r="O37" s="293">
        <f>O38-O20-O35</f>
        <v>31169775.819338862</v>
      </c>
      <c r="P37" s="158"/>
      <c r="Q37" s="81"/>
      <c r="R37" s="81"/>
      <c r="S37" s="81"/>
      <c r="T37" s="81"/>
    </row>
    <row r="38" spans="1:22" ht="15" customHeight="1" thickBot="1">
      <c r="A38" s="5"/>
      <c r="B38" s="87"/>
      <c r="C38" s="5"/>
      <c r="D38" s="5"/>
      <c r="E38" s="12" t="s">
        <v>412</v>
      </c>
      <c r="F38" s="418">
        <f>SUM(F10:F35)</f>
        <v>175654.96181896445</v>
      </c>
      <c r="G38" s="418">
        <f>SUM(G10:G35)</f>
        <v>132277.22652896796</v>
      </c>
      <c r="H38" s="273">
        <f>I38/G38</f>
        <v>214.09588693396799</v>
      </c>
      <c r="I38" s="418">
        <f>SUM(I10:I35)</f>
        <v>28320010.134884797</v>
      </c>
      <c r="K38" s="333">
        <f>L38/G38</f>
        <v>63.288683806134209</v>
      </c>
      <c r="L38" s="406">
        <f>SUM(L10:L35)</f>
        <v>8371651.5645442409</v>
      </c>
      <c r="N38" s="273">
        <f>O38/G38</f>
        <v>277.38457074010216</v>
      </c>
      <c r="O38" s="298">
        <f>SUM(O10:O35)</f>
        <v>36691661.699429035</v>
      </c>
      <c r="P38" s="158"/>
      <c r="Q38" s="55" t="s">
        <v>311</v>
      </c>
      <c r="R38" s="461">
        <v>0.37631140175117367</v>
      </c>
      <c r="S38" s="95" t="s">
        <v>97</v>
      </c>
      <c r="T38" s="81"/>
    </row>
    <row r="39" spans="1:22" ht="15" customHeight="1">
      <c r="A39" s="5"/>
      <c r="B39" s="87"/>
      <c r="C39" s="5"/>
      <c r="D39" s="5"/>
      <c r="E39" s="5"/>
      <c r="F39" s="413"/>
      <c r="P39" s="81"/>
      <c r="Q39" s="55"/>
      <c r="R39" s="95" t="s">
        <v>309</v>
      </c>
      <c r="S39" s="95" t="s">
        <v>321</v>
      </c>
      <c r="T39" s="81"/>
    </row>
    <row r="40" spans="1:22" ht="15" customHeight="1">
      <c r="A40" s="5"/>
      <c r="B40" s="87"/>
      <c r="C40" s="5" t="s">
        <v>392</v>
      </c>
      <c r="D40" s="5"/>
      <c r="E40" s="5"/>
      <c r="F40" s="413"/>
      <c r="P40" s="81"/>
      <c r="Q40" s="55" t="s">
        <v>439</v>
      </c>
      <c r="R40" s="460">
        <v>6.7129269384045074</v>
      </c>
      <c r="S40" s="462">
        <v>1862.0623572190407</v>
      </c>
      <c r="T40" s="81"/>
    </row>
    <row r="41" spans="1:22" ht="15" customHeight="1">
      <c r="A41" s="5"/>
      <c r="B41" s="87"/>
      <c r="C41" s="5" t="s">
        <v>504</v>
      </c>
      <c r="D41" s="5"/>
      <c r="E41" s="5"/>
      <c r="F41" s="413"/>
      <c r="N41" s="203"/>
      <c r="O41" s="204"/>
      <c r="P41" s="81"/>
      <c r="Q41" s="55" t="s">
        <v>440</v>
      </c>
      <c r="R41" s="460">
        <v>20.852491615945596</v>
      </c>
      <c r="S41" s="462">
        <v>1156.8318871501313</v>
      </c>
      <c r="T41" s="81"/>
    </row>
    <row r="42" spans="1:22" ht="15" customHeight="1">
      <c r="A42" s="5"/>
      <c r="B42" s="87"/>
      <c r="C42" s="5" t="s">
        <v>598</v>
      </c>
      <c r="D42" s="5"/>
      <c r="E42" s="5"/>
      <c r="F42" s="413"/>
      <c r="M42" s="204"/>
      <c r="N42" s="204"/>
      <c r="O42" s="204"/>
      <c r="P42" s="81"/>
      <c r="Q42" s="55" t="s">
        <v>190</v>
      </c>
      <c r="R42" s="460">
        <v>28.811495930797378</v>
      </c>
      <c r="S42" s="462">
        <v>799.18644311444416</v>
      </c>
      <c r="T42" s="81"/>
    </row>
    <row r="43" spans="1:22" ht="15" customHeight="1">
      <c r="A43" s="5"/>
      <c r="B43" s="87"/>
      <c r="C43" s="5" t="s">
        <v>565</v>
      </c>
      <c r="D43" s="5"/>
      <c r="E43" s="5"/>
      <c r="F43" s="413"/>
      <c r="M43" s="204"/>
      <c r="N43" s="204"/>
      <c r="O43" s="204"/>
      <c r="P43" s="81"/>
      <c r="Q43" s="55" t="s">
        <v>5</v>
      </c>
      <c r="R43" s="460">
        <v>43.295050492966503</v>
      </c>
      <c r="S43" s="463">
        <v>600.46894980812863</v>
      </c>
      <c r="T43" s="81"/>
    </row>
    <row r="44" spans="1:22" ht="15" customHeight="1">
      <c r="A44" s="5"/>
      <c r="B44" s="87"/>
      <c r="C44" s="5" t="s">
        <v>402</v>
      </c>
      <c r="D44" s="5"/>
      <c r="E44" s="5"/>
      <c r="F44" s="413"/>
      <c r="M44" s="204"/>
      <c r="N44" s="204"/>
      <c r="O44" s="204"/>
      <c r="P44" s="81"/>
      <c r="Q44" s="55" t="s">
        <v>264</v>
      </c>
      <c r="R44" s="460">
        <f>100-R43-R45</f>
        <v>40.46806293355499</v>
      </c>
      <c r="S44" s="462">
        <v>280.63040663768959</v>
      </c>
      <c r="T44" s="398">
        <f>(R47-(0.2*S43)-(0.4*S45))/0.4</f>
        <v>280.63040663768959</v>
      </c>
    </row>
    <row r="45" spans="1:22" ht="15" customHeight="1">
      <c r="A45" s="5"/>
      <c r="B45" s="87"/>
      <c r="C45" s="5" t="s">
        <v>106</v>
      </c>
      <c r="D45" s="5"/>
      <c r="E45" s="5"/>
      <c r="F45" s="413"/>
      <c r="M45" s="204"/>
      <c r="N45" s="204"/>
      <c r="O45" s="204"/>
      <c r="P45" s="81"/>
      <c r="Q45" s="55" t="s">
        <v>265</v>
      </c>
      <c r="R45" s="460">
        <v>16.236886573478511</v>
      </c>
      <c r="S45" s="462">
        <v>112.59654530850165</v>
      </c>
      <c r="T45" s="81"/>
    </row>
    <row r="46" spans="1:22" ht="15" customHeight="1">
      <c r="A46" s="5"/>
      <c r="B46" s="87"/>
      <c r="C46" s="5" t="s">
        <v>449</v>
      </c>
      <c r="D46" s="5"/>
      <c r="E46" s="5"/>
      <c r="F46" s="413"/>
      <c r="M46" s="204"/>
      <c r="N46" s="204"/>
      <c r="O46" s="204"/>
      <c r="P46" s="81"/>
      <c r="Q46" s="55"/>
      <c r="R46" s="282"/>
      <c r="S46" s="282"/>
      <c r="T46" s="81"/>
    </row>
    <row r="47" spans="1:22" ht="15" customHeight="1">
      <c r="A47" s="5"/>
      <c r="B47" s="87"/>
      <c r="C47" s="5" t="s">
        <v>727</v>
      </c>
      <c r="D47" s="5"/>
      <c r="E47" s="5"/>
      <c r="F47" s="413"/>
      <c r="M47" s="204"/>
      <c r="N47" s="204"/>
      <c r="O47" s="204"/>
      <c r="P47" s="81"/>
      <c r="Q47" s="55" t="s">
        <v>326</v>
      </c>
      <c r="R47" s="462">
        <v>277.38457074010222</v>
      </c>
      <c r="S47" s="282"/>
      <c r="T47" s="81"/>
    </row>
    <row r="48" spans="1:22" ht="15" customHeight="1">
      <c r="A48" s="5"/>
      <c r="B48" s="87"/>
      <c r="C48" s="5" t="s">
        <v>721</v>
      </c>
      <c r="D48" s="5"/>
      <c r="E48" s="5"/>
      <c r="F48" s="413"/>
      <c r="M48" s="204"/>
      <c r="N48" s="204"/>
      <c r="O48" s="204"/>
      <c r="P48" s="81"/>
      <c r="Q48" s="5" t="s">
        <v>411</v>
      </c>
      <c r="R48" s="404">
        <v>232.49624918961217</v>
      </c>
      <c r="S48" s="175"/>
      <c r="T48" s="81"/>
    </row>
    <row r="49" spans="1:20" ht="15" customHeight="1">
      <c r="A49" s="5"/>
      <c r="B49" s="87"/>
      <c r="C49" s="5" t="s">
        <v>136</v>
      </c>
      <c r="D49" s="5"/>
      <c r="E49" s="5"/>
      <c r="F49" s="413"/>
      <c r="M49" s="204"/>
      <c r="N49" s="204"/>
      <c r="O49" s="204"/>
      <c r="P49" s="81"/>
      <c r="Q49" s="81"/>
      <c r="R49" s="81"/>
      <c r="S49" s="81"/>
      <c r="T49" s="81"/>
    </row>
    <row r="50" spans="1:20" ht="15" customHeight="1">
      <c r="A50" s="5"/>
      <c r="B50" s="87"/>
      <c r="C50" s="5" t="s">
        <v>590</v>
      </c>
      <c r="D50" s="5"/>
      <c r="E50" s="5"/>
      <c r="F50" s="413"/>
      <c r="M50" s="204"/>
      <c r="N50" s="204"/>
      <c r="O50" s="204"/>
      <c r="Q50" s="223"/>
    </row>
    <row r="51" spans="1:20" ht="15" customHeight="1">
      <c r="A51" s="5"/>
      <c r="B51" s="87"/>
      <c r="C51" s="5" t="s">
        <v>726</v>
      </c>
      <c r="D51" s="5"/>
      <c r="E51" s="5"/>
      <c r="F51" s="413"/>
      <c r="M51" s="204"/>
      <c r="N51" s="204"/>
      <c r="O51" s="204"/>
    </row>
    <row r="52" spans="1:20" ht="15" customHeight="1">
      <c r="A52" s="5"/>
      <c r="B52" s="87"/>
      <c r="C52" s="5"/>
      <c r="D52" s="5"/>
      <c r="E52" s="5"/>
      <c r="F52" s="413"/>
      <c r="M52" s="204"/>
      <c r="N52" s="204"/>
      <c r="O52" s="204"/>
    </row>
    <row r="53" spans="1:20" ht="15" customHeight="1">
      <c r="A53" s="5"/>
      <c r="B53" s="87"/>
      <c r="H53" s="203"/>
      <c r="K53" s="203"/>
      <c r="M53" s="204"/>
      <c r="N53" s="204"/>
      <c r="O53" s="204"/>
    </row>
    <row r="54" spans="1:20">
      <c r="H54" s="204"/>
      <c r="J54" s="204"/>
      <c r="K54" s="204"/>
      <c r="M54" s="204"/>
      <c r="N54" s="204"/>
      <c r="O54" s="204"/>
    </row>
    <row r="55" spans="1:20">
      <c r="H55" s="204"/>
      <c r="J55" s="204"/>
      <c r="K55" s="204"/>
      <c r="M55" s="204"/>
      <c r="N55" s="204"/>
      <c r="O55" s="204"/>
    </row>
    <row r="56" spans="1:20">
      <c r="H56" s="204"/>
      <c r="J56" s="204"/>
      <c r="K56" s="204"/>
      <c r="M56" s="204"/>
      <c r="N56" s="204"/>
      <c r="O56" s="204"/>
    </row>
    <row r="57" spans="1:20">
      <c r="H57" s="204"/>
      <c r="J57" s="204"/>
      <c r="K57" s="204"/>
      <c r="M57" s="204"/>
      <c r="N57" s="204"/>
      <c r="O57" s="204"/>
    </row>
    <row r="58" spans="1:20">
      <c r="H58" s="204"/>
      <c r="J58" s="204"/>
      <c r="K58" s="204"/>
      <c r="M58" s="204"/>
      <c r="N58" s="204"/>
      <c r="O58" s="204"/>
    </row>
    <row r="59" spans="1:20">
      <c r="H59" s="204"/>
      <c r="J59" s="204"/>
      <c r="K59" s="204"/>
      <c r="M59" s="204"/>
      <c r="N59" s="204"/>
      <c r="O59" s="204"/>
    </row>
    <row r="60" spans="1:20">
      <c r="H60" s="204"/>
      <c r="J60" s="204"/>
      <c r="K60" s="204"/>
      <c r="M60" s="204"/>
      <c r="N60" s="204"/>
      <c r="O60" s="204"/>
    </row>
    <row r="61" spans="1:20">
      <c r="H61" s="204"/>
      <c r="J61" s="204"/>
      <c r="K61" s="204"/>
    </row>
    <row r="62" spans="1:20">
      <c r="H62" s="204"/>
      <c r="J62" s="204"/>
      <c r="K62" s="204"/>
    </row>
    <row r="63" spans="1:20">
      <c r="H63" s="204"/>
      <c r="J63" s="204"/>
      <c r="K63" s="204"/>
    </row>
    <row r="64" spans="1:20">
      <c r="H64" s="204"/>
      <c r="J64" s="204"/>
      <c r="K64" s="204"/>
    </row>
    <row r="65" spans="8:11">
      <c r="H65" s="204"/>
      <c r="J65" s="204"/>
      <c r="K65" s="204"/>
    </row>
    <row r="66" spans="8:11">
      <c r="H66" s="204"/>
      <c r="J66" s="204"/>
      <c r="K66" s="204"/>
    </row>
    <row r="67" spans="8:11">
      <c r="H67" s="204"/>
      <c r="J67" s="204"/>
      <c r="K67" s="204"/>
    </row>
    <row r="68" spans="8:11">
      <c r="H68" s="204"/>
      <c r="J68" s="204"/>
      <c r="K68" s="204"/>
    </row>
    <row r="69" spans="8:11">
      <c r="H69" s="204"/>
      <c r="J69" s="204"/>
      <c r="K69" s="204"/>
    </row>
    <row r="70" spans="8:11">
      <c r="H70" s="204"/>
      <c r="J70" s="204"/>
      <c r="K70" s="204"/>
    </row>
    <row r="71" spans="8:11">
      <c r="H71" s="204"/>
      <c r="J71" s="204"/>
      <c r="K71" s="204"/>
    </row>
    <row r="72" spans="8:11">
      <c r="H72" s="204"/>
      <c r="J72" s="204"/>
      <c r="K72" s="204"/>
    </row>
  </sheetData>
  <sortState ref="A10:Y35">
    <sortCondition ref="N10:N35"/>
  </sortState>
  <phoneticPr fontId="20" type="noConversion"/>
  <pageMargins left="0.75" right="0.75" top="1" bottom="1" header="0.5" footer="0.5"/>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AB53"/>
  <sheetViews>
    <sheetView zoomScale="125" workbookViewId="0">
      <pane xSplit="8600" ySplit="4140" topLeftCell="L38"/>
      <selection activeCell="C2" sqref="C2"/>
      <selection pane="topRight" activeCell="Q7" sqref="Q7"/>
      <selection pane="bottomLeft" activeCell="A7" sqref="A7:G39"/>
      <selection pane="bottomRight" activeCell="W39" sqref="W39:Y49"/>
    </sheetView>
  </sheetViews>
  <sheetFormatPr baseColWidth="10" defaultRowHeight="15"/>
  <cols>
    <col min="1" max="1" width="8.5" style="5" customWidth="1"/>
    <col min="2" max="2" width="10.83203125" style="87"/>
    <col min="3" max="4" width="10.83203125" style="5"/>
    <col min="5" max="5" width="17.33203125" style="5" customWidth="1"/>
    <col min="6" max="6" width="12" style="391" customWidth="1"/>
    <col min="7" max="7" width="11.33203125" style="391" customWidth="1"/>
    <col min="8" max="8" width="10.83203125" style="5"/>
    <col min="9" max="9" width="13.83203125" style="138" customWidth="1"/>
    <col min="10" max="10" width="4.33203125" style="314" customWidth="1"/>
    <col min="11" max="11" width="10.83203125" style="142"/>
    <col min="12" max="12" width="12.83203125" style="358" customWidth="1"/>
    <col min="13" max="13" width="6.5" style="5" customWidth="1"/>
    <col min="14" max="14" width="10.83203125" style="142"/>
    <col min="15" max="15" width="12.33203125" style="364" bestFit="1" customWidth="1"/>
    <col min="16" max="16" width="4.83203125" style="5" customWidth="1"/>
    <col min="17" max="17" width="12.83203125" style="5" customWidth="1"/>
    <col min="18" max="18" width="14.6640625" style="5" customWidth="1"/>
    <col min="19" max="19" width="12.6640625" style="5" customWidth="1"/>
    <col min="20" max="20" width="7" style="5" customWidth="1"/>
    <col min="21" max="21" width="9.5" style="5" customWidth="1"/>
    <col min="22" max="22" width="11.1640625" style="5" customWidth="1"/>
    <col min="23" max="23" width="12" style="5" customWidth="1"/>
    <col min="24" max="24" width="13.1640625" style="5" customWidth="1"/>
    <col min="25" max="25" width="12" style="5" customWidth="1"/>
    <col min="26" max="26" width="8.1640625" style="5" customWidth="1"/>
    <col min="27" max="27" width="10.83203125" style="5"/>
    <col min="28" max="28" width="14" style="5" customWidth="1"/>
    <col min="29" max="16384" width="10.83203125" style="5"/>
  </cols>
  <sheetData>
    <row r="1" spans="1:27" ht="17">
      <c r="A1" t="s">
        <v>559</v>
      </c>
      <c r="C1" s="38" t="s">
        <v>168</v>
      </c>
      <c r="H1" s="142"/>
      <c r="Q1" s="12" t="s">
        <v>344</v>
      </c>
      <c r="R1" s="12" t="s">
        <v>344</v>
      </c>
      <c r="S1" s="12" t="s">
        <v>344</v>
      </c>
      <c r="T1" s="12"/>
      <c r="U1" s="12"/>
      <c r="V1" s="12"/>
      <c r="W1" s="12" t="s">
        <v>344</v>
      </c>
      <c r="X1" s="12" t="s">
        <v>344</v>
      </c>
      <c r="Y1" s="12" t="s">
        <v>344</v>
      </c>
    </row>
    <row r="2" spans="1:27">
      <c r="A2" s="40">
        <v>40575</v>
      </c>
      <c r="C2" s="5" t="s">
        <v>719</v>
      </c>
      <c r="H2" s="142"/>
      <c r="S2" s="160" t="s">
        <v>42</v>
      </c>
    </row>
    <row r="3" spans="1:27">
      <c r="A3" s="5" t="s">
        <v>160</v>
      </c>
      <c r="B3" s="218"/>
      <c r="C3" s="5" t="s">
        <v>722</v>
      </c>
      <c r="H3" s="142"/>
      <c r="S3" s="160" t="s">
        <v>203</v>
      </c>
    </row>
    <row r="4" spans="1:27">
      <c r="A4" s="220" t="s">
        <v>667</v>
      </c>
      <c r="B4" s="218"/>
      <c r="C4" s="54"/>
      <c r="I4" s="5"/>
      <c r="J4" s="5"/>
      <c r="K4" s="54"/>
      <c r="L4" s="359"/>
      <c r="M4" s="54"/>
      <c r="N4" s="54"/>
      <c r="O4" s="365"/>
      <c r="P4" s="54"/>
      <c r="Q4" s="273" t="s">
        <v>149</v>
      </c>
      <c r="S4" s="160"/>
      <c r="W4" s="273" t="s">
        <v>149</v>
      </c>
    </row>
    <row r="5" spans="1:27">
      <c r="A5" s="220" t="s">
        <v>692</v>
      </c>
      <c r="B5" s="218"/>
      <c r="C5" s="47"/>
      <c r="D5" s="47"/>
      <c r="E5" s="47"/>
      <c r="F5" s="392"/>
      <c r="G5" s="392"/>
      <c r="H5" s="464" t="s">
        <v>660</v>
      </c>
      <c r="I5" s="47"/>
      <c r="J5" s="47"/>
      <c r="K5" s="85" t="s">
        <v>472</v>
      </c>
      <c r="N5" s="464" t="s">
        <v>695</v>
      </c>
      <c r="Q5" s="273" t="s">
        <v>271</v>
      </c>
      <c r="W5" s="273" t="s">
        <v>271</v>
      </c>
    </row>
    <row r="6" spans="1:27">
      <c r="B6" s="5"/>
      <c r="F6" s="393" t="s">
        <v>169</v>
      </c>
      <c r="G6" s="393" t="s">
        <v>210</v>
      </c>
      <c r="H6" s="181" t="s">
        <v>542</v>
      </c>
      <c r="K6" s="85" t="s">
        <v>477</v>
      </c>
      <c r="N6" s="85" t="s">
        <v>478</v>
      </c>
      <c r="Q6" s="59" t="s">
        <v>638</v>
      </c>
      <c r="W6" s="59" t="s">
        <v>639</v>
      </c>
    </row>
    <row r="7" spans="1:27">
      <c r="F7" s="394" t="s">
        <v>170</v>
      </c>
      <c r="G7" s="395" t="s">
        <v>171</v>
      </c>
      <c r="H7" s="45" t="s">
        <v>421</v>
      </c>
      <c r="I7" s="44" t="s">
        <v>332</v>
      </c>
      <c r="J7" s="162"/>
      <c r="K7" s="153" t="s">
        <v>421</v>
      </c>
      <c r="L7" s="361" t="s">
        <v>84</v>
      </c>
      <c r="N7" s="153" t="s">
        <v>421</v>
      </c>
      <c r="O7" s="366" t="s">
        <v>416</v>
      </c>
      <c r="P7" s="43"/>
      <c r="Q7" s="5" t="s">
        <v>718</v>
      </c>
      <c r="W7" s="5" t="s">
        <v>718</v>
      </c>
    </row>
    <row r="8" spans="1:27">
      <c r="B8" s="58" t="s">
        <v>634</v>
      </c>
      <c r="C8" s="5" t="s">
        <v>422</v>
      </c>
      <c r="F8" s="394" t="s">
        <v>288</v>
      </c>
      <c r="G8" s="394" t="s">
        <v>679</v>
      </c>
      <c r="H8" s="154" t="s">
        <v>616</v>
      </c>
      <c r="I8" s="119" t="s">
        <v>248</v>
      </c>
      <c r="J8" s="433"/>
      <c r="K8" s="154" t="s">
        <v>616</v>
      </c>
      <c r="L8" s="362" t="s">
        <v>229</v>
      </c>
      <c r="N8" s="154" t="s">
        <v>616</v>
      </c>
      <c r="O8" s="367" t="s">
        <v>257</v>
      </c>
      <c r="P8" s="119"/>
      <c r="Q8" s="12" t="s">
        <v>474</v>
      </c>
      <c r="R8" s="12" t="s">
        <v>474</v>
      </c>
      <c r="S8" s="12" t="s">
        <v>296</v>
      </c>
      <c r="W8" s="12" t="s">
        <v>474</v>
      </c>
      <c r="X8" s="12" t="s">
        <v>474</v>
      </c>
      <c r="Y8" s="12" t="s">
        <v>296</v>
      </c>
    </row>
    <row r="9" spans="1:27" s="7" customFormat="1">
      <c r="A9" s="13" t="s">
        <v>305</v>
      </c>
      <c r="B9" s="178" t="s">
        <v>306</v>
      </c>
      <c r="C9" s="7" t="s">
        <v>307</v>
      </c>
      <c r="D9" s="7" t="s">
        <v>317</v>
      </c>
      <c r="F9" s="396" t="s">
        <v>318</v>
      </c>
      <c r="G9" s="396" t="s">
        <v>318</v>
      </c>
      <c r="H9" s="179" t="s">
        <v>318</v>
      </c>
      <c r="I9" s="283" t="s">
        <v>318</v>
      </c>
      <c r="J9" s="283"/>
      <c r="K9" s="179" t="s">
        <v>318</v>
      </c>
      <c r="L9" s="363" t="s">
        <v>318</v>
      </c>
      <c r="N9" s="179" t="s">
        <v>318</v>
      </c>
      <c r="O9" s="368" t="s">
        <v>318</v>
      </c>
      <c r="P9" s="182"/>
      <c r="Q9" s="13" t="s">
        <v>319</v>
      </c>
      <c r="R9" s="13" t="s">
        <v>320</v>
      </c>
      <c r="S9" s="13" t="s">
        <v>95</v>
      </c>
      <c r="U9" s="346" t="s">
        <v>624</v>
      </c>
      <c r="W9" s="13" t="s">
        <v>319</v>
      </c>
      <c r="X9" s="13" t="s">
        <v>320</v>
      </c>
      <c r="Y9" s="13" t="s">
        <v>95</v>
      </c>
      <c r="AA9" s="346" t="s">
        <v>624</v>
      </c>
    </row>
    <row r="10" spans="1:27">
      <c r="A10" s="5">
        <v>3</v>
      </c>
      <c r="B10" s="156" t="s">
        <v>289</v>
      </c>
      <c r="C10" s="5" t="s">
        <v>502</v>
      </c>
      <c r="D10" s="5" t="s">
        <v>503</v>
      </c>
      <c r="F10" s="391">
        <v>88.064721726642944</v>
      </c>
      <c r="G10" s="391">
        <v>88.064721726642944</v>
      </c>
      <c r="H10" s="433">
        <v>42.513354632587856</v>
      </c>
      <c r="I10" s="138">
        <v>3743.9267453849361</v>
      </c>
      <c r="K10" s="433">
        <v>0</v>
      </c>
      <c r="N10" s="433">
        <v>42.513354632587856</v>
      </c>
      <c r="O10" s="415">
        <v>3743.9267453849361</v>
      </c>
      <c r="Q10" s="278">
        <f>(G10/G$39)</f>
        <v>3.665978755430522E-4</v>
      </c>
      <c r="R10" s="279">
        <f>(O10/O$39)</f>
        <v>3.9709753583051648E-5</v>
      </c>
      <c r="S10" s="160">
        <f>Q10*(Q10-R10)</f>
        <v>1.1983649105079434E-7</v>
      </c>
      <c r="W10" s="294">
        <f>(G10/G$38)</f>
        <v>6.3000852310733679E-4</v>
      </c>
      <c r="X10" s="294">
        <f>(O10/O$38)</f>
        <v>4.5599505007053755E-5</v>
      </c>
      <c r="Y10" s="160">
        <f>W10*(W10-X10)</f>
        <v>3.6818266238396816E-7</v>
      </c>
    </row>
    <row r="11" spans="1:27">
      <c r="A11" s="5">
        <v>3</v>
      </c>
      <c r="B11" s="157" t="s">
        <v>560</v>
      </c>
      <c r="C11" s="5" t="s">
        <v>502</v>
      </c>
      <c r="D11" s="5" t="s">
        <v>503</v>
      </c>
      <c r="F11" s="391">
        <v>159.4840128206024</v>
      </c>
      <c r="G11" s="391">
        <v>159.4840128206024</v>
      </c>
      <c r="H11" s="433">
        <v>43.431309904153345</v>
      </c>
      <c r="I11" s="314">
        <v>6926.5995855695483</v>
      </c>
      <c r="K11" s="433">
        <v>0</v>
      </c>
      <c r="L11" s="364"/>
      <c r="N11" s="433">
        <v>43.431309904153345</v>
      </c>
      <c r="O11" s="415">
        <v>6926.5995855695483</v>
      </c>
      <c r="Q11" s="294">
        <f>(G11/G$39)+Q10</f>
        <v>1.0305016401469594E-3</v>
      </c>
      <c r="R11" s="294">
        <f>(O11/O$39)+R10</f>
        <v>1.1317635200154032E-4</v>
      </c>
      <c r="S11" s="160">
        <f>(Q11-Q10)*(Q11-R11+Q10-R10)</f>
        <v>8.2603796693965323E-7</v>
      </c>
      <c r="W11" s="294">
        <f>(G11/G$38)+W10</f>
        <v>1.7709453864318181E-3</v>
      </c>
      <c r="X11" s="294">
        <f>(O11/O$38)+X10</f>
        <v>1.2996267073228502E-4</v>
      </c>
      <c r="Y11" s="160">
        <f>(W11-W10)*(W11-X11+W10-X10)</f>
        <v>2.5390314644297912E-6</v>
      </c>
    </row>
    <row r="12" spans="1:27">
      <c r="A12" s="5">
        <v>3</v>
      </c>
      <c r="B12" s="157" t="s">
        <v>560</v>
      </c>
      <c r="C12" s="5" t="s">
        <v>41</v>
      </c>
      <c r="D12" s="5" t="s">
        <v>545</v>
      </c>
      <c r="F12" s="418">
        <v>228698.23062868664</v>
      </c>
      <c r="G12" s="418">
        <v>88938.200800044797</v>
      </c>
      <c r="H12" s="433">
        <v>117.10285714285716</v>
      </c>
      <c r="I12" s="354">
        <v>10414917.42283039</v>
      </c>
      <c r="J12" s="354"/>
      <c r="K12" s="433">
        <v>0</v>
      </c>
      <c r="L12" s="411">
        <v>0</v>
      </c>
      <c r="M12" s="281"/>
      <c r="N12" s="433">
        <v>117.10285714285716</v>
      </c>
      <c r="O12" s="415">
        <v>10414917.42283039</v>
      </c>
      <c r="Q12" s="294">
        <f>(G12/G$39)+Q11</f>
        <v>0.37126451622232992</v>
      </c>
      <c r="R12" s="294">
        <f t="shared" ref="R12:R33" si="0">(O12/O$39)+R11</f>
        <v>0.11057842649564559</v>
      </c>
      <c r="S12" s="160">
        <f t="shared" ref="S12:S33" si="1">(Q12-Q11)*(Q12-R12+Q11-R11)</f>
        <v>9.6854482569349337E-2</v>
      </c>
      <c r="W12" s="469">
        <f>W11</f>
        <v>1.7709453864318181E-3</v>
      </c>
      <c r="X12" s="469">
        <f>X11</f>
        <v>1.2996267073228502E-4</v>
      </c>
      <c r="Y12" s="470">
        <f t="shared" ref="Y12:Y33" si="2">(W12-W11)*(W12-X12+W11-X11)</f>
        <v>0</v>
      </c>
    </row>
    <row r="13" spans="1:27">
      <c r="A13" s="5">
        <v>3</v>
      </c>
      <c r="B13" s="157" t="s">
        <v>560</v>
      </c>
      <c r="C13" s="5" t="s">
        <v>599</v>
      </c>
      <c r="D13" s="5" t="s">
        <v>600</v>
      </c>
      <c r="F13" s="391">
        <v>6921.9195493771931</v>
      </c>
      <c r="G13" s="391">
        <v>6921.9195493771931</v>
      </c>
      <c r="H13" s="433">
        <v>106.84</v>
      </c>
      <c r="I13" s="314">
        <v>739537.88465545932</v>
      </c>
      <c r="K13" s="433">
        <v>18.121918392179175</v>
      </c>
      <c r="L13" s="358">
        <v>125438.46119104314</v>
      </c>
      <c r="N13" s="433">
        <v>124.96191839217917</v>
      </c>
      <c r="O13" s="415">
        <v>864976.34584650246</v>
      </c>
      <c r="Q13" s="294">
        <f t="shared" ref="Q13:Q33" si="3">(G13/G$39)+Q12</f>
        <v>0.40007924420566826</v>
      </c>
      <c r="R13" s="294">
        <f t="shared" si="0"/>
        <v>0.11975275064370035</v>
      </c>
      <c r="S13" s="160">
        <f t="shared" si="1"/>
        <v>1.5589130423025694E-2</v>
      </c>
      <c r="U13" s="54">
        <f>(0.4-Q12)/(Q13-Q12)</f>
        <v>0.99724987146454891</v>
      </c>
      <c r="V13" s="54">
        <f>100*(R12+(U13*(R13-R12)))</f>
        <v>11.972752007306731</v>
      </c>
      <c r="W13" s="294">
        <f t="shared" ref="W13" si="4">(G13/G$38)+W12</f>
        <v>5.1289847244854414E-2</v>
      </c>
      <c r="X13" s="294">
        <f t="shared" ref="X13" si="5">(O13/O$38)+X12</f>
        <v>1.0665022754915456E-2</v>
      </c>
      <c r="Y13" s="160">
        <f t="shared" si="2"/>
        <v>2.092956358983023E-3</v>
      </c>
    </row>
    <row r="14" spans="1:27">
      <c r="A14" s="5">
        <v>3</v>
      </c>
      <c r="B14" s="157" t="s">
        <v>560</v>
      </c>
      <c r="C14" s="5" t="s">
        <v>161</v>
      </c>
      <c r="D14" s="5" t="s">
        <v>563</v>
      </c>
      <c r="F14" s="391">
        <v>10810</v>
      </c>
      <c r="G14" s="391">
        <v>10810</v>
      </c>
      <c r="H14" s="433">
        <v>153.28962840000003</v>
      </c>
      <c r="I14" s="255">
        <v>1657060.8830040002</v>
      </c>
      <c r="K14" s="433">
        <v>0</v>
      </c>
      <c r="L14" s="358">
        <v>0</v>
      </c>
      <c r="N14" s="433">
        <v>153.28962840000003</v>
      </c>
      <c r="O14" s="415">
        <v>1657060.8830040002</v>
      </c>
      <c r="Q14" s="294">
        <f t="shared" si="3"/>
        <v>0.44507936408251852</v>
      </c>
      <c r="R14" s="294">
        <f t="shared" si="0"/>
        <v>0.13732827597076905</v>
      </c>
      <c r="S14" s="160">
        <f t="shared" si="1"/>
        <v>2.6463561672205482E-2</v>
      </c>
      <c r="U14"/>
      <c r="V14" s="54">
        <f>100-V13</f>
        <v>88.027247992693276</v>
      </c>
      <c r="W14" s="469">
        <f>W13</f>
        <v>5.1289847244854414E-2</v>
      </c>
      <c r="X14" s="469">
        <f>X13</f>
        <v>1.0665022754915456E-2</v>
      </c>
      <c r="Y14" s="470">
        <f t="shared" si="2"/>
        <v>0</v>
      </c>
    </row>
    <row r="15" spans="1:27">
      <c r="A15" s="5">
        <v>3</v>
      </c>
      <c r="B15" s="157" t="s">
        <v>560</v>
      </c>
      <c r="C15" s="5" t="s">
        <v>40</v>
      </c>
      <c r="D15" s="5" t="s">
        <v>367</v>
      </c>
      <c r="F15" s="391">
        <v>690</v>
      </c>
      <c r="G15" s="391">
        <v>690</v>
      </c>
      <c r="H15" s="433">
        <v>153.28962840000003</v>
      </c>
      <c r="I15" s="255">
        <v>105769.84359600002</v>
      </c>
      <c r="K15" s="433">
        <v>0</v>
      </c>
      <c r="L15" s="358">
        <v>0</v>
      </c>
      <c r="N15" s="433">
        <v>153.28962840000003</v>
      </c>
      <c r="O15" s="415">
        <v>105769.84359600002</v>
      </c>
      <c r="Q15" s="294">
        <f t="shared" si="3"/>
        <v>0.44795171215976431</v>
      </c>
      <c r="R15" s="294">
        <f t="shared" si="0"/>
        <v>0.13845011801292237</v>
      </c>
      <c r="S15" s="160">
        <f t="shared" si="1"/>
        <v>1.772964555060272E-3</v>
      </c>
      <c r="U15" s="54">
        <f>(SUM(O10:O12)+(U13*O13))/(SUM(G10:G12)+(U13*G13))</f>
        <v>117.47680403366606</v>
      </c>
      <c r="V15" s="54"/>
      <c r="W15" s="469">
        <f>W14</f>
        <v>5.1289847244854414E-2</v>
      </c>
      <c r="X15" s="469">
        <f>X14</f>
        <v>1.0665022754915456E-2</v>
      </c>
      <c r="Y15" s="470">
        <f t="shared" si="2"/>
        <v>0</v>
      </c>
    </row>
    <row r="16" spans="1:27">
      <c r="A16" s="5">
        <v>3</v>
      </c>
      <c r="B16" s="157" t="s">
        <v>560</v>
      </c>
      <c r="C16" s="5" t="s">
        <v>688</v>
      </c>
      <c r="D16" s="5" t="s">
        <v>595</v>
      </c>
      <c r="F16" s="391">
        <v>7721.8719526795594</v>
      </c>
      <c r="G16" s="391">
        <v>7721.8719526795594</v>
      </c>
      <c r="H16" s="433">
        <v>106.84</v>
      </c>
      <c r="I16" s="255">
        <v>825004.79942428414</v>
      </c>
      <c r="K16" s="433">
        <v>106.10534924342122</v>
      </c>
      <c r="L16" s="358">
        <v>819331.92035204358</v>
      </c>
      <c r="N16" s="433">
        <v>212.94534924342122</v>
      </c>
      <c r="O16" s="415">
        <v>1644336.7197763277</v>
      </c>
      <c r="Q16" s="294">
        <f t="shared" si="3"/>
        <v>0.48009650064674564</v>
      </c>
      <c r="R16" s="294">
        <f t="shared" si="0"/>
        <v>0.15589068520093446</v>
      </c>
      <c r="S16" s="160">
        <f t="shared" si="1"/>
        <v>2.037039064398867E-2</v>
      </c>
      <c r="W16" s="294">
        <f t="shared" ref="W16:W33" si="6">(G16/G$38)+W15</f>
        <v>0.1065315495877327</v>
      </c>
      <c r="X16" s="294">
        <f t="shared" ref="X16:X33" si="7">(O16/O$38)+X15</f>
        <v>3.0692375207564408E-2</v>
      </c>
      <c r="Y16" s="160">
        <f t="shared" si="2"/>
        <v>6.4336695592437775E-3</v>
      </c>
    </row>
    <row r="17" spans="1:28">
      <c r="A17" s="5">
        <v>3</v>
      </c>
      <c r="B17" s="156" t="s">
        <v>289</v>
      </c>
      <c r="C17" s="5" t="s">
        <v>599</v>
      </c>
      <c r="D17" s="5" t="s">
        <v>600</v>
      </c>
      <c r="F17" s="391">
        <v>563.64255215446599</v>
      </c>
      <c r="G17" s="391">
        <v>563.64255215446599</v>
      </c>
      <c r="H17" s="433">
        <v>179.68</v>
      </c>
      <c r="I17" s="314">
        <v>101275.29377111445</v>
      </c>
      <c r="K17" s="433">
        <v>55.019240916873322</v>
      </c>
      <c r="L17" s="358">
        <v>31011.185367987902</v>
      </c>
      <c r="N17" s="433">
        <v>234.69924091687335</v>
      </c>
      <c r="O17" s="415">
        <v>132286.47913910236</v>
      </c>
      <c r="Q17" s="294">
        <f t="shared" si="3"/>
        <v>0.48244284499592649</v>
      </c>
      <c r="R17" s="294">
        <f t="shared" si="0"/>
        <v>0.15729377448291856</v>
      </c>
      <c r="S17" s="160">
        <f t="shared" si="1"/>
        <v>1.5236101672824508E-3</v>
      </c>
      <c r="W17" s="294">
        <f t="shared" si="6"/>
        <v>0.11056380682855532</v>
      </c>
      <c r="X17" s="294">
        <f t="shared" si="7"/>
        <v>3.2303570719149882E-2</v>
      </c>
      <c r="Y17" s="160">
        <f t="shared" si="2"/>
        <v>6.2136846375308136E-4</v>
      </c>
    </row>
    <row r="18" spans="1:28">
      <c r="A18" s="5">
        <v>3</v>
      </c>
      <c r="B18" s="157" t="s">
        <v>560</v>
      </c>
      <c r="C18" s="5" t="s">
        <v>489</v>
      </c>
      <c r="D18" s="5" t="s">
        <v>501</v>
      </c>
      <c r="F18" s="391">
        <v>3308.4409481366288</v>
      </c>
      <c r="G18" s="391">
        <v>2297</v>
      </c>
      <c r="H18" s="433">
        <v>186.73421277764177</v>
      </c>
      <c r="I18" s="255">
        <v>428928.48675024317</v>
      </c>
      <c r="K18" s="433">
        <v>90.868449657060921</v>
      </c>
      <c r="L18" s="358">
        <v>208724.82886226894</v>
      </c>
      <c r="N18" s="433">
        <v>277.60266243470272</v>
      </c>
      <c r="O18" s="415">
        <v>637653.31561251217</v>
      </c>
      <c r="Q18" s="294">
        <f t="shared" si="3"/>
        <v>0.49200485011684464</v>
      </c>
      <c r="R18" s="294">
        <f t="shared" si="0"/>
        <v>0.16405700938477702</v>
      </c>
      <c r="S18" s="160">
        <f t="shared" si="1"/>
        <v>6.244916009781238E-3</v>
      </c>
      <c r="W18" s="294">
        <f t="shared" si="6"/>
        <v>0.12699637538954517</v>
      </c>
      <c r="X18" s="294">
        <f t="shared" si="7"/>
        <v>4.0069928753232523E-2</v>
      </c>
      <c r="Y18" s="160">
        <f t="shared" si="2"/>
        <v>2.714441489581491E-3</v>
      </c>
    </row>
    <row r="19" spans="1:28">
      <c r="A19" s="5">
        <v>3</v>
      </c>
      <c r="B19" s="156" t="s">
        <v>289</v>
      </c>
      <c r="C19" s="5" t="s">
        <v>489</v>
      </c>
      <c r="D19" s="5" t="s">
        <v>501</v>
      </c>
      <c r="F19" s="413">
        <v>271.08913796166109</v>
      </c>
      <c r="G19" s="413">
        <v>138</v>
      </c>
      <c r="H19" s="433">
        <v>256.55043160418944</v>
      </c>
      <c r="I19" s="314">
        <v>35403.959561378142</v>
      </c>
      <c r="K19" s="433">
        <v>64.491532800000002</v>
      </c>
      <c r="L19" s="413">
        <v>8899.8315263999993</v>
      </c>
      <c r="N19" s="433">
        <v>321.0419644041894</v>
      </c>
      <c r="O19" s="415">
        <v>44303.79108777814</v>
      </c>
      <c r="Q19" s="294">
        <f t="shared" si="3"/>
        <v>0.4925793197322938</v>
      </c>
      <c r="R19" s="294">
        <f t="shared" si="0"/>
        <v>0.16452691511385126</v>
      </c>
      <c r="S19" s="160">
        <f t="shared" si="1"/>
        <v>3.7685220868106077E-4</v>
      </c>
      <c r="V19" s="5" t="s">
        <v>696</v>
      </c>
      <c r="W19" s="294">
        <f t="shared" si="6"/>
        <v>0.12798361720992679</v>
      </c>
      <c r="X19" s="294">
        <f t="shared" si="7"/>
        <v>4.0609530909185197E-2</v>
      </c>
      <c r="Y19" s="160">
        <f t="shared" si="2"/>
        <v>1.7207677543026455E-4</v>
      </c>
    </row>
    <row r="20" spans="1:28">
      <c r="A20" s="5">
        <v>3</v>
      </c>
      <c r="B20" s="157" t="s">
        <v>560</v>
      </c>
      <c r="C20" s="5" t="s">
        <v>505</v>
      </c>
      <c r="D20" s="5" t="s">
        <v>506</v>
      </c>
      <c r="F20" s="411">
        <v>0</v>
      </c>
      <c r="G20" s="429">
        <v>4819</v>
      </c>
      <c r="H20" s="433">
        <v>282.63217356929243</v>
      </c>
      <c r="I20" s="314">
        <v>1362004.4444304202</v>
      </c>
      <c r="K20" s="433">
        <v>38.896449405717114</v>
      </c>
      <c r="L20" s="413">
        <v>187441.98968615077</v>
      </c>
      <c r="M20" s="55"/>
      <c r="N20" s="433">
        <v>321.52862297500957</v>
      </c>
      <c r="O20" s="415">
        <v>1549446.434116571</v>
      </c>
      <c r="Q20" s="294">
        <f t="shared" si="3"/>
        <v>0.51263996521671018</v>
      </c>
      <c r="R20" s="294">
        <f t="shared" si="0"/>
        <v>0.1809610336939628</v>
      </c>
      <c r="S20" s="160">
        <f t="shared" si="1"/>
        <v>1.3234636449288748E-2</v>
      </c>
      <c r="U20" s="5">
        <f>(0.5-Q19)/(Q20-Q19)</f>
        <v>0.36991233773961935</v>
      </c>
      <c r="V20" s="5">
        <f>N19+(U20*(N20-N19))</f>
        <v>321.22198541380249</v>
      </c>
      <c r="W20" s="294">
        <f t="shared" si="6"/>
        <v>0.16245838773470261</v>
      </c>
      <c r="X20" s="294">
        <f t="shared" si="7"/>
        <v>5.9481158276829052E-2</v>
      </c>
      <c r="Y20" s="160">
        <f t="shared" si="2"/>
        <v>6.5623179298674016E-3</v>
      </c>
    </row>
    <row r="21" spans="1:28">
      <c r="A21" s="5">
        <v>3</v>
      </c>
      <c r="B21" s="157" t="s">
        <v>560</v>
      </c>
      <c r="C21" s="5" t="s">
        <v>585</v>
      </c>
      <c r="D21" s="5" t="s">
        <v>425</v>
      </c>
      <c r="F21" s="413">
        <v>4254.1032524834773</v>
      </c>
      <c r="G21" s="413">
        <v>2953.5588889558767</v>
      </c>
      <c r="H21" s="433">
        <v>308.36871756997414</v>
      </c>
      <c r="I21" s="314">
        <v>910785.16685472126</v>
      </c>
      <c r="K21" s="433">
        <v>38.896449405717114</v>
      </c>
      <c r="L21" s="413">
        <v>114882.9538910783</v>
      </c>
      <c r="M21" s="55"/>
      <c r="N21" s="433">
        <v>347.26516697569122</v>
      </c>
      <c r="O21" s="415">
        <v>1025668.1207457995</v>
      </c>
      <c r="Q21" s="294">
        <f t="shared" si="3"/>
        <v>0.52493510897862983</v>
      </c>
      <c r="R21" s="294">
        <f t="shared" si="0"/>
        <v>0.19183972633478791</v>
      </c>
      <c r="S21" s="160">
        <f t="shared" si="1"/>
        <v>8.1734957619097517E-3</v>
      </c>
      <c r="W21" s="294">
        <f t="shared" si="6"/>
        <v>0.18358793015598623</v>
      </c>
      <c r="X21" s="294">
        <f t="shared" si="7"/>
        <v>7.1973378821789211E-2</v>
      </c>
      <c r="Y21" s="160">
        <f t="shared" si="2"/>
        <v>4.534226135504851E-3</v>
      </c>
    </row>
    <row r="22" spans="1:28">
      <c r="A22" s="5">
        <v>3</v>
      </c>
      <c r="B22" s="156" t="s">
        <v>289</v>
      </c>
      <c r="C22" s="5" t="s">
        <v>688</v>
      </c>
      <c r="D22" s="5" t="s">
        <v>595</v>
      </c>
      <c r="F22" s="413">
        <v>193.24887502438833</v>
      </c>
      <c r="G22" s="413">
        <v>193.24887502438833</v>
      </c>
      <c r="H22" s="433">
        <v>179.68</v>
      </c>
      <c r="I22" s="314">
        <v>34722.957864382093</v>
      </c>
      <c r="K22" s="433">
        <v>204.19281760000001</v>
      </c>
      <c r="L22" s="413">
        <v>39460.032289260125</v>
      </c>
      <c r="N22" s="433">
        <v>383.87281760000008</v>
      </c>
      <c r="O22" s="415">
        <v>74182.990153642226</v>
      </c>
      <c r="Q22" s="294">
        <f t="shared" si="3"/>
        <v>0.52573956989834902</v>
      </c>
      <c r="R22" s="294">
        <f t="shared" si="0"/>
        <v>0.19262654414918193</v>
      </c>
      <c r="S22" s="160">
        <f t="shared" si="1"/>
        <v>5.3593862894050224E-4</v>
      </c>
      <c r="W22" s="294">
        <f t="shared" si="6"/>
        <v>0.1849704183528397</v>
      </c>
      <c r="X22" s="294">
        <f t="shared" si="7"/>
        <v>7.2876897469721896E-2</v>
      </c>
      <c r="Y22" s="160">
        <f t="shared" si="2"/>
        <v>3.0927376938128036E-4</v>
      </c>
    </row>
    <row r="23" spans="1:28">
      <c r="A23" s="5">
        <v>3</v>
      </c>
      <c r="B23" s="157" t="s">
        <v>560</v>
      </c>
      <c r="C23" s="5" t="s">
        <v>562</v>
      </c>
      <c r="D23" s="472" t="s">
        <v>568</v>
      </c>
      <c r="E23" s="472"/>
      <c r="F23" s="473">
        <v>58337.742317817268</v>
      </c>
      <c r="G23" s="473">
        <v>40503.003137927604</v>
      </c>
      <c r="H23" s="474">
        <v>361.31823833674787</v>
      </c>
      <c r="I23" s="475">
        <v>14634473.741143772</v>
      </c>
      <c r="J23" s="475"/>
      <c r="K23" s="474">
        <v>22.960371636686205</v>
      </c>
      <c r="L23" s="473">
        <v>929964.00444868533</v>
      </c>
      <c r="M23" s="472"/>
      <c r="N23" s="474">
        <v>384.27860997343407</v>
      </c>
      <c r="O23" s="476">
        <v>15564437.745592458</v>
      </c>
      <c r="P23" s="472"/>
      <c r="Q23" s="477">
        <f t="shared" si="3"/>
        <v>0.69434641509531347</v>
      </c>
      <c r="R23" s="477">
        <f t="shared" si="0"/>
        <v>0.35770989902467321</v>
      </c>
      <c r="S23" s="478">
        <f t="shared" si="1"/>
        <v>0.11292435731835013</v>
      </c>
      <c r="T23" s="472"/>
      <c r="U23" s="472"/>
      <c r="V23" s="472"/>
      <c r="W23" s="477">
        <f t="shared" si="6"/>
        <v>0.47472591508335016</v>
      </c>
      <c r="X23" s="477">
        <f t="shared" si="7"/>
        <v>0.26244541875208688</v>
      </c>
      <c r="Y23" s="160">
        <f t="shared" si="2"/>
        <v>9.3989154484424145E-2</v>
      </c>
      <c r="AA23" s="54">
        <f>(0.4-W22)/(W23-W22)</f>
        <v>0.74210699735974428</v>
      </c>
      <c r="AB23" s="54">
        <f>100*(X22+(AA23*(X23-X22)))</f>
        <v>21.355702359250454</v>
      </c>
    </row>
    <row r="24" spans="1:28">
      <c r="A24" s="5">
        <v>3</v>
      </c>
      <c r="B24" s="157" t="s">
        <v>560</v>
      </c>
      <c r="C24" s="55" t="s">
        <v>366</v>
      </c>
      <c r="D24" s="55" t="s">
        <v>420</v>
      </c>
      <c r="E24" s="55"/>
      <c r="F24" s="429">
        <v>0</v>
      </c>
      <c r="G24" s="429">
        <v>3133.7904367373903</v>
      </c>
      <c r="H24" s="370">
        <v>419.30514454340482</v>
      </c>
      <c r="I24" s="479">
        <v>1314014.4520449112</v>
      </c>
      <c r="J24" s="479"/>
      <c r="K24" s="370">
        <v>88.326184172558484</v>
      </c>
      <c r="L24" s="479">
        <v>276795.75127346924</v>
      </c>
      <c r="M24" s="55"/>
      <c r="N24" s="370">
        <v>507.63132871596332</v>
      </c>
      <c r="O24" s="480">
        <v>1590810.2033183805</v>
      </c>
      <c r="P24" s="55"/>
      <c r="Q24" s="471">
        <f t="shared" si="3"/>
        <v>0.70739183094379721</v>
      </c>
      <c r="R24" s="471">
        <f t="shared" si="0"/>
        <v>0.37458274015305437</v>
      </c>
      <c r="S24" s="481">
        <f t="shared" si="1"/>
        <v>8.7331963294472962E-3</v>
      </c>
      <c r="T24" s="55"/>
      <c r="U24" s="55"/>
      <c r="V24" s="55"/>
      <c r="W24" s="471">
        <f t="shared" si="6"/>
        <v>0.49714482070261945</v>
      </c>
      <c r="X24" s="471">
        <f t="shared" si="7"/>
        <v>0.28182084000489516</v>
      </c>
      <c r="Y24" s="160">
        <f t="shared" si="2"/>
        <v>9.5864244128898764E-3</v>
      </c>
      <c r="AA24"/>
      <c r="AB24" s="54">
        <f>100-AB23</f>
        <v>78.644297640749542</v>
      </c>
    </row>
    <row r="25" spans="1:28">
      <c r="A25" s="5">
        <v>3</v>
      </c>
      <c r="B25" s="157" t="s">
        <v>560</v>
      </c>
      <c r="C25" s="5" t="s">
        <v>635</v>
      </c>
      <c r="D25" s="5" t="s">
        <v>486</v>
      </c>
      <c r="F25" s="391">
        <v>58337.742317817268</v>
      </c>
      <c r="G25" s="391">
        <v>40503.003137927604</v>
      </c>
      <c r="H25" s="433">
        <v>361.31823833674787</v>
      </c>
      <c r="I25" s="255">
        <v>14634473.741143772</v>
      </c>
      <c r="K25" s="433">
        <v>182.48038697538311</v>
      </c>
      <c r="L25" s="358">
        <v>7391003.6862741858</v>
      </c>
      <c r="N25" s="433">
        <v>543.79862531213087</v>
      </c>
      <c r="O25" s="415">
        <v>22025477.427417956</v>
      </c>
      <c r="Q25" s="294">
        <f t="shared" si="3"/>
        <v>0.87599867614076166</v>
      </c>
      <c r="R25" s="294">
        <f t="shared" si="0"/>
        <v>0.60819475787481347</v>
      </c>
      <c r="S25" s="160">
        <f t="shared" si="1"/>
        <v>0.10126746464130451</v>
      </c>
      <c r="U25" s="54">
        <f>(0.8-Q24)/(Q25-Q24)</f>
        <v>0.54925509666003836</v>
      </c>
      <c r="V25" s="54">
        <f>100*(R24+(U25*(R25-R24)))</f>
        <v>50.289533152776578</v>
      </c>
      <c r="W25" s="294">
        <f t="shared" si="6"/>
        <v>0.78690031743312994</v>
      </c>
      <c r="X25" s="294">
        <f t="shared" si="7"/>
        <v>0.55008219674012993</v>
      </c>
      <c r="Y25" s="160">
        <f t="shared" si="2"/>
        <v>0.13101065918124616</v>
      </c>
      <c r="AA25" s="54">
        <f>(SUM(O8:O22)+(AA23*O23))/(SUM(G8:G22)+(AA23*G23))</f>
        <v>190.03169708235583</v>
      </c>
      <c r="AB25" s="54"/>
    </row>
    <row r="26" spans="1:28">
      <c r="A26" s="5">
        <v>3</v>
      </c>
      <c r="B26" s="156" t="s">
        <v>289</v>
      </c>
      <c r="C26" s="5" t="s">
        <v>366</v>
      </c>
      <c r="D26" s="5" t="s">
        <v>420</v>
      </c>
      <c r="F26" s="391">
        <v>1828.8650050995996</v>
      </c>
      <c r="G26" s="391">
        <v>930.99772496026071</v>
      </c>
      <c r="H26" s="433">
        <v>507.27549959361124</v>
      </c>
      <c r="I26" s="255">
        <v>472272.3360497317</v>
      </c>
      <c r="K26" s="433">
        <v>77.459813446997401</v>
      </c>
      <c r="L26" s="358">
        <v>72114.910095000785</v>
      </c>
      <c r="N26" s="433">
        <v>584.73531304060862</v>
      </c>
      <c r="O26" s="415">
        <v>544387.24614473246</v>
      </c>
      <c r="Q26" s="294">
        <f t="shared" si="3"/>
        <v>0.87987425516280482</v>
      </c>
      <c r="R26" s="294">
        <f t="shared" si="0"/>
        <v>0.61396877132868533</v>
      </c>
      <c r="S26" s="160">
        <f t="shared" si="1"/>
        <v>2.0684329626462217E-3</v>
      </c>
      <c r="U26"/>
      <c r="V26" s="54">
        <f>100-V25</f>
        <v>49.710466847223422</v>
      </c>
      <c r="W26" s="294">
        <f t="shared" si="6"/>
        <v>0.79356060648212212</v>
      </c>
      <c r="X26" s="294">
        <f t="shared" si="7"/>
        <v>0.5567126119818151</v>
      </c>
      <c r="Y26" s="160">
        <f t="shared" si="2"/>
        <v>3.1547532399006538E-3</v>
      </c>
      <c r="AB26" s="54"/>
    </row>
    <row r="27" spans="1:28">
      <c r="A27" s="5">
        <v>3</v>
      </c>
      <c r="B27" s="156" t="s">
        <v>289</v>
      </c>
      <c r="C27" s="5" t="s">
        <v>505</v>
      </c>
      <c r="D27" s="5" t="s">
        <v>506</v>
      </c>
      <c r="F27" s="391">
        <v>587.35979891693239</v>
      </c>
      <c r="G27" s="391">
        <v>299</v>
      </c>
      <c r="H27" s="433">
        <v>378.52299591041134</v>
      </c>
      <c r="I27" s="255">
        <v>113178.37577721299</v>
      </c>
      <c r="K27" s="433">
        <v>233.29624915256639</v>
      </c>
      <c r="L27" s="358">
        <v>69755.578496617352</v>
      </c>
      <c r="N27" s="433">
        <v>611.81924506297776</v>
      </c>
      <c r="O27" s="415">
        <v>182933.95427383034</v>
      </c>
      <c r="Q27" s="294">
        <f t="shared" si="3"/>
        <v>0.88111893932961127</v>
      </c>
      <c r="R27" s="294">
        <f t="shared" si="0"/>
        <v>0.61590905027648835</v>
      </c>
      <c r="S27" s="160">
        <f t="shared" si="1"/>
        <v>6.6107089538025631E-4</v>
      </c>
      <c r="U27" s="357">
        <f>(SUM(O26:O$36)+((1-U25)*O25))/(SUM(G26:G$36)+((1-U25)*G25))</f>
        <v>975.51954114966838</v>
      </c>
      <c r="V27" s="54"/>
      <c r="W27" s="294">
        <f t="shared" si="6"/>
        <v>0.79569963042628233</v>
      </c>
      <c r="X27" s="294">
        <f t="shared" si="7"/>
        <v>0.5589406731409049</v>
      </c>
      <c r="Y27" s="160">
        <f t="shared" si="2"/>
        <v>1.0130566099903102E-3</v>
      </c>
    </row>
    <row r="28" spans="1:28">
      <c r="A28" s="5">
        <v>3</v>
      </c>
      <c r="B28" s="157" t="s">
        <v>560</v>
      </c>
      <c r="C28" s="5" t="s">
        <v>549</v>
      </c>
      <c r="D28" s="5" t="s">
        <v>561</v>
      </c>
      <c r="F28" s="391">
        <v>26251.984043017768</v>
      </c>
      <c r="G28" s="391">
        <v>18226.351412067419</v>
      </c>
      <c r="H28" s="433">
        <v>361.31823833674787</v>
      </c>
      <c r="I28" s="255">
        <v>6585513.1835146965</v>
      </c>
      <c r="K28" s="433">
        <v>311.08856473974612</v>
      </c>
      <c r="L28" s="358">
        <v>5670009.5012222985</v>
      </c>
      <c r="N28" s="433">
        <v>672.40680307649393</v>
      </c>
      <c r="O28" s="415">
        <v>12255522.684736995</v>
      </c>
      <c r="Q28" s="294">
        <f t="shared" si="3"/>
        <v>0.95699201966824521</v>
      </c>
      <c r="R28" s="294">
        <f t="shared" si="0"/>
        <v>0.74589657913033314</v>
      </c>
      <c r="S28" s="160">
        <f t="shared" si="1"/>
        <v>3.6138752537780122E-2</v>
      </c>
      <c r="T28" s="54"/>
      <c r="U28" s="54">
        <f>(0.95-Q27)/(Q28-Q27)</f>
        <v>0.90784584417768821</v>
      </c>
      <c r="V28" s="54">
        <f>100*(R27+(U28*(R28-R27)))</f>
        <v>73.391768814137876</v>
      </c>
      <c r="W28" s="294">
        <f t="shared" si="6"/>
        <v>0.92608960395501194</v>
      </c>
      <c r="X28" s="294">
        <f t="shared" si="7"/>
        <v>0.70820795480329413</v>
      </c>
      <c r="Y28" s="160">
        <f t="shared" si="2"/>
        <v>5.9280576638418424E-2</v>
      </c>
      <c r="AA28" s="54">
        <f>(0.9-W27)/(W28-W27)</f>
        <v>0.79991096516893267</v>
      </c>
      <c r="AB28" s="54">
        <f>100*(X27+(AA28*(X28-X27)))</f>
        <v>67.834120848360953</v>
      </c>
    </row>
    <row r="29" spans="1:28">
      <c r="A29" s="5">
        <v>3</v>
      </c>
      <c r="B29" s="156" t="s">
        <v>289</v>
      </c>
      <c r="C29" s="5" t="s">
        <v>585</v>
      </c>
      <c r="D29" s="5" t="s">
        <v>425</v>
      </c>
      <c r="F29" s="391">
        <v>424.36545684149507</v>
      </c>
      <c r="G29" s="391">
        <v>216.02648296594066</v>
      </c>
      <c r="H29" s="433">
        <v>440.15731263551169</v>
      </c>
      <c r="I29" s="255">
        <v>95085.636200389577</v>
      </c>
      <c r="K29" s="433">
        <v>233.29624915256639</v>
      </c>
      <c r="L29" s="358">
        <v>50398.168193574733</v>
      </c>
      <c r="N29" s="433">
        <v>673.45356178807799</v>
      </c>
      <c r="O29" s="415">
        <v>145483.8043939643</v>
      </c>
      <c r="Q29" s="294">
        <f t="shared" si="3"/>
        <v>0.95789129974502984</v>
      </c>
      <c r="R29" s="294">
        <f t="shared" si="0"/>
        <v>0.74743964511845129</v>
      </c>
      <c r="S29" s="160">
        <f t="shared" si="1"/>
        <v>3.7908890410786358E-4</v>
      </c>
      <c r="T29" s="54"/>
      <c r="U29"/>
      <c r="V29" s="54">
        <f>100-V28</f>
        <v>26.608231185862124</v>
      </c>
      <c r="W29" s="294">
        <f t="shared" si="6"/>
        <v>0.92763504147888109</v>
      </c>
      <c r="X29" s="294">
        <f t="shared" si="7"/>
        <v>0.70997988836879067</v>
      </c>
      <c r="Y29" s="160">
        <f t="shared" si="2"/>
        <v>6.7309491724137807E-4</v>
      </c>
      <c r="AA29"/>
      <c r="AB29" s="54">
        <f>100-AB28</f>
        <v>32.165879151639047</v>
      </c>
    </row>
    <row r="30" spans="1:28">
      <c r="A30" s="5">
        <v>3</v>
      </c>
      <c r="B30" s="157" t="s">
        <v>560</v>
      </c>
      <c r="C30" s="5" t="s">
        <v>548</v>
      </c>
      <c r="D30" s="5" t="s">
        <v>558</v>
      </c>
      <c r="F30" s="391">
        <v>2916.8871158908632</v>
      </c>
      <c r="G30" s="391">
        <v>2025.1501568963802</v>
      </c>
      <c r="H30" s="433">
        <v>361.31823833674787</v>
      </c>
      <c r="I30" s="255">
        <v>731723.6870571886</v>
      </c>
      <c r="K30" s="433">
        <v>1102.1634569826188</v>
      </c>
      <c r="L30" s="358">
        <v>2232046.497833807</v>
      </c>
      <c r="N30" s="433">
        <v>1463.4816953193665</v>
      </c>
      <c r="O30" s="415">
        <v>2963770.1848909957</v>
      </c>
      <c r="Q30" s="294">
        <f t="shared" si="3"/>
        <v>0.96632164200487802</v>
      </c>
      <c r="R30" s="294">
        <f t="shared" si="0"/>
        <v>0.77887471095244276</v>
      </c>
      <c r="S30" s="160">
        <f t="shared" si="1"/>
        <v>3.3544212619836112E-3</v>
      </c>
      <c r="U30" s="466">
        <f>(SUM(O29:O$33)+((1-U28)*O28))/(SUM(G29:G$33)+((1-U28)*G28))</f>
        <v>2088.6425836241201</v>
      </c>
      <c r="V30" s="54"/>
      <c r="W30" s="294">
        <f t="shared" si="6"/>
        <v>0.94212281631540662</v>
      </c>
      <c r="X30" s="294">
        <f t="shared" si="7"/>
        <v>0.74607740377885734</v>
      </c>
      <c r="Y30" s="160">
        <f t="shared" si="2"/>
        <v>5.9936006448317626E-3</v>
      </c>
      <c r="AA30" s="54">
        <f>(SUM(O29:O$36)+((1-AA28)*O28))/(SUM(G29:G$36)+((1-AA28)*G28))</f>
        <v>1889.3268563540469</v>
      </c>
      <c r="AB30" s="54"/>
    </row>
    <row r="31" spans="1:28">
      <c r="A31" s="5">
        <v>3</v>
      </c>
      <c r="B31" s="156" t="s">
        <v>289</v>
      </c>
      <c r="C31" s="5" t="s">
        <v>586</v>
      </c>
      <c r="D31" s="5" t="s">
        <v>596</v>
      </c>
      <c r="F31" s="391">
        <v>755.6602795222235</v>
      </c>
      <c r="G31" s="391">
        <v>384.67464745420693</v>
      </c>
      <c r="H31" s="433">
        <v>735.36498036714102</v>
      </c>
      <c r="I31" s="255">
        <v>282876.26457289979</v>
      </c>
      <c r="K31" s="433">
        <v>1273.7051736752167</v>
      </c>
      <c r="L31" s="358">
        <v>489962.08864411339</v>
      </c>
      <c r="N31" s="433">
        <v>2009.0701540423577</v>
      </c>
      <c r="O31" s="415">
        <v>772838.35321701318</v>
      </c>
      <c r="Q31" s="294">
        <f t="shared" si="3"/>
        <v>0.9679229745903567</v>
      </c>
      <c r="R31" s="294">
        <f t="shared" si="0"/>
        <v>0.78707177853759491</v>
      </c>
      <c r="S31" s="160">
        <f t="shared" si="1"/>
        <v>5.8976779210431936E-4</v>
      </c>
      <c r="T31" s="54"/>
      <c r="U31"/>
      <c r="V31" s="54">
        <f>100-V30</f>
        <v>100</v>
      </c>
      <c r="W31" s="294">
        <f t="shared" si="6"/>
        <v>0.9448747503676338</v>
      </c>
      <c r="X31" s="294">
        <f t="shared" si="7"/>
        <v>0.7554902605877154</v>
      </c>
      <c r="Y31" s="160">
        <f t="shared" si="2"/>
        <v>1.0606776729312828E-3</v>
      </c>
    </row>
    <row r="32" spans="1:28">
      <c r="A32" s="5">
        <v>3</v>
      </c>
      <c r="B32" s="157" t="s">
        <v>560</v>
      </c>
      <c r="C32" s="5" t="s">
        <v>689</v>
      </c>
      <c r="D32" s="5" t="s">
        <v>226</v>
      </c>
      <c r="F32" s="411">
        <v>0</v>
      </c>
      <c r="G32" s="429">
        <v>6823.2121432489412</v>
      </c>
      <c r="H32" s="433">
        <v>1770.9684235692926</v>
      </c>
      <c r="I32" s="413">
        <v>12083693.253008431</v>
      </c>
      <c r="J32" s="413"/>
      <c r="K32" s="433">
        <v>545.28040882324308</v>
      </c>
      <c r="L32" s="358">
        <v>3720563.9069584995</v>
      </c>
      <c r="M32" s="55"/>
      <c r="N32" s="433">
        <v>2316.2488323925359</v>
      </c>
      <c r="O32" s="415">
        <v>15804257.159966931</v>
      </c>
      <c r="Q32" s="294">
        <f t="shared" si="3"/>
        <v>0.99632680108354665</v>
      </c>
      <c r="R32" s="294">
        <f t="shared" si="0"/>
        <v>0.95469876487194982</v>
      </c>
      <c r="S32" s="160">
        <f t="shared" si="1"/>
        <v>6.3192615115749539E-3</v>
      </c>
      <c r="T32" s="54"/>
      <c r="U32" s="54">
        <f>(0.99-Q31)/(Q32-Q31)</f>
        <v>0.77725532561383714</v>
      </c>
      <c r="V32" s="54">
        <f>100*(R31+(U32*(R32-R31)))</f>
        <v>91.736074638257008</v>
      </c>
      <c r="W32" s="294">
        <f t="shared" si="6"/>
        <v>0.99368750672380124</v>
      </c>
      <c r="X32" s="294">
        <f t="shared" si="7"/>
        <v>0.94797968479640971</v>
      </c>
      <c r="Y32" s="160">
        <f t="shared" si="2"/>
        <v>1.1475503732577091E-2</v>
      </c>
      <c r="AA32" s="54">
        <f>(0.99-W31)/(W32-W31)</f>
        <v>0.92445608486242892</v>
      </c>
      <c r="AB32" s="54">
        <f>100*(X31+(AA32*(X32-X31)))</f>
        <v>93.343828006910812</v>
      </c>
    </row>
    <row r="33" spans="1:28">
      <c r="A33" s="5">
        <v>3</v>
      </c>
      <c r="B33" s="156" t="s">
        <v>289</v>
      </c>
      <c r="C33" s="5" t="s">
        <v>689</v>
      </c>
      <c r="D33" s="5" t="s">
        <v>226</v>
      </c>
      <c r="F33" s="413">
        <v>1733.362916060456</v>
      </c>
      <c r="G33" s="413">
        <v>882.38165577173538</v>
      </c>
      <c r="H33" s="433">
        <v>3262.2829959104115</v>
      </c>
      <c r="I33" s="314">
        <v>2878578.6715274062</v>
      </c>
      <c r="K33" s="433">
        <v>1578.1445403057689</v>
      </c>
      <c r="L33" s="413">
        <v>1392525.7925221287</v>
      </c>
      <c r="N33" s="433">
        <v>4840.4275362161807</v>
      </c>
      <c r="O33" s="415">
        <v>4271104.4640495349</v>
      </c>
      <c r="Q33" s="294">
        <f t="shared" si="3"/>
        <v>1</v>
      </c>
      <c r="R33" s="294">
        <f t="shared" si="0"/>
        <v>1</v>
      </c>
      <c r="S33" s="160">
        <f t="shared" si="1"/>
        <v>1.5290805750651815E-4</v>
      </c>
      <c r="U33"/>
      <c r="V33" s="54">
        <f>100-V32</f>
        <v>8.2639253617429915</v>
      </c>
      <c r="W33" s="471">
        <f t="shared" si="6"/>
        <v>1</v>
      </c>
      <c r="X33" s="471">
        <f t="shared" si="7"/>
        <v>1</v>
      </c>
      <c r="Y33" s="160">
        <f t="shared" si="2"/>
        <v>2.8853031858634936E-4</v>
      </c>
      <c r="AA33"/>
      <c r="AB33" s="54">
        <f>100-AB32</f>
        <v>6.6561719930891883</v>
      </c>
    </row>
    <row r="34" spans="1:28">
      <c r="A34" s="5">
        <v>3</v>
      </c>
      <c r="B34" s="156" t="s">
        <v>289</v>
      </c>
      <c r="C34" s="5" t="s">
        <v>546</v>
      </c>
      <c r="D34" s="5" t="s">
        <v>547</v>
      </c>
      <c r="F34" s="391">
        <v>0</v>
      </c>
      <c r="H34" s="413"/>
      <c r="I34" s="413"/>
      <c r="J34" s="413"/>
      <c r="K34" s="413"/>
      <c r="N34" s="5"/>
      <c r="O34" s="5"/>
      <c r="Q34" s="294"/>
      <c r="R34" s="294"/>
      <c r="S34" s="160"/>
      <c r="U34" s="357">
        <f>(SUM(O33:O$36)+((1-U32)*O32))/(SUM(G33:G$36)+((1-U32)*G32))</f>
        <v>3243.4298803745137</v>
      </c>
      <c r="W34" s="471"/>
      <c r="X34" s="471"/>
      <c r="Y34" s="160"/>
      <c r="AA34" s="357">
        <f>(SUM(O33:O$36)+((1-AA32)*O32))/(SUM(G33:G$36)+((1-AA32)*G32))</f>
        <v>3909.6349419736293</v>
      </c>
    </row>
    <row r="35" spans="1:28">
      <c r="A35" s="5">
        <v>3</v>
      </c>
      <c r="B35" s="156" t="s">
        <v>289</v>
      </c>
      <c r="C35" s="5" t="s">
        <v>41</v>
      </c>
      <c r="D35" s="5" t="s">
        <v>694</v>
      </c>
      <c r="H35" s="413"/>
      <c r="I35" s="413"/>
      <c r="J35" s="413"/>
      <c r="K35" s="413"/>
      <c r="N35" s="5"/>
      <c r="O35" s="5"/>
      <c r="Q35" s="294"/>
      <c r="R35" s="294"/>
      <c r="S35" s="160"/>
      <c r="W35" s="294"/>
      <c r="X35" s="294"/>
      <c r="Y35" s="160"/>
      <c r="AA35" s="54"/>
    </row>
    <row r="36" spans="1:28">
      <c r="A36" s="5">
        <v>3</v>
      </c>
      <c r="B36" s="157" t="s">
        <v>560</v>
      </c>
      <c r="C36" s="5" t="s">
        <v>546</v>
      </c>
      <c r="D36" s="5" t="s">
        <v>547</v>
      </c>
      <c r="F36" s="413"/>
      <c r="G36" s="413"/>
      <c r="H36" s="413"/>
      <c r="I36" s="413"/>
      <c r="J36" s="413"/>
      <c r="K36" s="413"/>
      <c r="L36" s="432"/>
      <c r="N36" s="433"/>
      <c r="O36" s="5"/>
      <c r="Q36" s="294"/>
      <c r="R36" s="294"/>
      <c r="S36" s="160"/>
      <c r="W36" s="294"/>
      <c r="X36" s="294"/>
      <c r="Y36" s="160"/>
    </row>
    <row r="37" spans="1:28">
      <c r="B37" s="58"/>
      <c r="H37" s="269"/>
      <c r="I37" s="255"/>
      <c r="K37" s="269"/>
      <c r="N37" s="5"/>
      <c r="O37" s="5"/>
      <c r="S37" s="334">
        <f>SUM(S10:S36)</f>
        <v>0.463729647176157</v>
      </c>
      <c r="V37" s="54"/>
      <c r="W37" s="54"/>
      <c r="X37" s="54"/>
      <c r="Y37" s="294">
        <f>SUM(Y10:Y36)</f>
        <v>0.34096926954890938</v>
      </c>
      <c r="AB37" s="54"/>
    </row>
    <row r="38" spans="1:28" ht="16" thickBot="1">
      <c r="D38" s="41"/>
      <c r="E38" s="12" t="s">
        <v>122</v>
      </c>
      <c r="F38" s="394">
        <v>174655.8342533485</v>
      </c>
      <c r="G38" s="415">
        <f>G39-G12-G14-G15</f>
        <v>139783.38148869621</v>
      </c>
      <c r="H38" s="269">
        <v>416.88944881044961</v>
      </c>
      <c r="I38" s="415">
        <v>58274216.861683369</v>
      </c>
      <c r="J38" s="415"/>
      <c r="K38" s="269">
        <v>136.44165504692688</v>
      </c>
      <c r="L38" s="415">
        <v>23830331.089128613</v>
      </c>
      <c r="N38" s="433">
        <v>587.36987956934991</v>
      </c>
      <c r="O38" s="415">
        <v>82104547.950811982</v>
      </c>
      <c r="P38" s="158"/>
      <c r="Q38" s="81"/>
      <c r="R38" s="81" t="s">
        <v>662</v>
      </c>
      <c r="S38" s="81"/>
      <c r="T38" s="81"/>
      <c r="V38" s="81"/>
      <c r="W38" s="81"/>
      <c r="X38" s="81" t="s">
        <v>697</v>
      </c>
      <c r="Y38" s="170"/>
      <c r="Z38" s="170"/>
    </row>
    <row r="39" spans="1:28" ht="16" thickBot="1">
      <c r="D39" s="42"/>
      <c r="E39" s="12" t="s">
        <v>455</v>
      </c>
      <c r="F39" s="397">
        <v>414854.06488203513</v>
      </c>
      <c r="G39" s="397">
        <f>SUM(G10:G33)</f>
        <v>240221.58228874099</v>
      </c>
      <c r="H39" s="432">
        <v>293.2790815041426</v>
      </c>
      <c r="I39" s="397">
        <v>70451965.011113763</v>
      </c>
      <c r="J39" s="397"/>
      <c r="K39" s="269">
        <v>57.442684322991582</v>
      </c>
      <c r="L39" s="397">
        <v>23830331.089128613</v>
      </c>
      <c r="M39" s="215"/>
      <c r="N39" s="433">
        <v>392.48053901716941</v>
      </c>
      <c r="O39" s="397">
        <v>94282296.100242376</v>
      </c>
      <c r="P39" s="158"/>
      <c r="Q39" s="55" t="s">
        <v>438</v>
      </c>
      <c r="R39" s="461">
        <v>0.463729647176157</v>
      </c>
      <c r="S39" s="95" t="s">
        <v>322</v>
      </c>
      <c r="T39" s="81"/>
      <c r="V39" s="81"/>
      <c r="W39" s="5" t="s">
        <v>438</v>
      </c>
      <c r="X39" s="461">
        <v>0.34096926954890938</v>
      </c>
      <c r="Y39" s="95" t="s">
        <v>322</v>
      </c>
      <c r="Z39" s="170"/>
    </row>
    <row r="40" spans="1:28">
      <c r="I40" s="5"/>
      <c r="J40" s="5"/>
      <c r="K40" s="5"/>
      <c r="N40" s="5"/>
      <c r="P40" s="81"/>
      <c r="Q40" s="55"/>
      <c r="R40" s="95" t="s">
        <v>18</v>
      </c>
      <c r="S40" s="95" t="s">
        <v>222</v>
      </c>
      <c r="T40" s="81"/>
      <c r="U40" s="55"/>
      <c r="V40" s="81"/>
      <c r="X40" s="95" t="s">
        <v>18</v>
      </c>
      <c r="Y40" s="95" t="s">
        <v>222</v>
      </c>
      <c r="Z40" s="170"/>
    </row>
    <row r="41" spans="1:28">
      <c r="D41" s="467" t="s">
        <v>593</v>
      </c>
      <c r="I41" s="5"/>
      <c r="J41" s="5"/>
      <c r="K41" s="5"/>
      <c r="N41" s="5"/>
      <c r="P41" s="81"/>
      <c r="Q41" s="55" t="s">
        <v>439</v>
      </c>
      <c r="R41" s="460">
        <v>8.2639253617429915</v>
      </c>
      <c r="S41" s="468">
        <v>3243.4298803745137</v>
      </c>
      <c r="T41" s="81"/>
      <c r="U41" s="55"/>
      <c r="V41" s="81"/>
      <c r="W41" s="5" t="s">
        <v>439</v>
      </c>
      <c r="X41" s="460">
        <v>6.6561719930891883</v>
      </c>
      <c r="Y41" s="465">
        <v>3909.6349419736293</v>
      </c>
      <c r="Z41" s="170"/>
    </row>
    <row r="42" spans="1:28">
      <c r="D42" s="467" t="s">
        <v>532</v>
      </c>
      <c r="H42" s="142"/>
      <c r="I42" s="5"/>
      <c r="J42" s="5"/>
      <c r="P42" s="81"/>
      <c r="Q42" s="55" t="s">
        <v>440</v>
      </c>
      <c r="R42" s="460">
        <v>26.608231185862124</v>
      </c>
      <c r="S42" s="465">
        <v>2088.6425836241201</v>
      </c>
      <c r="T42" s="81"/>
      <c r="U42" s="55"/>
      <c r="V42" s="81"/>
      <c r="W42" s="5" t="s">
        <v>440</v>
      </c>
      <c r="X42" s="460">
        <v>22.429870393087342</v>
      </c>
      <c r="Y42" s="465">
        <v>2634.9260543087566</v>
      </c>
      <c r="Z42" s="170"/>
    </row>
    <row r="43" spans="1:28">
      <c r="D43" s="467" t="s">
        <v>485</v>
      </c>
      <c r="H43" s="142"/>
      <c r="P43" s="81"/>
      <c r="Q43" s="55" t="s">
        <v>190</v>
      </c>
      <c r="R43" s="460">
        <v>35.174347671029807</v>
      </c>
      <c r="S43" s="465">
        <v>1380.5246933503081</v>
      </c>
      <c r="T43" s="81"/>
      <c r="U43" s="55"/>
      <c r="V43" s="81"/>
      <c r="W43" s="5" t="s">
        <v>190</v>
      </c>
      <c r="X43" s="460">
        <v>32.165879151639047</v>
      </c>
      <c r="Y43" s="465">
        <v>1889.3268563540469</v>
      </c>
      <c r="Z43" s="170"/>
    </row>
    <row r="44" spans="1:28">
      <c r="D44" s="467" t="s">
        <v>565</v>
      </c>
      <c r="H44" s="142"/>
      <c r="P44" s="81"/>
      <c r="Q44" s="55" t="s">
        <v>5</v>
      </c>
      <c r="R44" s="460">
        <v>49.710466847223422</v>
      </c>
      <c r="S44" s="465">
        <v>975.51954114966838</v>
      </c>
      <c r="T44" s="81"/>
      <c r="U44" s="55"/>
      <c r="V44" s="81"/>
      <c r="W44" s="5" t="s">
        <v>5</v>
      </c>
      <c r="X44" s="460">
        <v>43.613636799162471</v>
      </c>
      <c r="Y44" s="465">
        <v>1280.8668297152706</v>
      </c>
      <c r="Z44" s="170"/>
    </row>
    <row r="45" spans="1:28">
      <c r="D45" s="467" t="s">
        <v>402</v>
      </c>
      <c r="H45" s="142"/>
      <c r="P45" s="81"/>
      <c r="Q45" s="55" t="s">
        <v>264</v>
      </c>
      <c r="R45" s="460">
        <f>100-R44-R46</f>
        <v>38.316781145469847</v>
      </c>
      <c r="S45" s="462">
        <f>(R48-(0.2*S44)-(0.4*S46))/0.4</f>
        <v>375.96477293442319</v>
      </c>
      <c r="T45" s="81"/>
      <c r="U45" s="337"/>
      <c r="V45" s="336"/>
      <c r="W45" s="5" t="s">
        <v>264</v>
      </c>
      <c r="X45" s="460">
        <f>100-X44-X46</f>
        <v>35.030660841587078</v>
      </c>
      <c r="Y45" s="465">
        <v>637.95958698338347</v>
      </c>
      <c r="Z45" s="398">
        <f>(X48-(0.2*Y44)-(0.4*Y46))/0.4</f>
        <v>637.95958698338347</v>
      </c>
    </row>
    <row r="46" spans="1:28">
      <c r="P46" s="81"/>
      <c r="Q46" s="55" t="s">
        <v>265</v>
      </c>
      <c r="R46" s="460">
        <v>11.972752007306731</v>
      </c>
      <c r="S46" s="465">
        <v>117.47680403366606</v>
      </c>
      <c r="T46" s="81"/>
      <c r="U46" s="55"/>
      <c r="V46" s="81"/>
      <c r="W46" s="5" t="s">
        <v>265</v>
      </c>
      <c r="X46" s="460">
        <v>21.355702359250454</v>
      </c>
      <c r="Y46" s="465">
        <v>190.03169708235583</v>
      </c>
      <c r="Z46" s="81"/>
    </row>
    <row r="47" spans="1:28">
      <c r="P47" s="81"/>
      <c r="Q47" s="55"/>
      <c r="R47" s="55"/>
      <c r="S47" s="55"/>
      <c r="T47" s="81"/>
      <c r="U47" s="55"/>
      <c r="V47" s="81"/>
      <c r="X47" s="282"/>
      <c r="Y47" s="355"/>
      <c r="Z47" s="170"/>
    </row>
    <row r="48" spans="1:28">
      <c r="P48" s="81"/>
      <c r="Q48" s="55" t="s">
        <v>267</v>
      </c>
      <c r="R48" s="462">
        <v>392.48053901716941</v>
      </c>
      <c r="S48" s="282"/>
      <c r="T48" s="81"/>
      <c r="U48" s="55"/>
      <c r="V48" s="81"/>
      <c r="W48" s="5" t="s">
        <v>267</v>
      </c>
      <c r="X48" s="462">
        <v>587.36987956934991</v>
      </c>
      <c r="Y48" s="55"/>
      <c r="Z48" s="81"/>
    </row>
    <row r="49" spans="15:26">
      <c r="O49" s="367" t="s">
        <v>224</v>
      </c>
      <c r="P49" s="81"/>
      <c r="Q49" s="55" t="s">
        <v>266</v>
      </c>
      <c r="R49" s="462">
        <v>321.22198541380249</v>
      </c>
      <c r="S49" s="282"/>
      <c r="T49" s="81"/>
      <c r="U49" s="55"/>
      <c r="V49" s="81"/>
      <c r="W49" s="5" t="s">
        <v>266</v>
      </c>
      <c r="X49" s="462">
        <v>508</v>
      </c>
      <c r="Y49" s="55"/>
      <c r="Z49" s="81"/>
    </row>
    <row r="50" spans="15:26">
      <c r="O50" s="367" t="s">
        <v>225</v>
      </c>
      <c r="P50" s="81"/>
      <c r="Q50" s="81"/>
      <c r="R50" s="81"/>
      <c r="S50" s="81"/>
      <c r="T50" s="81"/>
      <c r="U50" s="55"/>
      <c r="V50" s="81"/>
      <c r="W50" s="81"/>
      <c r="X50" s="81"/>
      <c r="Y50" s="171"/>
      <c r="Z50" s="81"/>
    </row>
    <row r="52" spans="15:26">
      <c r="O52" s="364">
        <v>98545725.512687668</v>
      </c>
    </row>
    <row r="53" spans="15:26">
      <c r="O53" s="364">
        <v>110723473.66211806</v>
      </c>
    </row>
  </sheetData>
  <sortState ref="A10:AB36">
    <sortCondition ref="N10:N36"/>
  </sortState>
  <phoneticPr fontId="20" type="noConversion"/>
  <pageMargins left="0.75" right="0.75" top="1" bottom="1" header="0.5" footer="0.5"/>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AF137"/>
  <sheetViews>
    <sheetView topLeftCell="C2" workbookViewId="0">
      <pane xSplit="8360" ySplit="5400" topLeftCell="O41" activePane="bottomRight"/>
      <selection activeCell="F7" sqref="F7:F9"/>
      <selection pane="topRight" activeCell="V13" sqref="V13"/>
      <selection pane="bottomLeft" activeCell="E86" sqref="E86"/>
      <selection pane="bottomRight" activeCell="V41" sqref="V41"/>
    </sheetView>
  </sheetViews>
  <sheetFormatPr baseColWidth="10" defaultRowHeight="15"/>
  <cols>
    <col min="1" max="1" width="9.83203125" style="5" customWidth="1"/>
    <col min="2" max="2" width="13.6640625" style="87" customWidth="1"/>
    <col min="3" max="3" width="10.83203125" style="5"/>
    <col min="4" max="4" width="10.83203125" style="55"/>
    <col min="5" max="5" width="16.5" style="55" customWidth="1"/>
    <col min="6" max="6" width="12.6640625" style="479" customWidth="1"/>
    <col min="7" max="7" width="4.83203125" style="479" customWidth="1"/>
    <col min="8" max="8" width="12.6640625" style="219" customWidth="1"/>
    <col min="9" max="9" width="14.83203125" style="413" customWidth="1"/>
    <col min="10" max="10" width="4" style="5" customWidth="1"/>
    <col min="11" max="11" width="10.83203125" style="219"/>
    <col min="12" max="12" width="12.1640625" style="413" customWidth="1"/>
    <col min="13" max="13" width="4.83203125" style="5" customWidth="1"/>
    <col min="14" max="14" width="12.6640625" style="219" customWidth="1"/>
    <col min="15" max="15" width="13.33203125" style="413" customWidth="1"/>
    <col min="16" max="16" width="4.83203125" style="302" customWidth="1"/>
    <col min="17" max="17" width="11.33203125" style="302" customWidth="1"/>
    <col min="18" max="18" width="13.5" style="5" customWidth="1"/>
    <col min="19" max="19" width="13.1640625" style="5" customWidth="1"/>
    <col min="20" max="20" width="11.83203125" style="5" bestFit="1" customWidth="1"/>
    <col min="21" max="21" width="10" style="5" customWidth="1"/>
    <col min="22" max="22" width="11.83203125" style="5" customWidth="1"/>
    <col min="23" max="23" width="11.83203125" style="26" customWidth="1"/>
    <col min="24" max="24" width="11" style="5" customWidth="1"/>
    <col min="25" max="25" width="13.6640625" style="5" customWidth="1"/>
    <col min="26" max="26" width="13.33203125" style="5" customWidth="1"/>
    <col min="27" max="27" width="12.1640625" style="5" customWidth="1"/>
    <col min="28" max="28" width="8.83203125" style="5" customWidth="1"/>
    <col min="29" max="30" width="10.83203125" style="5"/>
    <col min="31" max="31" width="13.33203125" style="5" customWidth="1"/>
    <col min="32" max="16384" width="10.83203125" style="5"/>
  </cols>
  <sheetData>
    <row r="1" spans="1:31" ht="21">
      <c r="A1" s="349" t="s">
        <v>670</v>
      </c>
      <c r="B1" s="341"/>
      <c r="C1" s="38" t="s">
        <v>389</v>
      </c>
      <c r="H1" s="332"/>
    </row>
    <row r="2" spans="1:31">
      <c r="A2" s="350">
        <v>40575</v>
      </c>
      <c r="B2" s="351" t="s">
        <v>625</v>
      </c>
      <c r="C2" s="5" t="s">
        <v>403</v>
      </c>
    </row>
    <row r="3" spans="1:31">
      <c r="A3" s="351" t="s">
        <v>526</v>
      </c>
      <c r="B3" s="345"/>
      <c r="C3" s="5" t="s">
        <v>674</v>
      </c>
      <c r="Q3" s="5"/>
      <c r="S3" s="160" t="s">
        <v>249</v>
      </c>
      <c r="T3" s="160"/>
      <c r="U3" s="160"/>
      <c r="V3" s="160"/>
      <c r="Z3" s="160" t="s">
        <v>709</v>
      </c>
    </row>
    <row r="4" spans="1:31">
      <c r="B4" s="5"/>
      <c r="D4" s="488" t="s">
        <v>149</v>
      </c>
      <c r="N4" s="5"/>
      <c r="Q4" s="5"/>
      <c r="S4" s="160" t="s">
        <v>221</v>
      </c>
      <c r="T4" s="160"/>
      <c r="U4" s="160"/>
      <c r="V4" s="160"/>
      <c r="Z4" s="160" t="s">
        <v>710</v>
      </c>
    </row>
    <row r="5" spans="1:31">
      <c r="D5" s="488" t="s">
        <v>271</v>
      </c>
      <c r="H5" s="219" t="s">
        <v>700</v>
      </c>
      <c r="J5" s="175"/>
      <c r="K5" s="155" t="s">
        <v>472</v>
      </c>
      <c r="M5" s="175"/>
      <c r="N5" s="327"/>
      <c r="Q5" s="5"/>
    </row>
    <row r="6" spans="1:31">
      <c r="F6" s="491" t="s">
        <v>210</v>
      </c>
      <c r="G6" s="491"/>
      <c r="H6" s="181" t="s">
        <v>542</v>
      </c>
      <c r="J6" s="175"/>
      <c r="K6" s="155" t="s">
        <v>477</v>
      </c>
      <c r="M6" s="175"/>
      <c r="N6" s="155" t="s">
        <v>478</v>
      </c>
      <c r="Q6" s="59" t="s">
        <v>142</v>
      </c>
      <c r="X6" s="59" t="s">
        <v>61</v>
      </c>
    </row>
    <row r="7" spans="1:31">
      <c r="F7" s="492" t="s">
        <v>171</v>
      </c>
      <c r="G7" s="492"/>
      <c r="H7" s="153" t="s">
        <v>421</v>
      </c>
      <c r="I7" s="414" t="s">
        <v>332</v>
      </c>
      <c r="J7" s="175"/>
      <c r="K7" s="153" t="s">
        <v>421</v>
      </c>
      <c r="L7" s="414" t="s">
        <v>690</v>
      </c>
      <c r="M7" s="327"/>
      <c r="N7" s="153" t="s">
        <v>421</v>
      </c>
      <c r="O7" s="414" t="s">
        <v>690</v>
      </c>
      <c r="P7" s="216"/>
      <c r="Q7" s="5" t="s">
        <v>704</v>
      </c>
      <c r="X7" s="5" t="s">
        <v>704</v>
      </c>
      <c r="AD7" s="492" t="s">
        <v>171</v>
      </c>
      <c r="AE7" s="414" t="s">
        <v>713</v>
      </c>
    </row>
    <row r="8" spans="1:31">
      <c r="B8" s="58" t="s">
        <v>634</v>
      </c>
      <c r="C8" s="5" t="s">
        <v>422</v>
      </c>
      <c r="F8" s="480" t="s">
        <v>679</v>
      </c>
      <c r="G8" s="480"/>
      <c r="H8" s="197" t="s">
        <v>445</v>
      </c>
      <c r="I8" s="415" t="s">
        <v>248</v>
      </c>
      <c r="J8" s="175"/>
      <c r="K8" s="197" t="s">
        <v>445</v>
      </c>
      <c r="L8" s="415" t="s">
        <v>232</v>
      </c>
      <c r="M8" s="327"/>
      <c r="N8" s="197" t="s">
        <v>445</v>
      </c>
      <c r="O8" s="415" t="s">
        <v>232</v>
      </c>
      <c r="P8" s="318"/>
      <c r="Q8" s="12" t="s">
        <v>474</v>
      </c>
      <c r="R8" s="12" t="s">
        <v>474</v>
      </c>
      <c r="S8" s="12" t="s">
        <v>296</v>
      </c>
      <c r="T8" s="12"/>
      <c r="U8" s="12"/>
      <c r="V8" s="12"/>
      <c r="X8" s="12" t="s">
        <v>474</v>
      </c>
      <c r="Y8" s="12" t="s">
        <v>474</v>
      </c>
      <c r="Z8" s="12" t="s">
        <v>296</v>
      </c>
      <c r="AD8" s="480" t="s">
        <v>715</v>
      </c>
      <c r="AE8" s="415" t="s">
        <v>714</v>
      </c>
    </row>
    <row r="9" spans="1:31" s="7" customFormat="1">
      <c r="A9" s="13" t="s">
        <v>305</v>
      </c>
      <c r="B9" s="178" t="s">
        <v>306</v>
      </c>
      <c r="C9" s="7" t="s">
        <v>307</v>
      </c>
      <c r="D9" s="489" t="s">
        <v>317</v>
      </c>
      <c r="E9" s="489"/>
      <c r="F9" s="493" t="s">
        <v>51</v>
      </c>
      <c r="G9" s="493"/>
      <c r="H9" s="179" t="s">
        <v>51</v>
      </c>
      <c r="I9" s="416" t="s">
        <v>51</v>
      </c>
      <c r="J9" s="327"/>
      <c r="K9" s="179" t="s">
        <v>51</v>
      </c>
      <c r="L9" s="416" t="s">
        <v>51</v>
      </c>
      <c r="M9" s="327"/>
      <c r="N9" s="179" t="s">
        <v>51</v>
      </c>
      <c r="O9" s="416" t="s">
        <v>51</v>
      </c>
      <c r="P9" s="287"/>
      <c r="Q9" s="13" t="s">
        <v>319</v>
      </c>
      <c r="R9" s="13" t="s">
        <v>320</v>
      </c>
      <c r="S9" s="13" t="s">
        <v>95</v>
      </c>
      <c r="T9" s="13"/>
      <c r="U9" s="346" t="s">
        <v>624</v>
      </c>
      <c r="V9" s="13"/>
      <c r="W9" s="37" t="s">
        <v>377</v>
      </c>
      <c r="X9" s="13" t="s">
        <v>319</v>
      </c>
      <c r="Y9" s="13" t="s">
        <v>320</v>
      </c>
      <c r="Z9" s="13" t="s">
        <v>95</v>
      </c>
      <c r="AB9" s="346" t="s">
        <v>624</v>
      </c>
      <c r="AD9" s="493" t="s">
        <v>51</v>
      </c>
      <c r="AE9" s="416" t="s">
        <v>51</v>
      </c>
    </row>
    <row r="10" spans="1:31" s="7" customFormat="1">
      <c r="A10" s="12">
        <v>2</v>
      </c>
      <c r="B10" s="58" t="s">
        <v>7</v>
      </c>
      <c r="C10" s="5" t="s">
        <v>546</v>
      </c>
      <c r="D10" s="55" t="s">
        <v>547</v>
      </c>
      <c r="E10" s="55"/>
      <c r="F10" s="497">
        <v>6948.3876391959402</v>
      </c>
      <c r="G10" s="497"/>
      <c r="H10" s="500">
        <v>36.888881789137379</v>
      </c>
      <c r="I10" s="497">
        <v>256318.25024740238</v>
      </c>
      <c r="J10" s="501"/>
      <c r="K10" s="500">
        <v>0</v>
      </c>
      <c r="L10" s="497">
        <v>0</v>
      </c>
      <c r="M10" s="501"/>
      <c r="N10" s="500">
        <v>36.888881789137379</v>
      </c>
      <c r="O10" s="415">
        <v>256318.25024740238</v>
      </c>
      <c r="P10" s="318"/>
      <c r="Q10" s="300">
        <f>(F10/F$87)</f>
        <v>1.3834009527530999E-2</v>
      </c>
      <c r="R10" s="300">
        <f>(O10/O$87)</f>
        <v>1.5618927470801662E-3</v>
      </c>
      <c r="S10" s="160">
        <f>Q10*(Q10-R10)</f>
        <v>1.697725804637299E-4</v>
      </c>
      <c r="T10" s="303"/>
      <c r="U10" s="419"/>
      <c r="V10" s="419"/>
      <c r="W10" s="498">
        <v>1</v>
      </c>
      <c r="X10" s="300">
        <f>(W10*(F10/F$86))</f>
        <v>1.7646864214785393E-2</v>
      </c>
      <c r="Y10" s="300">
        <f>(W10*(O10/O$86))</f>
        <v>1.7003869192254773E-3</v>
      </c>
      <c r="Z10" s="160">
        <f>X10*(X10-Y10)</f>
        <v>2.81405319538904E-4</v>
      </c>
      <c r="AD10" s="413">
        <v>6948.3876391959402</v>
      </c>
      <c r="AE10" s="413">
        <v>256318.25024740238</v>
      </c>
    </row>
    <row r="11" spans="1:31" s="7" customFormat="1">
      <c r="A11" s="12">
        <v>1</v>
      </c>
      <c r="B11" s="58" t="s">
        <v>8</v>
      </c>
      <c r="C11" s="5" t="s">
        <v>502</v>
      </c>
      <c r="D11" s="55" t="s">
        <v>503</v>
      </c>
      <c r="E11" s="55"/>
      <c r="F11" s="499">
        <v>40.591306041131133</v>
      </c>
      <c r="G11" s="499"/>
      <c r="H11" s="500">
        <v>38.988306709265181</v>
      </c>
      <c r="I11" s="497">
        <v>1582.5862896612691</v>
      </c>
      <c r="J11" s="501"/>
      <c r="K11" s="500">
        <v>0</v>
      </c>
      <c r="L11" s="497">
        <v>0</v>
      </c>
      <c r="M11" s="501"/>
      <c r="N11" s="500">
        <v>38.988306709265181</v>
      </c>
      <c r="O11" s="415">
        <v>1582.5862896612691</v>
      </c>
      <c r="P11" s="318"/>
      <c r="Q11" s="300">
        <f>(F11/F$87)+Q10</f>
        <v>1.3914825472706579E-2</v>
      </c>
      <c r="R11" s="300">
        <f>(O11/O$87)+R10</f>
        <v>1.5715363446198052E-3</v>
      </c>
      <c r="S11" s="160">
        <f>(Q11-Q10)*(Q11-R11+Q10-R10)</f>
        <v>1.9893172943790201E-6</v>
      </c>
      <c r="T11" s="303"/>
      <c r="U11" s="419"/>
      <c r="V11" s="419"/>
      <c r="W11" s="498">
        <v>1</v>
      </c>
      <c r="X11" s="300">
        <f>(W11*(F11/F$86))+X10</f>
        <v>1.7749954212523563E-2</v>
      </c>
      <c r="Y11" s="300">
        <f>(W11*(O11/O$86))+Y10</f>
        <v>1.7108856216116251E-3</v>
      </c>
      <c r="Z11" s="160">
        <f>(X11-X10)*(X11-Y11+X10-Y10)</f>
        <v>3.2973898530905325E-6</v>
      </c>
      <c r="AD11" s="413">
        <v>40.591306041131133</v>
      </c>
      <c r="AE11" s="413">
        <v>1582.5862896612691</v>
      </c>
    </row>
    <row r="12" spans="1:31" s="7" customFormat="1">
      <c r="A12" s="12">
        <v>1</v>
      </c>
      <c r="B12" s="58" t="s">
        <v>7</v>
      </c>
      <c r="C12" s="5" t="s">
        <v>546</v>
      </c>
      <c r="D12" s="55" t="s">
        <v>547</v>
      </c>
      <c r="E12" s="55"/>
      <c r="F12" s="499">
        <v>32911.338985626855</v>
      </c>
      <c r="G12" s="499"/>
      <c r="H12" s="500">
        <v>39.45287539936102</v>
      </c>
      <c r="I12" s="497">
        <v>1298446.956226069</v>
      </c>
      <c r="J12" s="501"/>
      <c r="K12" s="500">
        <v>0</v>
      </c>
      <c r="L12" s="497">
        <v>0</v>
      </c>
      <c r="M12" s="501"/>
      <c r="N12" s="500">
        <v>39.45287539936102</v>
      </c>
      <c r="O12" s="415">
        <v>1298446.956226069</v>
      </c>
      <c r="P12" s="318"/>
      <c r="Q12" s="300">
        <f t="shared" ref="Q12:Q75" si="0">(F12/F$87)+Q11</f>
        <v>7.9440210746641954E-2</v>
      </c>
      <c r="R12" s="300">
        <f t="shared" ref="R12:R75" si="1">(O12/O$87)+R11</f>
        <v>9.4837114684758871E-3</v>
      </c>
      <c r="S12" s="160">
        <f t="shared" ref="S12:S75" si="2">(Q12-Q11)*(Q12-R12+Q11-R11)</f>
        <v>5.3927253432830774E-3</v>
      </c>
      <c r="T12" s="303"/>
      <c r="U12" s="419"/>
      <c r="V12" s="419"/>
      <c r="W12" s="498">
        <v>1</v>
      </c>
      <c r="X12" s="300">
        <f t="shared" ref="X12:X75" si="3">(W12*(F12/F$86))+X11</f>
        <v>0.10133509084622717</v>
      </c>
      <c r="Y12" s="300">
        <f t="shared" ref="Y12:Y75" si="4">(W12*(O12/O$86))+Y11</f>
        <v>1.0324639100124686E-2</v>
      </c>
      <c r="Z12" s="160">
        <f t="shared" ref="Z12:Z75" si="5">(X12-X11)*(X12-Y12+X11-Y11)</f>
        <v>8.9477487839417849E-3</v>
      </c>
      <c r="AD12" s="413">
        <v>32911.338985626855</v>
      </c>
      <c r="AE12" s="413">
        <v>1298446.956226069</v>
      </c>
    </row>
    <row r="13" spans="1:31" s="7" customFormat="1">
      <c r="A13" s="5">
        <v>3</v>
      </c>
      <c r="B13" s="156" t="s">
        <v>289</v>
      </c>
      <c r="C13" s="5" t="s">
        <v>502</v>
      </c>
      <c r="D13" s="55" t="s">
        <v>503</v>
      </c>
      <c r="E13" s="55"/>
      <c r="F13" s="497">
        <v>88.064721726642944</v>
      </c>
      <c r="G13" s="497"/>
      <c r="H13" s="500">
        <v>42.513354632587856</v>
      </c>
      <c r="I13" s="497">
        <v>3743.9267453849361</v>
      </c>
      <c r="J13" s="501"/>
      <c r="K13" s="500">
        <v>0</v>
      </c>
      <c r="L13" s="497">
        <v>0</v>
      </c>
      <c r="M13" s="501"/>
      <c r="N13" s="500">
        <v>42.513354632587856</v>
      </c>
      <c r="O13" s="415">
        <v>3743.9267453849361</v>
      </c>
      <c r="P13" s="318"/>
      <c r="Q13" s="300">
        <f t="shared" si="0"/>
        <v>7.9615544689229351E-2</v>
      </c>
      <c r="R13" s="300">
        <f t="shared" si="1"/>
        <v>9.5065253415558253E-3</v>
      </c>
      <c r="S13" s="160">
        <f t="shared" si="2"/>
        <v>2.4558239601216913E-5</v>
      </c>
      <c r="T13" s="303"/>
      <c r="U13" s="419"/>
      <c r="V13" s="419"/>
      <c r="W13" s="498">
        <v>1</v>
      </c>
      <c r="X13" s="300">
        <f t="shared" si="3"/>
        <v>0.10155874937927395</v>
      </c>
      <c r="Y13" s="300">
        <f t="shared" si="4"/>
        <v>1.0349475896015132E-2</v>
      </c>
      <c r="Z13" s="160">
        <f t="shared" si="5"/>
        <v>4.0754996436985362E-5</v>
      </c>
      <c r="AD13" s="413">
        <v>88.064721726642944</v>
      </c>
      <c r="AE13" s="413">
        <v>3743.9267453849361</v>
      </c>
    </row>
    <row r="14" spans="1:31" s="7" customFormat="1">
      <c r="A14" s="12">
        <v>2</v>
      </c>
      <c r="B14" s="58" t="s">
        <v>145</v>
      </c>
      <c r="C14" s="5" t="s">
        <v>502</v>
      </c>
      <c r="D14" s="55" t="s">
        <v>503</v>
      </c>
      <c r="E14" s="55"/>
      <c r="F14" s="497">
        <v>235.94180362566135</v>
      </c>
      <c r="G14" s="497"/>
      <c r="H14" s="500">
        <v>42.513354632587863</v>
      </c>
      <c r="I14" s="497">
        <v>10030.677570190146</v>
      </c>
      <c r="J14" s="501"/>
      <c r="K14" s="500">
        <v>0</v>
      </c>
      <c r="L14" s="497">
        <v>0</v>
      </c>
      <c r="M14" s="501"/>
      <c r="N14" s="500">
        <v>42.513354632587863</v>
      </c>
      <c r="O14" s="415">
        <v>10030.677570190146</v>
      </c>
      <c r="P14" s="318"/>
      <c r="Q14" s="300">
        <f t="shared" si="0"/>
        <v>8.008529700138993E-2</v>
      </c>
      <c r="R14" s="300">
        <f t="shared" si="1"/>
        <v>9.5676479597465239E-3</v>
      </c>
      <c r="S14" s="160">
        <f t="shared" si="2"/>
        <v>6.6059702627320637E-5</v>
      </c>
      <c r="T14" s="303"/>
      <c r="U14" s="419"/>
      <c r="V14" s="419"/>
      <c r="W14" s="498">
        <v>1</v>
      </c>
      <c r="X14" s="300">
        <f t="shared" si="3"/>
        <v>0.10215797227635104</v>
      </c>
      <c r="Y14" s="300">
        <f t="shared" si="4"/>
        <v>1.0416018301461709E-2</v>
      </c>
      <c r="Z14" s="160">
        <f t="shared" si="5"/>
        <v>1.0962856454128113E-4</v>
      </c>
      <c r="AD14" s="413">
        <v>235.94180362566135</v>
      </c>
      <c r="AE14" s="413">
        <v>10030.677570190146</v>
      </c>
    </row>
    <row r="15" spans="1:31" s="7" customFormat="1">
      <c r="A15" s="5">
        <v>3</v>
      </c>
      <c r="B15" s="157" t="s">
        <v>560</v>
      </c>
      <c r="C15" s="5" t="s">
        <v>502</v>
      </c>
      <c r="D15" s="55" t="s">
        <v>503</v>
      </c>
      <c r="E15" s="55"/>
      <c r="F15" s="497">
        <v>159.4840128206024</v>
      </c>
      <c r="G15" s="497"/>
      <c r="H15" s="500">
        <v>43.431309904153345</v>
      </c>
      <c r="I15" s="497">
        <v>6926.5995855695483</v>
      </c>
      <c r="J15" s="501"/>
      <c r="K15" s="500">
        <v>0</v>
      </c>
      <c r="L15" s="497">
        <v>0</v>
      </c>
      <c r="M15" s="501"/>
      <c r="N15" s="500">
        <v>43.431309904153345</v>
      </c>
      <c r="O15" s="415">
        <v>6926.5995855695483</v>
      </c>
      <c r="P15" s="318"/>
      <c r="Q15" s="300">
        <f t="shared" si="0"/>
        <v>8.0402824385786748E-2</v>
      </c>
      <c r="R15" s="300">
        <f t="shared" si="1"/>
        <v>9.6098556669393879E-3</v>
      </c>
      <c r="S15" s="160">
        <f t="shared" si="2"/>
        <v>4.4869990844987154E-5</v>
      </c>
      <c r="T15" s="303"/>
      <c r="U15" s="419"/>
      <c r="V15" s="419"/>
      <c r="W15" s="498">
        <v>1</v>
      </c>
      <c r="X15" s="300">
        <f t="shared" si="3"/>
        <v>0.10256301483655569</v>
      </c>
      <c r="Y15" s="300">
        <f t="shared" si="4"/>
        <v>1.0461968596919198E-2</v>
      </c>
      <c r="Z15" s="160">
        <f t="shared" si="5"/>
        <v>7.4464239482596443E-5</v>
      </c>
      <c r="AD15" s="413">
        <v>159.4840128206024</v>
      </c>
      <c r="AE15" s="413">
        <v>6926.5995855695483</v>
      </c>
    </row>
    <row r="16" spans="1:31" s="7" customFormat="1">
      <c r="A16" s="12">
        <v>1</v>
      </c>
      <c r="B16" s="58" t="s">
        <v>7</v>
      </c>
      <c r="C16" s="5" t="s">
        <v>502</v>
      </c>
      <c r="D16" s="55" t="s">
        <v>503</v>
      </c>
      <c r="E16" s="55"/>
      <c r="F16" s="499">
        <v>201.631472433412</v>
      </c>
      <c r="G16" s="499"/>
      <c r="H16" s="500">
        <v>43.431309904153352</v>
      </c>
      <c r="I16" s="497">
        <v>8757.1189656862698</v>
      </c>
      <c r="J16" s="501"/>
      <c r="K16" s="500">
        <v>0</v>
      </c>
      <c r="L16" s="497">
        <v>0</v>
      </c>
      <c r="M16" s="501"/>
      <c r="N16" s="500">
        <v>43.431309904153352</v>
      </c>
      <c r="O16" s="415">
        <v>8757.1189656862698</v>
      </c>
      <c r="P16" s="318"/>
      <c r="Q16" s="300">
        <f t="shared" si="0"/>
        <v>8.0804265965551098E-2</v>
      </c>
      <c r="R16" s="300">
        <f t="shared" si="1"/>
        <v>9.6632177688756402E-3</v>
      </c>
      <c r="S16" s="160">
        <f t="shared" si="2"/>
        <v>5.6978215972867461E-5</v>
      </c>
      <c r="T16" s="303"/>
      <c r="U16" s="419"/>
      <c r="V16" s="419"/>
      <c r="W16" s="498">
        <v>1</v>
      </c>
      <c r="X16" s="300">
        <f t="shared" si="3"/>
        <v>0.10307509956760726</v>
      </c>
      <c r="Y16" s="300">
        <f t="shared" si="4"/>
        <v>1.0520062355459535E-2</v>
      </c>
      <c r="Z16" s="160">
        <f t="shared" si="5"/>
        <v>9.4559560831441807E-5</v>
      </c>
      <c r="AD16" s="413">
        <v>201.631472433412</v>
      </c>
      <c r="AE16" s="413">
        <v>8757.1189656862698</v>
      </c>
    </row>
    <row r="17" spans="1:31" s="7" customFormat="1">
      <c r="A17" s="12">
        <v>2</v>
      </c>
      <c r="B17" s="58" t="s">
        <v>7</v>
      </c>
      <c r="C17" s="5" t="s">
        <v>502</v>
      </c>
      <c r="D17" s="55" t="s">
        <v>503</v>
      </c>
      <c r="E17" s="55"/>
      <c r="F17" s="497">
        <v>415.55032600872619</v>
      </c>
      <c r="G17" s="497"/>
      <c r="H17" s="500">
        <v>43.431309904153352</v>
      </c>
      <c r="I17" s="497">
        <v>18047.894989656943</v>
      </c>
      <c r="J17" s="501"/>
      <c r="K17" s="500">
        <v>0</v>
      </c>
      <c r="L17" s="497">
        <v>0</v>
      </c>
      <c r="M17" s="501"/>
      <c r="N17" s="500">
        <v>43.431309904153352</v>
      </c>
      <c r="O17" s="415">
        <v>18047.894989656943</v>
      </c>
      <c r="P17" s="318"/>
      <c r="Q17" s="300">
        <f t="shared" si="0"/>
        <v>8.1631612893742711E-2</v>
      </c>
      <c r="R17" s="300">
        <f t="shared" si="1"/>
        <v>9.7731938484454765E-3</v>
      </c>
      <c r="S17" s="160">
        <f t="shared" si="2"/>
        <v>1.1831016995568338E-4</v>
      </c>
      <c r="T17" s="303"/>
      <c r="U17" s="419"/>
      <c r="V17" s="419"/>
      <c r="W17" s="498">
        <v>1</v>
      </c>
      <c r="X17" s="300">
        <f t="shared" si="3"/>
        <v>0.10413047536963065</v>
      </c>
      <c r="Y17" s="300">
        <f t="shared" si="4"/>
        <v>1.0639790094433825E-2</v>
      </c>
      <c r="Z17" s="160">
        <f t="shared" si="5"/>
        <v>1.9634815358310215E-4</v>
      </c>
      <c r="AD17" s="413">
        <v>415.55032600872619</v>
      </c>
      <c r="AE17" s="413">
        <v>18047.894989656943</v>
      </c>
    </row>
    <row r="18" spans="1:31" s="7" customFormat="1">
      <c r="A18" s="12">
        <v>1</v>
      </c>
      <c r="B18" s="58" t="s">
        <v>8</v>
      </c>
      <c r="C18" s="5" t="s">
        <v>546</v>
      </c>
      <c r="D18" s="55" t="s">
        <v>547</v>
      </c>
      <c r="E18" s="55"/>
      <c r="F18" s="499">
        <v>700.99480761994664</v>
      </c>
      <c r="G18" s="499"/>
      <c r="H18" s="500">
        <v>44.458767685988036</v>
      </c>
      <c r="I18" s="497">
        <v>31165.365301059082</v>
      </c>
      <c r="J18" s="501"/>
      <c r="K18" s="500">
        <v>0</v>
      </c>
      <c r="L18" s="497">
        <v>0</v>
      </c>
      <c r="M18" s="501"/>
      <c r="N18" s="500">
        <v>44.458767685988036</v>
      </c>
      <c r="O18" s="415">
        <v>31165.365301059082</v>
      </c>
      <c r="P18" s="318"/>
      <c r="Q18" s="300">
        <f t="shared" si="0"/>
        <v>8.3027270325498531E-2</v>
      </c>
      <c r="R18" s="300">
        <f t="shared" si="1"/>
        <v>9.9631021283937225E-3</v>
      </c>
      <c r="S18" s="160">
        <f t="shared" si="2"/>
        <v>2.0226228591413965E-4</v>
      </c>
      <c r="T18" s="303"/>
      <c r="U18" s="419"/>
      <c r="V18" s="419"/>
      <c r="W18" s="498">
        <v>1</v>
      </c>
      <c r="X18" s="300">
        <f t="shared" si="3"/>
        <v>0.1059107963343905</v>
      </c>
      <c r="Y18" s="300">
        <f t="shared" si="4"/>
        <v>1.084653768045103E-2</v>
      </c>
      <c r="Z18" s="160">
        <f t="shared" si="5"/>
        <v>3.3568831968616074E-4</v>
      </c>
      <c r="AD18" s="413">
        <v>700.99480761994664</v>
      </c>
      <c r="AE18" s="413">
        <v>31165.365301059082</v>
      </c>
    </row>
    <row r="19" spans="1:31" s="7" customFormat="1">
      <c r="A19" s="12">
        <v>2</v>
      </c>
      <c r="B19" s="58" t="s">
        <v>145</v>
      </c>
      <c r="C19" s="5" t="s">
        <v>546</v>
      </c>
      <c r="D19" s="55" t="s">
        <v>547</v>
      </c>
      <c r="E19" s="55"/>
      <c r="F19" s="497">
        <v>672.59682139033032</v>
      </c>
      <c r="G19" s="497"/>
      <c r="H19" s="500">
        <v>55.734766773162931</v>
      </c>
      <c r="I19" s="497">
        <v>37487.026972560787</v>
      </c>
      <c r="J19" s="501"/>
      <c r="K19" s="500">
        <v>0</v>
      </c>
      <c r="L19" s="497">
        <v>0</v>
      </c>
      <c r="M19" s="501"/>
      <c r="N19" s="500">
        <v>55.734766773162931</v>
      </c>
      <c r="O19" s="415">
        <v>37487.026972560787</v>
      </c>
      <c r="P19" s="318"/>
      <c r="Q19" s="300">
        <f t="shared" si="0"/>
        <v>8.4366388307749965E-2</v>
      </c>
      <c r="R19" s="300">
        <f t="shared" si="1"/>
        <v>1.0191531885079121E-2</v>
      </c>
      <c r="S19" s="160">
        <f t="shared" si="2"/>
        <v>1.9717042555750315E-4</v>
      </c>
      <c r="T19" s="303"/>
      <c r="U19" s="419"/>
      <c r="V19" s="419"/>
      <c r="W19" s="498">
        <v>1</v>
      </c>
      <c r="X19" s="300">
        <f t="shared" si="3"/>
        <v>0.10761899475317431</v>
      </c>
      <c r="Y19" s="300">
        <f t="shared" si="4"/>
        <v>1.1095222470719651E-2</v>
      </c>
      <c r="Z19" s="160">
        <f t="shared" si="5"/>
        <v>3.2727037150345165E-4</v>
      </c>
      <c r="AD19" s="413">
        <v>672.59682139033032</v>
      </c>
      <c r="AE19" s="413">
        <v>37487.026972560787</v>
      </c>
    </row>
    <row r="20" spans="1:31" s="7" customFormat="1">
      <c r="A20" s="12">
        <v>2</v>
      </c>
      <c r="B20" s="58" t="s">
        <v>7</v>
      </c>
      <c r="C20" s="5" t="s">
        <v>599</v>
      </c>
      <c r="D20" s="55" t="s">
        <v>600</v>
      </c>
      <c r="E20" s="55"/>
      <c r="F20" s="497">
        <v>32433.40982316939</v>
      </c>
      <c r="G20" s="497"/>
      <c r="H20" s="500">
        <v>104.4330788124533</v>
      </c>
      <c r="I20" s="497">
        <v>3387120.844219646</v>
      </c>
      <c r="J20" s="501"/>
      <c r="K20" s="500">
        <v>9.9736081615728729</v>
      </c>
      <c r="L20" s="497">
        <v>323478.12092000002</v>
      </c>
      <c r="M20" s="501"/>
      <c r="N20" s="500">
        <v>114.40668697402617</v>
      </c>
      <c r="O20" s="415">
        <v>3710598.9651396461</v>
      </c>
      <c r="P20" s="318"/>
      <c r="Q20" s="300">
        <f t="shared" si="0"/>
        <v>0.14894023245729199</v>
      </c>
      <c r="R20" s="300">
        <f t="shared" si="1"/>
        <v>3.2802319862060163E-2</v>
      </c>
      <c r="S20" s="160">
        <f t="shared" si="2"/>
        <v>1.2289227086229836E-2</v>
      </c>
      <c r="T20" s="419"/>
      <c r="U20" s="419"/>
      <c r="V20" s="419"/>
      <c r="W20" s="498">
        <v>1</v>
      </c>
      <c r="X20" s="300">
        <f t="shared" si="3"/>
        <v>0.18999033165777285</v>
      </c>
      <c r="Y20" s="300">
        <f t="shared" si="4"/>
        <v>3.5710925553606117E-2</v>
      </c>
      <c r="Z20" s="160">
        <f t="shared" si="5"/>
        <v>2.0658993103628519E-2</v>
      </c>
      <c r="AD20" s="413">
        <v>32433.40982316939</v>
      </c>
      <c r="AE20" s="413">
        <v>3710598.9651396461</v>
      </c>
    </row>
    <row r="21" spans="1:31" s="7" customFormat="1">
      <c r="A21" s="5">
        <v>3</v>
      </c>
      <c r="B21" s="157" t="s">
        <v>560</v>
      </c>
      <c r="C21" s="5" t="s">
        <v>41</v>
      </c>
      <c r="D21" s="55" t="s">
        <v>545</v>
      </c>
      <c r="E21" s="490"/>
      <c r="F21" s="497">
        <v>88938.200800044797</v>
      </c>
      <c r="G21" s="497"/>
      <c r="H21" s="500">
        <v>117.10285714285716</v>
      </c>
      <c r="I21" s="497">
        <v>10414917.42283039</v>
      </c>
      <c r="J21" s="501"/>
      <c r="K21" s="500">
        <v>0</v>
      </c>
      <c r="L21" s="497">
        <v>0</v>
      </c>
      <c r="M21" s="501"/>
      <c r="N21" s="500">
        <v>117.10285714285716</v>
      </c>
      <c r="O21" s="415">
        <v>10414917.42283039</v>
      </c>
      <c r="P21" s="318"/>
      <c r="Q21" s="300">
        <f t="shared" si="0"/>
        <v>0.32601324293367095</v>
      </c>
      <c r="R21" s="300">
        <f t="shared" si="1"/>
        <v>9.6266329812410928E-2</v>
      </c>
      <c r="S21" s="160">
        <f t="shared" si="2"/>
        <v>6.1246867367716867E-2</v>
      </c>
      <c r="T21" s="419"/>
      <c r="U21" s="419"/>
      <c r="V21" s="419"/>
      <c r="W21" s="498">
        <v>0</v>
      </c>
      <c r="X21" s="300">
        <f t="shared" si="3"/>
        <v>0.18999033165777285</v>
      </c>
      <c r="Y21" s="300">
        <f t="shared" si="4"/>
        <v>3.5710925553606117E-2</v>
      </c>
      <c r="Z21" s="505">
        <f t="shared" si="5"/>
        <v>0</v>
      </c>
      <c r="AD21" s="413">
        <v>0</v>
      </c>
      <c r="AE21" s="413">
        <v>0</v>
      </c>
    </row>
    <row r="22" spans="1:31" s="7" customFormat="1">
      <c r="A22" s="12">
        <v>1</v>
      </c>
      <c r="B22" s="58" t="s">
        <v>7</v>
      </c>
      <c r="C22" s="5" t="s">
        <v>688</v>
      </c>
      <c r="D22" s="55" t="s">
        <v>595</v>
      </c>
      <c r="E22" s="55"/>
      <c r="F22" s="499">
        <v>755.51977508935306</v>
      </c>
      <c r="G22" s="499"/>
      <c r="H22" s="500">
        <v>112.82318494448573</v>
      </c>
      <c r="I22" s="497">
        <v>85240.14731412234</v>
      </c>
      <c r="J22" s="501"/>
      <c r="K22" s="500">
        <v>8.9196198784047311</v>
      </c>
      <c r="L22" s="497">
        <v>6738.9492044148656</v>
      </c>
      <c r="M22" s="501"/>
      <c r="N22" s="500">
        <v>121.74280482289045</v>
      </c>
      <c r="O22" s="415">
        <v>91979.096518537204</v>
      </c>
      <c r="P22" s="318"/>
      <c r="Q22" s="300">
        <f t="shared" si="0"/>
        <v>0.32751745776875946</v>
      </c>
      <c r="R22" s="300">
        <f t="shared" si="1"/>
        <v>9.6826810712996925E-2</v>
      </c>
      <c r="S22" s="160">
        <f t="shared" si="2"/>
        <v>6.9259700865023221E-4</v>
      </c>
      <c r="T22" s="303"/>
      <c r="U22" s="419"/>
      <c r="V22" s="419"/>
      <c r="W22" s="498">
        <v>1</v>
      </c>
      <c r="X22" s="300">
        <f t="shared" si="3"/>
        <v>0.19190913002868956</v>
      </c>
      <c r="Y22" s="300">
        <f t="shared" si="4"/>
        <v>3.6321104705544532E-2</v>
      </c>
      <c r="Z22" s="160">
        <f t="shared" si="5"/>
        <v>5.9457312262287218E-4</v>
      </c>
      <c r="AD22" s="413">
        <v>755.51977508935306</v>
      </c>
      <c r="AE22" s="413">
        <v>91979.096518537204</v>
      </c>
    </row>
    <row r="23" spans="1:31" s="7" customFormat="1">
      <c r="A23" s="12">
        <v>2</v>
      </c>
      <c r="B23" s="58" t="s">
        <v>7</v>
      </c>
      <c r="C23" s="5" t="s">
        <v>659</v>
      </c>
      <c r="D23" s="55" t="s">
        <v>146</v>
      </c>
      <c r="E23" s="490"/>
      <c r="F23" s="497">
        <v>6316.5595146260684</v>
      </c>
      <c r="G23" s="497"/>
      <c r="H23" s="500">
        <v>123.61340571428573</v>
      </c>
      <c r="I23" s="497">
        <v>780811.43399990397</v>
      </c>
      <c r="J23" s="501"/>
      <c r="K23" s="500">
        <v>0</v>
      </c>
      <c r="L23" s="497">
        <v>0</v>
      </c>
      <c r="M23" s="501"/>
      <c r="N23" s="500">
        <v>123.61340571428573</v>
      </c>
      <c r="O23" s="415">
        <v>780811.43399990397</v>
      </c>
      <c r="P23" s="318"/>
      <c r="Q23" s="300">
        <f t="shared" si="0"/>
        <v>0.34009351843837771</v>
      </c>
      <c r="R23" s="300">
        <f t="shared" si="1"/>
        <v>0.10158473846267761</v>
      </c>
      <c r="S23" s="160">
        <f t="shared" si="2"/>
        <v>5.9006804604977954E-3</v>
      </c>
      <c r="T23" s="303"/>
      <c r="U23" s="419"/>
      <c r="V23" s="419"/>
      <c r="W23" s="498">
        <v>0</v>
      </c>
      <c r="X23" s="300">
        <f t="shared" si="3"/>
        <v>0.19190913002868956</v>
      </c>
      <c r="Y23" s="300">
        <f t="shared" si="4"/>
        <v>3.6321104705544532E-2</v>
      </c>
      <c r="Z23" s="505">
        <f t="shared" si="5"/>
        <v>0</v>
      </c>
      <c r="AD23" s="413">
        <v>0</v>
      </c>
      <c r="AE23" s="413">
        <v>0</v>
      </c>
    </row>
    <row r="24" spans="1:31" s="7" customFormat="1">
      <c r="A24" s="5">
        <v>3</v>
      </c>
      <c r="B24" s="157" t="s">
        <v>560</v>
      </c>
      <c r="C24" s="5" t="s">
        <v>599</v>
      </c>
      <c r="D24" s="55" t="s">
        <v>600</v>
      </c>
      <c r="E24" s="55"/>
      <c r="F24" s="497">
        <v>6921.9195493771931</v>
      </c>
      <c r="G24" s="497"/>
      <c r="H24" s="500">
        <v>106.84</v>
      </c>
      <c r="I24" s="497">
        <v>739537.88465545932</v>
      </c>
      <c r="J24" s="501"/>
      <c r="K24" s="500">
        <v>18.121918392179175</v>
      </c>
      <c r="L24" s="497">
        <v>125438.46119104314</v>
      </c>
      <c r="M24" s="501"/>
      <c r="N24" s="500">
        <v>124.96191839217917</v>
      </c>
      <c r="O24" s="415">
        <v>864976.34584650246</v>
      </c>
      <c r="P24" s="318"/>
      <c r="Q24" s="300">
        <f t="shared" si="0"/>
        <v>0.35387483087620364</v>
      </c>
      <c r="R24" s="300">
        <f t="shared" si="1"/>
        <v>0.10685553084546562</v>
      </c>
      <c r="S24" s="160">
        <f t="shared" si="2"/>
        <v>6.6912141679064691E-3</v>
      </c>
      <c r="T24" s="303"/>
      <c r="U24" s="419"/>
      <c r="V24" s="419"/>
      <c r="W24" s="498">
        <v>1</v>
      </c>
      <c r="X24" s="300">
        <f t="shared" si="3"/>
        <v>0.20948877306766989</v>
      </c>
      <c r="Y24" s="300">
        <f t="shared" si="4"/>
        <v>4.2059262103612022E-2</v>
      </c>
      <c r="Z24" s="160">
        <f t="shared" si="5"/>
        <v>5.6785329832599006E-3</v>
      </c>
      <c r="AD24" s="413">
        <v>6921.9195493771931</v>
      </c>
      <c r="AE24" s="413">
        <v>864976.34584650246</v>
      </c>
    </row>
    <row r="25" spans="1:31" s="7" customFormat="1">
      <c r="A25" s="12">
        <v>1</v>
      </c>
      <c r="B25" s="58" t="s">
        <v>7</v>
      </c>
      <c r="C25" s="5" t="s">
        <v>599</v>
      </c>
      <c r="D25" s="55" t="s">
        <v>600</v>
      </c>
      <c r="E25" s="55"/>
      <c r="F25" s="499">
        <v>20644.363654471883</v>
      </c>
      <c r="G25" s="499"/>
      <c r="H25" s="500">
        <v>111.34355725743856</v>
      </c>
      <c r="I25" s="497">
        <v>2298616.8866050737</v>
      </c>
      <c r="J25" s="501"/>
      <c r="K25" s="500">
        <v>20.870988750313149</v>
      </c>
      <c r="L25" s="497">
        <v>430868.28158985631</v>
      </c>
      <c r="M25" s="501"/>
      <c r="N25" s="500">
        <v>132.21454600775172</v>
      </c>
      <c r="O25" s="415">
        <v>2729485.1681949301</v>
      </c>
      <c r="P25" s="318"/>
      <c r="Q25" s="300">
        <f t="shared" si="0"/>
        <v>0.39497707478020483</v>
      </c>
      <c r="R25" s="300">
        <f t="shared" si="1"/>
        <v>0.12348783495706001</v>
      </c>
      <c r="S25" s="160">
        <f t="shared" si="2"/>
        <v>2.1311864471381812E-2</v>
      </c>
      <c r="T25" s="303"/>
      <c r="U25" s="419"/>
      <c r="V25" s="419"/>
      <c r="W25" s="498">
        <v>1</v>
      </c>
      <c r="X25" s="300">
        <f t="shared" si="3"/>
        <v>0.26191939454826324</v>
      </c>
      <c r="Y25" s="300">
        <f t="shared" si="4"/>
        <v>6.0166364784513093E-2</v>
      </c>
      <c r="Z25" s="160">
        <f t="shared" si="5"/>
        <v>1.9356470050143439E-2</v>
      </c>
      <c r="AD25" s="413">
        <v>20644.363654471883</v>
      </c>
      <c r="AE25" s="413">
        <v>2729485.1681949301</v>
      </c>
    </row>
    <row r="26" spans="1:31" s="7" customFormat="1">
      <c r="A26" s="12">
        <v>1</v>
      </c>
      <c r="B26" s="58" t="s">
        <v>8</v>
      </c>
      <c r="C26" s="5" t="s">
        <v>688</v>
      </c>
      <c r="D26" s="55" t="s">
        <v>595</v>
      </c>
      <c r="E26" s="55"/>
      <c r="F26" s="499">
        <v>69.082778663239068</v>
      </c>
      <c r="G26" s="499"/>
      <c r="H26" s="500">
        <v>125.36571428571429</v>
      </c>
      <c r="I26" s="497">
        <v>8660.611891958868</v>
      </c>
      <c r="J26" s="501"/>
      <c r="K26" s="500">
        <v>9.5142015359999998</v>
      </c>
      <c r="L26" s="497">
        <v>657.26747886893713</v>
      </c>
      <c r="M26" s="501"/>
      <c r="N26" s="500">
        <v>134.87991582171426</v>
      </c>
      <c r="O26" s="415">
        <v>9317.8793708278045</v>
      </c>
      <c r="P26" s="318"/>
      <c r="Q26" s="300">
        <f t="shared" si="0"/>
        <v>0.39511461630319422</v>
      </c>
      <c r="R26" s="300">
        <f t="shared" si="1"/>
        <v>0.12354461409078699</v>
      </c>
      <c r="S26" s="160">
        <f t="shared" si="2"/>
        <v>7.469319522303511E-5</v>
      </c>
      <c r="T26" s="303"/>
      <c r="U26" s="419"/>
      <c r="V26" s="419"/>
      <c r="W26" s="498">
        <v>1</v>
      </c>
      <c r="X26" s="300">
        <f t="shared" si="3"/>
        <v>0.26209484451996218</v>
      </c>
      <c r="Y26" s="300">
        <f t="shared" si="4"/>
        <v>6.0228178565552029E-2</v>
      </c>
      <c r="Z26" s="160">
        <f t="shared" si="5"/>
        <v>7.0815064190885075E-5</v>
      </c>
      <c r="AD26" s="413">
        <v>69.082778663239068</v>
      </c>
      <c r="AE26" s="413">
        <v>9317.8793708278045</v>
      </c>
    </row>
    <row r="27" spans="1:31" s="7" customFormat="1">
      <c r="A27" s="12">
        <v>1</v>
      </c>
      <c r="B27" s="58" t="s">
        <v>8</v>
      </c>
      <c r="C27" s="5" t="s">
        <v>599</v>
      </c>
      <c r="D27" s="55" t="s">
        <v>600</v>
      </c>
      <c r="E27" s="55"/>
      <c r="F27" s="499">
        <v>104.9526829691517</v>
      </c>
      <c r="G27" s="499"/>
      <c r="H27" s="500">
        <v>125.36571428571428</v>
      </c>
      <c r="I27" s="497">
        <v>13157.468066629823</v>
      </c>
      <c r="J27" s="501"/>
      <c r="K27" s="500">
        <v>15.376741200000001</v>
      </c>
      <c r="L27" s="497">
        <v>1613.8302442622933</v>
      </c>
      <c r="M27" s="501"/>
      <c r="N27" s="500">
        <v>140.74245548571429</v>
      </c>
      <c r="O27" s="415">
        <v>14771.298310892116</v>
      </c>
      <c r="P27" s="318"/>
      <c r="Q27" s="300">
        <f t="shared" si="0"/>
        <v>0.39532357361696652</v>
      </c>
      <c r="R27" s="300">
        <f t="shared" si="1"/>
        <v>0.12363462400492486</v>
      </c>
      <c r="S27" s="160">
        <f t="shared" si="2"/>
        <v>1.1351793125598974E-4</v>
      </c>
      <c r="T27" s="303"/>
      <c r="U27" s="419"/>
      <c r="V27" s="419"/>
      <c r="W27" s="498">
        <v>1</v>
      </c>
      <c r="X27" s="300">
        <f t="shared" si="3"/>
        <v>0.26236139351542787</v>
      </c>
      <c r="Y27" s="300">
        <f t="shared" si="4"/>
        <v>6.0326169724603619E-2</v>
      </c>
      <c r="Z27" s="160">
        <f t="shared" si="5"/>
        <v>1.0765964297828507E-4</v>
      </c>
      <c r="AD27" s="413">
        <v>104.9526829691517</v>
      </c>
      <c r="AE27" s="413">
        <v>14771.298310892116</v>
      </c>
    </row>
    <row r="28" spans="1:31" s="7" customFormat="1">
      <c r="A28" s="5">
        <v>3</v>
      </c>
      <c r="B28" s="157" t="s">
        <v>560</v>
      </c>
      <c r="C28" s="5" t="s">
        <v>161</v>
      </c>
      <c r="D28" s="55" t="s">
        <v>563</v>
      </c>
      <c r="E28" s="490"/>
      <c r="F28" s="497">
        <v>10810</v>
      </c>
      <c r="G28" s="497"/>
      <c r="H28" s="500">
        <v>153.28962840000003</v>
      </c>
      <c r="I28" s="497">
        <v>1657060.8830040002</v>
      </c>
      <c r="J28" s="501"/>
      <c r="K28" s="500">
        <v>0</v>
      </c>
      <c r="L28" s="497">
        <v>0</v>
      </c>
      <c r="M28" s="501"/>
      <c r="N28" s="500">
        <v>153.28962840000003</v>
      </c>
      <c r="O28" s="415">
        <v>1657060.8830040002</v>
      </c>
      <c r="P28" s="318"/>
      <c r="Q28" s="300">
        <f t="shared" si="0"/>
        <v>0.41684592538516974</v>
      </c>
      <c r="R28" s="300">
        <f t="shared" si="1"/>
        <v>0.13373203756067473</v>
      </c>
      <c r="S28" s="160">
        <f t="shared" si="2"/>
        <v>1.1940661829306407E-2</v>
      </c>
      <c r="T28" s="303" t="s">
        <v>711</v>
      </c>
      <c r="U28" s="54">
        <f>(0.4-Q27)/(Q28-Q27)</f>
        <v>0.21728231344784465</v>
      </c>
      <c r="V28" s="54">
        <f>100*(R27+(U28*(R28-R27)))</f>
        <v>12.582861338215782</v>
      </c>
      <c r="W28" s="498">
        <v>0</v>
      </c>
      <c r="X28" s="300">
        <f t="shared" si="3"/>
        <v>0.26236139351542787</v>
      </c>
      <c r="Y28" s="300">
        <f t="shared" si="4"/>
        <v>6.0326169724603619E-2</v>
      </c>
      <c r="Z28" s="505">
        <f t="shared" si="5"/>
        <v>0</v>
      </c>
      <c r="AD28" s="413">
        <v>0</v>
      </c>
      <c r="AE28" s="413">
        <v>0</v>
      </c>
    </row>
    <row r="29" spans="1:31" s="7" customFormat="1">
      <c r="A29" s="5">
        <v>3</v>
      </c>
      <c r="B29" s="157" t="s">
        <v>560</v>
      </c>
      <c r="C29" s="5" t="s">
        <v>40</v>
      </c>
      <c r="D29" s="55" t="s">
        <v>367</v>
      </c>
      <c r="E29" s="490"/>
      <c r="F29" s="497">
        <v>690</v>
      </c>
      <c r="G29" s="497"/>
      <c r="H29" s="500">
        <v>153.28962840000003</v>
      </c>
      <c r="I29" s="497">
        <v>105769.84359600002</v>
      </c>
      <c r="J29" s="501"/>
      <c r="K29" s="500">
        <v>0</v>
      </c>
      <c r="L29" s="497">
        <v>0</v>
      </c>
      <c r="M29" s="501"/>
      <c r="N29" s="500">
        <v>153.28962840000003</v>
      </c>
      <c r="O29" s="415">
        <v>105769.84359600002</v>
      </c>
      <c r="P29" s="318"/>
      <c r="Q29" s="300">
        <f t="shared" si="0"/>
        <v>0.41821969251931035</v>
      </c>
      <c r="R29" s="300">
        <f t="shared" si="1"/>
        <v>0.13437655331955237</v>
      </c>
      <c r="S29" s="160">
        <f t="shared" si="2"/>
        <v>7.7886693019599024E-4</v>
      </c>
      <c r="T29" s="303"/>
      <c r="U29"/>
      <c r="V29" s="54">
        <f>100-V28</f>
        <v>87.417138661784222</v>
      </c>
      <c r="W29" s="498">
        <v>0</v>
      </c>
      <c r="X29" s="300">
        <f t="shared" si="3"/>
        <v>0.26236139351542787</v>
      </c>
      <c r="Y29" s="300">
        <f t="shared" si="4"/>
        <v>6.0326169724603619E-2</v>
      </c>
      <c r="Z29" s="505">
        <f t="shared" si="5"/>
        <v>0</v>
      </c>
      <c r="AD29" s="413">
        <v>0</v>
      </c>
      <c r="AE29" s="413">
        <v>0</v>
      </c>
    </row>
    <row r="30" spans="1:31" s="7" customFormat="1">
      <c r="A30" s="12">
        <v>2</v>
      </c>
      <c r="B30" s="58" t="s">
        <v>145</v>
      </c>
      <c r="C30" s="5" t="s">
        <v>599</v>
      </c>
      <c r="D30" s="55" t="s">
        <v>600</v>
      </c>
      <c r="E30" s="55"/>
      <c r="F30" s="497">
        <v>1139.8754213249404</v>
      </c>
      <c r="G30" s="497"/>
      <c r="H30" s="500">
        <v>157.16200000000001</v>
      </c>
      <c r="I30" s="497">
        <v>179145.10096627029</v>
      </c>
      <c r="J30" s="501"/>
      <c r="K30" s="500">
        <v>2.0645766074038225</v>
      </c>
      <c r="L30" s="497">
        <v>2353.3601302220482</v>
      </c>
      <c r="M30" s="501"/>
      <c r="N30" s="500">
        <v>159.22657660740384</v>
      </c>
      <c r="O30" s="415">
        <v>181498.46109649233</v>
      </c>
      <c r="P30" s="318"/>
      <c r="Q30" s="300">
        <f t="shared" si="0"/>
        <v>0.42048914670892035</v>
      </c>
      <c r="R30" s="300">
        <f t="shared" si="1"/>
        <v>0.1354825265763111</v>
      </c>
      <c r="S30" s="160">
        <f t="shared" si="2"/>
        <v>1.2909784695754802E-3</v>
      </c>
      <c r="T30" s="303"/>
      <c r="U30" s="54">
        <f>(SUM(O10:O27)+(U28*O28))/(SUM($F10:G27)+(U28*$F28))</f>
        <v>102.78074761210426</v>
      </c>
      <c r="V30" s="54"/>
      <c r="W30" s="498">
        <v>1</v>
      </c>
      <c r="X30" s="300">
        <f t="shared" si="3"/>
        <v>0.26525634236203832</v>
      </c>
      <c r="Y30" s="300">
        <f t="shared" si="4"/>
        <v>6.1530210438872489E-2</v>
      </c>
      <c r="Z30" s="160">
        <f t="shared" si="5"/>
        <v>1.1746583687233106E-3</v>
      </c>
      <c r="AD30" s="413">
        <v>1139.8754213249404</v>
      </c>
      <c r="AE30" s="413">
        <v>181498.46109649233</v>
      </c>
    </row>
    <row r="31" spans="1:31" s="7" customFormat="1">
      <c r="A31" s="12">
        <v>1</v>
      </c>
      <c r="B31" s="58" t="s">
        <v>7</v>
      </c>
      <c r="C31" s="5" t="s">
        <v>693</v>
      </c>
      <c r="D31" s="55" t="s">
        <v>79</v>
      </c>
      <c r="E31" s="490"/>
      <c r="F31" s="499">
        <v>780.82950551405679</v>
      </c>
      <c r="G31" s="499"/>
      <c r="H31" s="500">
        <v>168.71165304428573</v>
      </c>
      <c r="I31" s="497">
        <v>131735.03662102873</v>
      </c>
      <c r="J31" s="501"/>
      <c r="K31" s="500">
        <v>0</v>
      </c>
      <c r="L31" s="497">
        <v>0</v>
      </c>
      <c r="M31" s="501"/>
      <c r="N31" s="500">
        <v>168.71165304428573</v>
      </c>
      <c r="O31" s="415">
        <v>131735.03662102873</v>
      </c>
      <c r="P31" s="318"/>
      <c r="Q31" s="300">
        <f t="shared" si="0"/>
        <v>0.42204375237854713</v>
      </c>
      <c r="R31" s="300">
        <f t="shared" si="1"/>
        <v>0.13628526301055302</v>
      </c>
      <c r="S31" s="160">
        <f t="shared" si="2"/>
        <v>8.8731467525479083E-4</v>
      </c>
      <c r="T31" s="303"/>
      <c r="U31" s="5"/>
      <c r="V31" s="5"/>
      <c r="W31" s="498">
        <v>0</v>
      </c>
      <c r="X31" s="300">
        <f t="shared" si="3"/>
        <v>0.26525634236203832</v>
      </c>
      <c r="Y31" s="300">
        <f t="shared" si="4"/>
        <v>6.1530210438872489E-2</v>
      </c>
      <c r="Z31" s="505">
        <f t="shared" si="5"/>
        <v>0</v>
      </c>
      <c r="AD31" s="413">
        <v>0</v>
      </c>
      <c r="AE31" s="413">
        <v>0</v>
      </c>
    </row>
    <row r="32" spans="1:31" s="7" customFormat="1">
      <c r="A32" s="12">
        <v>2</v>
      </c>
      <c r="B32" s="58" t="s">
        <v>7</v>
      </c>
      <c r="C32" s="5" t="s">
        <v>489</v>
      </c>
      <c r="D32" s="55" t="s">
        <v>501</v>
      </c>
      <c r="E32" s="55"/>
      <c r="F32" s="497">
        <v>7141</v>
      </c>
      <c r="G32" s="497"/>
      <c r="H32" s="500">
        <v>166.57659647893684</v>
      </c>
      <c r="I32" s="497">
        <v>1189523.4754560879</v>
      </c>
      <c r="J32" s="501"/>
      <c r="K32" s="500">
        <v>36.177270817396085</v>
      </c>
      <c r="L32" s="497">
        <v>258341.89090702543</v>
      </c>
      <c r="M32" s="501"/>
      <c r="N32" s="500">
        <v>202.75386729633291</v>
      </c>
      <c r="O32" s="415">
        <v>1447865.3663631133</v>
      </c>
      <c r="P32" s="318"/>
      <c r="Q32" s="300">
        <f t="shared" si="0"/>
        <v>0.43626124673347211</v>
      </c>
      <c r="R32" s="300">
        <f t="shared" si="1"/>
        <v>0.14510792941174905</v>
      </c>
      <c r="S32" s="160">
        <f t="shared" si="2"/>
        <v>8.2022403549006223E-3</v>
      </c>
      <c r="T32" s="303"/>
      <c r="U32" s="5"/>
      <c r="V32" s="5"/>
      <c r="W32" s="498">
        <v>1</v>
      </c>
      <c r="X32" s="300">
        <f t="shared" si="3"/>
        <v>0.28339238541279205</v>
      </c>
      <c r="Y32" s="300">
        <f t="shared" si="4"/>
        <v>7.1135189122158396E-2</v>
      </c>
      <c r="Z32" s="160">
        <f t="shared" si="5"/>
        <v>7.5442915488812849E-3</v>
      </c>
      <c r="AD32" s="413">
        <v>7141</v>
      </c>
      <c r="AE32" s="413">
        <v>1447865.3663631133</v>
      </c>
    </row>
    <row r="33" spans="1:31" s="7" customFormat="1">
      <c r="A33" s="12">
        <v>2</v>
      </c>
      <c r="B33" s="58" t="s">
        <v>145</v>
      </c>
      <c r="C33" s="5" t="s">
        <v>688</v>
      </c>
      <c r="D33" s="55" t="s">
        <v>595</v>
      </c>
      <c r="E33" s="55"/>
      <c r="F33" s="497">
        <v>230.56324860782343</v>
      </c>
      <c r="G33" s="497"/>
      <c r="H33" s="500">
        <v>157.16199999999998</v>
      </c>
      <c r="I33" s="497">
        <v>36235.781277702743</v>
      </c>
      <c r="J33" s="501"/>
      <c r="K33" s="500">
        <v>46.498168403113155</v>
      </c>
      <c r="L33" s="497">
        <v>10720.768761335419</v>
      </c>
      <c r="M33" s="501"/>
      <c r="N33" s="500">
        <v>203.66016840311315</v>
      </c>
      <c r="O33" s="415">
        <v>46956.550039038164</v>
      </c>
      <c r="P33" s="318"/>
      <c r="Q33" s="300">
        <f t="shared" si="0"/>
        <v>0.43672029052083172</v>
      </c>
      <c r="R33" s="300">
        <f t="shared" si="1"/>
        <v>0.14539406235336788</v>
      </c>
      <c r="S33" s="160">
        <f t="shared" si="2"/>
        <v>2.6738361662086309E-4</v>
      </c>
      <c r="T33" s="303"/>
      <c r="U33" s="5"/>
      <c r="V33" s="5"/>
      <c r="W33" s="498">
        <v>1</v>
      </c>
      <c r="X33" s="300">
        <f t="shared" si="3"/>
        <v>0.28397794835953244</v>
      </c>
      <c r="Y33" s="300">
        <f t="shared" si="4"/>
        <v>7.1446693680968662E-2</v>
      </c>
      <c r="Z33" s="160">
        <f t="shared" si="5"/>
        <v>2.4874037709080987E-4</v>
      </c>
      <c r="AD33" s="413">
        <v>230.56324860782343</v>
      </c>
      <c r="AE33" s="413">
        <v>46956.550039038164</v>
      </c>
    </row>
    <row r="34" spans="1:31" s="7" customFormat="1">
      <c r="A34" s="12">
        <v>2</v>
      </c>
      <c r="B34" s="58" t="s">
        <v>7</v>
      </c>
      <c r="C34" s="5" t="s">
        <v>688</v>
      </c>
      <c r="D34" s="55" t="s">
        <v>595</v>
      </c>
      <c r="E34" s="55"/>
      <c r="F34" s="497">
        <v>2003.1246358252829</v>
      </c>
      <c r="G34" s="497"/>
      <c r="H34" s="500">
        <v>104.1336143104833</v>
      </c>
      <c r="I34" s="497">
        <v>208592.60824285733</v>
      </c>
      <c r="J34" s="501"/>
      <c r="K34" s="500">
        <v>104.69269510332566</v>
      </c>
      <c r="L34" s="497">
        <v>209712.51675241659</v>
      </c>
      <c r="M34" s="501"/>
      <c r="N34" s="500">
        <v>208.82630941380896</v>
      </c>
      <c r="O34" s="415">
        <v>418305.12499527389</v>
      </c>
      <c r="P34" s="318"/>
      <c r="Q34" s="300">
        <f t="shared" si="0"/>
        <v>0.44070844528935954</v>
      </c>
      <c r="R34" s="300">
        <f t="shared" si="1"/>
        <v>0.14794303317447</v>
      </c>
      <c r="S34" s="160">
        <f t="shared" si="2"/>
        <v>2.3294478604493035E-3</v>
      </c>
      <c r="T34" s="303"/>
      <c r="W34" s="498">
        <v>1</v>
      </c>
      <c r="X34" s="300">
        <f t="shared" si="3"/>
        <v>0.28906529671849512</v>
      </c>
      <c r="Y34" s="300">
        <f t="shared" si="4"/>
        <v>7.4221683608921132E-2</v>
      </c>
      <c r="Z34" s="160">
        <f t="shared" si="5"/>
        <v>2.1742048323038768E-3</v>
      </c>
      <c r="AD34" s="413">
        <v>2003.1246358252829</v>
      </c>
      <c r="AE34" s="413">
        <v>418305.12499527389</v>
      </c>
    </row>
    <row r="35" spans="1:31" s="7" customFormat="1">
      <c r="A35" s="5">
        <v>3</v>
      </c>
      <c r="B35" s="157" t="s">
        <v>560</v>
      </c>
      <c r="C35" s="5" t="s">
        <v>688</v>
      </c>
      <c r="D35" s="55" t="s">
        <v>595</v>
      </c>
      <c r="E35" s="55"/>
      <c r="F35" s="497">
        <v>7721.8719526795594</v>
      </c>
      <c r="G35" s="497"/>
      <c r="H35" s="500">
        <v>106.84</v>
      </c>
      <c r="I35" s="497">
        <v>825004.79942428414</v>
      </c>
      <c r="J35" s="501"/>
      <c r="K35" s="500">
        <v>106.10534924342122</v>
      </c>
      <c r="L35" s="497">
        <v>819331.92035204358</v>
      </c>
      <c r="M35" s="501"/>
      <c r="N35" s="500">
        <v>212.94534924342122</v>
      </c>
      <c r="O35" s="415">
        <v>1644336.7197763277</v>
      </c>
      <c r="P35" s="318"/>
      <c r="Q35" s="300">
        <f t="shared" si="0"/>
        <v>0.4560824364525965</v>
      </c>
      <c r="R35" s="300">
        <f t="shared" si="1"/>
        <v>0.15796291117339242</v>
      </c>
      <c r="S35" s="160">
        <f t="shared" si="2"/>
        <v>9.0842598059866168E-3</v>
      </c>
      <c r="T35" s="303"/>
      <c r="W35" s="498">
        <v>1</v>
      </c>
      <c r="X35" s="300">
        <f t="shared" si="3"/>
        <v>0.30867658395644554</v>
      </c>
      <c r="Y35" s="300">
        <f t="shared" si="4"/>
        <v>8.5130031517862637E-2</v>
      </c>
      <c r="Z35" s="160">
        <f t="shared" si="5"/>
        <v>8.5973954588575395E-3</v>
      </c>
      <c r="AD35" s="413">
        <v>7721.8719526795594</v>
      </c>
      <c r="AE35" s="413">
        <v>1644336.7197763277</v>
      </c>
    </row>
    <row r="36" spans="1:31" s="7" customFormat="1">
      <c r="A36" s="12">
        <v>1</v>
      </c>
      <c r="B36" s="58" t="s">
        <v>8</v>
      </c>
      <c r="C36" s="5" t="s">
        <v>489</v>
      </c>
      <c r="D36" s="55" t="s">
        <v>501</v>
      </c>
      <c r="E36" s="55"/>
      <c r="F36" s="499">
        <v>164</v>
      </c>
      <c r="G36" s="499"/>
      <c r="H36" s="500">
        <v>219.93637664449795</v>
      </c>
      <c r="I36" s="497">
        <v>36069.565769697663</v>
      </c>
      <c r="J36" s="501"/>
      <c r="K36" s="500">
        <v>12.264956329279965</v>
      </c>
      <c r="L36" s="497">
        <v>2011.4528380019142</v>
      </c>
      <c r="M36" s="501"/>
      <c r="N36" s="500">
        <v>232.20133297377788</v>
      </c>
      <c r="O36" s="415">
        <v>38081.018607699574</v>
      </c>
      <c r="P36" s="318"/>
      <c r="Q36" s="300">
        <f t="shared" si="0"/>
        <v>0.45640895501781253</v>
      </c>
      <c r="R36" s="300">
        <f t="shared" si="1"/>
        <v>0.15819496045863599</v>
      </c>
      <c r="S36" s="160">
        <f t="shared" si="2"/>
        <v>1.9471396528785806E-4</v>
      </c>
      <c r="T36" s="303"/>
      <c r="W36" s="498">
        <v>1</v>
      </c>
      <c r="X36" s="300">
        <f t="shared" si="3"/>
        <v>0.30909309579796962</v>
      </c>
      <c r="Y36" s="300">
        <f t="shared" si="4"/>
        <v>8.5382656782933747E-2</v>
      </c>
      <c r="Z36" s="160">
        <f t="shared" si="5"/>
        <v>1.8628783314486689E-4</v>
      </c>
      <c r="AD36" s="413">
        <v>164</v>
      </c>
      <c r="AE36" s="413">
        <v>38081.018607699574</v>
      </c>
    </row>
    <row r="37" spans="1:31" s="7" customFormat="1">
      <c r="A37" s="5">
        <v>3</v>
      </c>
      <c r="B37" s="156" t="s">
        <v>289</v>
      </c>
      <c r="C37" s="5" t="s">
        <v>599</v>
      </c>
      <c r="D37" s="55" t="s">
        <v>600</v>
      </c>
      <c r="E37" s="55"/>
      <c r="F37" s="497">
        <v>563.64255215446599</v>
      </c>
      <c r="G37" s="497"/>
      <c r="H37" s="500">
        <v>179.68</v>
      </c>
      <c r="I37" s="497">
        <v>101275.29377111445</v>
      </c>
      <c r="J37" s="501"/>
      <c r="K37" s="500">
        <v>55.019240916873322</v>
      </c>
      <c r="L37" s="497">
        <v>31011.185367987902</v>
      </c>
      <c r="M37" s="501"/>
      <c r="N37" s="500">
        <v>234.69924091687335</v>
      </c>
      <c r="O37" s="415">
        <v>132286.47913910236</v>
      </c>
      <c r="P37" s="318"/>
      <c r="Q37" s="300">
        <f t="shared" si="0"/>
        <v>0.45753114866064287</v>
      </c>
      <c r="R37" s="300">
        <f t="shared" si="1"/>
        <v>0.15900105714548798</v>
      </c>
      <c r="S37" s="160">
        <f t="shared" si="2"/>
        <v>6.696624197892148E-4</v>
      </c>
      <c r="T37" s="303"/>
      <c r="W37" s="498">
        <v>1</v>
      </c>
      <c r="X37" s="300">
        <f t="shared" si="3"/>
        <v>0.31052458236723302</v>
      </c>
      <c r="Y37" s="300">
        <f t="shared" si="4"/>
        <v>8.6260230652533007E-2</v>
      </c>
      <c r="Z37" s="160">
        <f t="shared" si="5"/>
        <v>6.4126989629819742E-4</v>
      </c>
      <c r="AD37" s="413">
        <v>563.64255215446599</v>
      </c>
      <c r="AE37" s="413">
        <v>132286.47913910236</v>
      </c>
    </row>
    <row r="38" spans="1:31" s="7" customFormat="1">
      <c r="A38" s="12">
        <v>2</v>
      </c>
      <c r="B38" s="58" t="s">
        <v>7</v>
      </c>
      <c r="C38" s="5" t="s">
        <v>505</v>
      </c>
      <c r="D38" s="55" t="s">
        <v>506</v>
      </c>
      <c r="E38" s="55"/>
      <c r="F38" s="497">
        <v>17516</v>
      </c>
      <c r="G38" s="497"/>
      <c r="H38" s="500">
        <v>206.46683820681147</v>
      </c>
      <c r="I38" s="497">
        <v>3616473.1380305099</v>
      </c>
      <c r="J38" s="501"/>
      <c r="K38" s="500">
        <v>50.560093280826621</v>
      </c>
      <c r="L38" s="502">
        <v>885610.59390695905</v>
      </c>
      <c r="M38" s="501"/>
      <c r="N38" s="500">
        <v>257.02693148763808</v>
      </c>
      <c r="O38" s="415">
        <v>4502083.731937469</v>
      </c>
      <c r="P38" s="318"/>
      <c r="Q38" s="300">
        <f t="shared" si="0"/>
        <v>0.49240492419920417</v>
      </c>
      <c r="R38" s="300">
        <f t="shared" si="1"/>
        <v>0.18643481155382047</v>
      </c>
      <c r="S38" s="160">
        <f t="shared" si="2"/>
        <v>2.1081204432909104E-2</v>
      </c>
      <c r="T38" s="303"/>
      <c r="W38" s="498">
        <v>1</v>
      </c>
      <c r="X38" s="300">
        <f t="shared" si="3"/>
        <v>0.35501007880708763</v>
      </c>
      <c r="Y38" s="300">
        <f t="shared" si="4"/>
        <v>0.11612655612742717</v>
      </c>
      <c r="Z38" s="160">
        <f t="shared" si="5"/>
        <v>2.0603363117496554E-2</v>
      </c>
      <c r="AD38" s="413">
        <v>17516</v>
      </c>
      <c r="AE38" s="413">
        <v>4502083.731937469</v>
      </c>
    </row>
    <row r="39" spans="1:31" s="7" customFormat="1">
      <c r="A39" s="12">
        <v>2</v>
      </c>
      <c r="B39" s="58" t="s">
        <v>145</v>
      </c>
      <c r="C39" s="5" t="s">
        <v>489</v>
      </c>
      <c r="D39" s="55" t="s">
        <v>501</v>
      </c>
      <c r="E39" s="55"/>
      <c r="F39" s="497">
        <v>860</v>
      </c>
      <c r="G39" s="497"/>
      <c r="H39" s="500">
        <v>226.1939234790849</v>
      </c>
      <c r="I39" s="497">
        <v>194526.77419201302</v>
      </c>
      <c r="J39" s="501"/>
      <c r="K39" s="500">
        <v>39.74842313346749</v>
      </c>
      <c r="L39" s="502">
        <v>34183.643894782042</v>
      </c>
      <c r="M39" s="501"/>
      <c r="N39" s="500">
        <v>265.9423466125524</v>
      </c>
      <c r="O39" s="415">
        <v>228710.41808679508</v>
      </c>
      <c r="P39" s="318"/>
      <c r="Q39" s="300">
        <f t="shared" si="0"/>
        <v>0.49411715569972731</v>
      </c>
      <c r="R39" s="300">
        <f t="shared" si="1"/>
        <v>0.18782847409188258</v>
      </c>
      <c r="S39" s="160">
        <f t="shared" si="2"/>
        <v>1.0483287939926885E-3</v>
      </c>
      <c r="T39" s="303"/>
      <c r="W39" s="498">
        <v>1</v>
      </c>
      <c r="X39" s="300">
        <f t="shared" si="3"/>
        <v>0.35719422626873842</v>
      </c>
      <c r="Y39" s="300">
        <f t="shared" si="4"/>
        <v>0.11764379574196888</v>
      </c>
      <c r="Z39" s="160">
        <f t="shared" si="5"/>
        <v>1.0449703044633808E-3</v>
      </c>
      <c r="AD39" s="413">
        <v>860</v>
      </c>
      <c r="AE39" s="413">
        <v>228710.41808679508</v>
      </c>
    </row>
    <row r="40" spans="1:31" s="7" customFormat="1">
      <c r="A40" s="5">
        <v>3</v>
      </c>
      <c r="B40" s="157" t="s">
        <v>560</v>
      </c>
      <c r="C40" s="5" t="s">
        <v>489</v>
      </c>
      <c r="D40" s="55" t="s">
        <v>501</v>
      </c>
      <c r="E40" s="55"/>
      <c r="F40" s="497">
        <v>2297</v>
      </c>
      <c r="G40" s="497"/>
      <c r="H40" s="500">
        <v>186.73421277764177</v>
      </c>
      <c r="I40" s="497">
        <v>428928.48675024317</v>
      </c>
      <c r="J40" s="501"/>
      <c r="K40" s="500">
        <v>90.868449657060921</v>
      </c>
      <c r="L40" s="497">
        <v>208724.82886226894</v>
      </c>
      <c r="M40" s="501"/>
      <c r="N40" s="500">
        <v>277.60266243470272</v>
      </c>
      <c r="O40" s="415">
        <v>637653.31561251217</v>
      </c>
      <c r="P40" s="318"/>
      <c r="Q40" s="504">
        <f t="shared" si="0"/>
        <v>0.49869040657961283</v>
      </c>
      <c r="R40" s="300">
        <f t="shared" si="1"/>
        <v>0.19171405807915426</v>
      </c>
      <c r="S40" s="160">
        <f t="shared" si="2"/>
        <v>2.8046148385458222E-3</v>
      </c>
      <c r="T40" s="303"/>
      <c r="U40" s="5"/>
      <c r="V40" s="5" t="s">
        <v>696</v>
      </c>
      <c r="W40" s="498">
        <v>1</v>
      </c>
      <c r="X40" s="300">
        <f t="shared" si="3"/>
        <v>0.36302793175642661</v>
      </c>
      <c r="Y40" s="300">
        <f t="shared" si="4"/>
        <v>0.12187391730304278</v>
      </c>
      <c r="Z40" s="160">
        <f t="shared" si="5"/>
        <v>2.8042881586368262E-3</v>
      </c>
      <c r="AD40" s="413">
        <v>2297</v>
      </c>
      <c r="AE40" s="413">
        <v>637653.31561251217</v>
      </c>
    </row>
    <row r="41" spans="1:31" s="7" customFormat="1">
      <c r="A41" s="12">
        <v>2</v>
      </c>
      <c r="B41" s="58" t="s">
        <v>145</v>
      </c>
      <c r="C41" s="5" t="s">
        <v>693</v>
      </c>
      <c r="D41" s="55" t="s">
        <v>146</v>
      </c>
      <c r="E41" s="490"/>
      <c r="F41" s="497">
        <v>986.63250000000005</v>
      </c>
      <c r="G41" s="497"/>
      <c r="H41" s="500">
        <v>279.77170731428572</v>
      </c>
      <c r="I41" s="497">
        <v>276031.859016762</v>
      </c>
      <c r="J41" s="501"/>
      <c r="K41" s="500">
        <v>0</v>
      </c>
      <c r="L41" s="502">
        <v>0</v>
      </c>
      <c r="M41" s="501"/>
      <c r="N41" s="500">
        <v>279.77170731428572</v>
      </c>
      <c r="O41" s="415">
        <v>276031.859016762</v>
      </c>
      <c r="P41" s="318"/>
      <c r="Q41" s="300">
        <f t="shared" si="0"/>
        <v>0.50065475919117086</v>
      </c>
      <c r="R41" s="300">
        <f t="shared" si="1"/>
        <v>0.19339607704637646</v>
      </c>
      <c r="S41" s="160">
        <f t="shared" si="2"/>
        <v>1.2065741865584284E-3</v>
      </c>
      <c r="T41" s="503" t="s">
        <v>712</v>
      </c>
      <c r="U41" s="5">
        <f>(0.5-Q40)/(Q41-Q40)</f>
        <v>0.66667939996193526</v>
      </c>
      <c r="V41" s="5">
        <f>N40+(U41*(N41-N40))</f>
        <v>279.04871997351364</v>
      </c>
      <c r="W41" s="498">
        <v>0</v>
      </c>
      <c r="X41" s="300">
        <f t="shared" si="3"/>
        <v>0.36302793175642661</v>
      </c>
      <c r="Y41" s="300">
        <f t="shared" si="4"/>
        <v>0.12187391730304278</v>
      </c>
      <c r="Z41" s="505">
        <f t="shared" si="5"/>
        <v>0</v>
      </c>
      <c r="AD41" s="413">
        <v>0</v>
      </c>
      <c r="AE41" s="413">
        <v>0</v>
      </c>
    </row>
    <row r="42" spans="1:31" s="7" customFormat="1">
      <c r="A42" s="12">
        <v>2</v>
      </c>
      <c r="B42" s="58" t="s">
        <v>7</v>
      </c>
      <c r="C42" s="5" t="s">
        <v>562</v>
      </c>
      <c r="D42" s="55" t="s">
        <v>196</v>
      </c>
      <c r="E42" s="55"/>
      <c r="F42" s="497">
        <v>8522.9731000000011</v>
      </c>
      <c r="G42" s="497"/>
      <c r="H42" s="500">
        <v>238.71207686116077</v>
      </c>
      <c r="I42" s="497">
        <v>2034536.609732806</v>
      </c>
      <c r="J42" s="501"/>
      <c r="K42" s="500">
        <v>43.327894650701062</v>
      </c>
      <c r="L42" s="497">
        <v>369282.48058755911</v>
      </c>
      <c r="M42" s="501"/>
      <c r="N42" s="500">
        <v>282.03997151186184</v>
      </c>
      <c r="O42" s="415">
        <v>2403819.090320365</v>
      </c>
      <c r="P42" s="318"/>
      <c r="Q42" s="300">
        <f t="shared" si="0"/>
        <v>0.51762371619109071</v>
      </c>
      <c r="R42" s="300">
        <f t="shared" si="1"/>
        <v>0.20804391269147904</v>
      </c>
      <c r="S42" s="160">
        <f t="shared" si="2"/>
        <v>1.0467105738795602E-2</v>
      </c>
      <c r="T42" s="303"/>
      <c r="W42" s="498">
        <v>1</v>
      </c>
      <c r="X42" s="504">
        <f t="shared" si="3"/>
        <v>0.38467378066582525</v>
      </c>
      <c r="Y42" s="300">
        <f t="shared" si="4"/>
        <v>0.13782058724722346</v>
      </c>
      <c r="Z42" s="160">
        <f t="shared" si="5"/>
        <v>1.0563330288294495E-2</v>
      </c>
      <c r="AD42" s="413">
        <v>8522.9731000000011</v>
      </c>
      <c r="AE42" s="413">
        <v>2403819.090320365</v>
      </c>
    </row>
    <row r="43" spans="1:31" s="7" customFormat="1">
      <c r="A43" s="12">
        <v>2</v>
      </c>
      <c r="B43" s="58" t="s">
        <v>7</v>
      </c>
      <c r="C43" s="5" t="s">
        <v>585</v>
      </c>
      <c r="D43" s="55" t="s">
        <v>425</v>
      </c>
      <c r="E43" s="55"/>
      <c r="F43" s="497">
        <v>10381.402867192013</v>
      </c>
      <c r="G43" s="497"/>
      <c r="H43" s="500">
        <v>243.86554216583775</v>
      </c>
      <c r="I43" s="497">
        <v>2531666.4386497629</v>
      </c>
      <c r="J43" s="501"/>
      <c r="K43" s="500">
        <v>50.560093280826621</v>
      </c>
      <c r="L43" s="497">
        <v>524884.69735106907</v>
      </c>
      <c r="M43" s="501"/>
      <c r="N43" s="500">
        <v>294.42563544666439</v>
      </c>
      <c r="O43" s="415">
        <v>3056551.1360008321</v>
      </c>
      <c r="P43" s="318"/>
      <c r="Q43" s="300">
        <f t="shared" si="0"/>
        <v>0.53829274527112214</v>
      </c>
      <c r="R43" s="300">
        <f t="shared" si="1"/>
        <v>0.22666921559437964</v>
      </c>
      <c r="S43" s="160">
        <f t="shared" si="2"/>
        <v>1.283966975803452E-2</v>
      </c>
      <c r="T43" s="303"/>
      <c r="W43" s="498">
        <v>1</v>
      </c>
      <c r="X43" s="300">
        <f t="shared" si="3"/>
        <v>0.41103949545739676</v>
      </c>
      <c r="Y43" s="300">
        <f t="shared" si="4"/>
        <v>0.1580974093797991</v>
      </c>
      <c r="Z43" s="160">
        <f t="shared" si="5"/>
        <v>1.3177459793370564E-2</v>
      </c>
      <c r="AA43" s="419" t="s">
        <v>711</v>
      </c>
      <c r="AB43" s="54">
        <f>(0.4-X42)/(X43-X42)</f>
        <v>0.58129352666267164</v>
      </c>
      <c r="AC43" s="54">
        <f>100*(Y42+(AB43*(Y43-Y42)))</f>
        <v>14.960737269418006</v>
      </c>
      <c r="AD43" s="413">
        <v>10381.402867192013</v>
      </c>
      <c r="AE43" s="413">
        <v>3056551.1360008321</v>
      </c>
    </row>
    <row r="44" spans="1:31" s="7" customFormat="1">
      <c r="A44" s="12">
        <v>1</v>
      </c>
      <c r="B44" s="58" t="s">
        <v>7</v>
      </c>
      <c r="C44" s="5" t="s">
        <v>489</v>
      </c>
      <c r="D44" s="55" t="s">
        <v>501</v>
      </c>
      <c r="E44" s="55"/>
      <c r="F44" s="499">
        <v>2559</v>
      </c>
      <c r="G44" s="499"/>
      <c r="H44" s="500">
        <v>275.52435819744466</v>
      </c>
      <c r="I44" s="497">
        <v>705066.83262726082</v>
      </c>
      <c r="J44" s="501"/>
      <c r="K44" s="500">
        <v>25.2159645257811</v>
      </c>
      <c r="L44" s="497">
        <v>64527.653221473833</v>
      </c>
      <c r="M44" s="501"/>
      <c r="N44" s="500">
        <v>300.74032272322574</v>
      </c>
      <c r="O44" s="415">
        <v>769594.48584873462</v>
      </c>
      <c r="P44" s="318"/>
      <c r="Q44" s="300">
        <f t="shared" si="0"/>
        <v>0.54338762946860897</v>
      </c>
      <c r="R44" s="300">
        <f t="shared" si="1"/>
        <v>0.2313587921051424</v>
      </c>
      <c r="S44" s="160">
        <f t="shared" si="2"/>
        <v>3.1774365895584147E-3</v>
      </c>
      <c r="T44" s="303"/>
      <c r="W44" s="498">
        <v>1</v>
      </c>
      <c r="X44" s="300">
        <f t="shared" si="3"/>
        <v>0.41753860400898318</v>
      </c>
      <c r="Y44" s="300">
        <f t="shared" si="4"/>
        <v>0.16320281406940726</v>
      </c>
      <c r="Z44" s="160">
        <f t="shared" si="5"/>
        <v>3.2968539820538087E-3</v>
      </c>
      <c r="AA44" s="419"/>
      <c r="AB44"/>
      <c r="AC44" s="54">
        <f>100-AC43</f>
        <v>85.039262730581996</v>
      </c>
      <c r="AD44" s="413">
        <v>2559</v>
      </c>
      <c r="AE44" s="413">
        <v>769594.48584873462</v>
      </c>
    </row>
    <row r="45" spans="1:31" s="7" customFormat="1">
      <c r="A45" s="5">
        <v>3</v>
      </c>
      <c r="B45" s="156" t="s">
        <v>289</v>
      </c>
      <c r="C45" s="5" t="s">
        <v>489</v>
      </c>
      <c r="D45" s="55" t="s">
        <v>501</v>
      </c>
      <c r="E45" s="55"/>
      <c r="F45" s="497">
        <v>138</v>
      </c>
      <c r="G45" s="497"/>
      <c r="H45" s="500">
        <v>256.55043160418944</v>
      </c>
      <c r="I45" s="497">
        <v>35403.959561378142</v>
      </c>
      <c r="J45" s="501"/>
      <c r="K45" s="500">
        <v>64.491532800000002</v>
      </c>
      <c r="L45" s="497">
        <v>8899.8315263999993</v>
      </c>
      <c r="M45" s="501"/>
      <c r="N45" s="500">
        <v>321.0419644041894</v>
      </c>
      <c r="O45" s="415">
        <v>44303.79108777814</v>
      </c>
      <c r="P45" s="318"/>
      <c r="Q45" s="300">
        <f t="shared" si="0"/>
        <v>0.54366238289543711</v>
      </c>
      <c r="R45" s="300">
        <f t="shared" si="1"/>
        <v>0.23162876027908774</v>
      </c>
      <c r="S45" s="160">
        <f t="shared" si="2"/>
        <v>1.7146329943425642E-4</v>
      </c>
      <c r="T45" s="419"/>
      <c r="W45" s="498">
        <v>1</v>
      </c>
      <c r="X45" s="300">
        <f t="shared" si="3"/>
        <v>0.41788908348538761</v>
      </c>
      <c r="Y45" s="300">
        <f t="shared" si="4"/>
        <v>0.16349672051877262</v>
      </c>
      <c r="Z45" s="160">
        <f t="shared" si="5"/>
        <v>1.7829877666275488E-4</v>
      </c>
      <c r="AA45" s="419"/>
      <c r="AB45" s="54">
        <f>(SUM(AE10:AE42)+(AB43*AE43))/(SUM($AD10:$AD42)+(AB43*$AD43))</f>
        <v>143.18854768345514</v>
      </c>
      <c r="AC45" s="54"/>
      <c r="AD45" s="413">
        <v>138</v>
      </c>
      <c r="AE45" s="413">
        <v>44303.79108777814</v>
      </c>
    </row>
    <row r="46" spans="1:31" s="7" customFormat="1">
      <c r="A46" s="5">
        <v>3</v>
      </c>
      <c r="B46" s="157" t="s">
        <v>560</v>
      </c>
      <c r="C46" s="5" t="s">
        <v>505</v>
      </c>
      <c r="D46" s="55" t="s">
        <v>506</v>
      </c>
      <c r="E46" s="55"/>
      <c r="F46" s="497">
        <v>4819</v>
      </c>
      <c r="G46" s="497"/>
      <c r="H46" s="500">
        <v>282.63217356929243</v>
      </c>
      <c r="I46" s="497">
        <v>1362004.4444304202</v>
      </c>
      <c r="J46" s="501"/>
      <c r="K46" s="500">
        <v>38.896449405717114</v>
      </c>
      <c r="L46" s="497">
        <v>187441.98968615077</v>
      </c>
      <c r="M46" s="501"/>
      <c r="N46" s="500">
        <v>321.52862297500957</v>
      </c>
      <c r="O46" s="415">
        <v>1549446.434116571</v>
      </c>
      <c r="P46" s="318"/>
      <c r="Q46" s="300">
        <f t="shared" si="0"/>
        <v>0.55325685219894971</v>
      </c>
      <c r="R46" s="300">
        <f t="shared" si="1"/>
        <v>0.24107041784775485</v>
      </c>
      <c r="S46" s="160">
        <f t="shared" si="2"/>
        <v>5.9890601752119882E-3</v>
      </c>
      <c r="T46" s="419"/>
      <c r="W46" s="498">
        <v>1</v>
      </c>
      <c r="X46" s="300">
        <f t="shared" si="3"/>
        <v>0.43012792838968422</v>
      </c>
      <c r="Y46" s="300">
        <f t="shared" si="4"/>
        <v>0.17377557676903715</v>
      </c>
      <c r="Z46" s="160">
        <f t="shared" si="5"/>
        <v>6.2509253475227372E-3</v>
      </c>
      <c r="AD46" s="413">
        <v>4819</v>
      </c>
      <c r="AE46" s="413">
        <v>1549446.434116571</v>
      </c>
    </row>
    <row r="47" spans="1:31" s="7" customFormat="1">
      <c r="A47" s="12">
        <v>1</v>
      </c>
      <c r="B47" s="58" t="s">
        <v>7</v>
      </c>
      <c r="C47" s="5" t="s">
        <v>562</v>
      </c>
      <c r="D47" s="55" t="s">
        <v>196</v>
      </c>
      <c r="E47" s="55"/>
      <c r="F47" s="499">
        <v>22647.826226456313</v>
      </c>
      <c r="G47" s="499"/>
      <c r="H47" s="500">
        <v>318.85905468306765</v>
      </c>
      <c r="I47" s="497">
        <v>7221464.461194247</v>
      </c>
      <c r="J47" s="501"/>
      <c r="K47" s="500">
        <v>14.097666885478191</v>
      </c>
      <c r="L47" s="497">
        <v>319281.50982077763</v>
      </c>
      <c r="M47" s="501"/>
      <c r="N47" s="500">
        <v>332.95672156854585</v>
      </c>
      <c r="O47" s="415">
        <v>7540745.9710150249</v>
      </c>
      <c r="P47" s="318"/>
      <c r="Q47" s="300">
        <f t="shared" si="0"/>
        <v>0.59834792369117273</v>
      </c>
      <c r="R47" s="300">
        <f t="shared" si="1"/>
        <v>0.28702046794498437</v>
      </c>
      <c r="S47" s="160">
        <f t="shared" si="2"/>
        <v>2.8114909394775196E-2</v>
      </c>
      <c r="T47" s="303"/>
      <c r="W47" s="498">
        <v>1</v>
      </c>
      <c r="X47" s="504">
        <f t="shared" si="3"/>
        <v>0.48764675648784983</v>
      </c>
      <c r="Y47" s="300">
        <f t="shared" si="4"/>
        <v>0.22380005141311729</v>
      </c>
      <c r="Z47" s="160">
        <f t="shared" si="5"/>
        <v>2.9921240118889445E-2</v>
      </c>
      <c r="AA47" s="419"/>
      <c r="AB47" s="5"/>
      <c r="AC47" s="5" t="s">
        <v>696</v>
      </c>
      <c r="AD47" s="413">
        <v>22647.826226456313</v>
      </c>
      <c r="AE47" s="413">
        <v>7540745.9710150249</v>
      </c>
    </row>
    <row r="48" spans="1:31" s="7" customFormat="1">
      <c r="A48" s="12">
        <v>2</v>
      </c>
      <c r="B48" s="58" t="s">
        <v>7</v>
      </c>
      <c r="C48" s="5" t="s">
        <v>635</v>
      </c>
      <c r="D48" s="55" t="s">
        <v>56</v>
      </c>
      <c r="E48" s="55"/>
      <c r="F48" s="497">
        <v>8522.9731000000011</v>
      </c>
      <c r="G48" s="497"/>
      <c r="H48" s="500">
        <v>238.71207686116077</v>
      </c>
      <c r="I48" s="497">
        <v>2034536.609732806</v>
      </c>
      <c r="J48" s="501"/>
      <c r="K48" s="500">
        <v>96.410465740107426</v>
      </c>
      <c r="L48" s="497">
        <v>821703.80606140732</v>
      </c>
      <c r="M48" s="501"/>
      <c r="N48" s="500">
        <v>335.12254260126821</v>
      </c>
      <c r="O48" s="415">
        <v>2856240.4157942133</v>
      </c>
      <c r="P48" s="318"/>
      <c r="Q48" s="300">
        <f t="shared" si="0"/>
        <v>0.61531688069109258</v>
      </c>
      <c r="R48" s="300">
        <f t="shared" si="1"/>
        <v>0.30442516380663392</v>
      </c>
      <c r="S48" s="160">
        <f t="shared" si="2"/>
        <v>1.0558410384895153E-2</v>
      </c>
      <c r="T48" s="303"/>
      <c r="W48" s="498">
        <v>1</v>
      </c>
      <c r="X48" s="300">
        <f t="shared" si="3"/>
        <v>0.50929260539724852</v>
      </c>
      <c r="Y48" s="300">
        <f t="shared" si="4"/>
        <v>0.24274803438542553</v>
      </c>
      <c r="Z48" s="160">
        <f t="shared" si="5"/>
        <v>1.1480769425032747E-2</v>
      </c>
      <c r="AA48" s="503" t="s">
        <v>712</v>
      </c>
      <c r="AB48" s="5">
        <f>(0.5-X47)/(X48-X47)</f>
        <v>0.57069803840247424</v>
      </c>
      <c r="AC48" s="5">
        <f>N47+(AB48*(N48-N47))</f>
        <v>334.19275138345131</v>
      </c>
      <c r="AD48" s="413">
        <v>8522.9731000000011</v>
      </c>
      <c r="AE48" s="413">
        <v>2856240.4157942133</v>
      </c>
    </row>
    <row r="49" spans="1:31" s="7" customFormat="1">
      <c r="A49" s="12">
        <v>1</v>
      </c>
      <c r="B49" s="58" t="s">
        <v>8</v>
      </c>
      <c r="C49" s="5" t="s">
        <v>586</v>
      </c>
      <c r="D49" s="55" t="s">
        <v>596</v>
      </c>
      <c r="E49" s="55"/>
      <c r="F49" s="499">
        <v>8.0144387200686378</v>
      </c>
      <c r="G49" s="499"/>
      <c r="H49" s="500">
        <v>317.65599756812219</v>
      </c>
      <c r="I49" s="497">
        <v>2545.8345265719877</v>
      </c>
      <c r="J49" s="501"/>
      <c r="K49" s="500">
        <v>26.873229935943062</v>
      </c>
      <c r="L49" s="497">
        <v>215.37385453192971</v>
      </c>
      <c r="M49" s="501"/>
      <c r="N49" s="500">
        <v>344.52922750406526</v>
      </c>
      <c r="O49" s="415">
        <v>2761.2083811039174</v>
      </c>
      <c r="P49" s="318"/>
      <c r="Q49" s="300">
        <f t="shared" si="0"/>
        <v>0.61533283717299436</v>
      </c>
      <c r="R49" s="300">
        <f t="shared" si="1"/>
        <v>0.30444198941830791</v>
      </c>
      <c r="S49" s="160">
        <f t="shared" si="2"/>
        <v>9.9214622395068066E-6</v>
      </c>
      <c r="T49" s="303"/>
      <c r="W49" s="498">
        <v>1</v>
      </c>
      <c r="X49" s="300">
        <f t="shared" si="3"/>
        <v>0.50931295971816359</v>
      </c>
      <c r="Y49" s="300">
        <f t="shared" si="4"/>
        <v>0.24276635193639176</v>
      </c>
      <c r="Z49" s="160">
        <f t="shared" si="5"/>
        <v>1.085070893015912E-5</v>
      </c>
      <c r="AD49" s="413">
        <v>8.0144387200686378</v>
      </c>
      <c r="AE49" s="413">
        <v>2761.2083811039174</v>
      </c>
    </row>
    <row r="50" spans="1:31" s="7" customFormat="1">
      <c r="A50" s="5">
        <v>3</v>
      </c>
      <c r="B50" s="157" t="s">
        <v>560</v>
      </c>
      <c r="C50" s="5" t="s">
        <v>585</v>
      </c>
      <c r="D50" s="55" t="s">
        <v>425</v>
      </c>
      <c r="E50" s="55"/>
      <c r="F50" s="497">
        <v>2953.5588889558767</v>
      </c>
      <c r="G50" s="497"/>
      <c r="H50" s="500">
        <v>308.36871756997414</v>
      </c>
      <c r="I50" s="497">
        <v>910785.16685472126</v>
      </c>
      <c r="J50" s="501"/>
      <c r="K50" s="500">
        <v>38.896449405717114</v>
      </c>
      <c r="L50" s="497">
        <v>114882.9538910783</v>
      </c>
      <c r="M50" s="501"/>
      <c r="N50" s="500">
        <v>347.26516697569122</v>
      </c>
      <c r="O50" s="415">
        <v>1025668.1207457995</v>
      </c>
      <c r="P50" s="318"/>
      <c r="Q50" s="300">
        <f t="shared" si="0"/>
        <v>0.62121327504313417</v>
      </c>
      <c r="R50" s="300">
        <f t="shared" si="1"/>
        <v>0.31069196809582289</v>
      </c>
      <c r="S50" s="160">
        <f t="shared" si="2"/>
        <v>3.6541755674748054E-3</v>
      </c>
      <c r="T50" s="303"/>
      <c r="U50" s="419"/>
      <c r="V50" s="419"/>
      <c r="W50" s="498">
        <v>1</v>
      </c>
      <c r="X50" s="300">
        <f t="shared" si="3"/>
        <v>0.51681413198577875</v>
      </c>
      <c r="Y50" s="300">
        <f t="shared" si="4"/>
        <v>0.24957052079404965</v>
      </c>
      <c r="Z50" s="160">
        <f t="shared" si="5"/>
        <v>4.004052387288245E-3</v>
      </c>
      <c r="AD50" s="413">
        <v>2953.5588889558767</v>
      </c>
      <c r="AE50" s="413">
        <v>1025668.1207457995</v>
      </c>
    </row>
    <row r="51" spans="1:31" s="7" customFormat="1">
      <c r="A51" s="12">
        <v>2</v>
      </c>
      <c r="B51" s="58" t="s">
        <v>145</v>
      </c>
      <c r="C51" s="5" t="s">
        <v>586</v>
      </c>
      <c r="D51" s="55" t="s">
        <v>596</v>
      </c>
      <c r="E51" s="55"/>
      <c r="F51" s="497">
        <v>254.68015419186904</v>
      </c>
      <c r="G51" s="497"/>
      <c r="H51" s="500">
        <v>327.9848580301578</v>
      </c>
      <c r="I51" s="497">
        <v>83531.234215718869</v>
      </c>
      <c r="J51" s="501"/>
      <c r="K51" s="500">
        <v>22.614155001121127</v>
      </c>
      <c r="L51" s="497">
        <v>5759.3764826043544</v>
      </c>
      <c r="M51" s="501"/>
      <c r="N51" s="500">
        <v>350.5990130312789</v>
      </c>
      <c r="O51" s="415">
        <v>89290.610698323217</v>
      </c>
      <c r="P51" s="318"/>
      <c r="Q51" s="300">
        <f t="shared" si="0"/>
        <v>0.6217203347903032</v>
      </c>
      <c r="R51" s="300">
        <f t="shared" si="1"/>
        <v>0.31123606652462171</v>
      </c>
      <c r="S51" s="160">
        <f t="shared" si="2"/>
        <v>3.1488692995805523E-4</v>
      </c>
      <c r="T51" s="303"/>
      <c r="U51" s="419"/>
      <c r="V51" s="419"/>
      <c r="W51" s="498">
        <v>1</v>
      </c>
      <c r="X51" s="300">
        <f t="shared" si="3"/>
        <v>0.51746094479079152</v>
      </c>
      <c r="Y51" s="300">
        <f t="shared" si="4"/>
        <v>0.25016286482844646</v>
      </c>
      <c r="Z51" s="160">
        <f t="shared" si="5"/>
        <v>3.4574841065163937E-4</v>
      </c>
      <c r="AD51" s="413">
        <v>254.68015419186904</v>
      </c>
      <c r="AE51" s="413">
        <v>89290.610698323217</v>
      </c>
    </row>
    <row r="52" spans="1:31" s="7" customFormat="1">
      <c r="A52" s="12">
        <v>1</v>
      </c>
      <c r="B52" s="58" t="s">
        <v>7</v>
      </c>
      <c r="C52" s="5" t="s">
        <v>505</v>
      </c>
      <c r="D52" s="55" t="s">
        <v>506</v>
      </c>
      <c r="E52" s="55"/>
      <c r="F52" s="499">
        <v>6524</v>
      </c>
      <c r="G52" s="499"/>
      <c r="H52" s="500">
        <v>336.96487184214345</v>
      </c>
      <c r="I52" s="497">
        <v>2198358.8238981441</v>
      </c>
      <c r="J52" s="501"/>
      <c r="K52" s="500">
        <v>39.794560065989508</v>
      </c>
      <c r="L52" s="497">
        <v>259619.70987051554</v>
      </c>
      <c r="M52" s="501"/>
      <c r="N52" s="500">
        <v>376.75943190813297</v>
      </c>
      <c r="O52" s="415">
        <v>2457978.5337686595</v>
      </c>
      <c r="P52" s="318"/>
      <c r="Q52" s="300">
        <f t="shared" si="0"/>
        <v>0.63470940259194586</v>
      </c>
      <c r="R52" s="300">
        <f t="shared" si="1"/>
        <v>0.32621392643380281</v>
      </c>
      <c r="S52" s="160">
        <f t="shared" si="2"/>
        <v>8.0399698681645031E-3</v>
      </c>
      <c r="T52" s="303"/>
      <c r="U52" s="419"/>
      <c r="V52" s="419"/>
      <c r="W52" s="498">
        <v>1</v>
      </c>
      <c r="X52" s="300">
        <f t="shared" si="3"/>
        <v>0.53402998902312837</v>
      </c>
      <c r="Y52" s="300">
        <f t="shared" si="4"/>
        <v>0.26646882252955872</v>
      </c>
      <c r="Z52" s="160">
        <f t="shared" si="5"/>
        <v>8.8621065126024082E-3</v>
      </c>
      <c r="AD52" s="413">
        <v>6524</v>
      </c>
      <c r="AE52" s="413">
        <v>2457978.5337686595</v>
      </c>
    </row>
    <row r="53" spans="1:31" s="7" customFormat="1">
      <c r="A53" s="12">
        <v>1</v>
      </c>
      <c r="B53" s="58" t="s">
        <v>7</v>
      </c>
      <c r="C53" s="5" t="s">
        <v>635</v>
      </c>
      <c r="D53" s="55" t="s">
        <v>56</v>
      </c>
      <c r="E53" s="55"/>
      <c r="F53" s="499">
        <v>22647.826226456313</v>
      </c>
      <c r="G53" s="499"/>
      <c r="H53" s="500">
        <v>318.85905468306765</v>
      </c>
      <c r="I53" s="497">
        <v>7221464.461194247</v>
      </c>
      <c r="J53" s="501"/>
      <c r="K53" s="500">
        <v>62.854405086563673</v>
      </c>
      <c r="L53" s="497">
        <v>1423515.6439677859</v>
      </c>
      <c r="M53" s="501"/>
      <c r="N53" s="500">
        <v>381.7134597696313</v>
      </c>
      <c r="O53" s="415">
        <v>8644980.1051620319</v>
      </c>
      <c r="P53" s="318"/>
      <c r="Q53" s="300">
        <f t="shared" si="0"/>
        <v>0.67980047408416888</v>
      </c>
      <c r="R53" s="300">
        <f t="shared" si="1"/>
        <v>0.37889270257195162</v>
      </c>
      <c r="S53" s="160">
        <f t="shared" si="2"/>
        <v>2.7478645408297111E-2</v>
      </c>
      <c r="T53" s="303"/>
      <c r="U53" s="419"/>
      <c r="V53" s="419"/>
      <c r="W53" s="498">
        <v>1</v>
      </c>
      <c r="X53" s="300">
        <f t="shared" si="3"/>
        <v>0.59154881712129392</v>
      </c>
      <c r="Y53" s="300">
        <f t="shared" si="4"/>
        <v>0.32381866427353723</v>
      </c>
      <c r="Z53" s="160">
        <f t="shared" si="5"/>
        <v>3.0789329379633992E-2</v>
      </c>
      <c r="AD53" s="413">
        <v>22647.826226456313</v>
      </c>
      <c r="AE53" s="413">
        <v>8644980.1051620319</v>
      </c>
    </row>
    <row r="54" spans="1:31" s="7" customFormat="1">
      <c r="A54" s="5">
        <v>3</v>
      </c>
      <c r="B54" s="156" t="s">
        <v>289</v>
      </c>
      <c r="C54" s="5" t="s">
        <v>688</v>
      </c>
      <c r="D54" s="55" t="s">
        <v>595</v>
      </c>
      <c r="E54" s="55"/>
      <c r="F54" s="497">
        <v>193.24887502438833</v>
      </c>
      <c r="G54" s="497"/>
      <c r="H54" s="500">
        <v>179.68</v>
      </c>
      <c r="I54" s="497">
        <v>34722.957864382093</v>
      </c>
      <c r="J54" s="501"/>
      <c r="K54" s="500">
        <v>204.19281760000001</v>
      </c>
      <c r="L54" s="497">
        <v>39460.032289260125</v>
      </c>
      <c r="M54" s="501"/>
      <c r="N54" s="500">
        <v>383.87281760000008</v>
      </c>
      <c r="O54" s="415">
        <v>74182.990153642226</v>
      </c>
      <c r="P54" s="318"/>
      <c r="Q54" s="300">
        <f t="shared" si="0"/>
        <v>0.6801852261902821</v>
      </c>
      <c r="R54" s="300">
        <f t="shared" si="1"/>
        <v>0.3793447416841329</v>
      </c>
      <c r="S54" s="160">
        <f t="shared" si="2"/>
        <v>2.3152390885302211E-4</v>
      </c>
      <c r="T54" s="303"/>
      <c r="U54" s="419"/>
      <c r="V54" s="419"/>
      <c r="W54" s="498">
        <v>1</v>
      </c>
      <c r="X54" s="300">
        <f t="shared" si="3"/>
        <v>0.59203961251646997</v>
      </c>
      <c r="Y54" s="300">
        <f t="shared" si="4"/>
        <v>0.32431078602438618</v>
      </c>
      <c r="Z54" s="160">
        <f t="shared" si="5"/>
        <v>2.6280080136565975E-4</v>
      </c>
      <c r="AD54" s="413">
        <v>193.24887502438833</v>
      </c>
      <c r="AE54" s="413">
        <v>74182.990153642226</v>
      </c>
    </row>
    <row r="55" spans="1:31" s="7" customFormat="1">
      <c r="A55" s="5">
        <v>3</v>
      </c>
      <c r="B55" s="157" t="s">
        <v>560</v>
      </c>
      <c r="C55" s="5" t="s">
        <v>562</v>
      </c>
      <c r="D55" s="55" t="s">
        <v>568</v>
      </c>
      <c r="E55" s="55"/>
      <c r="F55" s="497">
        <v>40503.003137927604</v>
      </c>
      <c r="G55" s="497"/>
      <c r="H55" s="500">
        <v>361.31823833674787</v>
      </c>
      <c r="I55" s="497">
        <v>14634473.741143772</v>
      </c>
      <c r="J55" s="501"/>
      <c r="K55" s="500">
        <v>22.960371636686205</v>
      </c>
      <c r="L55" s="497">
        <v>929964.00444868533</v>
      </c>
      <c r="M55" s="501"/>
      <c r="N55" s="500">
        <v>384.27860997343407</v>
      </c>
      <c r="O55" s="415">
        <v>15564437.745592458</v>
      </c>
      <c r="P55" s="318"/>
      <c r="Q55" s="300">
        <f t="shared" si="0"/>
        <v>0.76082536321184702</v>
      </c>
      <c r="R55" s="300">
        <f t="shared" si="1"/>
        <v>0.47418770508512859</v>
      </c>
      <c r="S55" s="160">
        <f t="shared" si="2"/>
        <v>4.7374317919088908E-2</v>
      </c>
      <c r="T55" s="303"/>
      <c r="U55" s="419"/>
      <c r="V55" s="419"/>
      <c r="W55" s="498">
        <v>1</v>
      </c>
      <c r="X55" s="300">
        <f t="shared" si="3"/>
        <v>0.69490534681058391</v>
      </c>
      <c r="Y55" s="300">
        <f t="shared" si="4"/>
        <v>0.42756354435181587</v>
      </c>
      <c r="Z55" s="160">
        <f t="shared" si="5"/>
        <v>5.5040433146242747E-2</v>
      </c>
      <c r="AD55" s="413">
        <v>40503.003137927604</v>
      </c>
      <c r="AE55" s="413">
        <v>15564437.745592458</v>
      </c>
    </row>
    <row r="56" spans="1:31" s="7" customFormat="1">
      <c r="A56" s="12">
        <v>1</v>
      </c>
      <c r="B56" s="58" t="s">
        <v>7</v>
      </c>
      <c r="C56" s="5" t="s">
        <v>585</v>
      </c>
      <c r="D56" s="55" t="s">
        <v>425</v>
      </c>
      <c r="E56" s="55"/>
      <c r="F56" s="499">
        <v>3640.4232384296024</v>
      </c>
      <c r="G56" s="499"/>
      <c r="H56" s="500">
        <v>347.42800036996857</v>
      </c>
      <c r="I56" s="497">
        <v>1264784.9662279622</v>
      </c>
      <c r="J56" s="501"/>
      <c r="K56" s="500">
        <v>39.794560065989508</v>
      </c>
      <c r="L56" s="497">
        <v>144869.04122731087</v>
      </c>
      <c r="M56" s="501"/>
      <c r="N56" s="500">
        <v>387.22256043595809</v>
      </c>
      <c r="O56" s="415">
        <v>1409654.0074552731</v>
      </c>
      <c r="P56" s="318"/>
      <c r="Q56" s="300">
        <f t="shared" si="0"/>
        <v>0.76807332523984173</v>
      </c>
      <c r="R56" s="300">
        <f t="shared" si="1"/>
        <v>0.48277752796356871</v>
      </c>
      <c r="S56" s="160">
        <f t="shared" si="2"/>
        <v>4.1453519673006894E-3</v>
      </c>
      <c r="T56" s="303"/>
      <c r="U56" s="419"/>
      <c r="V56" s="419"/>
      <c r="W56" s="498">
        <v>1</v>
      </c>
      <c r="X56" s="300">
        <f t="shared" si="3"/>
        <v>0.70415095282866591</v>
      </c>
      <c r="Y56" s="300">
        <f t="shared" si="4"/>
        <v>0.43691503310689728</v>
      </c>
      <c r="Z56" s="160">
        <f t="shared" si="5"/>
        <v>4.9424950053249357E-3</v>
      </c>
      <c r="AD56" s="413">
        <v>3640.4232384296024</v>
      </c>
      <c r="AE56" s="413">
        <v>1409654.0074552731</v>
      </c>
    </row>
    <row r="57" spans="1:31" s="7" customFormat="1">
      <c r="A57" s="12">
        <v>2</v>
      </c>
      <c r="B57" s="58" t="s">
        <v>7</v>
      </c>
      <c r="C57" s="5" t="s">
        <v>96</v>
      </c>
      <c r="D57" s="55" t="s">
        <v>107</v>
      </c>
      <c r="E57" s="55"/>
      <c r="F57" s="497">
        <v>10725.923050589983</v>
      </c>
      <c r="G57" s="497"/>
      <c r="H57" s="500">
        <v>238.71207686116074</v>
      </c>
      <c r="I57" s="497">
        <v>2560407.3676593318</v>
      </c>
      <c r="J57" s="501"/>
      <c r="K57" s="500">
        <v>152.65733536142895</v>
      </c>
      <c r="L57" s="497">
        <v>1637390.8321947961</v>
      </c>
      <c r="M57" s="501"/>
      <c r="N57" s="500">
        <v>391.36941222258969</v>
      </c>
      <c r="O57" s="415">
        <v>4197798.1998541281</v>
      </c>
      <c r="P57" s="318"/>
      <c r="Q57" s="300">
        <f t="shared" si="0"/>
        <v>0.78942828258798947</v>
      </c>
      <c r="R57" s="300">
        <f t="shared" si="1"/>
        <v>0.50835709772003312</v>
      </c>
      <c r="S57" s="160">
        <f t="shared" si="2"/>
        <v>1.2094742747089172E-2</v>
      </c>
      <c r="T57" s="303"/>
      <c r="U57" s="419"/>
      <c r="V57" s="419"/>
      <c r="W57" s="498">
        <v>1</v>
      </c>
      <c r="X57" s="300">
        <f t="shared" si="3"/>
        <v>0.73139164771797716</v>
      </c>
      <c r="Y57" s="300">
        <f t="shared" si="4"/>
        <v>0.46476276202081823</v>
      </c>
      <c r="Z57" s="160">
        <f t="shared" si="5"/>
        <v>1.4542848276558523E-2</v>
      </c>
      <c r="AD57" s="413">
        <v>10725.923050589983</v>
      </c>
      <c r="AE57" s="413">
        <v>4197798.1998541281</v>
      </c>
    </row>
    <row r="58" spans="1:31" s="7" customFormat="1">
      <c r="A58" s="12">
        <v>1</v>
      </c>
      <c r="B58" s="58" t="s">
        <v>8</v>
      </c>
      <c r="C58" s="5" t="s">
        <v>505</v>
      </c>
      <c r="D58" s="55" t="s">
        <v>506</v>
      </c>
      <c r="E58" s="55"/>
      <c r="F58" s="499">
        <v>273</v>
      </c>
      <c r="G58" s="499"/>
      <c r="H58" s="500">
        <v>360.1614293617086</v>
      </c>
      <c r="I58" s="497">
        <v>98324.070215746455</v>
      </c>
      <c r="J58" s="501"/>
      <c r="K58" s="500">
        <v>43.028828716563922</v>
      </c>
      <c r="L58" s="497">
        <v>11746.870239621951</v>
      </c>
      <c r="M58" s="501"/>
      <c r="N58" s="500">
        <v>403.19025807827251</v>
      </c>
      <c r="O58" s="415">
        <v>110070.9404553684</v>
      </c>
      <c r="P58" s="318"/>
      <c r="Q58" s="300">
        <f t="shared" si="0"/>
        <v>0.78997181654106252</v>
      </c>
      <c r="R58" s="300">
        <f t="shared" si="1"/>
        <v>0.50902782250609735</v>
      </c>
      <c r="S58" s="160">
        <f t="shared" si="2"/>
        <v>3.0547433187616226E-4</v>
      </c>
      <c r="T58" s="303"/>
      <c r="U58" s="419"/>
      <c r="V58" s="419"/>
      <c r="W58" s="498">
        <v>1</v>
      </c>
      <c r="X58" s="300">
        <f t="shared" si="3"/>
        <v>0.73208498755173379</v>
      </c>
      <c r="Y58" s="300">
        <f t="shared" si="4"/>
        <v>0.46549296046418503</v>
      </c>
      <c r="Z58" s="160">
        <f t="shared" si="5"/>
        <v>3.697032990257101E-4</v>
      </c>
      <c r="AD58" s="413">
        <v>273</v>
      </c>
      <c r="AE58" s="413">
        <v>110070.9404553684</v>
      </c>
    </row>
    <row r="59" spans="1:31" s="7" customFormat="1">
      <c r="A59" s="12">
        <v>1</v>
      </c>
      <c r="B59" s="58" t="s">
        <v>8</v>
      </c>
      <c r="C59" s="5" t="s">
        <v>585</v>
      </c>
      <c r="D59" s="55" t="s">
        <v>425</v>
      </c>
      <c r="E59" s="55"/>
      <c r="F59" s="499">
        <v>197.82570688946015</v>
      </c>
      <c r="G59" s="499"/>
      <c r="H59" s="500">
        <v>380.28342278718691</v>
      </c>
      <c r="I59" s="497">
        <v>75229.836931218684</v>
      </c>
      <c r="J59" s="501"/>
      <c r="K59" s="500">
        <v>43.028828716563929</v>
      </c>
      <c r="L59" s="497">
        <v>8512.2084574797609</v>
      </c>
      <c r="M59" s="501"/>
      <c r="N59" s="500">
        <v>423.31225150375082</v>
      </c>
      <c r="O59" s="415">
        <v>83742.045388698447</v>
      </c>
      <c r="P59" s="318"/>
      <c r="Q59" s="504">
        <f t="shared" si="0"/>
        <v>0.79036568096774784</v>
      </c>
      <c r="R59" s="300">
        <f t="shared" si="1"/>
        <v>0.50953811037359031</v>
      </c>
      <c r="S59" s="160">
        <f t="shared" si="2"/>
        <v>2.212618352307644E-4</v>
      </c>
      <c r="T59" s="303"/>
      <c r="U59" s="419"/>
      <c r="V59" s="419"/>
      <c r="W59" s="498">
        <v>1</v>
      </c>
      <c r="X59" s="300">
        <f t="shared" si="3"/>
        <v>0.73258740675586387</v>
      </c>
      <c r="Y59" s="300">
        <f t="shared" si="4"/>
        <v>0.46604849593007824</v>
      </c>
      <c r="Z59" s="160">
        <f t="shared" si="5"/>
        <v>2.6785522152353948E-4</v>
      </c>
      <c r="AD59" s="413">
        <v>197.82570688946015</v>
      </c>
      <c r="AE59" s="413">
        <v>83742.045388698447</v>
      </c>
    </row>
    <row r="60" spans="1:31" s="7" customFormat="1">
      <c r="A60" s="12">
        <v>2</v>
      </c>
      <c r="B60" s="58" t="s">
        <v>7</v>
      </c>
      <c r="C60" s="5" t="s">
        <v>62</v>
      </c>
      <c r="D60" s="55" t="s">
        <v>420</v>
      </c>
      <c r="E60" s="55"/>
      <c r="F60" s="497">
        <v>6350.08945843726</v>
      </c>
      <c r="G60" s="497"/>
      <c r="H60" s="500">
        <v>252.30897460645593</v>
      </c>
      <c r="I60" s="497">
        <v>1602184.5599175701</v>
      </c>
      <c r="J60" s="501"/>
      <c r="K60" s="500">
        <v>175.76116185987379</v>
      </c>
      <c r="L60" s="497">
        <v>1116099.1011290697</v>
      </c>
      <c r="M60" s="501"/>
      <c r="N60" s="500">
        <v>428.07013646632976</v>
      </c>
      <c r="O60" s="415">
        <v>2718283.66104664</v>
      </c>
      <c r="P60" s="318"/>
      <c r="Q60" s="300">
        <f t="shared" si="0"/>
        <v>0.80300849864434787</v>
      </c>
      <c r="R60" s="300">
        <f t="shared" si="1"/>
        <v>0.52610215733707144</v>
      </c>
      <c r="S60" s="160">
        <f t="shared" si="2"/>
        <v>7.0513281602267311E-3</v>
      </c>
      <c r="T60" s="503" t="s">
        <v>705</v>
      </c>
      <c r="U60" s="54">
        <f>(0.8-Q59)/(Q60-Q59)</f>
        <v>0.76203891242407884</v>
      </c>
      <c r="V60" s="54">
        <f>100*(R59+(U60*(R60-R59)))</f>
        <v>52.216055870698284</v>
      </c>
      <c r="W60" s="498">
        <v>1</v>
      </c>
      <c r="X60" s="300">
        <f t="shared" si="3"/>
        <v>0.74871476928133029</v>
      </c>
      <c r="Y60" s="300">
        <f t="shared" si="4"/>
        <v>0.48408128905162418</v>
      </c>
      <c r="Z60" s="160">
        <f t="shared" si="5"/>
        <v>8.5664097140707354E-3</v>
      </c>
      <c r="AD60" s="413">
        <v>6350.08945843726</v>
      </c>
      <c r="AE60" s="413">
        <v>2718283.66104664</v>
      </c>
    </row>
    <row r="61" spans="1:31" s="7" customFormat="1">
      <c r="A61" s="12">
        <v>2</v>
      </c>
      <c r="B61" s="58" t="s">
        <v>7</v>
      </c>
      <c r="C61" s="5" t="s">
        <v>549</v>
      </c>
      <c r="D61" s="55" t="s">
        <v>141</v>
      </c>
      <c r="E61" s="55"/>
      <c r="F61" s="497">
        <v>3835.3378949999997</v>
      </c>
      <c r="G61" s="497"/>
      <c r="H61" s="500">
        <v>238.7120768611608</v>
      </c>
      <c r="I61" s="497">
        <v>915541.47437976254</v>
      </c>
      <c r="J61" s="501"/>
      <c r="K61" s="500">
        <v>208.83483357927449</v>
      </c>
      <c r="L61" s="497">
        <v>800952.15102260991</v>
      </c>
      <c r="M61" s="501"/>
      <c r="N61" s="500">
        <v>447.54691044043528</v>
      </c>
      <c r="O61" s="415">
        <v>1716493.6254023723</v>
      </c>
      <c r="P61" s="318"/>
      <c r="Q61" s="300">
        <f t="shared" si="0"/>
        <v>0.81064452929431174</v>
      </c>
      <c r="R61" s="300">
        <f t="shared" si="1"/>
        <v>0.53656172836386173</v>
      </c>
      <c r="S61" s="160">
        <f t="shared" si="2"/>
        <v>4.2073699779245849E-3</v>
      </c>
      <c r="T61" s="303"/>
      <c r="U61"/>
      <c r="V61" s="54">
        <f>100-V60</f>
        <v>47.783944129301716</v>
      </c>
      <c r="W61" s="498">
        <v>1</v>
      </c>
      <c r="X61" s="300">
        <f t="shared" si="3"/>
        <v>0.75845540129055966</v>
      </c>
      <c r="Y61" s="300">
        <f t="shared" si="4"/>
        <v>0.495468317890776</v>
      </c>
      <c r="Z61" s="160">
        <f t="shared" si="5"/>
        <v>5.1393577508170472E-3</v>
      </c>
      <c r="AD61" s="413">
        <v>3835.3378949999997</v>
      </c>
      <c r="AE61" s="413">
        <v>1716493.6254023723</v>
      </c>
    </row>
    <row r="62" spans="1:31" s="7" customFormat="1">
      <c r="A62" s="12">
        <v>1</v>
      </c>
      <c r="B62" s="58" t="s">
        <v>7</v>
      </c>
      <c r="C62" s="5" t="s">
        <v>549</v>
      </c>
      <c r="D62" s="55" t="s">
        <v>141</v>
      </c>
      <c r="E62" s="55"/>
      <c r="F62" s="499">
        <v>10191.521801905341</v>
      </c>
      <c r="G62" s="499"/>
      <c r="H62" s="500">
        <v>318.85905468306765</v>
      </c>
      <c r="I62" s="497">
        <v>3249659.0075374115</v>
      </c>
      <c r="J62" s="501"/>
      <c r="K62" s="500">
        <v>129.82143694461701</v>
      </c>
      <c r="L62" s="497">
        <v>1323078.0049757436</v>
      </c>
      <c r="M62" s="501"/>
      <c r="N62" s="500">
        <v>448.68049162768466</v>
      </c>
      <c r="O62" s="415">
        <v>4572737.0125131551</v>
      </c>
      <c r="P62" s="318"/>
      <c r="Q62" s="300">
        <f t="shared" si="0"/>
        <v>0.83093551146581213</v>
      </c>
      <c r="R62" s="300">
        <f t="shared" si="1"/>
        <v>0.56442601335822185</v>
      </c>
      <c r="S62" s="160">
        <f t="shared" si="2"/>
        <v>1.0969148701831279E-2</v>
      </c>
      <c r="T62" s="303"/>
      <c r="U62" s="357">
        <f>(SUM($O61:O83)+((1-U60)*O60))/(SUM($F61:$F83)+((1-U60)*$F60))</f>
        <v>780.62840707757039</v>
      </c>
      <c r="V62" s="54"/>
      <c r="W62" s="498">
        <v>1</v>
      </c>
      <c r="X62" s="300">
        <f t="shared" si="3"/>
        <v>0.78433887393473423</v>
      </c>
      <c r="Y62" s="300">
        <f t="shared" si="4"/>
        <v>0.5258033494136215</v>
      </c>
      <c r="Z62" s="160">
        <f t="shared" si="5"/>
        <v>1.3498816155439103E-2</v>
      </c>
      <c r="AD62" s="413">
        <v>10191.521801905341</v>
      </c>
      <c r="AE62" s="413">
        <v>4572737.0125131551</v>
      </c>
    </row>
    <row r="63" spans="1:31" s="7" customFormat="1">
      <c r="A63" s="5">
        <v>3</v>
      </c>
      <c r="B63" s="157" t="s">
        <v>560</v>
      </c>
      <c r="C63" s="55" t="s">
        <v>366</v>
      </c>
      <c r="D63" s="55" t="s">
        <v>420</v>
      </c>
      <c r="E63" s="55"/>
      <c r="F63" s="497">
        <v>3133.7904367373903</v>
      </c>
      <c r="G63" s="497"/>
      <c r="H63" s="500">
        <v>419.30514454340482</v>
      </c>
      <c r="I63" s="497">
        <v>1314014.4520449112</v>
      </c>
      <c r="J63" s="501"/>
      <c r="K63" s="500">
        <v>88.326184172558484</v>
      </c>
      <c r="L63" s="497">
        <v>276795.75127346924</v>
      </c>
      <c r="M63" s="501"/>
      <c r="N63" s="500">
        <v>507.63132871596332</v>
      </c>
      <c r="O63" s="415">
        <v>1590810.2033183805</v>
      </c>
      <c r="P63" s="318"/>
      <c r="Q63" s="300">
        <f t="shared" si="0"/>
        <v>0.83717478437490489</v>
      </c>
      <c r="R63" s="300">
        <f t="shared" si="1"/>
        <v>0.57411972387686749</v>
      </c>
      <c r="S63" s="160">
        <f t="shared" si="2"/>
        <v>3.3040978041237591E-3</v>
      </c>
      <c r="T63" s="303"/>
      <c r="U63" s="419"/>
      <c r="V63" s="419"/>
      <c r="W63" s="498">
        <v>1</v>
      </c>
      <c r="X63" s="300">
        <f t="shared" si="3"/>
        <v>0.79229778140885687</v>
      </c>
      <c r="Y63" s="300">
        <f t="shared" si="4"/>
        <v>0.53635660833327348</v>
      </c>
      <c r="Z63" s="160">
        <f t="shared" si="5"/>
        <v>4.0946724337642794E-3</v>
      </c>
      <c r="AD63" s="413">
        <v>3133.7904367373903</v>
      </c>
      <c r="AE63" s="413">
        <v>1590810.2033183805</v>
      </c>
    </row>
    <row r="64" spans="1:31" s="7" customFormat="1">
      <c r="A64" s="12">
        <v>2</v>
      </c>
      <c r="B64" s="58" t="s">
        <v>145</v>
      </c>
      <c r="C64" s="5" t="s">
        <v>505</v>
      </c>
      <c r="D64" s="55" t="s">
        <v>506</v>
      </c>
      <c r="E64" s="55"/>
      <c r="F64" s="497">
        <v>1514</v>
      </c>
      <c r="G64" s="497"/>
      <c r="H64" s="500">
        <v>375.02305427456565</v>
      </c>
      <c r="I64" s="497">
        <v>567784.90417169244</v>
      </c>
      <c r="J64" s="501"/>
      <c r="K64" s="500">
        <v>137.54915569934698</v>
      </c>
      <c r="L64" s="497">
        <v>208249.42172881134</v>
      </c>
      <c r="M64" s="501"/>
      <c r="N64" s="500">
        <v>512.57220997391266</v>
      </c>
      <c r="O64" s="415">
        <v>776034.32590050378</v>
      </c>
      <c r="P64" s="318"/>
      <c r="Q64" s="300">
        <f t="shared" si="0"/>
        <v>0.84018910820256998</v>
      </c>
      <c r="R64" s="300">
        <f t="shared" si="1"/>
        <v>0.57884854199239111</v>
      </c>
      <c r="S64" s="160">
        <f t="shared" si="2"/>
        <v>1.5806982327099435E-3</v>
      </c>
      <c r="T64" s="303"/>
      <c r="U64" s="419"/>
      <c r="V64" s="419"/>
      <c r="W64" s="498">
        <v>1</v>
      </c>
      <c r="X64" s="504">
        <f t="shared" si="3"/>
        <v>0.79614289682390249</v>
      </c>
      <c r="Y64" s="300">
        <f t="shared" si="4"/>
        <v>0.54150473420943535</v>
      </c>
      <c r="Z64" s="160">
        <f t="shared" si="5"/>
        <v>1.9632364742655649E-3</v>
      </c>
      <c r="AD64" s="413">
        <v>1514</v>
      </c>
      <c r="AE64" s="413">
        <v>776034.32590050378</v>
      </c>
    </row>
    <row r="65" spans="1:31" s="7" customFormat="1">
      <c r="A65" s="12">
        <v>1</v>
      </c>
      <c r="B65" s="58" t="s">
        <v>7</v>
      </c>
      <c r="C65" s="5" t="s">
        <v>698</v>
      </c>
      <c r="D65" s="55" t="s">
        <v>420</v>
      </c>
      <c r="E65" s="55"/>
      <c r="F65" s="499">
        <v>2560.0967590580822</v>
      </c>
      <c r="G65" s="499"/>
      <c r="H65" s="500">
        <v>391.54184256500628</v>
      </c>
      <c r="I65" s="497">
        <v>1002385.0021863024</v>
      </c>
      <c r="J65" s="501"/>
      <c r="K65" s="500">
        <v>132.64103205082475</v>
      </c>
      <c r="L65" s="497">
        <v>339573.87627143564</v>
      </c>
      <c r="M65" s="501"/>
      <c r="N65" s="500">
        <v>524.182874615831</v>
      </c>
      <c r="O65" s="415">
        <v>1341958.8784577381</v>
      </c>
      <c r="P65" s="318"/>
      <c r="Q65" s="300">
        <f t="shared" si="0"/>
        <v>0.84528617601099598</v>
      </c>
      <c r="R65" s="300">
        <f t="shared" si="1"/>
        <v>0.58702585998328671</v>
      </c>
      <c r="S65" s="160">
        <f t="shared" si="2"/>
        <v>2.6484409300844909E-3</v>
      </c>
      <c r="T65" s="303"/>
      <c r="U65" s="419"/>
      <c r="V65" s="419"/>
      <c r="W65" s="498">
        <v>1</v>
      </c>
      <c r="X65" s="300">
        <f t="shared" si="3"/>
        <v>0.80264479082143403</v>
      </c>
      <c r="Y65" s="300">
        <f t="shared" si="4"/>
        <v>0.55040714096691579</v>
      </c>
      <c r="Z65" s="160">
        <f t="shared" si="5"/>
        <v>3.2956528025860168E-3</v>
      </c>
      <c r="AA65" s="503" t="s">
        <v>705</v>
      </c>
      <c r="AB65" s="54">
        <f>(0.8-X64)/(X65-X64)</f>
        <v>0.59322763145045332</v>
      </c>
      <c r="AC65" s="54">
        <f>100*(Y64+(AB65*(Y65-Y64)))</f>
        <v>54.678588788438397</v>
      </c>
      <c r="AD65" s="413">
        <v>2560.0967590580822</v>
      </c>
      <c r="AE65" s="413">
        <v>1341958.8784577381</v>
      </c>
    </row>
    <row r="66" spans="1:31" s="7" customFormat="1">
      <c r="A66" s="12">
        <v>1</v>
      </c>
      <c r="B66" s="58" t="s">
        <v>8</v>
      </c>
      <c r="C66" s="5" t="s">
        <v>699</v>
      </c>
      <c r="D66" s="55" t="s">
        <v>420</v>
      </c>
      <c r="E66" s="55"/>
      <c r="F66" s="499">
        <v>405.1970671593831</v>
      </c>
      <c r="G66" s="499"/>
      <c r="H66" s="500">
        <v>414.68568164609638</v>
      </c>
      <c r="I66" s="497">
        <v>168029.42199598788</v>
      </c>
      <c r="J66" s="501"/>
      <c r="K66" s="500">
        <v>116.73017935354441</v>
      </c>
      <c r="L66" s="497">
        <v>47298.726323044968</v>
      </c>
      <c r="M66" s="501"/>
      <c r="N66" s="500">
        <v>531.41586099964081</v>
      </c>
      <c r="O66" s="415">
        <v>215328.14831903286</v>
      </c>
      <c r="P66" s="318"/>
      <c r="Q66" s="504">
        <f t="shared" si="0"/>
        <v>0.8460929099439144</v>
      </c>
      <c r="R66" s="300">
        <f t="shared" si="1"/>
        <v>0.58833797674741517</v>
      </c>
      <c r="S66" s="160">
        <f t="shared" si="2"/>
        <v>4.1628701145252084E-4</v>
      </c>
      <c r="T66" s="303"/>
      <c r="W66" s="498">
        <v>1</v>
      </c>
      <c r="X66" s="300">
        <f t="shared" si="3"/>
        <v>0.80367387238620669</v>
      </c>
      <c r="Y66" s="300">
        <f t="shared" si="4"/>
        <v>0.55183560408411214</v>
      </c>
      <c r="Z66" s="160">
        <f t="shared" si="5"/>
        <v>5.1873523462082254E-4</v>
      </c>
      <c r="AA66" s="419"/>
      <c r="AB66" s="357">
        <f>(SUM($AE66:AE$83)+((1-AB65)*AE65))/(SUM($AD66:$AD$83)+((1-AB65)*$AD65))</f>
        <v>867.53840181575947</v>
      </c>
      <c r="AC66" s="54">
        <f>100-AC65</f>
        <v>45.321411211561603</v>
      </c>
      <c r="AD66" s="413">
        <v>405.1970671593831</v>
      </c>
      <c r="AE66" s="413">
        <v>215328.14831903286</v>
      </c>
    </row>
    <row r="67" spans="1:31" s="7" customFormat="1">
      <c r="A67" s="5">
        <v>3</v>
      </c>
      <c r="B67" s="157" t="s">
        <v>560</v>
      </c>
      <c r="C67" s="5" t="s">
        <v>635</v>
      </c>
      <c r="D67" s="55" t="s">
        <v>486</v>
      </c>
      <c r="E67" s="55"/>
      <c r="F67" s="497">
        <v>40503.003137927604</v>
      </c>
      <c r="G67" s="497"/>
      <c r="H67" s="500">
        <v>361.31823833674787</v>
      </c>
      <c r="I67" s="497">
        <v>14634473.741143772</v>
      </c>
      <c r="J67" s="501"/>
      <c r="K67" s="500">
        <v>182.48038697538311</v>
      </c>
      <c r="L67" s="497">
        <v>7391003.6862741858</v>
      </c>
      <c r="M67" s="501"/>
      <c r="N67" s="500">
        <v>543.79862531213087</v>
      </c>
      <c r="O67" s="415">
        <v>22025477.427417956</v>
      </c>
      <c r="P67" s="318"/>
      <c r="Q67" s="300">
        <f t="shared" si="0"/>
        <v>0.92673304696547931</v>
      </c>
      <c r="R67" s="300">
        <f t="shared" si="1"/>
        <v>0.72255172630156217</v>
      </c>
      <c r="S67" s="160">
        <f t="shared" si="2"/>
        <v>3.7250602806532362E-2</v>
      </c>
      <c r="T67" s="503" t="s">
        <v>706</v>
      </c>
      <c r="U67" s="54">
        <f>(0.9-Q66)/(Q67-Q66)</f>
        <v>0.66848956421874262</v>
      </c>
      <c r="V67" s="54">
        <f>100*(R66+(U67*(R67-R66)))</f>
        <v>67.805846769903027</v>
      </c>
      <c r="W67" s="498">
        <v>1</v>
      </c>
      <c r="X67" s="300">
        <f t="shared" si="3"/>
        <v>0.90653960668032063</v>
      </c>
      <c r="Y67" s="300">
        <f t="shared" si="4"/>
        <v>0.69795018496599792</v>
      </c>
      <c r="Z67" s="160">
        <f t="shared" si="5"/>
        <v>4.7362232422881435E-2</v>
      </c>
      <c r="AA67" s="503" t="s">
        <v>706</v>
      </c>
      <c r="AB67" s="54">
        <f>(0.9-X66)/(X67-X66)</f>
        <v>0.9364258008247669</v>
      </c>
      <c r="AC67" s="54">
        <f>100*(Y66+(AB67*(Y67-Y66)))</f>
        <v>68.86610674986072</v>
      </c>
      <c r="AD67" s="413">
        <v>40503.003137927604</v>
      </c>
      <c r="AE67" s="413">
        <v>22025477.427417956</v>
      </c>
    </row>
    <row r="68" spans="1:31" s="7" customFormat="1">
      <c r="A68" s="12">
        <v>2</v>
      </c>
      <c r="B68" s="58" t="s">
        <v>145</v>
      </c>
      <c r="C68" s="5" t="s">
        <v>585</v>
      </c>
      <c r="D68" s="55" t="s">
        <v>425</v>
      </c>
      <c r="E68" s="55"/>
      <c r="F68" s="497">
        <v>685.91208771434367</v>
      </c>
      <c r="G68" s="497"/>
      <c r="H68" s="500">
        <v>417.18603364284894</v>
      </c>
      <c r="I68" s="497">
        <v>286152.94330123294</v>
      </c>
      <c r="J68" s="501"/>
      <c r="K68" s="500">
        <v>137.54915569934698</v>
      </c>
      <c r="L68" s="497">
        <v>94346.628549084402</v>
      </c>
      <c r="M68" s="501"/>
      <c r="N68" s="500">
        <v>554.73518934219601</v>
      </c>
      <c r="O68" s="415">
        <v>380499.57185031736</v>
      </c>
      <c r="P68" s="318"/>
      <c r="Q68" s="300">
        <f t="shared" si="0"/>
        <v>0.92809867520172817</v>
      </c>
      <c r="R68" s="300">
        <f t="shared" si="1"/>
        <v>0.72487032640501359</v>
      </c>
      <c r="S68" s="160">
        <f t="shared" si="2"/>
        <v>5.5637014833625413E-4</v>
      </c>
      <c r="T68" s="303"/>
      <c r="U68"/>
      <c r="V68" s="54">
        <f>100-V67</f>
        <v>32.194153230096973</v>
      </c>
      <c r="W68" s="498">
        <v>1</v>
      </c>
      <c r="X68" s="300">
        <f t="shared" si="3"/>
        <v>0.90828162196554951</v>
      </c>
      <c r="Y68" s="300">
        <f t="shared" si="4"/>
        <v>0.70047437703628823</v>
      </c>
      <c r="Z68" s="160">
        <f t="shared" si="5"/>
        <v>7.2536935801147833E-4</v>
      </c>
      <c r="AA68" s="419"/>
      <c r="AB68" s="357">
        <f>(SUM($AE68:AE$83)+((1-AB67)*AE67))/(SUM($AD68:$AD$83)+((1-AB67)*$AD67))</f>
        <v>1191.9244026381086</v>
      </c>
      <c r="AC68" s="54">
        <f>100-AC67</f>
        <v>31.13389325013928</v>
      </c>
      <c r="AD68" s="413">
        <v>685.91208771434367</v>
      </c>
      <c r="AE68" s="413">
        <v>380499.57185031736</v>
      </c>
    </row>
    <row r="69" spans="1:31" s="7" customFormat="1">
      <c r="A69" s="5">
        <v>3</v>
      </c>
      <c r="B69" s="156" t="s">
        <v>289</v>
      </c>
      <c r="C69" s="5" t="s">
        <v>366</v>
      </c>
      <c r="D69" s="55" t="s">
        <v>420</v>
      </c>
      <c r="E69" s="55"/>
      <c r="F69" s="497">
        <v>930.99772496026071</v>
      </c>
      <c r="G69" s="497"/>
      <c r="H69" s="500">
        <v>507.27549959361124</v>
      </c>
      <c r="I69" s="497">
        <v>472272.3360497317</v>
      </c>
      <c r="J69" s="501"/>
      <c r="K69" s="500">
        <v>77.459813446997401</v>
      </c>
      <c r="L69" s="497">
        <v>72114.910095000785</v>
      </c>
      <c r="M69" s="501"/>
      <c r="N69" s="500">
        <v>584.73531304060862</v>
      </c>
      <c r="O69" s="415">
        <v>544387.24614473246</v>
      </c>
      <c r="P69" s="318"/>
      <c r="Q69" s="300">
        <f t="shared" si="0"/>
        <v>0.92995226081985871</v>
      </c>
      <c r="R69" s="300">
        <f t="shared" si="1"/>
        <v>0.72818758723421984</v>
      </c>
      <c r="S69" s="160">
        <f t="shared" si="2"/>
        <v>7.5068924173114933E-4</v>
      </c>
      <c r="T69" s="303"/>
      <c r="U69" s="357">
        <f>(SUM($O68:$O$83)+((1-U67)*O67))/(SUM($F68:$F$83)+((1-U67)*$F67))</f>
        <v>1051.8876585497608</v>
      </c>
      <c r="V69" s="54"/>
      <c r="W69" s="498">
        <v>1</v>
      </c>
      <c r="X69" s="300">
        <f t="shared" si="3"/>
        <v>0.91064608280017112</v>
      </c>
      <c r="Y69" s="300">
        <f t="shared" si="4"/>
        <v>0.70408578180923831</v>
      </c>
      <c r="Z69" s="160">
        <f t="shared" si="5"/>
        <v>9.797558334665691E-4</v>
      </c>
      <c r="AD69" s="413">
        <v>930.99772496026071</v>
      </c>
      <c r="AE69" s="413">
        <v>544387.24614473246</v>
      </c>
    </row>
    <row r="70" spans="1:31" s="7" customFormat="1">
      <c r="A70" s="5">
        <v>3</v>
      </c>
      <c r="B70" s="156" t="s">
        <v>289</v>
      </c>
      <c r="C70" s="5" t="s">
        <v>505</v>
      </c>
      <c r="D70" s="55" t="s">
        <v>506</v>
      </c>
      <c r="E70" s="55"/>
      <c r="F70" s="497">
        <v>299</v>
      </c>
      <c r="G70" s="497"/>
      <c r="H70" s="500">
        <v>378.52299591041134</v>
      </c>
      <c r="I70" s="497">
        <v>113178.37577721299</v>
      </c>
      <c r="J70" s="501"/>
      <c r="K70" s="500">
        <v>233.29624915256639</v>
      </c>
      <c r="L70" s="497">
        <v>69755.578496617352</v>
      </c>
      <c r="M70" s="501"/>
      <c r="N70" s="500">
        <v>611.81924506297776</v>
      </c>
      <c r="O70" s="415">
        <v>182933.95427383034</v>
      </c>
      <c r="P70" s="318"/>
      <c r="Q70" s="300">
        <f t="shared" si="0"/>
        <v>0.93054755991131965</v>
      </c>
      <c r="R70" s="300">
        <f t="shared" si="1"/>
        <v>0.72930230776660177</v>
      </c>
      <c r="S70" s="160">
        <f t="shared" si="2"/>
        <v>2.399114426370237E-4</v>
      </c>
      <c r="T70" s="303"/>
      <c r="W70" s="498">
        <v>1</v>
      </c>
      <c r="X70" s="300">
        <f t="shared" si="3"/>
        <v>0.91140545499904735</v>
      </c>
      <c r="Y70" s="300">
        <f t="shared" si="4"/>
        <v>0.705299345426457</v>
      </c>
      <c r="Z70" s="160">
        <f t="shared" si="5"/>
        <v>3.1336739959198336E-4</v>
      </c>
      <c r="AD70" s="413">
        <v>299</v>
      </c>
      <c r="AE70" s="413">
        <v>182933.95427383034</v>
      </c>
    </row>
    <row r="71" spans="1:31" s="7" customFormat="1">
      <c r="A71" s="12">
        <v>1</v>
      </c>
      <c r="B71" s="58" t="s">
        <v>7</v>
      </c>
      <c r="C71" s="5" t="s">
        <v>548</v>
      </c>
      <c r="D71" s="55" t="s">
        <v>144</v>
      </c>
      <c r="E71" s="55"/>
      <c r="F71" s="499">
        <v>1132.3913113228157</v>
      </c>
      <c r="G71" s="499"/>
      <c r="H71" s="500">
        <v>318.85905468306765</v>
      </c>
      <c r="I71" s="497">
        <v>361073.22305971239</v>
      </c>
      <c r="J71" s="501"/>
      <c r="K71" s="500">
        <v>312.37850720257956</v>
      </c>
      <c r="L71" s="497">
        <v>353734.70740019268</v>
      </c>
      <c r="M71" s="501"/>
      <c r="N71" s="500">
        <v>631.23756188564721</v>
      </c>
      <c r="O71" s="415">
        <v>714807.93045990507</v>
      </c>
      <c r="P71" s="318"/>
      <c r="Q71" s="504">
        <f t="shared" si="0"/>
        <v>0.93280211348593078</v>
      </c>
      <c r="R71" s="300">
        <f t="shared" si="1"/>
        <v>0.73365803866388701</v>
      </c>
      <c r="S71" s="160">
        <f t="shared" si="2"/>
        <v>9.0269918834905659E-4</v>
      </c>
      <c r="T71" s="303"/>
      <c r="W71" s="498">
        <v>1</v>
      </c>
      <c r="X71" s="504">
        <f t="shared" si="3"/>
        <v>0.91428139640395567</v>
      </c>
      <c r="Y71" s="300">
        <f t="shared" si="4"/>
        <v>0.71004130216788874</v>
      </c>
      <c r="Z71" s="160">
        <f t="shared" si="5"/>
        <v>1.1801316378802665E-3</v>
      </c>
      <c r="AD71" s="413">
        <v>1132.3913113228157</v>
      </c>
      <c r="AE71" s="413">
        <v>714807.93045990507</v>
      </c>
    </row>
    <row r="72" spans="1:31" s="7" customFormat="1">
      <c r="A72" s="5">
        <v>3</v>
      </c>
      <c r="B72" s="157" t="s">
        <v>560</v>
      </c>
      <c r="C72" s="5" t="s">
        <v>549</v>
      </c>
      <c r="D72" s="55" t="s">
        <v>561</v>
      </c>
      <c r="E72" s="55"/>
      <c r="F72" s="497">
        <v>18226.351412067419</v>
      </c>
      <c r="G72" s="497"/>
      <c r="H72" s="500">
        <v>361.31823833674787</v>
      </c>
      <c r="I72" s="497">
        <v>6585513.1835146965</v>
      </c>
      <c r="J72" s="501"/>
      <c r="K72" s="500">
        <v>311.08856473974612</v>
      </c>
      <c r="L72" s="497">
        <v>5670009.5012222985</v>
      </c>
      <c r="M72" s="501"/>
      <c r="N72" s="500">
        <v>672.40680307649393</v>
      </c>
      <c r="O72" s="415">
        <v>12255522.684736995</v>
      </c>
      <c r="P72" s="318"/>
      <c r="Q72" s="300">
        <f t="shared" si="0"/>
        <v>0.969090175145635</v>
      </c>
      <c r="R72" s="300">
        <f t="shared" si="1"/>
        <v>0.80833790236649572</v>
      </c>
      <c r="S72" s="160">
        <f t="shared" si="2"/>
        <v>1.3059940852854073E-2</v>
      </c>
      <c r="T72" s="503" t="s">
        <v>707</v>
      </c>
      <c r="U72" s="54">
        <f>(0.95-Q71)/(Q72-Q71)</f>
        <v>0.47392684336089586</v>
      </c>
      <c r="V72" s="54">
        <f>100*(R71+(U72*(R72-R71)))</f>
        <v>76.905083073108628</v>
      </c>
      <c r="W72" s="498">
        <v>1</v>
      </c>
      <c r="X72" s="300">
        <f t="shared" si="3"/>
        <v>0.96057097683630688</v>
      </c>
      <c r="Y72" s="300">
        <f t="shared" si="4"/>
        <v>0.79134308400076114</v>
      </c>
      <c r="Z72" s="160">
        <f t="shared" si="5"/>
        <v>1.728767642645972E-2</v>
      </c>
      <c r="AA72" s="503" t="s">
        <v>707</v>
      </c>
      <c r="AB72" s="54">
        <f>(0.95-X71)/(X72-X71)</f>
        <v>0.77163377292313928</v>
      </c>
      <c r="AC72" s="54">
        <f>100*(Y71+(AB72*(Y72-Y71)))</f>
        <v>77.277650282896204</v>
      </c>
      <c r="AD72" s="413">
        <v>18226.351412067419</v>
      </c>
      <c r="AE72" s="413">
        <v>12255522.684736995</v>
      </c>
    </row>
    <row r="73" spans="1:31" s="7" customFormat="1">
      <c r="A73" s="5">
        <v>3</v>
      </c>
      <c r="B73" s="156" t="s">
        <v>289</v>
      </c>
      <c r="C73" s="5" t="s">
        <v>585</v>
      </c>
      <c r="D73" s="55" t="s">
        <v>425</v>
      </c>
      <c r="E73" s="55"/>
      <c r="F73" s="497">
        <v>216.02648296594066</v>
      </c>
      <c r="G73" s="497"/>
      <c r="H73" s="500">
        <v>440.15731263551169</v>
      </c>
      <c r="I73" s="497">
        <v>95085.636200389577</v>
      </c>
      <c r="J73" s="501"/>
      <c r="K73" s="500">
        <v>233.29624915256639</v>
      </c>
      <c r="L73" s="497">
        <v>50398.168193574733</v>
      </c>
      <c r="M73" s="501"/>
      <c r="N73" s="500">
        <v>673.45356178807799</v>
      </c>
      <c r="O73" s="415">
        <v>145483.8043939643</v>
      </c>
      <c r="P73" s="318"/>
      <c r="Q73" s="300">
        <f t="shared" si="0"/>
        <v>0.96952027671433438</v>
      </c>
      <c r="R73" s="300">
        <f t="shared" si="1"/>
        <v>0.80922441785527277</v>
      </c>
      <c r="S73" s="160">
        <f t="shared" si="2"/>
        <v>1.3808330504559572E-4</v>
      </c>
      <c r="T73" s="419"/>
      <c r="U73"/>
      <c r="V73" s="54">
        <f>100-V72</f>
        <v>23.094916926891372</v>
      </c>
      <c r="W73" s="498">
        <v>1</v>
      </c>
      <c r="X73" s="300">
        <f t="shared" si="3"/>
        <v>0.96111962066702716</v>
      </c>
      <c r="Y73" s="300">
        <f t="shared" si="4"/>
        <v>0.79230820746626496</v>
      </c>
      <c r="Z73" s="160">
        <f t="shared" si="5"/>
        <v>1.8546317979778693E-4</v>
      </c>
      <c r="AA73" s="419"/>
      <c r="AB73" s="357">
        <f>(SUM($AE73:AE$83)+((1-AB72)*AE72))/(SUM($AD73:$AD$83)+((1-AB72)*$AD72))</f>
        <v>1739.7967479041229</v>
      </c>
      <c r="AC73" s="54">
        <f>100-AC72</f>
        <v>22.722349717103796</v>
      </c>
      <c r="AD73" s="413">
        <v>216.02648296594066</v>
      </c>
      <c r="AE73" s="413">
        <v>145483.8043939643</v>
      </c>
    </row>
    <row r="74" spans="1:31" s="7" customFormat="1">
      <c r="A74" s="12">
        <v>2</v>
      </c>
      <c r="B74" s="58" t="s">
        <v>7</v>
      </c>
      <c r="C74" s="5" t="s">
        <v>548</v>
      </c>
      <c r="D74" s="55" t="s">
        <v>144</v>
      </c>
      <c r="E74" s="55"/>
      <c r="F74" s="497">
        <v>426.14865500000002</v>
      </c>
      <c r="G74" s="497"/>
      <c r="H74" s="500">
        <v>238.71207686116077</v>
      </c>
      <c r="I74" s="497">
        <v>101726.83048664029</v>
      </c>
      <c r="J74" s="501"/>
      <c r="K74" s="500">
        <v>578.61366737276012</v>
      </c>
      <c r="L74" s="497">
        <v>246575.43611551911</v>
      </c>
      <c r="M74" s="501"/>
      <c r="N74" s="500">
        <v>817.32574423392089</v>
      </c>
      <c r="O74" s="415">
        <v>348302.26660215942</v>
      </c>
      <c r="P74" s="318"/>
      <c r="Q74" s="300">
        <f t="shared" si="0"/>
        <v>0.97036872456433032</v>
      </c>
      <c r="R74" s="300">
        <f t="shared" si="1"/>
        <v>0.81134682148229664</v>
      </c>
      <c r="S74" s="160">
        <f t="shared" si="2"/>
        <v>2.7092446858443663E-4</v>
      </c>
      <c r="T74" s="419"/>
      <c r="U74" s="357">
        <f>(SUM($O73:$O$83)+((1-U72)*O72))/(SUM($F73:$F$83)+((1-U72)*$F72))</f>
        <v>1509.1720485394471</v>
      </c>
      <c r="V74" s="54"/>
      <c r="W74" s="498">
        <v>1</v>
      </c>
      <c r="X74" s="300">
        <f t="shared" si="3"/>
        <v>0.96220191311249714</v>
      </c>
      <c r="Y74" s="300">
        <f t="shared" si="4"/>
        <v>0.79461880617507807</v>
      </c>
      <c r="Z74" s="160">
        <f t="shared" si="5"/>
        <v>3.6407724784305216E-4</v>
      </c>
      <c r="AD74" s="413">
        <v>426.14865500000002</v>
      </c>
      <c r="AE74" s="413">
        <v>348302.26660215942</v>
      </c>
    </row>
    <row r="75" spans="1:31" s="7" customFormat="1">
      <c r="A75" s="12">
        <v>2</v>
      </c>
      <c r="B75" s="58" t="s">
        <v>145</v>
      </c>
      <c r="C75" s="5" t="s">
        <v>62</v>
      </c>
      <c r="D75" s="55" t="s">
        <v>420</v>
      </c>
      <c r="E75" s="55"/>
      <c r="F75" s="497">
        <v>2386.8172746096379</v>
      </c>
      <c r="G75" s="497"/>
      <c r="H75" s="500">
        <v>1076.2512523700495</v>
      </c>
      <c r="I75" s="497">
        <v>2568815.0809770911</v>
      </c>
      <c r="J75" s="501"/>
      <c r="K75" s="500">
        <v>203.56716305408384</v>
      </c>
      <c r="L75" s="497">
        <v>485877.62132076418</v>
      </c>
      <c r="M75" s="501"/>
      <c r="N75" s="500">
        <v>1279.8184154241333</v>
      </c>
      <c r="O75" s="415">
        <v>3054692.7022978552</v>
      </c>
      <c r="P75" s="318"/>
      <c r="Q75" s="300">
        <f t="shared" si="0"/>
        <v>0.97512079866151558</v>
      </c>
      <c r="R75" s="300">
        <f t="shared" si="1"/>
        <v>0.82996079989262284</v>
      </c>
      <c r="S75" s="160">
        <f t="shared" si="2"/>
        <v>1.4454949366183344E-3</v>
      </c>
      <c r="T75" s="303"/>
      <c r="U75" s="419"/>
      <c r="V75" s="5"/>
      <c r="W75" s="498">
        <v>1</v>
      </c>
      <c r="X75" s="300">
        <f t="shared" si="3"/>
        <v>0.96826372810291905</v>
      </c>
      <c r="Y75" s="300">
        <f t="shared" si="4"/>
        <v>0.81488329966404083</v>
      </c>
      <c r="Z75" s="160">
        <f t="shared" si="5"/>
        <v>1.9456215701228526E-3</v>
      </c>
      <c r="AD75" s="413">
        <v>2386.8172746096379</v>
      </c>
      <c r="AE75" s="413">
        <v>3054692.7022978552</v>
      </c>
    </row>
    <row r="76" spans="1:31" s="7" customFormat="1">
      <c r="A76" s="12">
        <v>1</v>
      </c>
      <c r="B76" s="58" t="s">
        <v>7</v>
      </c>
      <c r="C76" s="5" t="s">
        <v>689</v>
      </c>
      <c r="D76" s="55" t="s">
        <v>226</v>
      </c>
      <c r="E76" s="55"/>
      <c r="F76" s="499">
        <v>536.22582205709273</v>
      </c>
      <c r="G76" s="499"/>
      <c r="H76" s="500">
        <v>1199.650705175477</v>
      </c>
      <c r="I76" s="497">
        <v>643283.6855640912</v>
      </c>
      <c r="J76" s="501"/>
      <c r="K76" s="500">
        <v>147.89824143553011</v>
      </c>
      <c r="L76" s="497">
        <v>79306.856094565504</v>
      </c>
      <c r="M76" s="501"/>
      <c r="N76" s="500">
        <v>1347.5489466110071</v>
      </c>
      <c r="O76" s="415">
        <v>722590.54165865667</v>
      </c>
      <c r="P76" s="318"/>
      <c r="Q76" s="300">
        <f t="shared" ref="Q76:Q83" si="6">(F76/F$87)+Q75</f>
        <v>0.97618840650328309</v>
      </c>
      <c r="R76" s="300">
        <f t="shared" ref="R76:R83" si="7">(O76/O$87)+R75</f>
        <v>0.83436395466227353</v>
      </c>
      <c r="S76" s="160">
        <f t="shared" ref="S76:S83" si="8">(Q76-Q75)*(Q76-R76+Q75-R75)</f>
        <v>3.0638684993647392E-4</v>
      </c>
      <c r="T76" s="303"/>
      <c r="U76" s="419"/>
      <c r="V76" s="419"/>
      <c r="W76" s="498">
        <v>1</v>
      </c>
      <c r="X76" s="300">
        <f t="shared" ref="X76:X83" si="9">(W76*(F76/F$86))+X75</f>
        <v>0.96962558422863721</v>
      </c>
      <c r="Y76" s="300">
        <f t="shared" ref="Y76:Y83" si="10">(W76*(O76/O$86))+Y75</f>
        <v>0.81967688538728323</v>
      </c>
      <c r="Z76" s="160">
        <f t="shared" ref="Z76:Z83" si="11">(X76-X75)*(X76-Y76+X75-Y75)</f>
        <v>4.1309063009532543E-4</v>
      </c>
      <c r="AD76" s="413">
        <v>536.22582205709273</v>
      </c>
      <c r="AE76" s="413">
        <v>722590.54165865667</v>
      </c>
    </row>
    <row r="77" spans="1:31" s="7" customFormat="1">
      <c r="A77" s="5">
        <v>3</v>
      </c>
      <c r="B77" s="157" t="s">
        <v>560</v>
      </c>
      <c r="C77" s="5" t="s">
        <v>548</v>
      </c>
      <c r="D77" s="55" t="s">
        <v>558</v>
      </c>
      <c r="E77" s="55"/>
      <c r="F77" s="497">
        <v>2025.1501568963802</v>
      </c>
      <c r="G77" s="497"/>
      <c r="H77" s="500">
        <v>361.31823833674787</v>
      </c>
      <c r="I77" s="497">
        <v>731723.6870571886</v>
      </c>
      <c r="J77" s="501"/>
      <c r="K77" s="500">
        <v>1102.1634569826188</v>
      </c>
      <c r="L77" s="497">
        <v>2232046.497833807</v>
      </c>
      <c r="M77" s="501"/>
      <c r="N77" s="500">
        <v>1463.4816953193665</v>
      </c>
      <c r="O77" s="415">
        <v>2963770.1848909957</v>
      </c>
      <c r="P77" s="318"/>
      <c r="Q77" s="300">
        <f t="shared" si="6"/>
        <v>0.98022041335436139</v>
      </c>
      <c r="R77" s="300">
        <f t="shared" si="7"/>
        <v>0.85242389050892364</v>
      </c>
      <c r="S77" s="160">
        <f t="shared" si="8"/>
        <v>1.0871136171301627E-3</v>
      </c>
      <c r="T77" s="303"/>
      <c r="U77" s="419"/>
      <c r="V77" s="419"/>
      <c r="W77" s="498">
        <v>1</v>
      </c>
      <c r="X77" s="300">
        <f t="shared" si="9"/>
        <v>0.97476887094334286</v>
      </c>
      <c r="Y77" s="300">
        <f t="shared" si="10"/>
        <v>0.83933820895325972</v>
      </c>
      <c r="Z77" s="160">
        <f t="shared" si="11"/>
        <v>1.4677878752155213E-3</v>
      </c>
      <c r="AD77" s="413">
        <v>2025.1501568963802</v>
      </c>
      <c r="AE77" s="413">
        <v>2963770.1848909957</v>
      </c>
    </row>
    <row r="78" spans="1:31" s="7" customFormat="1">
      <c r="A78" s="12">
        <v>2</v>
      </c>
      <c r="B78" s="58" t="s">
        <v>7</v>
      </c>
      <c r="C78" s="5" t="s">
        <v>689</v>
      </c>
      <c r="D78" s="55" t="s">
        <v>226</v>
      </c>
      <c r="E78" s="55"/>
      <c r="F78" s="497">
        <v>1352.9526393621529</v>
      </c>
      <c r="G78" s="497"/>
      <c r="H78" s="500">
        <v>1443.1139810639543</v>
      </c>
      <c r="I78" s="497">
        <v>1952464.869580901</v>
      </c>
      <c r="J78" s="501"/>
      <c r="K78" s="500">
        <v>152.73506955191178</v>
      </c>
      <c r="L78" s="497">
        <v>206643.31547342104</v>
      </c>
      <c r="M78" s="501"/>
      <c r="N78" s="500">
        <v>1595.8490506158662</v>
      </c>
      <c r="O78" s="415">
        <v>2159108.1850543222</v>
      </c>
      <c r="P78" s="318"/>
      <c r="Q78" s="300">
        <f t="shared" si="6"/>
        <v>0.98291409722393319</v>
      </c>
      <c r="R78" s="300">
        <f t="shared" si="7"/>
        <v>0.86558056355558644</v>
      </c>
      <c r="S78" s="160">
        <f t="shared" si="8"/>
        <v>6.6030287917840671E-4</v>
      </c>
      <c r="T78" s="303"/>
      <c r="U78" s="419"/>
      <c r="V78" s="419"/>
      <c r="W78" s="498">
        <v>1</v>
      </c>
      <c r="X78" s="300">
        <f t="shared" si="9"/>
        <v>0.97820497335380396</v>
      </c>
      <c r="Y78" s="300">
        <f t="shared" si="10"/>
        <v>0.85366149382086243</v>
      </c>
      <c r="Z78" s="160">
        <f t="shared" si="11"/>
        <v>8.9329777434482137E-4</v>
      </c>
      <c r="AD78" s="413">
        <v>1352.9526393621529</v>
      </c>
      <c r="AE78" s="413">
        <v>2159108.1850543222</v>
      </c>
    </row>
    <row r="79" spans="1:31" s="7" customFormat="1">
      <c r="A79" s="5">
        <v>3</v>
      </c>
      <c r="B79" s="156" t="s">
        <v>289</v>
      </c>
      <c r="C79" s="5" t="s">
        <v>586</v>
      </c>
      <c r="D79" s="55" t="s">
        <v>596</v>
      </c>
      <c r="E79" s="55"/>
      <c r="F79" s="497">
        <v>384.67464745420693</v>
      </c>
      <c r="G79" s="497"/>
      <c r="H79" s="500">
        <v>735.36498036714102</v>
      </c>
      <c r="I79" s="497">
        <v>282876.26457289979</v>
      </c>
      <c r="J79" s="501"/>
      <c r="K79" s="500">
        <v>1273.7051736752167</v>
      </c>
      <c r="L79" s="497">
        <v>489962.08864411339</v>
      </c>
      <c r="M79" s="501"/>
      <c r="N79" s="500">
        <v>2009.0701540423577</v>
      </c>
      <c r="O79" s="415">
        <v>772838.35321701318</v>
      </c>
      <c r="P79" s="318"/>
      <c r="Q79" s="504">
        <f t="shared" si="6"/>
        <v>0.98367997169930965</v>
      </c>
      <c r="R79" s="300">
        <f t="shared" si="7"/>
        <v>0.87028990679349449</v>
      </c>
      <c r="S79" s="160">
        <f t="shared" si="8"/>
        <v>1.7670531501495516E-4</v>
      </c>
      <c r="T79" s="303"/>
      <c r="U79" s="419"/>
      <c r="V79" s="419"/>
      <c r="W79" s="498">
        <v>1</v>
      </c>
      <c r="X79" s="504">
        <f t="shared" si="9"/>
        <v>0.97918193399891851</v>
      </c>
      <c r="Y79" s="300">
        <f t="shared" si="10"/>
        <v>0.85878841796776795</v>
      </c>
      <c r="Z79" s="160">
        <f t="shared" si="11"/>
        <v>2.3929380519871363E-4</v>
      </c>
      <c r="AD79" s="413">
        <v>384.67464745420693</v>
      </c>
      <c r="AE79" s="413">
        <v>772838.35321701318</v>
      </c>
    </row>
    <row r="80" spans="1:31" s="7" customFormat="1">
      <c r="A80" s="5">
        <v>3</v>
      </c>
      <c r="B80" s="157" t="s">
        <v>560</v>
      </c>
      <c r="C80" s="5" t="s">
        <v>689</v>
      </c>
      <c r="D80" s="55" t="s">
        <v>226</v>
      </c>
      <c r="E80" s="55"/>
      <c r="F80" s="497">
        <v>6823.2121432489412</v>
      </c>
      <c r="G80" s="497"/>
      <c r="H80" s="500">
        <v>1770.9684235692926</v>
      </c>
      <c r="I80" s="497">
        <v>12083693.253008431</v>
      </c>
      <c r="J80" s="501"/>
      <c r="K80" s="500">
        <v>545.28040882324308</v>
      </c>
      <c r="L80" s="497">
        <v>3720563.9069584995</v>
      </c>
      <c r="M80" s="501"/>
      <c r="N80" s="500">
        <v>2316.2488323925359</v>
      </c>
      <c r="O80" s="415">
        <v>15804257.159966931</v>
      </c>
      <c r="P80" s="318"/>
      <c r="Q80" s="300">
        <f t="shared" si="6"/>
        <v>0.99726476096259176</v>
      </c>
      <c r="R80" s="300">
        <f t="shared" si="7"/>
        <v>0.96659422615942425</v>
      </c>
      <c r="S80" s="160">
        <f t="shared" si="8"/>
        <v>1.9570328881885687E-3</v>
      </c>
      <c r="T80" s="503" t="s">
        <v>708</v>
      </c>
      <c r="U80" s="54">
        <f>(0.99-Q79)/(Q80-Q79)</f>
        <v>0.46522829159908596</v>
      </c>
      <c r="V80" s="54">
        <f>100*(R79+(U80*(R80-R79)))</f>
        <v>91.509340076571874</v>
      </c>
      <c r="W80" s="498">
        <v>1</v>
      </c>
      <c r="X80" s="300">
        <f t="shared" si="9"/>
        <v>0.99651088921168818</v>
      </c>
      <c r="Y80" s="300">
        <f t="shared" si="10"/>
        <v>0.96363211176227836</v>
      </c>
      <c r="Z80" s="160">
        <f t="shared" si="11"/>
        <v>2.6560487090831176E-3</v>
      </c>
      <c r="AA80" s="503" t="s">
        <v>708</v>
      </c>
      <c r="AB80" s="54">
        <f>(0.99-X79)/(X80-X79)</f>
        <v>0.62427687464444903</v>
      </c>
      <c r="AC80" s="54">
        <f>100*(Y79+(AB80*(Y80-Y79)))</f>
        <v>92.42399114559845</v>
      </c>
      <c r="AD80" s="413">
        <v>6823.2121432489412</v>
      </c>
      <c r="AE80" s="413">
        <v>15804257.159966931</v>
      </c>
    </row>
    <row r="81" spans="1:32" s="7" customFormat="1">
      <c r="A81" s="12">
        <v>2</v>
      </c>
      <c r="B81" s="58" t="s">
        <v>145</v>
      </c>
      <c r="C81" s="5" t="s">
        <v>689</v>
      </c>
      <c r="D81" s="55" t="s">
        <v>226</v>
      </c>
      <c r="E81" s="55"/>
      <c r="F81" s="497">
        <v>418.37451309653005</v>
      </c>
      <c r="G81" s="497"/>
      <c r="H81" s="500">
        <v>2128.0367685602801</v>
      </c>
      <c r="I81" s="497">
        <v>890316.34689792036</v>
      </c>
      <c r="J81" s="501"/>
      <c r="K81" s="500">
        <v>309.49734556346704</v>
      </c>
      <c r="L81" s="497">
        <v>129485.80125478403</v>
      </c>
      <c r="M81" s="501"/>
      <c r="N81" s="500">
        <v>2437.5341141237468</v>
      </c>
      <c r="O81" s="415">
        <v>1019802.1481527044</v>
      </c>
      <c r="P81" s="318"/>
      <c r="Q81" s="300">
        <f t="shared" si="6"/>
        <v>0.99809773075368469</v>
      </c>
      <c r="R81" s="300">
        <f t="shared" si="7"/>
        <v>0.97280846013269406</v>
      </c>
      <c r="S81" s="160">
        <f t="shared" si="8"/>
        <v>4.6612827433762011E-5</v>
      </c>
      <c r="T81" s="419"/>
      <c r="U81"/>
      <c r="V81" s="54">
        <f>100-V80</f>
        <v>8.4906599234281259</v>
      </c>
      <c r="W81" s="498">
        <v>1</v>
      </c>
      <c r="X81" s="300">
        <f t="shared" si="9"/>
        <v>0.99757343761959416</v>
      </c>
      <c r="Y81" s="300">
        <f t="shared" si="10"/>
        <v>0.97039736640662444</v>
      </c>
      <c r="Z81" s="160">
        <f t="shared" si="11"/>
        <v>6.3811183833246141E-5</v>
      </c>
      <c r="AA81" s="419"/>
      <c r="AB81" s="357">
        <f>(SUM($AE81:AE$83)+((1-AB80)*AE80))/(SUM($AD81:$AD$83)+((1-AB80)*$AD80))</f>
        <v>2900.3856843774065</v>
      </c>
      <c r="AC81" s="54">
        <f>100-AC80</f>
        <v>7.5760088544015503</v>
      </c>
      <c r="AD81" s="413">
        <v>418.37451309653005</v>
      </c>
      <c r="AE81" s="413">
        <v>1019802.1481527044</v>
      </c>
    </row>
    <row r="82" spans="1:32" s="7" customFormat="1">
      <c r="A82" s="12">
        <v>1</v>
      </c>
      <c r="B82" s="58" t="s">
        <v>8</v>
      </c>
      <c r="C82" s="5" t="s">
        <v>689</v>
      </c>
      <c r="D82" s="55" t="s">
        <v>226</v>
      </c>
      <c r="E82" s="55"/>
      <c r="F82" s="499">
        <v>73.068323586118268</v>
      </c>
      <c r="G82" s="499"/>
      <c r="H82" s="500">
        <v>2301.588096028373</v>
      </c>
      <c r="I82" s="497">
        <v>168173.183762559</v>
      </c>
      <c r="J82" s="501"/>
      <c r="K82" s="500">
        <v>315.55221315517986</v>
      </c>
      <c r="L82" s="497">
        <v>23056.871219138447</v>
      </c>
      <c r="M82" s="501"/>
      <c r="N82" s="500">
        <v>2617.1403091835527</v>
      </c>
      <c r="O82" s="415">
        <v>191230.05498169744</v>
      </c>
      <c r="P82" s="318"/>
      <c r="Q82" s="300">
        <f t="shared" si="6"/>
        <v>0.99824320736453886</v>
      </c>
      <c r="R82" s="300">
        <f t="shared" si="7"/>
        <v>0.97397373352080185</v>
      </c>
      <c r="S82" s="160">
        <f t="shared" si="8"/>
        <v>7.2096381829168439E-6</v>
      </c>
      <c r="T82" s="419"/>
      <c r="U82" s="357">
        <f>(SUM($O81:$O$83)+((1-U80)*O80))/(SUM($F81:$F$83)+((1-U80)*$F80))</f>
        <v>2774.1746529454199</v>
      </c>
      <c r="V82" s="54"/>
      <c r="W82" s="498">
        <v>1</v>
      </c>
      <c r="X82" s="300">
        <f t="shared" si="9"/>
        <v>0.99775900970504494</v>
      </c>
      <c r="Y82" s="300">
        <f t="shared" si="10"/>
        <v>0.97166596543825712</v>
      </c>
      <c r="Z82" s="160">
        <f t="shared" si="11"/>
        <v>9.8852608496970308E-6</v>
      </c>
      <c r="AD82" s="413">
        <v>73.068323586118268</v>
      </c>
      <c r="AE82" s="413">
        <v>191230.05498169744</v>
      </c>
    </row>
    <row r="83" spans="1:32" s="7" customFormat="1">
      <c r="A83" s="5">
        <v>3</v>
      </c>
      <c r="B83" s="156" t="s">
        <v>289</v>
      </c>
      <c r="C83" s="5" t="s">
        <v>689</v>
      </c>
      <c r="D83" s="55" t="s">
        <v>226</v>
      </c>
      <c r="E83" s="55"/>
      <c r="F83" s="497">
        <v>882.38165577173538</v>
      </c>
      <c r="G83" s="497"/>
      <c r="H83" s="500">
        <v>3262.2829959104115</v>
      </c>
      <c r="I83" s="497">
        <v>2878578.6715274062</v>
      </c>
      <c r="J83" s="501"/>
      <c r="K83" s="500">
        <v>1578.1445403057689</v>
      </c>
      <c r="L83" s="497">
        <v>1392525.7925221287</v>
      </c>
      <c r="M83" s="501"/>
      <c r="N83" s="500">
        <v>4840.4275362161807</v>
      </c>
      <c r="O83" s="415">
        <v>4271104.4640495349</v>
      </c>
      <c r="P83" s="318"/>
      <c r="Q83" s="300">
        <f t="shared" si="6"/>
        <v>0.99999999999999944</v>
      </c>
      <c r="R83" s="300">
        <f t="shared" si="7"/>
        <v>1</v>
      </c>
      <c r="S83" s="160">
        <f t="shared" si="8"/>
        <v>4.2636432915179382E-5</v>
      </c>
      <c r="T83" s="303"/>
      <c r="U83" s="419"/>
      <c r="V83" s="419"/>
      <c r="W83" s="498">
        <v>1</v>
      </c>
      <c r="X83" s="300">
        <f t="shared" si="9"/>
        <v>0.99999999999999967</v>
      </c>
      <c r="Y83" s="300">
        <f t="shared" si="10"/>
        <v>1</v>
      </c>
      <c r="Z83" s="160">
        <f t="shared" si="11"/>
        <v>5.8474258967694812E-5</v>
      </c>
      <c r="AD83" s="413">
        <v>882.38165577173538</v>
      </c>
      <c r="AE83" s="413">
        <v>4271104.4640495349</v>
      </c>
    </row>
    <row r="84" spans="1:32" s="7" customFormat="1">
      <c r="A84" s="12"/>
      <c r="B84" s="58"/>
      <c r="C84" s="5"/>
      <c r="D84" s="55"/>
      <c r="E84" s="55"/>
      <c r="F84" s="494"/>
      <c r="G84" s="494"/>
      <c r="H84" s="348"/>
      <c r="I84" s="415"/>
      <c r="J84" s="415"/>
      <c r="K84" s="415"/>
      <c r="L84" s="415"/>
      <c r="M84" s="415"/>
      <c r="N84" s="415"/>
      <c r="O84" s="415"/>
      <c r="P84" s="318"/>
      <c r="Q84" s="300"/>
      <c r="R84" s="300"/>
      <c r="S84" s="419"/>
      <c r="T84" s="419"/>
      <c r="U84" s="419"/>
      <c r="V84" s="419"/>
      <c r="W84" s="498"/>
      <c r="X84" s="300"/>
      <c r="Y84" s="300"/>
      <c r="Z84" s="419"/>
    </row>
    <row r="85" spans="1:32" s="7" customFormat="1">
      <c r="A85" s="13"/>
      <c r="B85" s="178"/>
      <c r="D85" s="489"/>
      <c r="E85" s="489"/>
      <c r="F85" s="493"/>
      <c r="G85" s="493"/>
      <c r="H85" s="179"/>
      <c r="I85" s="416"/>
      <c r="J85" s="327"/>
      <c r="K85" s="179"/>
      <c r="L85" s="416"/>
      <c r="M85" s="287"/>
      <c r="N85" s="179"/>
      <c r="O85" s="416"/>
      <c r="P85" s="287"/>
      <c r="Q85" s="12"/>
      <c r="R85" s="12"/>
      <c r="S85" s="300">
        <f>SUM(S10:S83)</f>
        <v>0.44064602508305006</v>
      </c>
      <c r="T85" s="12"/>
      <c r="U85" s="12"/>
      <c r="V85" s="12"/>
      <c r="W85" s="26"/>
      <c r="X85" s="12"/>
      <c r="Y85" s="12"/>
      <c r="Z85" s="300">
        <f>SUM(Z10:Z83)</f>
        <v>0.40942704558230031</v>
      </c>
    </row>
    <row r="86" spans="1:32" ht="16" thickBot="1">
      <c r="B86" s="5"/>
      <c r="E86" s="95" t="s">
        <v>207</v>
      </c>
      <c r="F86" s="479">
        <f>F87-F21-F23-F28-F29-F31-F41</f>
        <v>393746.30838799378</v>
      </c>
      <c r="H86" s="301">
        <f>I86/F86</f>
        <v>288.76187737832726</v>
      </c>
      <c r="I86" s="314">
        <f>I87-I21-I23-I28-I29-I31-I41</f>
        <v>113698923.22090289</v>
      </c>
      <c r="J86" s="327"/>
      <c r="K86" s="301">
        <f>L86/F86</f>
        <v>94.076334682662832</v>
      </c>
      <c r="L86" s="479">
        <f>L87-L21-L23-L28-L29-L31-L41</f>
        <v>37042209.487971872</v>
      </c>
      <c r="N86" s="301">
        <f>O86/F86</f>
        <v>382.83821206099009</v>
      </c>
      <c r="O86" s="314">
        <f>O87-O21-O23-O28-O29-O31-O41</f>
        <v>150741132.70887476</v>
      </c>
      <c r="P86" s="287"/>
      <c r="Q86" s="483"/>
      <c r="R86" s="81"/>
      <c r="S86" s="81"/>
      <c r="T86" s="81"/>
      <c r="U86" s="81"/>
      <c r="V86" s="12"/>
      <c r="X86" s="81"/>
      <c r="Y86" s="81"/>
      <c r="Z86" s="81"/>
      <c r="AA86" s="170"/>
      <c r="AB86" s="170"/>
      <c r="AD86" s="506">
        <f>SUM(AD10:AD83)</f>
        <v>393746.30838799383</v>
      </c>
      <c r="AE86" s="506">
        <f>SUM(AE10:AE83)</f>
        <v>150741132.70887485</v>
      </c>
      <c r="AF86" s="459" t="s">
        <v>716</v>
      </c>
    </row>
    <row r="87" spans="1:32" ht="16" thickBot="1">
      <c r="B87" s="5"/>
      <c r="E87" s="95" t="s">
        <v>63</v>
      </c>
      <c r="F87" s="495">
        <f>SUM(F10:F83)</f>
        <v>502268.5307081787</v>
      </c>
      <c r="G87" s="496"/>
      <c r="H87" s="301">
        <f>I87/F87</f>
        <v>252.98270134665617</v>
      </c>
      <c r="I87" s="299">
        <f>SUM(I10:I83)</f>
        <v>127065249.69997098</v>
      </c>
      <c r="J87" s="327"/>
      <c r="K87" s="301">
        <f>L87/F87</f>
        <v>73.749811551489856</v>
      </c>
      <c r="L87" s="299">
        <f>SUM(L10:L83)</f>
        <v>37042209.487971872</v>
      </c>
      <c r="M87" s="297"/>
      <c r="N87" s="301">
        <f>O87/F87</f>
        <v>326.73251289814613</v>
      </c>
      <c r="O87" s="299">
        <f>SUM(O10:O83)</f>
        <v>164107459.18794289</v>
      </c>
      <c r="P87" s="287"/>
      <c r="Q87" s="482"/>
      <c r="R87" s="55" t="s">
        <v>438</v>
      </c>
      <c r="S87" s="461">
        <v>0.44064602508305006</v>
      </c>
      <c r="T87" s="95" t="s">
        <v>322</v>
      </c>
      <c r="U87" s="352"/>
      <c r="V87" s="12"/>
      <c r="X87" s="81"/>
      <c r="Y87" s="55" t="s">
        <v>438</v>
      </c>
      <c r="Z87" s="461">
        <v>0.40942704558230031</v>
      </c>
      <c r="AA87" s="95" t="s">
        <v>322</v>
      </c>
      <c r="AB87" s="170"/>
      <c r="AE87" s="432">
        <f>AE86/AD86</f>
        <v>382.83821206099026</v>
      </c>
    </row>
    <row r="88" spans="1:32">
      <c r="B88" s="5"/>
      <c r="H88" s="55"/>
      <c r="I88" s="55"/>
      <c r="J88" s="55"/>
      <c r="K88" s="55"/>
      <c r="L88" s="55"/>
      <c r="M88" s="55"/>
      <c r="N88" s="55"/>
      <c r="O88" s="55"/>
      <c r="P88" s="287"/>
      <c r="Q88" s="484"/>
      <c r="R88" s="55"/>
      <c r="S88" s="95" t="s">
        <v>18</v>
      </c>
      <c r="T88" s="95" t="s">
        <v>222</v>
      </c>
      <c r="U88" s="352"/>
      <c r="V88" s="12"/>
      <c r="X88" s="81"/>
      <c r="Y88" s="55"/>
      <c r="Z88" s="95" t="s">
        <v>18</v>
      </c>
      <c r="AA88" s="95" t="s">
        <v>222</v>
      </c>
      <c r="AB88" s="170"/>
    </row>
    <row r="89" spans="1:32">
      <c r="B89" s="5"/>
      <c r="H89" s="55"/>
      <c r="I89" s="55"/>
      <c r="J89" s="55"/>
      <c r="K89" s="55"/>
      <c r="L89" s="55"/>
      <c r="M89" s="55"/>
      <c r="N89" s="55"/>
      <c r="O89" s="55"/>
      <c r="P89" s="287"/>
      <c r="Q89" s="485"/>
      <c r="R89" s="55" t="s">
        <v>439</v>
      </c>
      <c r="S89" s="460">
        <v>8.4906599234281259</v>
      </c>
      <c r="T89" s="465">
        <v>2774.1746529454199</v>
      </c>
      <c r="U89" s="171"/>
      <c r="V89" s="12"/>
      <c r="X89" s="81"/>
      <c r="Y89" s="55" t="s">
        <v>439</v>
      </c>
      <c r="Z89" s="460">
        <v>7.5760088544015503</v>
      </c>
      <c r="AA89" s="465">
        <v>2900.3856843774065</v>
      </c>
      <c r="AB89" s="170"/>
    </row>
    <row r="90" spans="1:32">
      <c r="B90" s="5"/>
      <c r="H90" s="55"/>
      <c r="I90" s="55"/>
      <c r="J90" s="55"/>
      <c r="K90" s="55"/>
      <c r="L90" s="55"/>
      <c r="M90" s="55"/>
      <c r="N90" s="55"/>
      <c r="O90" s="55"/>
      <c r="P90" s="354"/>
      <c r="Q90" s="484"/>
      <c r="R90" s="55" t="s">
        <v>440</v>
      </c>
      <c r="S90" s="460">
        <v>23.094916926891372</v>
      </c>
      <c r="T90" s="465">
        <v>1509.1720485394471</v>
      </c>
      <c r="U90" s="171"/>
      <c r="V90" s="12"/>
      <c r="X90" s="81"/>
      <c r="Y90" s="55" t="s">
        <v>440</v>
      </c>
      <c r="Z90" s="460">
        <v>22.722349717103796</v>
      </c>
      <c r="AA90" s="465">
        <v>1739.7967479041229</v>
      </c>
      <c r="AB90" s="170"/>
    </row>
    <row r="91" spans="1:32">
      <c r="B91" s="5"/>
      <c r="H91" s="55"/>
      <c r="I91" s="55"/>
      <c r="J91" s="55"/>
      <c r="K91" s="55"/>
      <c r="L91" s="55"/>
      <c r="M91" s="55"/>
      <c r="N91" s="55"/>
      <c r="O91" s="55"/>
      <c r="P91" s="131"/>
      <c r="Q91" s="486"/>
      <c r="R91" s="55" t="s">
        <v>190</v>
      </c>
      <c r="S91" s="460">
        <v>32.194153230096973</v>
      </c>
      <c r="T91" s="465">
        <v>1051.8876585497601</v>
      </c>
      <c r="U91" s="171"/>
      <c r="V91" s="12"/>
      <c r="X91" s="81"/>
      <c r="Y91" s="55" t="s">
        <v>190</v>
      </c>
      <c r="Z91" s="460">
        <v>31.13389325013928</v>
      </c>
      <c r="AA91" s="465">
        <v>1191.9244026381086</v>
      </c>
      <c r="AB91" s="170"/>
    </row>
    <row r="92" spans="1:32">
      <c r="B92" s="5"/>
      <c r="H92" s="55"/>
      <c r="I92" s="55"/>
      <c r="J92" s="55"/>
      <c r="K92" s="55"/>
      <c r="L92" s="55"/>
      <c r="M92" s="55"/>
      <c r="N92" s="55"/>
      <c r="O92" s="55"/>
      <c r="P92" s="5"/>
      <c r="Q92" s="487"/>
      <c r="R92" s="55" t="s">
        <v>5</v>
      </c>
      <c r="S92" s="460">
        <v>47.783944129301716</v>
      </c>
      <c r="T92" s="465">
        <v>780.62840707757039</v>
      </c>
      <c r="U92" s="171"/>
      <c r="V92" s="12"/>
      <c r="X92" s="81"/>
      <c r="Y92" s="55" t="s">
        <v>5</v>
      </c>
      <c r="Z92" s="460">
        <v>45.321411211561603</v>
      </c>
      <c r="AA92" s="465">
        <v>867.53840181575947</v>
      </c>
      <c r="AB92" s="170"/>
    </row>
    <row r="93" spans="1:32">
      <c r="B93" s="5"/>
      <c r="H93" s="55"/>
      <c r="I93" s="55"/>
      <c r="J93" s="55"/>
      <c r="K93" s="55"/>
      <c r="L93" s="55"/>
      <c r="M93" s="55"/>
      <c r="N93" s="55"/>
      <c r="O93" s="55"/>
      <c r="P93" s="5"/>
      <c r="Q93" s="487"/>
      <c r="R93" s="55" t="s">
        <v>264</v>
      </c>
      <c r="S93" s="460">
        <f>100-S92-S94</f>
        <v>39.633194532482506</v>
      </c>
      <c r="T93" s="507">
        <f>($S96-(0.2*$T92)-(0.4*$T94))/0.4</f>
        <v>323.73633109447582</v>
      </c>
      <c r="U93" s="353"/>
      <c r="V93" s="54">
        <f>($S96-(0.2*$T92)-(0.4*$T94))/0.4</f>
        <v>323.73633109447582</v>
      </c>
      <c r="X93" s="81"/>
      <c r="Y93" s="55" t="s">
        <v>264</v>
      </c>
      <c r="Z93" s="460">
        <f>100-Z92-Z94</f>
        <v>39.717851519020392</v>
      </c>
      <c r="AA93" s="507">
        <f>($Z96-(0.2*$AA92)-(0.4*$AA94))/0.4</f>
        <v>380.13778156114068</v>
      </c>
      <c r="AB93" s="170"/>
      <c r="AC93" s="54">
        <f>($Z96-(0.2*$AA92)-(0.4*$AA94))/0.4</f>
        <v>380.13778156114068</v>
      </c>
      <c r="AD93" s="54"/>
    </row>
    <row r="94" spans="1:32">
      <c r="B94" s="5"/>
      <c r="H94" s="55"/>
      <c r="I94" s="55"/>
      <c r="J94" s="55"/>
      <c r="K94" s="55"/>
      <c r="L94" s="55"/>
      <c r="M94" s="55"/>
      <c r="N94" s="55"/>
      <c r="O94" s="55"/>
      <c r="P94" s="55"/>
      <c r="Q94" s="487"/>
      <c r="R94" s="55" t="s">
        <v>265</v>
      </c>
      <c r="S94" s="460">
        <v>12.582861338215782</v>
      </c>
      <c r="T94" s="507">
        <v>102.78074761210426</v>
      </c>
      <c r="U94" s="353"/>
      <c r="V94" s="12"/>
      <c r="X94" s="81"/>
      <c r="Y94" s="55" t="s">
        <v>265</v>
      </c>
      <c r="Z94" s="460">
        <v>14.960737269418006</v>
      </c>
      <c r="AA94" s="465">
        <v>143.18854768345514</v>
      </c>
      <c r="AB94" s="81"/>
    </row>
    <row r="95" spans="1:32">
      <c r="B95" s="5"/>
      <c r="H95" s="55"/>
      <c r="I95" s="55"/>
      <c r="J95" s="55"/>
      <c r="K95" s="55"/>
      <c r="L95" s="55"/>
      <c r="M95" s="55"/>
      <c r="N95" s="55"/>
      <c r="O95" s="55"/>
      <c r="P95" s="55"/>
      <c r="Q95" s="487"/>
      <c r="R95" s="55"/>
      <c r="S95" s="282"/>
      <c r="T95" s="282"/>
      <c r="U95" s="353"/>
      <c r="V95" s="12"/>
      <c r="X95" s="81"/>
      <c r="Y95" s="55"/>
      <c r="Z95" s="282"/>
      <c r="AA95" s="371"/>
      <c r="AB95" s="170"/>
    </row>
    <row r="96" spans="1:32">
      <c r="B96" s="5" t="s">
        <v>701</v>
      </c>
      <c r="H96" s="55"/>
      <c r="I96" s="55"/>
      <c r="J96" s="55"/>
      <c r="K96" s="55"/>
      <c r="L96" s="55"/>
      <c r="M96" s="55"/>
      <c r="N96" s="55"/>
      <c r="O96" s="55"/>
      <c r="P96" s="55"/>
      <c r="Q96" s="487"/>
      <c r="R96" s="55" t="s">
        <v>267</v>
      </c>
      <c r="S96" s="462">
        <v>326.73251289814613</v>
      </c>
      <c r="T96" s="282"/>
      <c r="U96" s="353"/>
      <c r="V96" s="12"/>
      <c r="X96" s="81"/>
      <c r="Y96" s="55" t="s">
        <v>267</v>
      </c>
      <c r="Z96" s="462">
        <v>382.83821206099026</v>
      </c>
      <c r="AA96" s="55"/>
      <c r="AB96" s="81"/>
    </row>
    <row r="97" spans="1:28">
      <c r="A97" s="5" t="s">
        <v>702</v>
      </c>
      <c r="B97" s="5" t="s">
        <v>703</v>
      </c>
      <c r="H97" s="55"/>
      <c r="I97" s="55"/>
      <c r="J97" s="55"/>
      <c r="K97" s="55"/>
      <c r="L97" s="55"/>
      <c r="M97" s="55"/>
      <c r="N97" s="55"/>
      <c r="O97" s="55"/>
      <c r="P97" s="55"/>
      <c r="Q97" s="487"/>
      <c r="R97" s="55" t="s">
        <v>266</v>
      </c>
      <c r="S97" s="462">
        <v>279.04871997351364</v>
      </c>
      <c r="T97" s="282"/>
      <c r="U97" s="353"/>
      <c r="V97" s="12"/>
      <c r="X97" s="81"/>
      <c r="Y97" s="55" t="s">
        <v>266</v>
      </c>
      <c r="Z97" s="462">
        <v>334.40062983506613</v>
      </c>
      <c r="AA97" s="55"/>
      <c r="AB97" s="81"/>
    </row>
    <row r="98" spans="1:28">
      <c r="A98" s="5">
        <v>3</v>
      </c>
      <c r="B98" s="87" t="s">
        <v>147</v>
      </c>
      <c r="H98" s="55"/>
      <c r="I98" s="55"/>
      <c r="J98" s="55"/>
      <c r="K98" s="55"/>
      <c r="L98" s="55"/>
      <c r="M98" s="55"/>
      <c r="N98" s="55"/>
      <c r="O98" s="55"/>
      <c r="P98" s="55"/>
      <c r="Q98" s="487"/>
      <c r="R98" s="81"/>
      <c r="S98" s="81"/>
      <c r="T98" s="81"/>
      <c r="U98" s="81"/>
      <c r="X98" s="81"/>
      <c r="Y98" s="81"/>
      <c r="Z98" s="81"/>
      <c r="AA98" s="398"/>
      <c r="AB98" s="81"/>
    </row>
    <row r="99" spans="1:28">
      <c r="A99" s="5">
        <v>3</v>
      </c>
      <c r="B99" s="87" t="s">
        <v>147</v>
      </c>
      <c r="H99" s="55"/>
      <c r="I99" s="55"/>
      <c r="J99" s="55"/>
      <c r="K99" s="55"/>
      <c r="L99" s="55"/>
      <c r="M99" s="55"/>
      <c r="N99" s="55"/>
      <c r="O99" s="55"/>
      <c r="P99" s="55"/>
    </row>
    <row r="100" spans="1:28">
      <c r="A100" s="5">
        <v>3</v>
      </c>
      <c r="B100" s="87" t="s">
        <v>147</v>
      </c>
      <c r="H100" s="55"/>
      <c r="I100" s="55"/>
      <c r="J100" s="55"/>
      <c r="K100" s="55"/>
      <c r="L100" s="55"/>
      <c r="M100" s="55"/>
      <c r="N100" s="55"/>
      <c r="O100" s="55"/>
      <c r="P100" s="55"/>
    </row>
    <row r="101" spans="1:28">
      <c r="A101" s="5">
        <v>3</v>
      </c>
      <c r="B101" s="87" t="s">
        <v>147</v>
      </c>
      <c r="H101" s="55"/>
      <c r="I101" s="55"/>
      <c r="J101" s="55"/>
      <c r="K101" s="55"/>
      <c r="L101" s="55"/>
      <c r="M101" s="55"/>
      <c r="N101" s="55"/>
      <c r="O101" s="55"/>
      <c r="P101" s="55"/>
    </row>
    <row r="102" spans="1:28">
      <c r="A102" s="5">
        <v>3</v>
      </c>
      <c r="B102" s="87" t="s">
        <v>147</v>
      </c>
      <c r="H102" s="55"/>
      <c r="I102" s="55"/>
      <c r="J102" s="55"/>
      <c r="K102" s="55"/>
      <c r="L102" s="55"/>
      <c r="M102" s="55"/>
      <c r="N102" s="55"/>
      <c r="O102" s="55"/>
      <c r="Q102" s="5"/>
    </row>
    <row r="103" spans="1:28">
      <c r="A103" s="5">
        <v>3</v>
      </c>
      <c r="B103" s="5" t="s">
        <v>147</v>
      </c>
      <c r="H103" s="55"/>
      <c r="I103" s="55"/>
      <c r="J103" s="55"/>
      <c r="K103" s="55"/>
      <c r="L103" s="55"/>
      <c r="M103" s="55"/>
      <c r="N103" s="55"/>
      <c r="O103" s="55"/>
      <c r="P103" s="314"/>
      <c r="Q103" s="5"/>
    </row>
    <row r="104" spans="1:28">
      <c r="A104" s="5">
        <v>3</v>
      </c>
      <c r="B104" s="5" t="s">
        <v>147</v>
      </c>
      <c r="H104" s="55"/>
      <c r="I104" s="55"/>
      <c r="J104" s="55"/>
      <c r="K104" s="55"/>
      <c r="L104" s="55"/>
      <c r="M104" s="55"/>
      <c r="N104" s="55"/>
      <c r="O104" s="55"/>
      <c r="U104" s="12"/>
      <c r="V104" s="12"/>
    </row>
    <row r="105" spans="1:28">
      <c r="A105" s="5">
        <v>3</v>
      </c>
      <c r="B105" s="5" t="s">
        <v>147</v>
      </c>
      <c r="H105" s="55"/>
      <c r="I105" s="55"/>
      <c r="J105" s="55"/>
      <c r="K105" s="55"/>
      <c r="L105" s="55"/>
      <c r="M105" s="55"/>
      <c r="N105" s="55"/>
      <c r="O105" s="55"/>
      <c r="P105" s="5"/>
      <c r="Q105" s="5"/>
    </row>
    <row r="106" spans="1:28">
      <c r="A106" s="5">
        <v>3</v>
      </c>
      <c r="B106" s="87" t="s">
        <v>147</v>
      </c>
      <c r="H106" s="55"/>
      <c r="I106" s="55"/>
      <c r="J106" s="55"/>
      <c r="K106" s="55"/>
      <c r="L106" s="55"/>
      <c r="M106" s="55"/>
      <c r="N106" s="55"/>
      <c r="O106" s="55"/>
      <c r="P106" s="314"/>
      <c r="Q106" s="5"/>
    </row>
    <row r="107" spans="1:28">
      <c r="A107" s="5">
        <v>3</v>
      </c>
      <c r="B107" s="87" t="s">
        <v>7</v>
      </c>
      <c r="H107" s="55"/>
      <c r="I107" s="55"/>
      <c r="J107" s="55"/>
      <c r="K107" s="55"/>
      <c r="L107" s="55"/>
      <c r="M107" s="55"/>
      <c r="N107" s="55"/>
      <c r="O107" s="55"/>
      <c r="Q107" s="5"/>
    </row>
    <row r="108" spans="1:28">
      <c r="A108" s="5">
        <v>3</v>
      </c>
      <c r="B108" s="87" t="s">
        <v>7</v>
      </c>
      <c r="H108" s="55"/>
      <c r="I108" s="55"/>
      <c r="J108" s="55"/>
      <c r="K108" s="55"/>
      <c r="L108" s="55"/>
      <c r="M108" s="55"/>
      <c r="N108" s="55"/>
      <c r="O108" s="55"/>
      <c r="Q108" s="5"/>
    </row>
    <row r="109" spans="1:28">
      <c r="A109" s="5">
        <v>3</v>
      </c>
      <c r="B109" s="5" t="s">
        <v>7</v>
      </c>
      <c r="H109" s="55"/>
      <c r="I109" s="55"/>
      <c r="J109" s="55"/>
      <c r="K109" s="55"/>
      <c r="L109" s="55"/>
      <c r="M109" s="55"/>
      <c r="N109" s="55"/>
      <c r="O109" s="55"/>
      <c r="P109" s="314"/>
      <c r="Q109" s="5"/>
    </row>
    <row r="110" spans="1:28">
      <c r="A110" s="5">
        <v>3</v>
      </c>
      <c r="B110" s="5" t="s">
        <v>7</v>
      </c>
      <c r="H110" s="55"/>
      <c r="I110" s="55"/>
      <c r="J110" s="55"/>
      <c r="K110" s="55"/>
      <c r="L110" s="55"/>
      <c r="M110" s="55"/>
      <c r="N110" s="55"/>
      <c r="O110" s="55"/>
      <c r="P110" s="314"/>
      <c r="Q110" s="5"/>
    </row>
    <row r="111" spans="1:28">
      <c r="A111" s="5">
        <v>3</v>
      </c>
      <c r="B111" s="87" t="s">
        <v>7</v>
      </c>
      <c r="H111" s="55"/>
      <c r="I111" s="55"/>
      <c r="J111" s="55"/>
      <c r="K111" s="55"/>
      <c r="L111" s="55"/>
      <c r="M111" s="55"/>
      <c r="N111" s="55"/>
      <c r="O111" s="55"/>
      <c r="Q111" s="5"/>
    </row>
    <row r="112" spans="1:28">
      <c r="A112" s="5">
        <v>3</v>
      </c>
      <c r="B112" s="87" t="s">
        <v>7</v>
      </c>
      <c r="H112" s="55"/>
      <c r="I112" s="55"/>
      <c r="J112" s="55"/>
      <c r="K112" s="55"/>
      <c r="L112" s="55"/>
      <c r="M112" s="55"/>
      <c r="N112" s="55"/>
      <c r="O112" s="55"/>
      <c r="Q112" s="5"/>
    </row>
    <row r="113" spans="1:22">
      <c r="A113" s="5">
        <v>3</v>
      </c>
      <c r="B113" s="87" t="s">
        <v>7</v>
      </c>
      <c r="H113" s="55"/>
      <c r="I113" s="55"/>
      <c r="J113" s="55"/>
      <c r="K113" s="55"/>
      <c r="L113" s="55"/>
      <c r="M113" s="55"/>
      <c r="N113" s="55"/>
      <c r="O113" s="55"/>
      <c r="Q113" s="5"/>
    </row>
    <row r="114" spans="1:22">
      <c r="A114" s="5">
        <v>3</v>
      </c>
      <c r="B114" s="87" t="s">
        <v>7</v>
      </c>
      <c r="H114" s="55"/>
      <c r="I114" s="55"/>
      <c r="J114" s="55"/>
      <c r="K114" s="55"/>
      <c r="L114" s="55"/>
      <c r="M114" s="55"/>
      <c r="N114" s="55"/>
      <c r="O114" s="55"/>
      <c r="P114" s="314"/>
      <c r="Q114" s="5"/>
    </row>
    <row r="115" spans="1:22">
      <c r="A115" s="5">
        <v>3</v>
      </c>
      <c r="B115" s="5" t="s">
        <v>7</v>
      </c>
      <c r="H115" s="55"/>
      <c r="I115" s="55"/>
      <c r="J115" s="55"/>
      <c r="K115" s="55"/>
      <c r="L115" s="55"/>
      <c r="M115" s="55"/>
      <c r="N115" s="55"/>
      <c r="O115" s="55"/>
      <c r="P115" s="5"/>
      <c r="Q115" s="5"/>
    </row>
    <row r="116" spans="1:22">
      <c r="A116" s="5">
        <v>3</v>
      </c>
      <c r="B116" s="5" t="s">
        <v>7</v>
      </c>
      <c r="H116" s="55"/>
      <c r="I116" s="55"/>
      <c r="J116" s="55"/>
      <c r="K116" s="55"/>
      <c r="L116" s="55"/>
      <c r="M116" s="55"/>
      <c r="N116" s="55"/>
      <c r="O116" s="55"/>
      <c r="P116" s="5"/>
      <c r="Q116" s="5"/>
      <c r="U116" s="12"/>
      <c r="V116" s="12"/>
    </row>
    <row r="117" spans="1:22">
      <c r="A117" s="5">
        <v>3</v>
      </c>
      <c r="B117" s="5" t="s">
        <v>7</v>
      </c>
      <c r="H117" s="55"/>
      <c r="I117" s="55"/>
      <c r="J117" s="55"/>
      <c r="K117" s="55"/>
      <c r="L117" s="55"/>
      <c r="M117" s="55"/>
      <c r="N117" s="55"/>
      <c r="O117" s="55"/>
      <c r="P117" s="5"/>
      <c r="Q117" s="5"/>
    </row>
    <row r="118" spans="1:22">
      <c r="A118" s="5">
        <v>3</v>
      </c>
      <c r="B118" s="5" t="s">
        <v>7</v>
      </c>
      <c r="H118" s="55"/>
      <c r="I118" s="55"/>
      <c r="J118" s="55"/>
      <c r="K118" s="55"/>
      <c r="L118" s="55"/>
      <c r="M118" s="55"/>
      <c r="N118" s="55"/>
      <c r="O118" s="55"/>
      <c r="P118" s="5"/>
      <c r="Q118" s="5"/>
    </row>
    <row r="119" spans="1:22">
      <c r="A119" s="5">
        <v>3</v>
      </c>
      <c r="B119" s="5" t="s">
        <v>7</v>
      </c>
      <c r="H119" s="55"/>
      <c r="I119" s="55"/>
      <c r="J119" s="55"/>
      <c r="K119" s="55"/>
      <c r="L119" s="55"/>
      <c r="M119" s="55"/>
      <c r="N119" s="55"/>
      <c r="O119" s="55"/>
      <c r="P119" s="5"/>
      <c r="Q119" s="5"/>
    </row>
    <row r="120" spans="1:22">
      <c r="A120" s="5">
        <v>3</v>
      </c>
      <c r="B120" s="5" t="s">
        <v>7</v>
      </c>
      <c r="H120" s="55"/>
      <c r="I120" s="55"/>
      <c r="J120" s="55"/>
      <c r="K120" s="55"/>
      <c r="L120" s="55"/>
      <c r="M120" s="55"/>
      <c r="N120" s="55"/>
      <c r="O120" s="55"/>
      <c r="P120" s="5"/>
      <c r="Q120" s="5"/>
    </row>
    <row r="121" spans="1:22">
      <c r="A121" s="5">
        <v>3</v>
      </c>
      <c r="B121" s="5" t="s">
        <v>7</v>
      </c>
      <c r="H121" s="55"/>
      <c r="I121" s="55"/>
      <c r="J121" s="55"/>
      <c r="K121" s="55"/>
      <c r="L121" s="55"/>
      <c r="M121" s="55"/>
      <c r="N121" s="55"/>
      <c r="O121" s="55"/>
      <c r="Q121" s="5"/>
    </row>
    <row r="122" spans="1:22">
      <c r="A122" s="5">
        <v>3</v>
      </c>
      <c r="B122" s="87" t="s">
        <v>147</v>
      </c>
      <c r="H122" s="55"/>
      <c r="I122" s="55"/>
      <c r="J122" s="55"/>
      <c r="K122" s="55"/>
      <c r="L122" s="55"/>
      <c r="M122" s="55"/>
      <c r="N122" s="55"/>
      <c r="O122" s="55"/>
      <c r="Q122" s="5"/>
    </row>
    <row r="123" spans="1:22">
      <c r="A123" s="5">
        <v>3</v>
      </c>
      <c r="B123" s="87" t="s">
        <v>147</v>
      </c>
      <c r="H123" s="55"/>
      <c r="I123" s="55"/>
      <c r="J123" s="55"/>
      <c r="K123" s="55"/>
      <c r="L123" s="55"/>
      <c r="M123" s="55"/>
      <c r="N123" s="55"/>
      <c r="O123" s="55"/>
      <c r="Q123" s="5"/>
    </row>
    <row r="124" spans="1:22">
      <c r="A124" s="5">
        <v>3</v>
      </c>
      <c r="B124" s="87" t="s">
        <v>7</v>
      </c>
      <c r="H124" s="55"/>
      <c r="I124" s="55"/>
      <c r="J124" s="55"/>
      <c r="K124" s="55"/>
      <c r="L124" s="55"/>
      <c r="M124" s="55"/>
      <c r="N124" s="55"/>
      <c r="O124" s="55"/>
      <c r="Q124" s="5"/>
    </row>
    <row r="125" spans="1:22">
      <c r="H125" s="55"/>
      <c r="I125" s="55"/>
      <c r="J125" s="55"/>
      <c r="K125" s="55"/>
      <c r="L125" s="55"/>
      <c r="M125" s="55"/>
      <c r="N125" s="55"/>
      <c r="O125" s="55"/>
      <c r="Q125" s="5"/>
    </row>
    <row r="126" spans="1:22">
      <c r="H126" s="55"/>
      <c r="I126" s="55"/>
      <c r="J126" s="55"/>
      <c r="K126" s="55"/>
      <c r="L126" s="55"/>
      <c r="M126" s="55"/>
      <c r="N126" s="55"/>
      <c r="O126" s="55"/>
      <c r="Q126" s="5"/>
    </row>
    <row r="127" spans="1:22">
      <c r="H127" s="55"/>
      <c r="I127" s="55"/>
      <c r="J127" s="55"/>
      <c r="K127" s="55"/>
      <c r="L127" s="55"/>
      <c r="M127" s="55"/>
      <c r="N127" s="55"/>
      <c r="O127" s="55"/>
      <c r="Q127" s="5"/>
    </row>
    <row r="128" spans="1:22">
      <c r="H128" s="55"/>
      <c r="I128" s="55"/>
      <c r="J128" s="55"/>
      <c r="K128" s="55"/>
      <c r="L128" s="55"/>
      <c r="M128" s="55"/>
      <c r="N128" s="55"/>
      <c r="O128" s="55"/>
      <c r="Q128" s="5"/>
    </row>
    <row r="129" spans="8:17">
      <c r="H129" s="55"/>
      <c r="I129" s="55"/>
      <c r="J129" s="55"/>
      <c r="K129" s="55"/>
      <c r="L129" s="55"/>
      <c r="M129" s="55"/>
      <c r="N129" s="55"/>
      <c r="O129" s="55"/>
      <c r="Q129" s="5"/>
    </row>
    <row r="130" spans="8:17">
      <c r="H130" s="55"/>
      <c r="I130" s="55"/>
      <c r="J130" s="55"/>
      <c r="K130" s="55"/>
      <c r="L130" s="55"/>
      <c r="M130" s="55"/>
      <c r="N130" s="55"/>
      <c r="O130" s="55"/>
    </row>
    <row r="131" spans="8:17">
      <c r="H131" s="55"/>
      <c r="I131" s="55"/>
      <c r="J131" s="55"/>
      <c r="K131" s="55"/>
      <c r="L131" s="55"/>
      <c r="M131" s="55"/>
      <c r="N131" s="55"/>
      <c r="O131" s="55"/>
    </row>
    <row r="132" spans="8:17">
      <c r="H132" s="55"/>
      <c r="I132" s="55"/>
      <c r="J132" s="55"/>
      <c r="K132" s="55"/>
      <c r="L132" s="55"/>
      <c r="M132" s="55"/>
      <c r="N132" s="55"/>
      <c r="O132" s="55"/>
    </row>
    <row r="133" spans="8:17">
      <c r="H133" s="55"/>
      <c r="I133" s="55"/>
      <c r="J133" s="55"/>
      <c r="K133" s="55"/>
      <c r="L133" s="55"/>
      <c r="M133" s="55"/>
      <c r="N133" s="55"/>
      <c r="O133" s="55"/>
    </row>
    <row r="134" spans="8:17">
      <c r="H134" s="55"/>
      <c r="I134" s="55"/>
      <c r="J134" s="55"/>
      <c r="K134" s="55"/>
      <c r="L134" s="55"/>
      <c r="M134" s="55"/>
      <c r="N134" s="55"/>
      <c r="O134" s="55"/>
    </row>
    <row r="135" spans="8:17">
      <c r="H135" s="55"/>
      <c r="I135" s="55"/>
      <c r="J135" s="55"/>
      <c r="K135" s="55"/>
      <c r="L135" s="55"/>
      <c r="M135" s="55"/>
      <c r="N135" s="55"/>
      <c r="O135" s="55"/>
    </row>
    <row r="136" spans="8:17">
      <c r="H136" s="55"/>
      <c r="I136" s="55"/>
      <c r="J136" s="55"/>
      <c r="K136" s="55"/>
      <c r="L136" s="55"/>
      <c r="M136" s="55"/>
      <c r="N136" s="55"/>
      <c r="O136" s="55"/>
    </row>
    <row r="137" spans="8:17">
      <c r="H137" s="55"/>
      <c r="I137" s="55"/>
      <c r="J137" s="55"/>
      <c r="K137" s="55"/>
      <c r="L137" s="55"/>
      <c r="M137" s="55"/>
      <c r="N137" s="55"/>
      <c r="O137" s="55"/>
    </row>
  </sheetData>
  <sortState ref="A10:AH83">
    <sortCondition ref="N10:N83"/>
  </sortState>
  <phoneticPr fontId="20"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1:O60"/>
  <sheetViews>
    <sheetView workbookViewId="0">
      <selection activeCell="I2" sqref="I2"/>
    </sheetView>
  </sheetViews>
  <sheetFormatPr baseColWidth="10" defaultRowHeight="15"/>
  <cols>
    <col min="1" max="2" width="10.83203125" style="5"/>
    <col min="3" max="3" width="8.1640625" style="5" customWidth="1"/>
    <col min="4" max="5" width="10.83203125" style="5"/>
    <col min="6" max="6" width="13" style="5" customWidth="1"/>
    <col min="7" max="7" width="7.33203125" style="5" customWidth="1"/>
    <col min="8" max="10" width="10.83203125" style="5"/>
    <col min="11" max="11" width="9" style="5" customWidth="1"/>
    <col min="12" max="16384" width="10.83203125" style="5"/>
  </cols>
  <sheetData>
    <row r="1" spans="2:15" ht="18">
      <c r="C1" s="137" t="s">
        <v>720</v>
      </c>
    </row>
    <row r="2" spans="2:15">
      <c r="C2" s="5" t="s">
        <v>719</v>
      </c>
    </row>
    <row r="4" spans="2:15">
      <c r="C4" s="59" t="s">
        <v>640</v>
      </c>
      <c r="H4" s="59" t="s">
        <v>680</v>
      </c>
    </row>
    <row r="5" spans="2:15" ht="16" thickBot="1">
      <c r="C5" s="158"/>
      <c r="D5" s="81"/>
      <c r="E5" s="81"/>
      <c r="F5" s="81"/>
      <c r="G5" s="81"/>
      <c r="H5" s="81"/>
      <c r="I5" s="81"/>
      <c r="J5" s="170"/>
      <c r="K5" s="170"/>
      <c r="L5" s="7" t="s">
        <v>22</v>
      </c>
    </row>
    <row r="6" spans="2:15" ht="16" thickBot="1">
      <c r="B6" s="59" t="s">
        <v>218</v>
      </c>
      <c r="C6" s="158"/>
      <c r="D6" s="55" t="s">
        <v>618</v>
      </c>
      <c r="E6" s="347">
        <v>0.44064602508305006</v>
      </c>
      <c r="F6" s="95" t="s">
        <v>619</v>
      </c>
      <c r="G6" s="81"/>
      <c r="H6" s="5" t="s">
        <v>618</v>
      </c>
      <c r="I6" s="161">
        <v>0.40942704558230031</v>
      </c>
      <c r="J6" s="12" t="s">
        <v>619</v>
      </c>
      <c r="K6" s="170"/>
      <c r="L6" s="5" t="s">
        <v>14</v>
      </c>
      <c r="M6" s="431">
        <v>4.9767501516967938</v>
      </c>
    </row>
    <row r="7" spans="2:15">
      <c r="B7" s="59" t="s">
        <v>219</v>
      </c>
      <c r="C7" s="81"/>
      <c r="D7" s="55"/>
      <c r="E7" s="95" t="s">
        <v>620</v>
      </c>
      <c r="F7" s="95" t="s">
        <v>621</v>
      </c>
      <c r="G7" s="81"/>
      <c r="I7" s="12" t="s">
        <v>620</v>
      </c>
      <c r="J7" s="12" t="s">
        <v>621</v>
      </c>
      <c r="K7" s="170"/>
      <c r="L7" s="5" t="s">
        <v>15</v>
      </c>
      <c r="M7" s="431">
        <v>4.7313316576879147</v>
      </c>
    </row>
    <row r="8" spans="2:15">
      <c r="B8" s="59" t="s">
        <v>119</v>
      </c>
      <c r="C8" s="81"/>
      <c r="D8" s="55" t="s">
        <v>439</v>
      </c>
      <c r="E8" s="282">
        <v>8.4906599234281259</v>
      </c>
      <c r="F8" s="371">
        <v>2774.1746529454199</v>
      </c>
      <c r="G8" s="81"/>
      <c r="H8" s="5" t="s">
        <v>439</v>
      </c>
      <c r="I8" s="224">
        <v>7.5760088544015503</v>
      </c>
      <c r="J8" s="291">
        <v>2900.3856843774065</v>
      </c>
      <c r="K8" s="170"/>
    </row>
    <row r="9" spans="2:15">
      <c r="B9" s="5">
        <v>1774</v>
      </c>
      <c r="C9" s="81"/>
      <c r="D9" s="55" t="s">
        <v>440</v>
      </c>
      <c r="E9" s="282">
        <v>23.094916926891372</v>
      </c>
      <c r="F9" s="371">
        <v>1509.1720485394471</v>
      </c>
      <c r="G9" s="81"/>
      <c r="H9" s="5" t="s">
        <v>440</v>
      </c>
      <c r="I9" s="224">
        <v>22.722349717103796</v>
      </c>
      <c r="J9" s="306">
        <v>1739.7967479041229</v>
      </c>
      <c r="K9" s="170"/>
      <c r="L9" s="5" t="s">
        <v>24</v>
      </c>
    </row>
    <row r="10" spans="2:15">
      <c r="C10" s="81"/>
      <c r="D10" s="55" t="s">
        <v>190</v>
      </c>
      <c r="E10" s="282">
        <v>32.194153230096973</v>
      </c>
      <c r="F10" s="371">
        <v>1051.8876585497601</v>
      </c>
      <c r="G10" s="81"/>
      <c r="H10" s="5" t="s">
        <v>190</v>
      </c>
      <c r="I10" s="224">
        <v>31.13389325013928</v>
      </c>
      <c r="J10" s="307">
        <v>1191.9244026381086</v>
      </c>
      <c r="K10" s="170"/>
      <c r="L10" s="5" t="s">
        <v>23</v>
      </c>
      <c r="M10" s="432">
        <v>4.1992283157316308</v>
      </c>
    </row>
    <row r="11" spans="2:15">
      <c r="C11" s="81"/>
      <c r="D11" s="55" t="s">
        <v>5</v>
      </c>
      <c r="E11" s="282">
        <v>47.783944129301716</v>
      </c>
      <c r="F11" s="371">
        <v>780.62840707757039</v>
      </c>
      <c r="G11" s="81"/>
      <c r="H11" s="5" t="s">
        <v>5</v>
      </c>
      <c r="I11" s="224">
        <v>45.321411211561603</v>
      </c>
      <c r="J11" s="308">
        <v>867.53840181575947</v>
      </c>
      <c r="K11" s="170"/>
      <c r="L11" s="5" t="s">
        <v>25</v>
      </c>
      <c r="M11" s="432">
        <v>4.0549647669934163</v>
      </c>
    </row>
    <row r="12" spans="2:15">
      <c r="C12" s="81"/>
      <c r="D12" s="55" t="s">
        <v>264</v>
      </c>
      <c r="E12" s="282">
        <v>39.633194532482506</v>
      </c>
      <c r="F12" s="371">
        <v>323.73633109447582</v>
      </c>
      <c r="G12" s="81"/>
      <c r="H12" s="5" t="s">
        <v>264</v>
      </c>
      <c r="I12" s="224">
        <v>39.717851519020392</v>
      </c>
      <c r="J12" s="311">
        <v>380.13778156114068</v>
      </c>
      <c r="K12" s="170"/>
    </row>
    <row r="13" spans="2:15">
      <c r="C13" s="81"/>
      <c r="D13" s="55" t="s">
        <v>265</v>
      </c>
      <c r="E13" s="282">
        <v>12.582861338215782</v>
      </c>
      <c r="F13" s="371">
        <v>102.78074761210426</v>
      </c>
      <c r="G13" s="81"/>
      <c r="H13" s="5" t="s">
        <v>265</v>
      </c>
      <c r="I13" s="224">
        <v>14.960737269418006</v>
      </c>
      <c r="J13" s="310">
        <v>143.18854768345514</v>
      </c>
      <c r="K13" s="81"/>
    </row>
    <row r="14" spans="2:15">
      <c r="C14" s="81"/>
      <c r="D14" s="55"/>
      <c r="E14" s="282"/>
      <c r="F14" s="282"/>
      <c r="G14" s="81"/>
      <c r="I14" s="224"/>
      <c r="J14" s="291"/>
      <c r="K14" s="170"/>
    </row>
    <row r="15" spans="2:15">
      <c r="C15" s="81"/>
      <c r="D15" s="55" t="s">
        <v>594</v>
      </c>
      <c r="E15" s="371">
        <v>326.73251289814613</v>
      </c>
      <c r="F15" s="282"/>
      <c r="G15" s="81"/>
      <c r="H15" s="5" t="s">
        <v>594</v>
      </c>
      <c r="I15" s="304">
        <v>382.83821206099026</v>
      </c>
      <c r="K15" s="81"/>
      <c r="L15" s="7" t="s">
        <v>31</v>
      </c>
    </row>
    <row r="16" spans="2:15">
      <c r="C16" s="81"/>
      <c r="D16" s="55" t="s">
        <v>592</v>
      </c>
      <c r="E16" s="371">
        <v>279.04871997351364</v>
      </c>
      <c r="F16" s="282"/>
      <c r="G16" s="81"/>
      <c r="H16" s="5" t="s">
        <v>592</v>
      </c>
      <c r="I16" s="305">
        <v>334.40062983506613</v>
      </c>
      <c r="K16" s="81"/>
      <c r="L16" s="13" t="s">
        <v>26</v>
      </c>
      <c r="M16" s="13" t="s">
        <v>27</v>
      </c>
      <c r="N16" s="13" t="s">
        <v>123</v>
      </c>
      <c r="O16" s="13" t="s">
        <v>28</v>
      </c>
    </row>
    <row r="17" spans="2:15">
      <c r="C17" s="81"/>
      <c r="D17" s="81"/>
      <c r="E17" s="81"/>
      <c r="F17" s="81"/>
      <c r="G17" s="81"/>
      <c r="H17" s="81"/>
      <c r="I17" s="81"/>
      <c r="J17" s="171"/>
      <c r="K17" s="81"/>
      <c r="L17" s="5">
        <v>50.08</v>
      </c>
      <c r="M17" s="5">
        <v>59.79</v>
      </c>
      <c r="N17" s="5">
        <v>85.62</v>
      </c>
      <c r="O17" s="5" t="s">
        <v>29</v>
      </c>
    </row>
    <row r="18" spans="2:15">
      <c r="L18" s="5">
        <v>11.28</v>
      </c>
      <c r="M18" s="5">
        <v>13.47</v>
      </c>
      <c r="N18" s="5">
        <v>19.28</v>
      </c>
      <c r="O18" s="5" t="s">
        <v>30</v>
      </c>
    </row>
    <row r="19" spans="2:15" ht="16" thickBot="1">
      <c r="C19" s="158"/>
      <c r="D19" s="81"/>
      <c r="E19" s="81"/>
      <c r="F19" s="81"/>
      <c r="G19" s="81"/>
    </row>
    <row r="20" spans="2:15" ht="16" thickBot="1">
      <c r="B20" s="59" t="s">
        <v>405</v>
      </c>
      <c r="C20" s="158"/>
      <c r="D20" s="5" t="s">
        <v>618</v>
      </c>
      <c r="E20" s="161">
        <v>0.36694986528377993</v>
      </c>
      <c r="F20" s="12" t="s">
        <v>619</v>
      </c>
      <c r="G20" s="81"/>
      <c r="L20" s="5" t="s">
        <v>32</v>
      </c>
    </row>
    <row r="21" spans="2:15">
      <c r="B21" s="59" t="s">
        <v>372</v>
      </c>
      <c r="C21" s="81"/>
      <c r="E21" s="12" t="s">
        <v>620</v>
      </c>
      <c r="F21" s="12" t="s">
        <v>621</v>
      </c>
      <c r="G21" s="81"/>
      <c r="L21" s="5">
        <v>1759</v>
      </c>
      <c r="M21" s="433">
        <v>10.34</v>
      </c>
    </row>
    <row r="22" spans="2:15">
      <c r="B22" s="59">
        <v>1774</v>
      </c>
      <c r="C22" s="81"/>
      <c r="D22" s="5" t="s">
        <v>439</v>
      </c>
      <c r="E22" s="224">
        <v>4.0694958809207122</v>
      </c>
      <c r="F22" s="291">
        <v>1039.045514283059</v>
      </c>
      <c r="G22" s="81"/>
      <c r="L22" s="5">
        <v>1801</v>
      </c>
      <c r="M22" s="433">
        <v>22.33</v>
      </c>
    </row>
    <row r="23" spans="2:15">
      <c r="C23" s="81"/>
      <c r="D23" s="5" t="s">
        <v>440</v>
      </c>
      <c r="E23" s="224">
        <v>12.0278350878963</v>
      </c>
      <c r="F23" s="291">
        <v>614.20227272904458</v>
      </c>
      <c r="G23" s="81"/>
    </row>
    <row r="24" spans="2:15">
      <c r="C24" s="81"/>
      <c r="D24" s="5" t="s">
        <v>190</v>
      </c>
      <c r="E24" s="224">
        <v>20.814280856772143</v>
      </c>
      <c r="F24" s="291">
        <v>531.44138217836462</v>
      </c>
      <c r="G24" s="81"/>
    </row>
    <row r="25" spans="2:15">
      <c r="C25" s="81"/>
      <c r="D25" s="5" t="s">
        <v>5</v>
      </c>
      <c r="E25" s="224">
        <v>36.255787967249816</v>
      </c>
      <c r="F25" s="291">
        <v>462.85111174071602</v>
      </c>
      <c r="G25" s="81"/>
    </row>
    <row r="26" spans="2:15">
      <c r="C26" s="81"/>
      <c r="D26" s="5" t="s">
        <v>264</v>
      </c>
      <c r="E26" s="224">
        <v>52.520063113642912</v>
      </c>
      <c r="F26" s="291">
        <v>335.2426048883658</v>
      </c>
      <c r="G26" s="81"/>
    </row>
    <row r="27" spans="2:15">
      <c r="C27" s="81"/>
      <c r="D27" s="5" t="s">
        <v>265</v>
      </c>
      <c r="E27" s="224">
        <v>11.224148919107273</v>
      </c>
      <c r="F27" s="291">
        <v>71.645247515306366</v>
      </c>
      <c r="G27" s="81"/>
    </row>
    <row r="28" spans="2:15">
      <c r="C28" s="81"/>
      <c r="E28" s="224"/>
      <c r="F28" s="224"/>
      <c r="G28" s="81"/>
    </row>
    <row r="29" spans="2:15">
      <c r="C29" s="81"/>
      <c r="D29" s="5" t="s">
        <v>594</v>
      </c>
      <c r="E29" s="224">
        <v>255.32536330961207</v>
      </c>
      <c r="G29" s="81"/>
    </row>
    <row r="30" spans="2:15">
      <c r="C30" s="81"/>
      <c r="D30" s="5" t="s">
        <v>592</v>
      </c>
      <c r="E30" s="224">
        <v>309.20779839088385</v>
      </c>
      <c r="G30" s="81"/>
    </row>
    <row r="31" spans="2:15">
      <c r="C31" s="81"/>
      <c r="D31" s="81"/>
      <c r="E31" s="81"/>
      <c r="F31" s="81"/>
      <c r="G31" s="81"/>
    </row>
    <row r="32" spans="2:15">
      <c r="C32" s="223" t="s">
        <v>717</v>
      </c>
      <c r="E32" s="291"/>
    </row>
    <row r="34" spans="2:11" ht="16" thickBot="1">
      <c r="C34" s="158"/>
      <c r="D34" s="81"/>
      <c r="E34" s="81"/>
      <c r="F34" s="81"/>
      <c r="G34" s="81"/>
    </row>
    <row r="35" spans="2:11" ht="16" thickBot="1">
      <c r="B35" s="59" t="s">
        <v>120</v>
      </c>
      <c r="C35" s="158"/>
      <c r="D35" s="5" t="s">
        <v>618</v>
      </c>
      <c r="E35" s="161">
        <v>0.37631140175117367</v>
      </c>
      <c r="F35" s="12" t="s">
        <v>619</v>
      </c>
      <c r="G35" s="81"/>
    </row>
    <row r="36" spans="2:11">
      <c r="B36" s="59" t="s">
        <v>314</v>
      </c>
      <c r="C36" s="81"/>
      <c r="E36" s="12" t="s">
        <v>620</v>
      </c>
      <c r="F36" s="12" t="s">
        <v>621</v>
      </c>
      <c r="G36" s="81"/>
    </row>
    <row r="37" spans="2:11">
      <c r="B37" s="59" t="s">
        <v>37</v>
      </c>
      <c r="C37" s="81"/>
      <c r="D37" s="5" t="s">
        <v>439</v>
      </c>
      <c r="E37" s="224">
        <v>6.7129269384045074</v>
      </c>
      <c r="F37" s="291">
        <v>1862.0623572190407</v>
      </c>
      <c r="G37" s="81"/>
    </row>
    <row r="38" spans="2:11">
      <c r="B38" s="59">
        <v>1774</v>
      </c>
      <c r="C38" s="81"/>
      <c r="D38" s="5" t="s">
        <v>440</v>
      </c>
      <c r="E38" s="224">
        <v>20.852491615945596</v>
      </c>
      <c r="F38" s="291">
        <v>1156.8318871501313</v>
      </c>
      <c r="G38" s="81"/>
    </row>
    <row r="39" spans="2:11">
      <c r="C39" s="81"/>
      <c r="D39" s="5" t="s">
        <v>190</v>
      </c>
      <c r="E39" s="224">
        <v>28.811495930797378</v>
      </c>
      <c r="F39" s="291">
        <v>799.18644311444416</v>
      </c>
      <c r="G39" s="81"/>
    </row>
    <row r="40" spans="2:11">
      <c r="C40" s="81"/>
      <c r="D40" s="5" t="s">
        <v>5</v>
      </c>
      <c r="E40" s="224">
        <v>43.295050492966503</v>
      </c>
      <c r="F40" s="291">
        <v>600.46894980812863</v>
      </c>
      <c r="G40" s="81"/>
    </row>
    <row r="41" spans="2:11">
      <c r="C41" s="81"/>
      <c r="D41" s="5" t="s">
        <v>264</v>
      </c>
      <c r="E41" s="224">
        <v>40.46806293355499</v>
      </c>
      <c r="F41" s="295">
        <v>280.63040663768959</v>
      </c>
      <c r="G41" s="81"/>
    </row>
    <row r="42" spans="2:11">
      <c r="C42" s="81"/>
      <c r="D42" s="5" t="s">
        <v>265</v>
      </c>
      <c r="E42" s="224">
        <v>16.236886573478511</v>
      </c>
      <c r="F42" s="291">
        <v>112.59654530850165</v>
      </c>
      <c r="G42" s="81"/>
    </row>
    <row r="43" spans="2:11">
      <c r="C43" s="81"/>
      <c r="E43" s="224"/>
      <c r="F43" s="224"/>
      <c r="G43" s="81"/>
    </row>
    <row r="44" spans="2:11">
      <c r="C44" s="81"/>
      <c r="D44" s="5" t="s">
        <v>594</v>
      </c>
      <c r="E44" s="291">
        <v>277.38457074010222</v>
      </c>
      <c r="F44" s="224"/>
      <c r="G44" s="81"/>
    </row>
    <row r="45" spans="2:11">
      <c r="C45" s="81"/>
      <c r="D45" s="5" t="s">
        <v>592</v>
      </c>
      <c r="E45" s="291">
        <v>232.49624918961217</v>
      </c>
      <c r="F45" s="224"/>
      <c r="G45" s="81"/>
    </row>
    <row r="46" spans="2:11">
      <c r="C46" s="81"/>
      <c r="D46" s="81"/>
      <c r="E46" s="81"/>
      <c r="F46" s="81"/>
      <c r="G46" s="81"/>
    </row>
    <row r="48" spans="2:11" ht="16" thickBot="1">
      <c r="C48" s="158"/>
      <c r="D48" s="81"/>
      <c r="E48" s="81"/>
      <c r="F48" s="81"/>
      <c r="G48" s="81"/>
      <c r="H48" s="81"/>
      <c r="I48" s="81"/>
      <c r="J48" s="170"/>
      <c r="K48" s="170"/>
    </row>
    <row r="49" spans="2:11" ht="16" thickBot="1">
      <c r="B49" s="59" t="s">
        <v>86</v>
      </c>
      <c r="C49" s="158"/>
      <c r="D49" s="5" t="s">
        <v>618</v>
      </c>
      <c r="E49" s="161">
        <v>0.463729647176157</v>
      </c>
      <c r="F49" s="12" t="s">
        <v>619</v>
      </c>
      <c r="G49" s="81"/>
      <c r="H49" s="5" t="s">
        <v>618</v>
      </c>
      <c r="I49" s="161">
        <v>0.34096926954890938</v>
      </c>
      <c r="J49" s="12" t="s">
        <v>619</v>
      </c>
      <c r="K49" s="170"/>
    </row>
    <row r="50" spans="2:11">
      <c r="B50" s="59" t="s">
        <v>328</v>
      </c>
      <c r="C50" s="81"/>
      <c r="E50" s="12" t="s">
        <v>620</v>
      </c>
      <c r="F50" s="12" t="s">
        <v>621</v>
      </c>
      <c r="G50" s="81"/>
      <c r="I50" s="12" t="s">
        <v>620</v>
      </c>
      <c r="J50" s="12" t="s">
        <v>621</v>
      </c>
      <c r="K50" s="170"/>
    </row>
    <row r="51" spans="2:11">
      <c r="B51" s="59">
        <v>1774</v>
      </c>
      <c r="C51" s="81"/>
      <c r="D51" s="5" t="s">
        <v>439</v>
      </c>
      <c r="E51" s="327">
        <v>8.2639253617429915</v>
      </c>
      <c r="F51" s="280">
        <v>3243.4298803745137</v>
      </c>
      <c r="G51" s="81"/>
      <c r="H51" s="5" t="s">
        <v>439</v>
      </c>
      <c r="I51" s="327">
        <v>6.6561719930891883</v>
      </c>
      <c r="J51" s="333">
        <v>3909.6349419736293</v>
      </c>
      <c r="K51" s="170"/>
    </row>
    <row r="52" spans="2:11">
      <c r="C52" s="81"/>
      <c r="D52" s="5" t="s">
        <v>440</v>
      </c>
      <c r="E52" s="327">
        <v>26.608231185862124</v>
      </c>
      <c r="F52" s="333">
        <v>2088.6425836241201</v>
      </c>
      <c r="G52" s="81"/>
      <c r="H52" s="5" t="s">
        <v>440</v>
      </c>
      <c r="I52" s="327">
        <v>22.429870393087342</v>
      </c>
      <c r="J52" s="333">
        <v>2634.9260543087566</v>
      </c>
      <c r="K52" s="170"/>
    </row>
    <row r="53" spans="2:11">
      <c r="C53" s="81"/>
      <c r="D53" s="5" t="s">
        <v>190</v>
      </c>
      <c r="E53" s="282">
        <v>35.174347671029807</v>
      </c>
      <c r="F53" s="295">
        <v>1380.5246933503081</v>
      </c>
      <c r="G53" s="81"/>
      <c r="H53" s="5" t="s">
        <v>190</v>
      </c>
      <c r="I53" s="327">
        <v>32.165879151639047</v>
      </c>
      <c r="J53" s="333">
        <v>1889.3268563540469</v>
      </c>
      <c r="K53" s="170"/>
    </row>
    <row r="54" spans="2:11">
      <c r="C54" s="81"/>
      <c r="D54" s="5" t="s">
        <v>5</v>
      </c>
      <c r="E54" s="327">
        <v>49.710466847223422</v>
      </c>
      <c r="F54" s="333">
        <v>975.51954114966838</v>
      </c>
      <c r="G54" s="81"/>
      <c r="H54" s="5" t="s">
        <v>5</v>
      </c>
      <c r="I54" s="327">
        <v>43.613636799162471</v>
      </c>
      <c r="J54" s="327">
        <v>1280.8668297152706</v>
      </c>
      <c r="K54" s="170"/>
    </row>
    <row r="55" spans="2:11">
      <c r="C55" s="81"/>
      <c r="D55" s="5" t="s">
        <v>264</v>
      </c>
      <c r="E55" s="327">
        <v>38.316781145469847</v>
      </c>
      <c r="F55" s="333">
        <v>375.96477293442319</v>
      </c>
      <c r="G55" s="81">
        <f>((E58/0.4)-(F54*E54/100)-(F56*E56/100))</f>
        <v>518.34836859911752</v>
      </c>
      <c r="H55" s="5" t="s">
        <v>264</v>
      </c>
      <c r="I55" s="327">
        <v>35.030660841587078</v>
      </c>
      <c r="J55" s="327">
        <v>637.95958698338347</v>
      </c>
      <c r="K55" s="170"/>
    </row>
    <row r="56" spans="2:11">
      <c r="C56" s="81"/>
      <c r="D56" s="5" t="s">
        <v>265</v>
      </c>
      <c r="E56" s="327">
        <v>11.972752007306731</v>
      </c>
      <c r="F56" s="333">
        <v>117.47680403366606</v>
      </c>
      <c r="G56" s="81"/>
      <c r="H56" s="5" t="s">
        <v>265</v>
      </c>
      <c r="I56" s="327">
        <v>21.355702359250454</v>
      </c>
      <c r="J56" s="327">
        <v>190.03169708235583</v>
      </c>
      <c r="K56" s="81"/>
    </row>
    <row r="57" spans="2:11">
      <c r="C57" s="81"/>
      <c r="E57" s="327"/>
      <c r="F57" s="327"/>
      <c r="G57" s="81"/>
      <c r="I57" s="327"/>
      <c r="J57" s="333"/>
      <c r="K57" s="170"/>
    </row>
    <row r="58" spans="2:11">
      <c r="C58" s="81"/>
      <c r="D58" s="5" t="s">
        <v>594</v>
      </c>
      <c r="E58" s="333">
        <v>392.48053901716941</v>
      </c>
      <c r="F58" s="327"/>
      <c r="G58" s="81"/>
      <c r="H58" s="5" t="s">
        <v>594</v>
      </c>
      <c r="I58" s="333">
        <v>587.36987956934991</v>
      </c>
      <c r="K58" s="81"/>
    </row>
    <row r="59" spans="2:11">
      <c r="C59" s="81"/>
      <c r="D59" s="5" t="s">
        <v>592</v>
      </c>
      <c r="E59" s="333">
        <v>321.22198541380249</v>
      </c>
      <c r="F59" s="327"/>
      <c r="G59" s="81"/>
      <c r="H59" s="5" t="s">
        <v>592</v>
      </c>
      <c r="I59" s="333">
        <v>508</v>
      </c>
      <c r="K59" s="81"/>
    </row>
    <row r="60" spans="2:11">
      <c r="C60" s="81"/>
      <c r="D60" s="81"/>
      <c r="E60" s="81"/>
      <c r="F60" s="81"/>
      <c r="G60" s="81"/>
      <c r="H60" s="81"/>
      <c r="I60" s="81"/>
      <c r="J60" s="171"/>
      <c r="K60" s="81"/>
    </row>
  </sheetData>
  <phoneticPr fontId="20"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Sources &amp; notes</vt:lpstr>
      <vt:lpstr>(1) Household LF size hints</vt:lpstr>
      <vt:lpstr>(2) Homes for non-HH earners</vt:lpstr>
      <vt:lpstr>(3) household income summary</vt:lpstr>
      <vt:lpstr>(4) New Eng size dist</vt:lpstr>
      <vt:lpstr>(5) Mid Cols size dist</vt:lpstr>
      <vt:lpstr>(6) South size dist</vt:lpstr>
      <vt:lpstr>(7) All 13, size dist</vt:lpstr>
      <vt:lpstr>(8) inequality summary</vt:lpstr>
    </vt:vector>
  </TitlesOfParts>
  <Company>Harvard University</Company>
  <LinksUpToDate>false</LinksUpToDate>
  <SharedDoc>false</SharedDoc>
  <HyperlinksChanged>false</HyperlinksChanged>
  <AppVersion>12.0256</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Williamson</dc:creator>
  <cp:lastModifiedBy>Peter Lindert</cp:lastModifiedBy>
  <cp:lastPrinted>2010-08-11T11:52:29Z</cp:lastPrinted>
  <dcterms:created xsi:type="dcterms:W3CDTF">2010-07-19T11:17:19Z</dcterms:created>
  <dcterms:modified xsi:type="dcterms:W3CDTF">2015-05-20T17:59:58Z</dcterms:modified>
</cp:coreProperties>
</file>