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515"/>
  <workbookPr showInkAnnotation="0" codeName="ThisWorkbook" autoCompressPictures="0"/>
  <bookViews>
    <workbookView xWindow="400" yWindow="0" windowWidth="21920" windowHeight="16240" tabRatio="882" firstSheet="1" activeTab="1"/>
  </bookViews>
  <sheets>
    <sheet name="Sources &amp; notes" sheetId="14" r:id="rId1"/>
    <sheet name="(1) RESULTS by sub-region" sheetId="15" r:id="rId2"/>
    <sheet name="(2) Deriving own-lab earnings" sheetId="22"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B11" i="15" l="1"/>
  <c r="AB24" i="15"/>
  <c r="AB41" i="15"/>
  <c r="AF25" i="15"/>
  <c r="AK25" i="15"/>
  <c r="AF26" i="15"/>
  <c r="AK26" i="15"/>
  <c r="AF27" i="15"/>
  <c r="AK27" i="15"/>
  <c r="AF28" i="15"/>
  <c r="AK28" i="15"/>
  <c r="AF29" i="15"/>
  <c r="AK29" i="15"/>
  <c r="AF30" i="15"/>
  <c r="AK30" i="15"/>
  <c r="AF31" i="15"/>
  <c r="AK31" i="15"/>
  <c r="AF32" i="15"/>
  <c r="AK32" i="15"/>
  <c r="AF33" i="15"/>
  <c r="AK33" i="15"/>
  <c r="AK24" i="15"/>
  <c r="AK41" i="15"/>
  <c r="BD41" i="15"/>
  <c r="BH41" i="15"/>
  <c r="AB37" i="15"/>
  <c r="AB40" i="15"/>
  <c r="AK40" i="15"/>
  <c r="BD40" i="15"/>
  <c r="BH40" i="15"/>
  <c r="AR40" i="22"/>
  <c r="AR41" i="22"/>
  <c r="AP40" i="22"/>
  <c r="AP41" i="22"/>
  <c r="AH10" i="22"/>
  <c r="BL58" i="15"/>
  <c r="AE25" i="15"/>
  <c r="AJ25" i="15"/>
  <c r="AE26" i="15"/>
  <c r="AJ26" i="15"/>
  <c r="AE27" i="15"/>
  <c r="AJ27" i="15"/>
  <c r="AE28" i="15"/>
  <c r="AJ28" i="15"/>
  <c r="AE29" i="15"/>
  <c r="AJ29" i="15"/>
  <c r="AE30" i="15"/>
  <c r="AJ30" i="15"/>
  <c r="AE31" i="15"/>
  <c r="AJ31" i="15"/>
  <c r="AE32" i="15"/>
  <c r="AJ32" i="15"/>
  <c r="AE33" i="15"/>
  <c r="AJ33" i="15"/>
  <c r="AJ24" i="15"/>
  <c r="AJ41" i="15"/>
  <c r="AA24" i="15"/>
  <c r="AA41" i="15"/>
  <c r="BC41" i="15"/>
  <c r="BG41" i="15"/>
  <c r="BH48" i="15"/>
  <c r="BH53" i="15"/>
  <c r="BH58" i="15"/>
  <c r="BI58" i="15"/>
  <c r="BJ58" i="15"/>
  <c r="BL57" i="15"/>
  <c r="AA35" i="15"/>
  <c r="BC35" i="15"/>
  <c r="BG35" i="15"/>
  <c r="AA36" i="15"/>
  <c r="BC36" i="15"/>
  <c r="BG36" i="15"/>
  <c r="AA37" i="15"/>
  <c r="BC37" i="15"/>
  <c r="BG37" i="15"/>
  <c r="BH47" i="15"/>
  <c r="BD37" i="15"/>
  <c r="BH37" i="15"/>
  <c r="BH52" i="15"/>
  <c r="BH57" i="15"/>
  <c r="BI57" i="15"/>
  <c r="BJ57" i="15"/>
  <c r="BD11" i="15"/>
  <c r="BH11" i="15"/>
  <c r="BH50" i="15"/>
  <c r="BH55" i="15"/>
  <c r="BL55" i="15"/>
  <c r="BI55" i="15"/>
  <c r="AJ40" i="15"/>
  <c r="AA40" i="15"/>
  <c r="BC40" i="15"/>
  <c r="BG40" i="15"/>
  <c r="BH46" i="15"/>
  <c r="BD24" i="15"/>
  <c r="BH24" i="15"/>
  <c r="BH51" i="15"/>
  <c r="BH56" i="15"/>
  <c r="BL56" i="15"/>
  <c r="BI56" i="15"/>
  <c r="BM56" i="15"/>
  <c r="BJ56" i="15"/>
  <c r="BJ55" i="15"/>
  <c r="BI53" i="15"/>
  <c r="BJ53" i="15"/>
  <c r="BI52" i="15"/>
  <c r="BJ52" i="15"/>
  <c r="BI50" i="15"/>
  <c r="BI51" i="15"/>
  <c r="BM51" i="15"/>
  <c r="BJ51" i="15"/>
  <c r="BJ50" i="15"/>
  <c r="BI48" i="15"/>
  <c r="BJ48" i="15"/>
  <c r="BI47" i="15"/>
  <c r="BJ47" i="15"/>
  <c r="BI46" i="15"/>
  <c r="BJ46" i="15"/>
  <c r="AB12" i="15"/>
  <c r="BD12" i="15"/>
  <c r="BH12" i="15"/>
  <c r="BE12" i="15"/>
  <c r="BI12" i="15"/>
  <c r="AB13" i="15"/>
  <c r="BD13" i="15"/>
  <c r="BH13" i="15"/>
  <c r="AC13" i="15"/>
  <c r="BE13" i="15"/>
  <c r="BI13" i="15"/>
  <c r="AB14" i="15"/>
  <c r="BD14" i="15"/>
  <c r="BH14" i="15"/>
  <c r="AC14" i="15"/>
  <c r="BE14" i="15"/>
  <c r="BI14" i="15"/>
  <c r="AB15" i="15"/>
  <c r="BD15" i="15"/>
  <c r="BH15" i="15"/>
  <c r="AC15" i="15"/>
  <c r="BE15" i="15"/>
  <c r="BI15" i="15"/>
  <c r="AB16" i="15"/>
  <c r="BD16" i="15"/>
  <c r="BH16" i="15"/>
  <c r="AC16" i="15"/>
  <c r="BE16" i="15"/>
  <c r="BI16" i="15"/>
  <c r="AB17" i="15"/>
  <c r="BD17" i="15"/>
  <c r="BH17" i="15"/>
  <c r="AC17" i="15"/>
  <c r="BE17" i="15"/>
  <c r="BI17" i="15"/>
  <c r="AB18" i="15"/>
  <c r="BD18" i="15"/>
  <c r="BH18" i="15"/>
  <c r="AC18" i="15"/>
  <c r="BE18" i="15"/>
  <c r="BI18" i="15"/>
  <c r="AB19" i="15"/>
  <c r="BD19" i="15"/>
  <c r="BH19" i="15"/>
  <c r="AC19" i="15"/>
  <c r="BE19" i="15"/>
  <c r="BI19" i="15"/>
  <c r="AB20" i="15"/>
  <c r="BD20" i="15"/>
  <c r="BH20" i="15"/>
  <c r="AC20" i="15"/>
  <c r="BE20" i="15"/>
  <c r="BI20" i="15"/>
  <c r="BC24" i="15"/>
  <c r="BG24" i="15"/>
  <c r="AL24" i="15"/>
  <c r="AC24" i="15"/>
  <c r="BE24" i="15"/>
  <c r="BI24" i="15"/>
  <c r="AA25" i="15"/>
  <c r="BC25" i="15"/>
  <c r="BG25" i="15"/>
  <c r="AB25" i="15"/>
  <c r="BD25" i="15"/>
  <c r="BH25" i="15"/>
  <c r="BE25" i="15"/>
  <c r="BI25" i="15"/>
  <c r="AA26" i="15"/>
  <c r="BC26" i="15"/>
  <c r="BG26" i="15"/>
  <c r="AB26" i="15"/>
  <c r="BD26" i="15"/>
  <c r="BH26" i="15"/>
  <c r="BE26" i="15"/>
  <c r="BI26" i="15"/>
  <c r="AA27" i="15"/>
  <c r="BC27" i="15"/>
  <c r="BG27" i="15"/>
  <c r="AB27" i="15"/>
  <c r="BD27" i="15"/>
  <c r="BH27" i="15"/>
  <c r="BE27" i="15"/>
  <c r="BI27" i="15"/>
  <c r="AA28" i="15"/>
  <c r="BC28" i="15"/>
  <c r="BG28" i="15"/>
  <c r="AB28" i="15"/>
  <c r="BD28" i="15"/>
  <c r="BH28" i="15"/>
  <c r="BE28" i="15"/>
  <c r="BI28" i="15"/>
  <c r="AA29" i="15"/>
  <c r="BC29" i="15"/>
  <c r="BG29" i="15"/>
  <c r="AB29" i="15"/>
  <c r="BD29" i="15"/>
  <c r="BH29" i="15"/>
  <c r="BE29" i="15"/>
  <c r="BI29" i="15"/>
  <c r="AA30" i="15"/>
  <c r="BC30" i="15"/>
  <c r="BG30" i="15"/>
  <c r="AB30" i="15"/>
  <c r="BD30" i="15"/>
  <c r="BH30" i="15"/>
  <c r="BE30" i="15"/>
  <c r="BI30" i="15"/>
  <c r="AA31" i="15"/>
  <c r="BC31" i="15"/>
  <c r="BG31" i="15"/>
  <c r="AB31" i="15"/>
  <c r="BD31" i="15"/>
  <c r="BH31" i="15"/>
  <c r="BE31" i="15"/>
  <c r="BI31" i="15"/>
  <c r="AA32" i="15"/>
  <c r="BC32" i="15"/>
  <c r="BG32" i="15"/>
  <c r="AB32" i="15"/>
  <c r="BD32" i="15"/>
  <c r="BH32" i="15"/>
  <c r="BE32" i="15"/>
  <c r="BI32" i="15"/>
  <c r="AA33" i="15"/>
  <c r="BC33" i="15"/>
  <c r="BG33" i="15"/>
  <c r="AB33" i="15"/>
  <c r="BD33" i="15"/>
  <c r="BH33" i="15"/>
  <c r="BE33" i="15"/>
  <c r="BI33" i="15"/>
  <c r="AC35" i="15"/>
  <c r="BE35" i="15"/>
  <c r="BI35" i="15"/>
  <c r="AC36" i="15"/>
  <c r="BE36" i="15"/>
  <c r="BI36" i="15"/>
  <c r="AC37" i="15"/>
  <c r="BE37" i="15"/>
  <c r="BI37" i="15"/>
  <c r="AL41" i="15"/>
  <c r="AL40" i="15"/>
  <c r="AC11" i="15"/>
  <c r="AC12" i="15"/>
  <c r="AC41" i="15"/>
  <c r="AC40" i="15"/>
  <c r="BE40" i="15"/>
  <c r="BI40" i="15"/>
  <c r="BE41" i="15"/>
  <c r="BI41" i="15"/>
  <c r="BE11" i="15"/>
  <c r="BI11" i="15"/>
  <c r="AC25" i="15"/>
  <c r="AC26" i="15"/>
  <c r="AC27" i="15"/>
  <c r="AC28" i="15"/>
  <c r="AC29" i="15"/>
  <c r="AC30" i="15"/>
  <c r="AC31" i="15"/>
  <c r="AC32" i="15"/>
  <c r="AC33" i="15"/>
  <c r="AA22" i="15"/>
  <c r="V25" i="15"/>
  <c r="V26" i="15"/>
  <c r="V27" i="15"/>
  <c r="V28" i="15"/>
  <c r="V29" i="15"/>
  <c r="V30" i="15"/>
  <c r="V31" i="15"/>
  <c r="V32" i="15"/>
  <c r="V33" i="15"/>
  <c r="V35" i="15"/>
  <c r="V36" i="15"/>
  <c r="V37" i="15"/>
  <c r="V24" i="15"/>
  <c r="V41" i="15"/>
  <c r="V40" i="15"/>
  <c r="W12" i="15"/>
  <c r="W13" i="15"/>
  <c r="W14" i="15"/>
  <c r="W15" i="15"/>
  <c r="W16" i="15"/>
  <c r="W17" i="15"/>
  <c r="W18" i="15"/>
  <c r="W19" i="15"/>
  <c r="W20" i="15"/>
  <c r="W11" i="15"/>
  <c r="W25" i="15"/>
  <c r="W26" i="15"/>
  <c r="W27" i="15"/>
  <c r="W28" i="15"/>
  <c r="W29" i="15"/>
  <c r="W30" i="15"/>
  <c r="W31" i="15"/>
  <c r="W32" i="15"/>
  <c r="W33" i="15"/>
  <c r="W35" i="15"/>
  <c r="W36" i="15"/>
  <c r="W37" i="15"/>
  <c r="W24" i="15"/>
  <c r="V22" i="15"/>
  <c r="AL36" i="22"/>
  <c r="AK36" i="22"/>
  <c r="AL41" i="22"/>
  <c r="AK40" i="22"/>
  <c r="AL40" i="22"/>
  <c r="H24" i="22"/>
  <c r="L24" i="22"/>
  <c r="X24" i="22"/>
  <c r="AB24" i="22"/>
  <c r="H25" i="22"/>
  <c r="L25" i="22"/>
  <c r="X25" i="22"/>
  <c r="AB25" i="22"/>
  <c r="H26" i="22"/>
  <c r="L26" i="22"/>
  <c r="X26" i="22"/>
  <c r="AB26" i="22"/>
  <c r="H27" i="22"/>
  <c r="L27" i="22"/>
  <c r="X27" i="22"/>
  <c r="AB27" i="22"/>
  <c r="H28" i="22"/>
  <c r="L28" i="22"/>
  <c r="X28" i="22"/>
  <c r="AB28" i="22"/>
  <c r="H29" i="22"/>
  <c r="L29" i="22"/>
  <c r="X29" i="22"/>
  <c r="AB29" i="22"/>
  <c r="H30" i="22"/>
  <c r="L30" i="22"/>
  <c r="X30" i="22"/>
  <c r="AB30" i="22"/>
  <c r="H31" i="22"/>
  <c r="L31" i="22"/>
  <c r="X31" i="22"/>
  <c r="AB31" i="22"/>
  <c r="H32" i="22"/>
  <c r="L32" i="22"/>
  <c r="X32" i="22"/>
  <c r="AB32" i="22"/>
  <c r="X34" i="22"/>
  <c r="AB34" i="22"/>
  <c r="X35" i="22"/>
  <c r="AB35" i="22"/>
  <c r="H36" i="22"/>
  <c r="L36" i="22"/>
  <c r="X36" i="22"/>
  <c r="AB36" i="22"/>
  <c r="AB23" i="22"/>
  <c r="AG23" i="22"/>
  <c r="I24" i="22"/>
  <c r="M24" i="22"/>
  <c r="Y24" i="22"/>
  <c r="AC24" i="22"/>
  <c r="I25" i="22"/>
  <c r="M25" i="22"/>
  <c r="Y25" i="22"/>
  <c r="AC25" i="22"/>
  <c r="I26" i="22"/>
  <c r="M26" i="22"/>
  <c r="Y26" i="22"/>
  <c r="AC26" i="22"/>
  <c r="I27" i="22"/>
  <c r="M27" i="22"/>
  <c r="Y27" i="22"/>
  <c r="AC27" i="22"/>
  <c r="I28" i="22"/>
  <c r="M28" i="22"/>
  <c r="Y28" i="22"/>
  <c r="AC28" i="22"/>
  <c r="I29" i="22"/>
  <c r="M29" i="22"/>
  <c r="Y29" i="22"/>
  <c r="AC29" i="22"/>
  <c r="I30" i="22"/>
  <c r="M30" i="22"/>
  <c r="Y30" i="22"/>
  <c r="AC30" i="22"/>
  <c r="I31" i="22"/>
  <c r="M31" i="22"/>
  <c r="Y31" i="22"/>
  <c r="AC31" i="22"/>
  <c r="I32" i="22"/>
  <c r="M32" i="22"/>
  <c r="Y32" i="22"/>
  <c r="AC32" i="22"/>
  <c r="I36" i="22"/>
  <c r="M36" i="22"/>
  <c r="Y36" i="22"/>
  <c r="AC36" i="22"/>
  <c r="AC23" i="22"/>
  <c r="AH23" i="22"/>
  <c r="AI23" i="22"/>
  <c r="AK23" i="22"/>
  <c r="AK41" i="22"/>
  <c r="AK34" i="22"/>
  <c r="AK35" i="22"/>
  <c r="AP34" i="22"/>
  <c r="AQ34" i="22"/>
  <c r="AP35" i="22"/>
  <c r="AQ35" i="22"/>
  <c r="AP36" i="22"/>
  <c r="AQ36" i="22"/>
  <c r="AG24" i="22"/>
  <c r="AH24" i="22"/>
  <c r="AI24" i="22"/>
  <c r="AK24" i="22"/>
  <c r="AP24" i="22"/>
  <c r="AQ24" i="22"/>
  <c r="AG25" i="22"/>
  <c r="AH25" i="22"/>
  <c r="AI25" i="22"/>
  <c r="AK25" i="22"/>
  <c r="AP25" i="22"/>
  <c r="AQ25" i="22"/>
  <c r="AG26" i="22"/>
  <c r="AH26" i="22"/>
  <c r="AI26" i="22"/>
  <c r="AK26" i="22"/>
  <c r="AP26" i="22"/>
  <c r="AQ26" i="22"/>
  <c r="AG27" i="22"/>
  <c r="AH27" i="22"/>
  <c r="AI27" i="22"/>
  <c r="AK27" i="22"/>
  <c r="AP27" i="22"/>
  <c r="AQ27" i="22"/>
  <c r="AG28" i="22"/>
  <c r="AH28" i="22"/>
  <c r="AI28" i="22"/>
  <c r="AK28" i="22"/>
  <c r="AP28" i="22"/>
  <c r="AQ28" i="22"/>
  <c r="AG29" i="22"/>
  <c r="AH29" i="22"/>
  <c r="AI29" i="22"/>
  <c r="AK29" i="22"/>
  <c r="AP29" i="22"/>
  <c r="AQ29" i="22"/>
  <c r="AG30" i="22"/>
  <c r="AH30" i="22"/>
  <c r="AI30" i="22"/>
  <c r="AK30" i="22"/>
  <c r="AP30" i="22"/>
  <c r="AQ30" i="22"/>
  <c r="AG31" i="22"/>
  <c r="AH31" i="22"/>
  <c r="AI31" i="22"/>
  <c r="AK31" i="22"/>
  <c r="AP31" i="22"/>
  <c r="AQ31" i="22"/>
  <c r="AG32" i="22"/>
  <c r="AH32" i="22"/>
  <c r="AI32" i="22"/>
  <c r="AK32" i="22"/>
  <c r="AP32" i="22"/>
  <c r="AQ32" i="22"/>
  <c r="AQ23" i="22"/>
  <c r="AP23" i="22"/>
  <c r="AQ40" i="22"/>
  <c r="AQ41" i="22"/>
  <c r="AQ11" i="22"/>
  <c r="AQ12" i="22"/>
  <c r="AQ13" i="22"/>
  <c r="AQ14" i="22"/>
  <c r="AQ15" i="22"/>
  <c r="AQ16" i="22"/>
  <c r="AQ17" i="22"/>
  <c r="AQ18" i="22"/>
  <c r="AQ19" i="22"/>
  <c r="AQ10" i="22"/>
  <c r="AL30" i="22"/>
  <c r="AL31" i="22"/>
  <c r="AL32" i="22"/>
  <c r="AL29" i="22"/>
  <c r="AL11" i="22"/>
  <c r="AL12" i="22"/>
  <c r="AL13" i="22"/>
  <c r="AL14" i="22"/>
  <c r="AL15" i="22"/>
  <c r="AL16" i="22"/>
  <c r="AL17" i="22"/>
  <c r="AL18" i="22"/>
  <c r="AL19" i="22"/>
  <c r="AL10" i="22"/>
  <c r="AL24" i="22"/>
  <c r="AL25" i="22"/>
  <c r="AL26" i="22"/>
  <c r="AL27" i="22"/>
  <c r="AL28" i="22"/>
  <c r="AG36" i="22"/>
  <c r="AH36" i="22"/>
  <c r="AI36" i="22"/>
  <c r="AB41" i="22"/>
  <c r="AB40" i="22"/>
  <c r="AG40" i="22"/>
  <c r="AC41" i="22"/>
  <c r="AC40" i="22"/>
  <c r="AH40" i="22"/>
  <c r="AI40" i="22"/>
  <c r="AG41" i="22"/>
  <c r="AH41" i="22"/>
  <c r="AI41" i="22"/>
  <c r="AL23" i="22"/>
  <c r="AG34" i="22"/>
  <c r="AI34" i="22"/>
  <c r="AG35" i="22"/>
  <c r="AI35" i="22"/>
  <c r="AH11" i="22"/>
  <c r="AI11" i="22"/>
  <c r="AH12" i="22"/>
  <c r="AI12" i="22"/>
  <c r="AH13" i="22"/>
  <c r="AI13" i="22"/>
  <c r="AH14" i="22"/>
  <c r="AI14" i="22"/>
  <c r="AH15" i="22"/>
  <c r="AI15" i="22"/>
  <c r="AH16" i="22"/>
  <c r="AI16" i="22"/>
  <c r="AH17" i="22"/>
  <c r="AI17" i="22"/>
  <c r="AH18" i="22"/>
  <c r="AI18" i="22"/>
  <c r="AH19" i="22"/>
  <c r="AI19" i="22"/>
  <c r="AI10" i="22"/>
  <c r="AT40" i="15"/>
  <c r="AY40" i="15"/>
  <c r="AY46" i="15"/>
  <c r="AU24" i="15"/>
  <c r="AZ24" i="15"/>
  <c r="AU37" i="15"/>
  <c r="AZ37" i="15"/>
  <c r="AY51" i="15"/>
  <c r="AY56" i="15"/>
  <c r="BC56" i="15"/>
  <c r="AZ56" i="15"/>
  <c r="AU12" i="15"/>
  <c r="AU13" i="15"/>
  <c r="AU14" i="15"/>
  <c r="AU15" i="15"/>
  <c r="AU16" i="15"/>
  <c r="AU17" i="15"/>
  <c r="AU18" i="15"/>
  <c r="AU19" i="15"/>
  <c r="AU20" i="15"/>
  <c r="AU11" i="15"/>
  <c r="AZ11" i="15"/>
  <c r="AY50" i="15"/>
  <c r="AY55" i="15"/>
  <c r="BC55" i="15"/>
  <c r="AZ55" i="15"/>
  <c r="BD56" i="15"/>
  <c r="BC58" i="15"/>
  <c r="X45" i="15"/>
  <c r="X44" i="15"/>
  <c r="W41" i="15"/>
  <c r="W45" i="15"/>
  <c r="W40" i="15"/>
  <c r="W44" i="15"/>
  <c r="V45" i="15"/>
  <c r="V44" i="15"/>
  <c r="AL45" i="15"/>
  <c r="AK45" i="15"/>
  <c r="AK44" i="15"/>
  <c r="AJ45" i="15"/>
  <c r="AL44" i="15"/>
  <c r="AJ44" i="15"/>
  <c r="AZ50" i="15"/>
  <c r="AZ51" i="15"/>
  <c r="BD51" i="15"/>
  <c r="AF41" i="22"/>
  <c r="AF40" i="22"/>
  <c r="AT41" i="15"/>
  <c r="AY41" i="15"/>
  <c r="AY48" i="15"/>
  <c r="AU41" i="15"/>
  <c r="AZ41" i="15"/>
  <c r="AY53" i="15"/>
  <c r="AY58" i="15"/>
  <c r="AZ58" i="15"/>
  <c r="BA58" i="15"/>
  <c r="AT35" i="15"/>
  <c r="AY35" i="15"/>
  <c r="AT36" i="15"/>
  <c r="AY36" i="15"/>
  <c r="AT37" i="15"/>
  <c r="AY37" i="15"/>
  <c r="AY47" i="15"/>
  <c r="AY52" i="15"/>
  <c r="AY57" i="15"/>
  <c r="BC57" i="15"/>
  <c r="AZ57" i="15"/>
  <c r="BA57" i="15"/>
  <c r="BA56" i="15"/>
  <c r="BA55" i="15"/>
  <c r="AZ53" i="15"/>
  <c r="BA53" i="15"/>
  <c r="AZ47" i="15"/>
  <c r="BA47" i="15"/>
  <c r="AZ48" i="15"/>
  <c r="BA48" i="15"/>
  <c r="BA50" i="15"/>
  <c r="BA51" i="15"/>
  <c r="AZ52" i="15"/>
  <c r="BA52" i="15"/>
  <c r="AZ46" i="15"/>
  <c r="BA46" i="15"/>
  <c r="H11" i="15"/>
  <c r="H41" i="15"/>
  <c r="AP41" i="15"/>
  <c r="AU40" i="15"/>
  <c r="H40" i="15"/>
  <c r="AP40" i="15"/>
  <c r="W39" i="15"/>
  <c r="AK39" i="15"/>
  <c r="AU39" i="15"/>
  <c r="H39" i="15"/>
  <c r="AP39" i="15"/>
  <c r="AP37" i="15"/>
  <c r="AU33" i="15"/>
  <c r="AP33" i="15"/>
  <c r="AU32" i="15"/>
  <c r="AP32" i="15"/>
  <c r="AU31" i="15"/>
  <c r="AP31" i="15"/>
  <c r="AU30" i="15"/>
  <c r="AP30" i="15"/>
  <c r="AU29" i="15"/>
  <c r="AP29" i="15"/>
  <c r="AU28" i="15"/>
  <c r="AP28" i="15"/>
  <c r="AU27" i="15"/>
  <c r="AP27" i="15"/>
  <c r="AU26" i="15"/>
  <c r="AP26" i="15"/>
  <c r="AU25" i="15"/>
  <c r="AP25" i="15"/>
  <c r="AP24" i="15"/>
  <c r="AP20" i="15"/>
  <c r="AP19" i="15"/>
  <c r="AP18" i="15"/>
  <c r="AP17" i="15"/>
  <c r="AP16" i="15"/>
  <c r="AP15" i="15"/>
  <c r="AP14" i="15"/>
  <c r="AP13" i="15"/>
  <c r="AP12" i="15"/>
  <c r="AP11" i="15"/>
  <c r="G41" i="15"/>
  <c r="AO41" i="15"/>
  <c r="G40" i="15"/>
  <c r="AO40" i="15"/>
  <c r="AJ39" i="15"/>
  <c r="AT39" i="15"/>
  <c r="G39" i="15"/>
  <c r="AO39" i="15"/>
  <c r="AO37" i="15"/>
  <c r="AO36" i="15"/>
  <c r="AO35" i="15"/>
  <c r="AT33" i="15"/>
  <c r="AO33" i="15"/>
  <c r="AT32" i="15"/>
  <c r="AO32" i="15"/>
  <c r="AT31" i="15"/>
  <c r="AO31" i="15"/>
  <c r="AT30" i="15"/>
  <c r="AO30" i="15"/>
  <c r="AT29" i="15"/>
  <c r="AO29" i="15"/>
  <c r="AT28" i="15"/>
  <c r="AO28" i="15"/>
  <c r="AT27" i="15"/>
  <c r="AO27" i="15"/>
  <c r="AT26" i="15"/>
  <c r="AO26" i="15"/>
  <c r="AT25" i="15"/>
  <c r="AO25" i="15"/>
  <c r="AT24" i="15"/>
  <c r="AO24" i="15"/>
  <c r="X39" i="15"/>
  <c r="I11" i="15"/>
  <c r="I24" i="15"/>
  <c r="I41" i="15"/>
  <c r="I40" i="15"/>
  <c r="I39" i="15"/>
  <c r="S39" i="15"/>
  <c r="R39" i="15"/>
  <c r="Q39" i="15"/>
  <c r="N39" i="15"/>
  <c r="M11" i="15"/>
  <c r="M24" i="15"/>
  <c r="M41" i="15"/>
  <c r="M40" i="15"/>
  <c r="M39" i="15"/>
  <c r="L24" i="15"/>
  <c r="L41" i="15"/>
  <c r="L40" i="15"/>
  <c r="L39" i="15"/>
  <c r="O39" i="15"/>
  <c r="AZ39" i="15"/>
  <c r="AY39" i="15"/>
  <c r="AV12" i="15"/>
  <c r="BA12" i="15"/>
  <c r="AV13" i="15"/>
  <c r="BA13" i="15"/>
  <c r="AV14" i="15"/>
  <c r="BA14" i="15"/>
  <c r="AV15" i="15"/>
  <c r="BA15" i="15"/>
  <c r="AV16" i="15"/>
  <c r="BA16" i="15"/>
  <c r="AV17" i="15"/>
  <c r="BA17" i="15"/>
  <c r="AV18" i="15"/>
  <c r="BA18" i="15"/>
  <c r="AV19" i="15"/>
  <c r="BA19" i="15"/>
  <c r="AV20" i="15"/>
  <c r="BA20" i="15"/>
  <c r="X24" i="15"/>
  <c r="AV24" i="15"/>
  <c r="BA24" i="15"/>
  <c r="AV25" i="15"/>
  <c r="BA25" i="15"/>
  <c r="AV26" i="15"/>
  <c r="BA26" i="15"/>
  <c r="AV27" i="15"/>
  <c r="BA27" i="15"/>
  <c r="AV28" i="15"/>
  <c r="BA28" i="15"/>
  <c r="AV29" i="15"/>
  <c r="BA29" i="15"/>
  <c r="AV30" i="15"/>
  <c r="BA30" i="15"/>
  <c r="AV31" i="15"/>
  <c r="BA31" i="15"/>
  <c r="AV32" i="15"/>
  <c r="BA32" i="15"/>
  <c r="AV33" i="15"/>
  <c r="BA33" i="15"/>
  <c r="AV35" i="15"/>
  <c r="BA35" i="15"/>
  <c r="AV36" i="15"/>
  <c r="BA36" i="15"/>
  <c r="AV37" i="15"/>
  <c r="BA37" i="15"/>
  <c r="AL39" i="15"/>
  <c r="AV39" i="15"/>
  <c r="BA39" i="15"/>
  <c r="AV40" i="15"/>
  <c r="BA40" i="15"/>
  <c r="AV41" i="15"/>
  <c r="BA41" i="15"/>
  <c r="AV11" i="15"/>
  <c r="BA11" i="15"/>
  <c r="AW12" i="15"/>
  <c r="AW13" i="15"/>
  <c r="AW14" i="15"/>
  <c r="AW15" i="15"/>
  <c r="AW16" i="15"/>
  <c r="AW17" i="15"/>
  <c r="AW18" i="15"/>
  <c r="AW19" i="15"/>
  <c r="AW20" i="15"/>
  <c r="AW24" i="15"/>
  <c r="AW25" i="15"/>
  <c r="AW26" i="15"/>
  <c r="AW27" i="15"/>
  <c r="AW28" i="15"/>
  <c r="AW29" i="15"/>
  <c r="AW30" i="15"/>
  <c r="AW31" i="15"/>
  <c r="AW32" i="15"/>
  <c r="AW33" i="15"/>
  <c r="AW35" i="15"/>
  <c r="AW36" i="15"/>
  <c r="AW37" i="15"/>
  <c r="AW40" i="15"/>
  <c r="AW41" i="15"/>
  <c r="AW11" i="15"/>
  <c r="AQ12" i="15"/>
  <c r="AQ13" i="15"/>
  <c r="AQ14" i="15"/>
  <c r="AQ15" i="15"/>
  <c r="AQ16" i="15"/>
  <c r="AQ17" i="15"/>
  <c r="AQ18" i="15"/>
  <c r="AQ19" i="15"/>
  <c r="AQ20" i="15"/>
  <c r="AQ24" i="15"/>
  <c r="AQ25" i="15"/>
  <c r="AQ26" i="15"/>
  <c r="AQ27" i="15"/>
  <c r="AQ28" i="15"/>
  <c r="AQ29" i="15"/>
  <c r="AQ30" i="15"/>
  <c r="AQ31" i="15"/>
  <c r="AQ32" i="15"/>
  <c r="AQ33" i="15"/>
  <c r="AQ35" i="15"/>
  <c r="AQ36" i="15"/>
  <c r="AQ37" i="15"/>
  <c r="AQ39" i="15"/>
  <c r="AQ40" i="15"/>
  <c r="AQ41" i="15"/>
  <c r="AQ11" i="15"/>
  <c r="T10" i="14"/>
  <c r="T17" i="14"/>
  <c r="T9" i="14"/>
  <c r="T16" i="14"/>
  <c r="T8" i="14"/>
  <c r="T15" i="14"/>
  <c r="T7" i="14"/>
  <c r="T14" i="14"/>
  <c r="T6" i="14"/>
  <c r="T13" i="14"/>
  <c r="R41" i="15"/>
  <c r="R40" i="15"/>
  <c r="R37" i="15"/>
  <c r="R33" i="15"/>
  <c r="R32" i="15"/>
  <c r="R31" i="15"/>
  <c r="R30" i="15"/>
  <c r="R29" i="15"/>
  <c r="R28" i="15"/>
  <c r="R27" i="15"/>
  <c r="R26" i="15"/>
  <c r="R25" i="15"/>
  <c r="R24" i="15"/>
  <c r="Q41" i="15"/>
  <c r="Q40" i="15"/>
  <c r="Q37" i="15"/>
  <c r="Q36" i="15"/>
  <c r="Q35" i="15"/>
  <c r="Q33" i="15"/>
  <c r="Q32" i="15"/>
  <c r="Q31" i="15"/>
  <c r="Q30" i="15"/>
  <c r="Q29" i="15"/>
  <c r="Q28" i="15"/>
  <c r="Q27" i="15"/>
  <c r="Q26" i="15"/>
  <c r="Q25" i="15"/>
  <c r="Q24" i="15"/>
  <c r="AF24" i="15"/>
  <c r="AE24" i="15"/>
  <c r="AF41" i="15"/>
  <c r="AF40" i="15"/>
  <c r="AF39" i="15"/>
  <c r="AE41" i="15"/>
  <c r="AE40" i="15"/>
  <c r="AE39" i="15"/>
  <c r="AG30" i="15"/>
  <c r="AM40" i="15"/>
  <c r="AM41" i="15"/>
  <c r="AM39" i="15"/>
  <c r="AG11" i="15"/>
  <c r="AG39" i="15"/>
  <c r="AG40" i="15"/>
  <c r="AG41" i="15"/>
  <c r="J39" i="15"/>
  <c r="Y41" i="15"/>
  <c r="Y40" i="15"/>
  <c r="Y37" i="15"/>
  <c r="Y36" i="15"/>
  <c r="Y35" i="15"/>
  <c r="Y33" i="15"/>
  <c r="Y32" i="15"/>
  <c r="Y31" i="15"/>
  <c r="Y30" i="15"/>
  <c r="Y29" i="15"/>
  <c r="Y28" i="15"/>
  <c r="Y27" i="15"/>
  <c r="Y26" i="15"/>
  <c r="Y25" i="15"/>
  <c r="Y24" i="15"/>
  <c r="Y20" i="15"/>
  <c r="Y19" i="15"/>
  <c r="Y18" i="15"/>
  <c r="Y17" i="15"/>
  <c r="Y16" i="15"/>
  <c r="Y15" i="15"/>
  <c r="Y14" i="15"/>
  <c r="Y13" i="15"/>
  <c r="Y12" i="15"/>
  <c r="X11" i="15"/>
  <c r="Y11" i="15"/>
  <c r="R11" i="15"/>
  <c r="S11" i="15"/>
  <c r="N11" i="15"/>
  <c r="O41" i="15"/>
  <c r="O40" i="15"/>
  <c r="O19" i="15"/>
  <c r="O20" i="15"/>
  <c r="O18" i="15"/>
  <c r="O17" i="15"/>
  <c r="O16" i="15"/>
  <c r="O15" i="15"/>
  <c r="O14" i="15"/>
  <c r="O13" i="15"/>
  <c r="O12" i="15"/>
  <c r="O11" i="15"/>
  <c r="O37" i="15"/>
  <c r="O36" i="15"/>
  <c r="O35" i="15"/>
  <c r="O34" i="15"/>
  <c r="O33" i="15"/>
  <c r="O32" i="15"/>
  <c r="O31" i="15"/>
  <c r="O30" i="15"/>
  <c r="O29" i="15"/>
  <c r="O28" i="15"/>
  <c r="O27" i="15"/>
  <c r="O26" i="15"/>
  <c r="O25" i="15"/>
  <c r="N24" i="15"/>
  <c r="O24" i="15"/>
  <c r="J20" i="15"/>
  <c r="J19" i="15"/>
  <c r="J18" i="15"/>
  <c r="J17" i="15"/>
  <c r="J16" i="15"/>
  <c r="J15" i="15"/>
  <c r="J14" i="15"/>
  <c r="J13" i="15"/>
  <c r="J12" i="15"/>
  <c r="J11" i="15"/>
  <c r="J41" i="15"/>
  <c r="J40" i="15"/>
  <c r="J25" i="15"/>
  <c r="J26" i="15"/>
  <c r="J27" i="15"/>
  <c r="J28" i="15"/>
  <c r="J29" i="15"/>
  <c r="J30" i="15"/>
  <c r="J31" i="15"/>
  <c r="J32" i="15"/>
  <c r="J33" i="15"/>
  <c r="J34" i="15"/>
  <c r="J35" i="15"/>
  <c r="J36" i="15"/>
  <c r="J37" i="15"/>
  <c r="J24" i="15"/>
  <c r="AG29" i="15"/>
  <c r="S29" i="15"/>
  <c r="AD23" i="22"/>
  <c r="AF23" i="22"/>
  <c r="AF34" i="22"/>
  <c r="AF35" i="22"/>
  <c r="AF36" i="22"/>
  <c r="AF25" i="22"/>
  <c r="AF26" i="22"/>
  <c r="AF27" i="22"/>
  <c r="AF28" i="22"/>
  <c r="AF29" i="22"/>
  <c r="AF30" i="22"/>
  <c r="AF31" i="22"/>
  <c r="AF32" i="22"/>
  <c r="AF24" i="22"/>
  <c r="R46" i="22"/>
  <c r="R47" i="22"/>
  <c r="R48" i="22"/>
  <c r="R49" i="22"/>
  <c r="R50" i="22"/>
  <c r="R51" i="22"/>
  <c r="R53" i="22"/>
  <c r="I46" i="22"/>
  <c r="I47" i="22"/>
  <c r="I48" i="22"/>
  <c r="I49" i="22"/>
  <c r="I50" i="22"/>
  <c r="I51" i="22"/>
  <c r="I53" i="22"/>
  <c r="R54" i="22"/>
  <c r="T46" i="22"/>
  <c r="T47" i="22"/>
  <c r="T48" i="22"/>
  <c r="T49" i="22"/>
  <c r="T50" i="22"/>
  <c r="T51" i="22"/>
  <c r="T53" i="22"/>
  <c r="H46" i="22"/>
  <c r="J46" i="22"/>
  <c r="H47" i="22"/>
  <c r="J47" i="22"/>
  <c r="H48" i="22"/>
  <c r="J48" i="22"/>
  <c r="H49" i="22"/>
  <c r="J49" i="22"/>
  <c r="H50" i="22"/>
  <c r="J50" i="22"/>
  <c r="H51" i="22"/>
  <c r="J51" i="22"/>
  <c r="J53" i="22"/>
  <c r="T54" i="22"/>
  <c r="R55" i="22"/>
  <c r="R58" i="22"/>
  <c r="P46" i="22"/>
  <c r="P47" i="22"/>
  <c r="P48" i="22"/>
  <c r="P49" i="22"/>
  <c r="P50" i="22"/>
  <c r="P51" i="22"/>
  <c r="P53" i="22"/>
  <c r="H53" i="22"/>
  <c r="P54" i="22"/>
  <c r="P55" i="22"/>
  <c r="P58" i="22"/>
  <c r="U53" i="22"/>
  <c r="U46" i="22"/>
  <c r="U48" i="22"/>
  <c r="U49" i="22"/>
  <c r="U50" i="22"/>
  <c r="U51" i="22"/>
  <c r="U47" i="22"/>
  <c r="L33" i="22"/>
  <c r="L23" i="22"/>
  <c r="M33" i="22"/>
  <c r="M23" i="22"/>
  <c r="H33" i="22"/>
  <c r="H23" i="22"/>
  <c r="J23" i="22"/>
  <c r="G23" i="22"/>
  <c r="I33" i="22"/>
  <c r="I23" i="22"/>
  <c r="Z10" i="22"/>
  <c r="AA10" i="22"/>
  <c r="Z34" i="22"/>
  <c r="AA34" i="22"/>
  <c r="Z35" i="22"/>
  <c r="AA35" i="22"/>
  <c r="Z36" i="22"/>
  <c r="AA36" i="22"/>
  <c r="Z29" i="22"/>
  <c r="AA29" i="22"/>
  <c r="Z30" i="22"/>
  <c r="AA30" i="22"/>
  <c r="Z31" i="22"/>
  <c r="AA31" i="22"/>
  <c r="Z32" i="22"/>
  <c r="AA32" i="22"/>
  <c r="Z27" i="22"/>
  <c r="AA27" i="22"/>
  <c r="AA28" i="22"/>
  <c r="Z26" i="22"/>
  <c r="AA26" i="22"/>
  <c r="Z25" i="22"/>
  <c r="AA25" i="22"/>
  <c r="Z24" i="22"/>
  <c r="AA24" i="22"/>
  <c r="Z23" i="22"/>
  <c r="AA23" i="22"/>
  <c r="Z12" i="22"/>
  <c r="AA12" i="22"/>
  <c r="Z13" i="22"/>
  <c r="AA13" i="22"/>
  <c r="Z14" i="22"/>
  <c r="AA14" i="22"/>
  <c r="Z15" i="22"/>
  <c r="AA15" i="22"/>
  <c r="Z16" i="22"/>
  <c r="AA16" i="22"/>
  <c r="Z17" i="22"/>
  <c r="AA17" i="22"/>
  <c r="Z18" i="22"/>
  <c r="AA18" i="22"/>
  <c r="Z19" i="22"/>
  <c r="AA19" i="22"/>
  <c r="Z11" i="22"/>
  <c r="AA11" i="22"/>
  <c r="Z41" i="22"/>
  <c r="M41" i="22"/>
  <c r="Z40" i="22"/>
  <c r="M40" i="22"/>
  <c r="Y19" i="22"/>
  <c r="Y18" i="22"/>
  <c r="Y17" i="22"/>
  <c r="Y16" i="22"/>
  <c r="Y15" i="22"/>
  <c r="Y14" i="22"/>
  <c r="Y13" i="22"/>
  <c r="Y12" i="22"/>
  <c r="Y11" i="22"/>
  <c r="Y10" i="22"/>
  <c r="AZ12" i="15"/>
  <c r="AZ13" i="15"/>
  <c r="AZ14" i="15"/>
  <c r="AZ15" i="15"/>
  <c r="AZ16" i="15"/>
  <c r="AZ17" i="15"/>
  <c r="AZ18" i="15"/>
  <c r="AZ19" i="15"/>
  <c r="AZ20" i="15"/>
  <c r="AY24" i="15"/>
  <c r="AY25" i="15"/>
  <c r="AZ25" i="15"/>
  <c r="AY26" i="15"/>
  <c r="AZ26" i="15"/>
  <c r="AY27" i="15"/>
  <c r="AZ27" i="15"/>
  <c r="AY28" i="15"/>
  <c r="AZ28" i="15"/>
  <c r="AY29" i="15"/>
  <c r="AZ29" i="15"/>
  <c r="AY30" i="15"/>
  <c r="AZ30" i="15"/>
  <c r="AY31" i="15"/>
  <c r="AZ31" i="15"/>
  <c r="AY32" i="15"/>
  <c r="AZ32" i="15"/>
  <c r="AY33" i="15"/>
  <c r="AZ33" i="15"/>
  <c r="AZ40" i="15"/>
  <c r="R20" i="15"/>
  <c r="R19" i="15"/>
  <c r="R18" i="15"/>
  <c r="R17" i="15"/>
  <c r="R16" i="15"/>
  <c r="R15" i="15"/>
  <c r="R14" i="15"/>
  <c r="R13" i="15"/>
  <c r="R12" i="15"/>
  <c r="G60" i="15"/>
  <c r="G59" i="15"/>
  <c r="G58" i="15"/>
  <c r="G57" i="15"/>
  <c r="S41" i="15"/>
  <c r="S40" i="15"/>
  <c r="S37" i="15"/>
  <c r="S36" i="15"/>
  <c r="S35" i="15"/>
  <c r="S33" i="15"/>
  <c r="S32" i="15"/>
  <c r="S31" i="15"/>
  <c r="S30" i="15"/>
  <c r="S28" i="15"/>
  <c r="S27" i="15"/>
  <c r="S26" i="15"/>
  <c r="S25" i="15"/>
  <c r="AG24" i="15"/>
  <c r="S24" i="15"/>
  <c r="S20" i="15"/>
  <c r="S19" i="15"/>
  <c r="S18" i="15"/>
  <c r="S17" i="15"/>
  <c r="S16" i="15"/>
  <c r="S15" i="15"/>
  <c r="S14" i="15"/>
  <c r="S13" i="15"/>
  <c r="S12" i="15"/>
</calcChain>
</file>

<file path=xl/sharedStrings.xml><?xml version="1.0" encoding="utf-8"?>
<sst xmlns="http://schemas.openxmlformats.org/spreadsheetml/2006/main" count="625" uniqueCount="316">
  <si>
    <t>worksheet in the "Own labor incomes 1774" Excel file). The retention rates (%) are:</t>
    <phoneticPr fontId="20" type="noConversion"/>
  </si>
  <si>
    <t>Note that in all cases, we continued to estimate that some female unskilled laborers were household heads,</t>
    <phoneticPr fontId="20" type="noConversion"/>
  </si>
  <si>
    <t>with positive labor earnings.  The only difference between the two assumptions just described is a difference between zero</t>
    <phoneticPr fontId="20" type="noConversion"/>
  </si>
  <si>
    <t xml:space="preserve">(current assumption) and near-zero property earnings(earlier assumption) for their households.  </t>
    <phoneticPr fontId="20" type="noConversion"/>
  </si>
  <si>
    <t>Free HHs with property</t>
    <phoneticPr fontId="20" type="noConversion"/>
  </si>
  <si>
    <t>All</t>
    <phoneticPr fontId="20" type="noConversion"/>
  </si>
  <si>
    <t>Slave annual earnings: Derived as free labor force average location/occupation earnings times the assumed slave retention rate (see " Slave earnings divided"</t>
    <phoneticPr fontId="20" type="noConversion"/>
  </si>
  <si>
    <r>
      <t xml:space="preserve">This guess seems consistent with the age and sex distributions given for slves in Maryland, New Jersey, and New York around 1774 (in </t>
    </r>
    <r>
      <rPr>
        <i/>
        <sz val="12"/>
        <rFont val="Arial"/>
      </rPr>
      <t>HSUS Millennial</t>
    </r>
    <r>
      <rPr>
        <sz val="12"/>
        <rFont val="Arial"/>
      </rPr>
      <t>).</t>
    </r>
    <phoneticPr fontId="20" type="noConversion"/>
  </si>
  <si>
    <t>sterling (UK)</t>
  </si>
  <si>
    <t>Artisans (manufacturing trades)</t>
    <phoneticPr fontId="20" type="noConversion"/>
  </si>
  <si>
    <t>All free households</t>
    <phoneticPr fontId="20" type="noConversion"/>
  </si>
  <si>
    <t>Unskilled male workers</t>
    <phoneticPr fontId="20" type="noConversion"/>
  </si>
  <si>
    <t>For the skilled labor Group 4 in manufacturing and construction, we assume that property</t>
    <phoneticPr fontId="20" type="noConversion"/>
  </si>
  <si>
    <t>Group 19</t>
    <phoneticPr fontId="20" type="noConversion"/>
  </si>
  <si>
    <t>Merchant &amp; shopkeepers</t>
    <phoneticPr fontId="20" type="noConversion"/>
  </si>
  <si>
    <t>Group 4A</t>
    <phoneticPr fontId="20" type="noConversion"/>
  </si>
  <si>
    <r>
      <t>(C.) Occupation Notes</t>
    </r>
    <r>
      <rPr>
        <sz val="12"/>
        <rFont val="Arial"/>
      </rPr>
      <t>:</t>
    </r>
    <phoneticPr fontId="20" type="noConversion"/>
  </si>
  <si>
    <t>Reminder: No error ranges are given here, and of course the figures are not imagined to be accurate to the last digit.</t>
    <phoneticPr fontId="20" type="noConversion"/>
  </si>
  <si>
    <r>
      <t>(B.) Labor force</t>
    </r>
    <r>
      <rPr>
        <sz val="12"/>
        <rFont val="Arial"/>
      </rPr>
      <t xml:space="preserve">: Lindert-Williamson estimates, in the "1774 occupations by region" Excel file, January 2011. Based on the colonial censuses in </t>
    </r>
    <r>
      <rPr>
        <i/>
        <sz val="12"/>
        <rFont val="Arial"/>
      </rPr>
      <t>Historical Statistics,</t>
    </r>
    <r>
      <rPr>
        <sz val="12"/>
        <rFont val="Arial"/>
      </rPr>
      <t xml:space="preserve"> </t>
    </r>
    <phoneticPr fontId="20" type="noConversion"/>
  </si>
  <si>
    <t>MD white female servants</t>
    <phoneticPr fontId="20" type="noConversion"/>
  </si>
  <si>
    <t>Group 8</t>
    <phoneticPr fontId="20" type="noConversion"/>
  </si>
  <si>
    <t>Special assumption about average property income:</t>
    <phoneticPr fontId="20" type="noConversion"/>
  </si>
  <si>
    <t>Female HHs w/wealth, no occ stated</t>
    <phoneticPr fontId="20" type="noConversion"/>
  </si>
  <si>
    <t>South</t>
  </si>
  <si>
    <t>and towns</t>
    <phoneticPr fontId="20" type="noConversion"/>
  </si>
  <si>
    <t>South</t>
    <phoneticPr fontId="20" type="noConversion"/>
  </si>
  <si>
    <t>This file is a building block in estimating total incomes, from property as well as from own-labor sources, in the "Total incomes 1774" file.</t>
    <phoneticPr fontId="20" type="noConversion"/>
  </si>
  <si>
    <t>It seems plausible that the household headship rate could have been 35 percent of those over 10.</t>
    <phoneticPr fontId="20" type="noConversion"/>
  </si>
  <si>
    <t>For other, more narrowly focused, assumptions about earnings, see the accompanying worksheets.  Example: For New England or for Middle Colonies, the undocumented</t>
    <phoneticPr fontId="20" type="noConversion"/>
  </si>
  <si>
    <r>
      <t>(F.) Slave headship rates</t>
    </r>
    <r>
      <rPr>
        <sz val="12"/>
        <rFont val="Arial"/>
      </rPr>
      <t>:  Worksheet (2) assumed that of the slave population over age 10, which is also used as the slave labor force, 35 percent were household heads.</t>
    </r>
    <phoneticPr fontId="20" type="noConversion"/>
  </si>
  <si>
    <t>Williamson</t>
    <phoneticPr fontId="20" type="noConversion"/>
  </si>
  <si>
    <t>Group 9</t>
    <phoneticPr fontId="20" type="noConversion"/>
  </si>
  <si>
    <t>Group 7</t>
    <phoneticPr fontId="20" type="noConversion"/>
  </si>
  <si>
    <t>Group 1</t>
    <phoneticPr fontId="20" type="noConversion"/>
  </si>
  <si>
    <t>Group 5</t>
    <phoneticPr fontId="20" type="noConversion"/>
  </si>
  <si>
    <t>Groups 2-3</t>
    <phoneticPr fontId="20" type="noConversion"/>
  </si>
  <si>
    <t>Pennsylvania</t>
  </si>
  <si>
    <t>Virginia</t>
  </si>
  <si>
    <t>dollars</t>
  </si>
  <si>
    <t>Group 4B</t>
    <phoneticPr fontId="20" type="noConversion"/>
  </si>
  <si>
    <t>Big</t>
    <phoneticPr fontId="20" type="noConversion"/>
  </si>
  <si>
    <t>All</t>
    <phoneticPr fontId="20" type="noConversion"/>
  </si>
  <si>
    <t>North</t>
  </si>
  <si>
    <t>Unskilled female workers</t>
    <phoneticPr fontId="20" type="noConversion"/>
  </si>
  <si>
    <t>Group 4A</t>
    <phoneticPr fontId="20" type="noConversion"/>
  </si>
  <si>
    <t>Mass</t>
  </si>
  <si>
    <r>
      <t>(E.) Slave earnings</t>
    </r>
    <r>
      <rPr>
        <sz val="12"/>
        <rFont val="Arial"/>
      </rPr>
      <t>:</t>
    </r>
    <phoneticPr fontId="20" type="noConversion"/>
  </si>
  <si>
    <t xml:space="preserve">the household head and the earning power of the non-head LF participants.  </t>
    <phoneticPr fontId="20" type="noConversion"/>
  </si>
  <si>
    <t>of silver</t>
  </si>
  <si>
    <t>average earnings for white-collar groups in rural areas were assumed to equal the documented earnings of the same groups in small cities of each same region.</t>
    <phoneticPr fontId="20" type="noConversion"/>
  </si>
  <si>
    <t>Group 2-3</t>
    <phoneticPr fontId="20" type="noConversion"/>
  </si>
  <si>
    <t>Total</t>
    <phoneticPr fontId="20" type="noConversion"/>
  </si>
  <si>
    <r>
      <t>(D.) Annual earnings rates</t>
    </r>
    <r>
      <rPr>
        <sz val="12"/>
        <rFont val="Arial"/>
      </rPr>
      <t xml:space="preserve"> by occupation/region are described in the "Wage data survey 1774" file. The wage data supply by colony is very thin, and thus the table reports only averages across colonies for each of the three regions.</t>
    </r>
    <phoneticPr fontId="20" type="noConversion"/>
  </si>
  <si>
    <t>Officials, titled, professions</t>
  </si>
  <si>
    <t>rural</t>
    <phoneticPr fontId="20" type="noConversion"/>
  </si>
  <si>
    <r>
      <t>(G.) Exchange rates for converting colony-specific £sd into the dollars shown here</t>
    </r>
    <r>
      <rPr>
        <sz val="12"/>
        <rFont val="Arial"/>
      </rPr>
      <t>:</t>
    </r>
    <phoneticPr fontId="20" type="noConversion"/>
  </si>
  <si>
    <t>It is also approximately the share of the over-10 slve population that were males over 21 on small plantations in Prince Groege's County Maryland in 1776.</t>
    <phoneticPr fontId="20" type="noConversion"/>
  </si>
  <si>
    <r>
      <t xml:space="preserve">According to Allan Kulikoff, </t>
    </r>
    <r>
      <rPr>
        <i/>
        <sz val="12"/>
        <rFont val="Arial"/>
      </rPr>
      <t>Tobacco and Slaves</t>
    </r>
    <r>
      <rPr>
        <sz val="12"/>
        <rFont val="Arial"/>
      </rPr>
      <t xml:space="preserve"> (1986, p. 372), the share of those over 10 who were males over 15 was 38.6 percent.  </t>
    </r>
    <phoneticPr fontId="20" type="noConversion"/>
  </si>
  <si>
    <t>Lindert-</t>
    <phoneticPr fontId="20" type="noConversion"/>
  </si>
  <si>
    <t>cities</t>
    <phoneticPr fontId="20" type="noConversion"/>
  </si>
  <si>
    <r>
      <t xml:space="preserve">We rely mainly on John J. McCusker, </t>
    </r>
    <r>
      <rPr>
        <i/>
        <sz val="12"/>
        <rFont val="Arial"/>
      </rPr>
      <t>How Much is That in Real Money? …</t>
    </r>
    <r>
      <rPr>
        <sz val="12"/>
        <rFont val="Arial"/>
      </rPr>
      <t xml:space="preserve"> (Worcester MA: American Antiquarian Society, 2001), especially Appendix B,</t>
    </r>
    <phoneticPr fontId="20" type="noConversion"/>
  </si>
  <si>
    <r>
      <t>See also Lawrence Officer's Series Ee612-Ee620 in Carter </t>
    </r>
    <r>
      <rPr>
        <i/>
        <sz val="12"/>
        <rFont val="Arial"/>
      </rPr>
      <t>et al., Historical Statistics of the United States (2006)</t>
    </r>
    <r>
      <rPr>
        <sz val="12"/>
        <rFont val="Arial"/>
      </rPr>
      <t>, volume 5, which gives</t>
    </r>
    <phoneticPr fontId="20" type="noConversion"/>
  </si>
  <si>
    <t>MD white male servants</t>
    <phoneticPr fontId="20" type="noConversion"/>
  </si>
  <si>
    <t>Unskilled male workers</t>
    <phoneticPr fontId="20" type="noConversion"/>
  </si>
  <si>
    <t>Group 6B</t>
    <phoneticPr fontId="20" type="noConversion"/>
  </si>
  <si>
    <t>Group 19</t>
    <phoneticPr fontId="20" type="noConversion"/>
  </si>
  <si>
    <t>Male HHs w/wealth, no occ stated</t>
    <phoneticPr fontId="20" type="noConversion"/>
  </si>
  <si>
    <t>Group 9</t>
    <phoneticPr fontId="20" type="noConversion"/>
  </si>
  <si>
    <t>value of a £ of</t>
  </si>
  <si>
    <t>implied by other authors for 1774? Provisionally, we set £1 sterling = $4.44 in 1774.</t>
    <phoneticPr fontId="20" type="noConversion"/>
  </si>
  <si>
    <t>AVERAGE OWN-LABOR EARNINGS PER HH, in $*</t>
    <phoneticPr fontId="20" type="noConversion"/>
  </si>
  <si>
    <t>(H.) Assumptions about the non-head earners "imported" or "taken into" the households of others</t>
    <phoneticPr fontId="20" type="noConversion"/>
  </si>
  <si>
    <t>(I.) Special assumptions about average property income:</t>
    <phoneticPr fontId="20" type="noConversion"/>
  </si>
  <si>
    <t>Free</t>
    <phoneticPr fontId="20" type="noConversion"/>
  </si>
  <si>
    <t>Thus for slaves, it includes only what they retained, and not what the part of their earnings (or marginal product) that was expropriated by the owner or renter.</t>
    <phoneticPr fontId="20" type="noConversion"/>
  </si>
  <si>
    <t>[For £ sterling, divide by $4.44/£.]</t>
    <phoneticPr fontId="20" type="noConversion"/>
  </si>
  <si>
    <t>What one unit of each colony's currency was worth in 1774 --</t>
  </si>
  <si>
    <t>Each of these implies an average devaluation of the 1774 colonial currency when combined with Alice's US$4.15 per local (inter-) colonial pounds.  </t>
    <phoneticPr fontId="20" type="noConversion"/>
  </si>
  <si>
    <t>If this cannot be sustained, then the average colonial pound might have been worth more than the $4.14 Jones implies.  Perhaps closer to the $4.444</t>
    <phoneticPr fontId="20" type="noConversion"/>
  </si>
  <si>
    <r>
      <t>Millennial Edition</t>
    </r>
    <r>
      <rPr>
        <sz val="12"/>
        <rFont val="Arial"/>
      </rPr>
      <t xml:space="preserve"> (2006), interpolating from the US censuses of 1790 and 1800, and on Thomas Weiss's estimates of labor force participation rates.</t>
    </r>
    <phoneticPr fontId="20" type="noConversion"/>
  </si>
  <si>
    <t>South</t>
    <phoneticPr fontId="20" type="noConversion"/>
  </si>
  <si>
    <t>Zero-wealth free HHs</t>
    <phoneticPr fontId="20" type="noConversion"/>
  </si>
  <si>
    <t xml:space="preserve">the average household head with positive wealth in the same places, though the same assumption will not be made about their property incomes in the separate Excel files on "Aggregate Property 1774 [name of region]".  </t>
    <phoneticPr fontId="20" type="noConversion"/>
  </si>
  <si>
    <t>Group 5</t>
    <phoneticPr fontId="20" type="noConversion"/>
  </si>
  <si>
    <t>Zero-wealth free HHs</t>
    <phoneticPr fontId="20" type="noConversion"/>
  </si>
  <si>
    <t xml:space="preserve">For the South, colonial censuses counted slaves at the all-colony level but not separately for cities (e.g. Charleston). </t>
    <phoneticPr fontId="20" type="noConversion"/>
  </si>
  <si>
    <t>of which, NY =</t>
    <phoneticPr fontId="20" type="noConversion"/>
  </si>
  <si>
    <t xml:space="preserve">If light weights were given to Massachusetts and Virginia, and heavy weights to NY and the Carolinas, the 0.93468 ratio implied by Jones might work.  </t>
  </si>
  <si>
    <t>(1) Slave non-heads are taken into slave households only, leaving household income the same as the retained earnings of all slaves.</t>
    <phoneticPr fontId="20" type="noConversion"/>
  </si>
  <si>
    <t>Maryland (hard)</t>
  </si>
  <si>
    <t>NC</t>
  </si>
  <si>
    <t>SC</t>
  </si>
  <si>
    <t>** For the Middle Colonies these rows refer only to New Jersey, Pennsylvania, and Delaware, and exclude New York.</t>
    <phoneticPr fontId="20" type="noConversion"/>
  </si>
  <si>
    <t>cities</t>
    <phoneticPr fontId="20" type="noConversion"/>
  </si>
  <si>
    <t>Group 1</t>
    <phoneticPr fontId="20" type="noConversion"/>
  </si>
  <si>
    <t>Groups 2-3</t>
    <phoneticPr fontId="20" type="noConversion"/>
  </si>
  <si>
    <t>Work</t>
    <phoneticPr fontId="20" type="noConversion"/>
  </si>
  <si>
    <t>row</t>
    <phoneticPr fontId="20" type="noConversion"/>
  </si>
  <si>
    <t>Delaware is included in the Middle Colonies, to be consistent with the Alice Hanson Jones regionalization of wealth.</t>
    <phoneticPr fontId="20" type="noConversion"/>
  </si>
  <si>
    <t>Merchant &amp; shopkeepers</t>
    <phoneticPr fontId="20" type="noConversion"/>
  </si>
  <si>
    <t xml:space="preserve">Rural </t>
    <phoneticPr fontId="20" type="noConversion"/>
  </si>
  <si>
    <t>VALUE OF PROPERTY INCOME</t>
    <phoneticPr fontId="20" type="noConversion"/>
  </si>
  <si>
    <t xml:space="preserve">Rural </t>
  </si>
  <si>
    <t>and towns</t>
  </si>
  <si>
    <t>NUMBERS OF HOUSEHOLDS</t>
    <phoneticPr fontId="20" type="noConversion"/>
  </si>
  <si>
    <t xml:space="preserve"> income per household, like own-labor earnings, was the same for manufacturing as for construction.</t>
    <phoneticPr fontId="20" type="noConversion"/>
  </si>
  <si>
    <t>in Spanish</t>
  </si>
  <si>
    <t>in ounces</t>
  </si>
  <si>
    <t>New Jersey</t>
  </si>
  <si>
    <t>New York</t>
  </si>
  <si>
    <t>value of a £</t>
  </si>
  <si>
    <t>no.</t>
    <phoneticPr fontId="20" type="noConversion"/>
  </si>
  <si>
    <t>Group definition</t>
    <phoneticPr fontId="20" type="noConversion"/>
  </si>
  <si>
    <t>(3) Summary of incomes of free and slave households, by occupation of HH for 1774</t>
    <phoneticPr fontId="20" type="noConversion"/>
  </si>
  <si>
    <t xml:space="preserve">See other notes in this file and in the "Total incomes 1774" file for discussions of the separation of farm operators' free labor earnings, property earnings, and residual profits.  </t>
    <phoneticPr fontId="20" type="noConversion"/>
  </si>
  <si>
    <r>
      <t>Notes</t>
    </r>
    <r>
      <rPr>
        <sz val="12"/>
        <rFont val="Arial"/>
      </rPr>
      <t>:</t>
    </r>
    <phoneticPr fontId="20" type="noConversion"/>
  </si>
  <si>
    <t>Our underlying occupational-share estimates from primary sources are detailed in the set of regional files entitled "Aggregate property 1774 [name of region]",</t>
    <phoneticPr fontId="20" type="noConversion"/>
  </si>
  <si>
    <t>Memorandum: data for Group 5, rural farm operators in the aggregate</t>
    <phoneticPr fontId="20" type="noConversion"/>
  </si>
  <si>
    <t>Alice Hanson Jones's probate sample was not large enough for us to estimate 4A and 4B separately.</t>
    <phoneticPr fontId="20" type="noConversion"/>
  </si>
  <si>
    <t xml:space="preserve">are used as weights for rural non-farm vs lesser cities; the same is true of artisans and white collar; the other categories are taken directly from lesser cities. </t>
    <phoneticPr fontId="20" type="noConversion"/>
  </si>
  <si>
    <t xml:space="preserve">                                 </t>
    <phoneticPr fontId="20" type="noConversion"/>
  </si>
  <si>
    <t xml:space="preserve">imported into free families is the same for all free families in that place.  We do not imagine any correlation between earning power of </t>
    <phoneticPr fontId="20" type="noConversion"/>
  </si>
  <si>
    <t>Group 18A</t>
    <phoneticPr fontId="20" type="noConversion"/>
  </si>
  <si>
    <t>All households</t>
    <phoneticPr fontId="20" type="noConversion"/>
  </si>
  <si>
    <t>Occupation</t>
    <phoneticPr fontId="20" type="noConversion"/>
  </si>
  <si>
    <t>Construction</t>
  </si>
  <si>
    <t xml:space="preserve">because the occupational distributions had to be applied to the Alice Hanson Jones estimates of wealth, to derive property incomes by occupational class.  </t>
    <phoneticPr fontId="20" type="noConversion"/>
  </si>
  <si>
    <t>Group 6A</t>
    <phoneticPr fontId="20" type="noConversion"/>
  </si>
  <si>
    <t xml:space="preserve">In this table all slave numbers appear as rural.  </t>
    <phoneticPr fontId="20" type="noConversion"/>
  </si>
  <si>
    <t>as %'s of the</t>
  </si>
  <si>
    <t xml:space="preserve">The reason is that tor the Middle Colonies, farm operators could be divided into property-income ranks only for 3 colonies </t>
    <phoneticPr fontId="20" type="noConversion"/>
  </si>
  <si>
    <t>Farm operators or farm LF</t>
    <phoneticPr fontId="20" type="noConversion"/>
  </si>
  <si>
    <t>No. of LABOR PARTICIPANTS, reconstituted</t>
    <phoneticPr fontId="20" type="noConversion"/>
  </si>
  <si>
    <t>In other words, earners do not engage in long-distance commuting, between regions or between countryside and city.</t>
    <phoneticPr fontId="20" type="noConversion"/>
  </si>
  <si>
    <t>Occupational distributions based on adjusted AHJ and other documents elaborated in the "1774 Occupations by region" Excel file, Worksheet entitled "(4) Summary LF totals".</t>
  </si>
  <si>
    <t>Group 18B</t>
    <phoneticPr fontId="20" type="noConversion"/>
  </si>
  <si>
    <t>(later US)</t>
  </si>
  <si>
    <t>(1) For the skilled labor Group 4 in manufacturing and construction, we assume that property</t>
    <phoneticPr fontId="20" type="noConversion"/>
  </si>
  <si>
    <t>Farm op %</t>
    <phoneticPr fontId="20" type="noConversion"/>
  </si>
  <si>
    <t xml:space="preserve">For the South, colonial censuses counted slaves at the all-colony level but not separately for cities (e.g. Charleston).  In these tables, all slave numbers appear as rural.  </t>
    <phoneticPr fontId="20" type="noConversion"/>
  </si>
  <si>
    <t>Slaves ages 10 up, retained earnings</t>
    <phoneticPr fontId="20" type="noConversion"/>
  </si>
  <si>
    <t>Pennsylvania currency</t>
  </si>
  <si>
    <t>Colony</t>
  </si>
  <si>
    <t>(£ sterling UK)</t>
    <phoneticPr fontId="20" type="noConversion"/>
  </si>
  <si>
    <t xml:space="preserve">(2) The same holds for the separately recorded group of Maryland servants, though the assumption is redundant here because these are one-person households.  </t>
    <phoneticPr fontId="20" type="noConversion"/>
  </si>
  <si>
    <t>Groups</t>
    <phoneticPr fontId="20" type="noConversion"/>
  </si>
  <si>
    <t>Group 5</t>
  </si>
  <si>
    <t>Alice Hanson Jones's $4.15 could be reconciled with the others if a weighted average of all colonial currencies were worth 4.125/4.444 (or 0.93468) of Pennsylvania currency.</t>
  </si>
  <si>
    <t>Farm operators</t>
  </si>
  <si>
    <t>(blank)</t>
    <phoneticPr fontId="20" type="noConversion"/>
  </si>
  <si>
    <r>
      <t>(A.) General note</t>
    </r>
    <r>
      <rPr>
        <sz val="12"/>
        <rFont val="Arial"/>
      </rPr>
      <t>: "Own labor incomes" here means annual (not necessarily full-time) earnings from human sources, as received by the laborer.</t>
    </r>
    <phoneticPr fontId="20" type="noConversion"/>
  </si>
  <si>
    <t>are applied to urban and rural alike, since J.T. Main's underlying estimates of incomes per farm do not permit much spatial separation within each region.</t>
    <phoneticPr fontId="20" type="noConversion"/>
  </si>
  <si>
    <t>Small town</t>
  </si>
  <si>
    <t>Big city</t>
  </si>
  <si>
    <t>Farm</t>
  </si>
  <si>
    <t>prof's-comm-craft</t>
    <phoneticPr fontId="20" type="noConversion"/>
  </si>
  <si>
    <t>no occ, W&gt;0</t>
    <phoneticPr fontId="20" type="noConversion"/>
  </si>
  <si>
    <t>Menial &amp; W=0's</t>
    <phoneticPr fontId="20" type="noConversion"/>
  </si>
  <si>
    <r>
      <t xml:space="preserve">and on the series he displayed in </t>
    </r>
    <r>
      <rPr>
        <i/>
        <sz val="12"/>
        <rFont val="Arial"/>
      </rPr>
      <t>HSUS Millennial</t>
    </r>
    <r>
      <rPr>
        <sz val="12"/>
        <rFont val="Arial"/>
      </rPr>
      <t xml:space="preserve"> (2006):</t>
    </r>
    <phoneticPr fontId="20" type="noConversion"/>
  </si>
  <si>
    <t>Urban or</t>
    <phoneticPr fontId="20" type="noConversion"/>
  </si>
  <si>
    <t>* See "Sources &amp; notes" worksheet for the colony-specific exchange rates.</t>
    <phoneticPr fontId="20" type="noConversion"/>
  </si>
  <si>
    <t xml:space="preserve">This meant lower property income per female head of household than for unskilled male heads, except in Charleston, </t>
    <phoneticPr fontId="20" type="noConversion"/>
  </si>
  <si>
    <t xml:space="preserve">where this variant implies greater labor force per household than for male.  </t>
    <phoneticPr fontId="20" type="noConversion"/>
  </si>
  <si>
    <t>For Group 5, farm operators:  The average labor plus profit incomes are calculated in the worksheet "(3) Farm incomes".  These region-wide averages</t>
    <phoneticPr fontId="20" type="noConversion"/>
  </si>
  <si>
    <t>All occupational groups, urban</t>
    <phoneticPr fontId="20" type="noConversion"/>
  </si>
  <si>
    <t>For Groups 7 and 8, male and female household heads, with no stated occupation (other than "widow" or "single woman"): These are assumed to have the same average own-labor incomes as</t>
    <phoneticPr fontId="20" type="noConversion"/>
  </si>
  <si>
    <t>For Group 9, household heads with zero assessed wealth: These, whatever their (unknown) gender, are assumed to have the same own-labor incomes as unskilled male laborers (Group 6A) in the same places.</t>
    <phoneticPr fontId="20" type="noConversion"/>
  </si>
  <si>
    <t>For Group 19, slaves, earnings:  See the worksheet on slave earnings and their retention share in the Excel file "Own-labor incomes 1774".</t>
    <phoneticPr fontId="20" type="noConversion"/>
  </si>
  <si>
    <t>(2) For Group 6B, female unskilled labor, not separately sampled by Jones, we assumed zero wealth.</t>
    <phoneticPr fontId="20" type="noConversion"/>
  </si>
  <si>
    <t>four alternative conversions for 1789 and after. For the 1792 mentioned by Jones, the Officer values in $/£ are 4.6206, 4.4400, 4.5714, and 4.5554.  </t>
    <phoneticPr fontId="20" type="noConversion"/>
  </si>
  <si>
    <t>All occupational groups, town-rural</t>
    <phoneticPr fontId="20" type="noConversion"/>
  </si>
  <si>
    <t xml:space="preserve">Wage rates for non-farm rural occupations are especially sparse, and thus that for lesser cities and towns are used: for male common labor, the numbers of observations </t>
    <phoneticPr fontId="20" type="noConversion"/>
  </si>
  <si>
    <t>(NJ, PA, DE), due to limitations on Jones's New York sample.</t>
    <phoneticPr fontId="20" type="noConversion"/>
  </si>
  <si>
    <t xml:space="preserve">In earlier rounds of estimation, we had assumed that the unskilled female household heads' average gross property income </t>
    <phoneticPr fontId="20" type="noConversion"/>
  </si>
  <si>
    <t xml:space="preserve">was that of their male counterpart households (Group 6A) times the ratio of their own-labor earnings.  </t>
    <phoneticPr fontId="20" type="noConversion"/>
  </si>
  <si>
    <t>city</t>
  </si>
  <si>
    <t>Lower</t>
  </si>
  <si>
    <t>Chesa-</t>
  </si>
  <si>
    <t>peake</t>
  </si>
  <si>
    <t>In $ per HH</t>
  </si>
  <si>
    <t>In dollars, at $4.44 per £ sterling</t>
  </si>
  <si>
    <t>(Charleston,</t>
  </si>
  <si>
    <t>free only)</t>
  </si>
  <si>
    <t>Numbers of households</t>
  </si>
  <si>
    <t>Nunmbers of LP participants</t>
  </si>
  <si>
    <t>Total South</t>
  </si>
  <si>
    <t>(per 1774j file)</t>
  </si>
  <si>
    <t>Total</t>
  </si>
  <si>
    <t>Working from the July-August 2012</t>
  </si>
  <si>
    <t xml:space="preserve">file "American incomes 1774j", used in </t>
  </si>
  <si>
    <t>JEH article.  Divisions into sub-regions</t>
  </si>
  <si>
    <t xml:space="preserve">performed in September 2013, </t>
  </si>
  <si>
    <t>by Lindert</t>
  </si>
  <si>
    <t>In pounds sterling</t>
  </si>
  <si>
    <t>(2) Deriving own-labor incomes for parts of the South, 1774</t>
  </si>
  <si>
    <t>No. of LABOR PARTICIPANTS, recons.</t>
  </si>
  <si>
    <t>AVE. OWN-LABOR EARNINGS / HH, in $*</t>
  </si>
  <si>
    <t>Notes</t>
  </si>
  <si>
    <t>See detailed notes (a.) etc. below, on this worksheet.</t>
  </si>
  <si>
    <t>Now apply this same assumption H.3 separately to the Chesapeake, Charleston, and the non-Charleston Lower South.</t>
  </si>
  <si>
    <r>
      <t xml:space="preserve">(3) For each </t>
    </r>
    <r>
      <rPr>
        <sz val="12"/>
        <color rgb="FFFF0000"/>
        <rFont val="Arial"/>
      </rPr>
      <t>sub-region</t>
    </r>
    <r>
      <rPr>
        <sz val="12"/>
        <rFont val="Arial"/>
      </rPr>
      <t xml:space="preserve">, the non-heads and their individual earnings are absorbed into the same </t>
    </r>
    <r>
      <rPr>
        <sz val="12"/>
        <color rgb="FFFF0000"/>
        <rFont val="Arial"/>
      </rPr>
      <t>sub-region.</t>
    </r>
  </si>
  <si>
    <r>
      <t xml:space="preserve">(4) Within each occupational group defined by </t>
    </r>
    <r>
      <rPr>
        <sz val="12"/>
        <color rgb="FFFF0000"/>
        <rFont val="Arial"/>
      </rPr>
      <t>sub-region</t>
    </r>
    <r>
      <rPr>
        <sz val="12"/>
        <rFont val="Arial"/>
      </rPr>
      <t>, we assume that the average earning power of each non-household-head</t>
    </r>
  </si>
  <si>
    <t>H'hold head's</t>
  </si>
  <si>
    <t>pay rate</t>
  </si>
  <si>
    <t>non-head's</t>
  </si>
  <si>
    <t>each</t>
  </si>
  <si>
    <t>Chesapeake</t>
  </si>
  <si>
    <t>Lower South</t>
  </si>
  <si>
    <t>All South</t>
  </si>
  <si>
    <t xml:space="preserve">Notes on individual pay </t>
  </si>
  <si>
    <t>Individual pay rates, In dollars, at $4.44 per £ sterling</t>
  </si>
  <si>
    <t>(From 1774j)</t>
  </si>
  <si>
    <t>CONSTRAINT: sub-region</t>
  </si>
  <si>
    <t>detail must fit these totals</t>
  </si>
  <si>
    <t>check</t>
  </si>
  <si>
    <t>Assume same, all South</t>
  </si>
  <si>
    <t>Farm operators (incl. pure profit)</t>
  </si>
  <si>
    <t>Chesapeake (MD, VA)</t>
  </si>
  <si>
    <t>Urban free</t>
  </si>
  <si>
    <t>Rural free</t>
  </si>
  <si>
    <t>All free</t>
  </si>
  <si>
    <t>Slave</t>
  </si>
  <si>
    <t>share 1774</t>
  </si>
  <si>
    <t>See Own-labor incomes 1774f file, slave worksheet</t>
  </si>
  <si>
    <t>To derive separate non-head earnings rates for subregions:</t>
  </si>
  <si>
    <t xml:space="preserve">Sum the total values of all heads' earnings over Groups 1-6a,  </t>
  </si>
  <si>
    <t>the free groups that have non-heads in the labor force.</t>
  </si>
  <si>
    <t>Using "wage data 1774d" file.</t>
  </si>
  <si>
    <t>Sum</t>
  </si>
  <si>
    <t>Average per HH</t>
  </si>
  <si>
    <t>Sums of HH's</t>
  </si>
  <si>
    <t>Ratio to all South</t>
  </si>
  <si>
    <t>Applying these two ratios to the all-South earnings of $213.25 per non-head</t>
  </si>
  <si>
    <t>in these occupational groups yields</t>
  </si>
  <si>
    <t>error</t>
  </si>
  <si>
    <t>Use these in the (1) RESULTS worksheet</t>
  </si>
  <si>
    <t>Rural Lower South</t>
  </si>
  <si>
    <t>Orig</t>
  </si>
  <si>
    <t>work</t>
  </si>
  <si>
    <t>groups</t>
  </si>
  <si>
    <t>All free households with property</t>
  </si>
  <si>
    <t>From file "Aggreg Property 1774k South divided", worksheet (5)</t>
  </si>
  <si>
    <t xml:space="preserve">AVE. GROSS NIPA PROPERTY INCOME PER HOUSEHOLD </t>
  </si>
  <si>
    <t>The previous-step files leading to this one = "Own-Labor Incomes 1774" and the "Aggreg Property 1774k divided South" files.</t>
  </si>
  <si>
    <t>all South</t>
  </si>
  <si>
    <t>shares of</t>
  </si>
  <si>
    <t>Estimated total populations 1774</t>
  </si>
  <si>
    <t>(Chesapeake, urban Charleston, rural Lower South) and then into occupational groups within each</t>
  </si>
  <si>
    <t>Added, 27 September 2013:</t>
  </si>
  <si>
    <t>The purple-area property incomes for subregions and occupations on worksheet (3).</t>
  </si>
  <si>
    <t>Including some sources and notes repeated from the "American incomes 1774j" file</t>
  </si>
  <si>
    <t>Sources and notes to "American Incomes 1774 split South"</t>
  </si>
  <si>
    <t>(3) In separating the properties of Alice Hanson Jones's Southern probates separately into sub-regions</t>
  </si>
  <si>
    <t>sub-region, we encountered discrepancies between our estimated all-South total for each occupational group</t>
  </si>
  <si>
    <t xml:space="preserve">and our weighted sum of the products of the sub-regional observations.  </t>
  </si>
  <si>
    <t>purple area: see note (I.3)</t>
  </si>
  <si>
    <t>£</t>
  </si>
  <si>
    <t>Chesapeake, free</t>
  </si>
  <si>
    <t>Chesapeake, total</t>
  </si>
  <si>
    <t>Lower South, rural free</t>
  </si>
  <si>
    <t>Charleston urban free</t>
  </si>
  <si>
    <t>Total incomes</t>
  </si>
  <si>
    <t>Lower South, slaves</t>
  </si>
  <si>
    <t>Lower South, total</t>
  </si>
  <si>
    <t>All South, urban free</t>
  </si>
  <si>
    <t>All South, rural free</t>
  </si>
  <si>
    <t>All South, total</t>
  </si>
  <si>
    <t>Per capita incomes 1774</t>
  </si>
  <si>
    <t>(£) 1774</t>
  </si>
  <si>
    <t>populations 1774</t>
  </si>
  <si>
    <t>Chesapeake, slaves &amp; MD servants</t>
  </si>
  <si>
    <t>£ sterling</t>
  </si>
  <si>
    <t>$ at 4.44</t>
  </si>
  <si>
    <t>All South, slaves &amp; MD servants</t>
  </si>
  <si>
    <t>All free persons</t>
  </si>
  <si>
    <t>All persons</t>
  </si>
  <si>
    <t>Property income per capita</t>
  </si>
  <si>
    <t>Own-labor earnings per capita</t>
  </si>
  <si>
    <t>£ per capita, all free LS</t>
  </si>
  <si>
    <t>£ per capita, all South</t>
  </si>
  <si>
    <t>TOTAL OWN-LABOR EARNINGS - full-time</t>
  </si>
  <si>
    <t>From file</t>
  </si>
  <si>
    <t>fewer days"</t>
  </si>
  <si>
    <t>"American</t>
  </si>
  <si>
    <t>incomes</t>
  </si>
  <si>
    <t>Part-time/</t>
  </si>
  <si>
    <t>full-time own</t>
  </si>
  <si>
    <t>labor earnings</t>
  </si>
  <si>
    <t>total South</t>
  </si>
  <si>
    <t>households</t>
  </si>
  <si>
    <t>The discrepancy arises from the fact that the</t>
  </si>
  <si>
    <t>Adjusted to match the own-labor earnings of the total South</t>
  </si>
  <si>
    <t>from the file "American incomes 1774 fewer days".</t>
  </si>
  <si>
    <t>TOTAL OWN-LABOR EARNINGS - full-time, adjusted</t>
  </si>
  <si>
    <t>number of labor force participants was</t>
  </si>
  <si>
    <t>calculated using sub-region household shares in 1774.</t>
  </si>
  <si>
    <t>[All slaves are included in rural-towns, below.]</t>
  </si>
  <si>
    <r>
      <t>In dollars,</t>
    </r>
    <r>
      <rPr>
        <sz val="12"/>
        <rFont val="Arial"/>
      </rPr>
      <t xml:space="preserve"> at $4.44 per £ sterling</t>
    </r>
  </si>
  <si>
    <t>TOTAL OWN-LABOR EARNINGS - PART-time</t>
  </si>
  <si>
    <t>CONSTRAINT: sub-region detail</t>
  </si>
  <si>
    <t>must fit South totals, taken from the</t>
  </si>
  <si>
    <t>"Amer incomes 1774 fewer days" file.</t>
  </si>
  <si>
    <t>Urban total</t>
  </si>
  <si>
    <t>Rural-town total</t>
  </si>
  <si>
    <t>TOTAL OWN-LABOR full EARNINGS, in $* from wksht (2)</t>
  </si>
  <si>
    <t>Full-time, adjusted</t>
  </si>
  <si>
    <t>TOTAL INCOME (£), full time</t>
  </si>
  <si>
    <t>TOTAL INCOME ($), full time</t>
  </si>
  <si>
    <t>TOTAL OWN-LABOR part-time EARNINGS, in $* from wksht (2)</t>
  </si>
  <si>
    <t>Part-time</t>
  </si>
  <si>
    <t>TOTAL INCOME ($), part time</t>
  </si>
  <si>
    <t>TOTAL INCOME (£), part time</t>
  </si>
  <si>
    <t>Full-time</t>
  </si>
  <si>
    <t>Full time</t>
  </si>
  <si>
    <t>Part time</t>
  </si>
  <si>
    <t>AVERAGE TOTAL INCOME PER HOUSEHOLD,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</si>
</sst>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
    <numFmt numFmtId="166" formatCode="0.0000"/>
    <numFmt numFmtId="167" formatCode="#,##0.0"/>
    <numFmt numFmtId="168" formatCode="0.0"/>
  </numFmts>
  <fonts count="43" x14ac:knownFonts="1">
    <font>
      <sz val="10"/>
      <name val="Arial"/>
    </font>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ont>
    <font>
      <b/>
      <sz val="12"/>
      <name val="Arial"/>
    </font>
    <font>
      <sz val="12"/>
      <name val="Arial"/>
    </font>
    <font>
      <i/>
      <sz val="12"/>
      <name val="Arial"/>
    </font>
    <font>
      <u/>
      <sz val="12"/>
      <name val="Arial"/>
    </font>
    <font>
      <sz val="14"/>
      <name val="Arial"/>
    </font>
    <font>
      <sz val="12"/>
      <color indexed="10"/>
      <name val="Arial"/>
    </font>
    <font>
      <sz val="12"/>
      <color indexed="8"/>
      <name val="Arial"/>
    </font>
    <font>
      <b/>
      <sz val="16"/>
      <color indexed="10"/>
      <name val="Arial"/>
    </font>
    <font>
      <sz val="10"/>
      <color indexed="10"/>
      <name val="Arial"/>
    </font>
    <font>
      <sz val="10"/>
      <color indexed="8"/>
      <name val="Arial"/>
      <family val="2"/>
    </font>
    <font>
      <u/>
      <sz val="10"/>
      <color theme="10"/>
      <name val="Arial"/>
    </font>
    <font>
      <u/>
      <sz val="10"/>
      <color theme="11"/>
      <name val="Arial"/>
    </font>
    <font>
      <b/>
      <sz val="10"/>
      <name val="Arial"/>
    </font>
    <font>
      <b/>
      <sz val="10"/>
      <color indexed="10"/>
      <name val="Arial"/>
    </font>
    <font>
      <sz val="10"/>
      <color rgb="FFFF0000"/>
      <name val="Arial"/>
    </font>
    <font>
      <sz val="12"/>
      <color rgb="FFFF0000"/>
      <name val="Arial"/>
    </font>
    <font>
      <b/>
      <sz val="16"/>
      <color rgb="FFFF0000"/>
      <name val="Arial"/>
    </font>
    <font>
      <sz val="12"/>
      <color theme="1"/>
      <name val="Arial"/>
    </font>
    <font>
      <b/>
      <sz val="12"/>
      <color theme="1"/>
      <name val="Arial"/>
    </font>
    <font>
      <i/>
      <sz val="12"/>
      <color theme="1"/>
      <name val="Arial"/>
    </font>
    <font>
      <b/>
      <u/>
      <sz val="12"/>
      <color theme="1"/>
      <name val="Arial"/>
    </font>
    <font>
      <b/>
      <sz val="12"/>
      <color rgb="FFFF0000"/>
      <name val="Arial"/>
    </font>
  </fonts>
  <fills count="32">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9D9B"/>
        <bgColor indexed="64"/>
      </patternFill>
    </fill>
    <fill>
      <patternFill patternType="solid">
        <fgColor rgb="FF8DB4E2"/>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564">
    <xf numFmtId="0" fontId="0"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2" borderId="0" applyNumberFormat="0" applyBorder="0" applyAlignment="0" applyProtection="0"/>
    <xf numFmtId="0" fontId="5" fillId="6" borderId="0" applyNumberFormat="0" applyBorder="0" applyAlignment="0" applyProtection="0"/>
    <xf numFmtId="0" fontId="6" fillId="23" borderId="14" applyNumberFormat="0" applyAlignment="0" applyProtection="0"/>
    <xf numFmtId="0" fontId="7" fillId="24" borderId="15" applyNumberFormat="0" applyAlignment="0" applyProtection="0"/>
    <xf numFmtId="0" fontId="8" fillId="0" borderId="0" applyNumberFormat="0" applyFill="0" applyBorder="0" applyAlignment="0" applyProtection="0"/>
    <xf numFmtId="0" fontId="9" fillId="7" borderId="0" applyNumberFormat="0" applyBorder="0" applyAlignment="0" applyProtection="0"/>
    <xf numFmtId="0" fontId="10" fillId="0" borderId="16" applyNumberFormat="0" applyFill="0" applyAlignment="0" applyProtection="0"/>
    <xf numFmtId="0" fontId="11" fillId="0" borderId="17" applyNumberFormat="0" applyFill="0" applyAlignment="0" applyProtection="0"/>
    <xf numFmtId="0" fontId="12" fillId="0" borderId="18" applyNumberFormat="0" applyFill="0" applyAlignment="0" applyProtection="0"/>
    <xf numFmtId="0" fontId="12" fillId="0" borderId="0" applyNumberFormat="0" applyFill="0" applyBorder="0" applyAlignment="0" applyProtection="0"/>
    <xf numFmtId="0" fontId="13" fillId="10" borderId="14" applyNumberFormat="0" applyAlignment="0" applyProtection="0"/>
    <xf numFmtId="0" fontId="14" fillId="0" borderId="19" applyNumberFormat="0" applyFill="0" applyAlignment="0" applyProtection="0"/>
    <xf numFmtId="0" fontId="15" fillId="25" borderId="0" applyNumberFormat="0" applyBorder="0" applyAlignment="0" applyProtection="0"/>
    <xf numFmtId="0" fontId="2" fillId="26" borderId="20" applyNumberFormat="0" applyFont="0" applyAlignment="0" applyProtection="0"/>
    <xf numFmtId="0" fontId="16" fillId="23" borderId="21" applyNumberFormat="0" applyAlignment="0" applyProtection="0"/>
    <xf numFmtId="0" fontId="17" fillId="0" borderId="0" applyNumberFormat="0" applyFill="0" applyBorder="0" applyAlignment="0" applyProtection="0"/>
    <xf numFmtId="0" fontId="18" fillId="0" borderId="22" applyNumberFormat="0" applyFill="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88">
    <xf numFmtId="0" fontId="0" fillId="0" borderId="0" xfId="0"/>
    <xf numFmtId="0" fontId="22" fillId="0" borderId="0" xfId="0" applyFont="1"/>
    <xf numFmtId="1" fontId="22" fillId="0" borderId="0" xfId="0" applyNumberFormat="1" applyFont="1" applyAlignment="1"/>
    <xf numFmtId="0" fontId="24" fillId="0" borderId="0" xfId="0" applyFont="1"/>
    <xf numFmtId="0" fontId="22" fillId="0" borderId="0" xfId="0" applyFont="1" applyAlignment="1"/>
    <xf numFmtId="0" fontId="22" fillId="0" borderId="0" xfId="0" applyFont="1" applyFill="1" applyBorder="1" applyAlignment="1"/>
    <xf numFmtId="164" fontId="22" fillId="0" borderId="0" xfId="0" applyNumberFormat="1" applyFont="1"/>
    <xf numFmtId="2" fontId="22" fillId="0" borderId="0" xfId="0" applyNumberFormat="1" applyFont="1"/>
    <xf numFmtId="0" fontId="22" fillId="0" borderId="0" xfId="0" applyFont="1" applyAlignment="1">
      <alignment horizontal="right"/>
    </xf>
    <xf numFmtId="0" fontId="24" fillId="0" borderId="0" xfId="0" applyFont="1" applyAlignment="1">
      <alignment horizontal="right"/>
    </xf>
    <xf numFmtId="0" fontId="22" fillId="0" borderId="1" xfId="0" applyFont="1" applyBorder="1"/>
    <xf numFmtId="2" fontId="22" fillId="0" borderId="0" xfId="0" applyNumberFormat="1" applyFont="1"/>
    <xf numFmtId="0" fontId="22" fillId="0" borderId="0" xfId="0" applyFont="1" applyAlignment="1">
      <alignment horizontal="center"/>
    </xf>
    <xf numFmtId="0" fontId="22" fillId="2" borderId="5" xfId="0" applyFont="1" applyFill="1" applyBorder="1" applyAlignment="1">
      <alignment horizontal="center"/>
    </xf>
    <xf numFmtId="0" fontId="22" fillId="2" borderId="6" xfId="0" applyFont="1" applyFill="1" applyBorder="1" applyAlignment="1">
      <alignment horizontal="center"/>
    </xf>
    <xf numFmtId="0" fontId="22" fillId="2" borderId="7" xfId="0" applyFont="1" applyFill="1" applyBorder="1" applyAlignment="1">
      <alignment horizontal="center"/>
    </xf>
    <xf numFmtId="0" fontId="22" fillId="3" borderId="5" xfId="0" applyFont="1" applyFill="1" applyBorder="1" applyAlignment="1">
      <alignment horizontal="center"/>
    </xf>
    <xf numFmtId="0" fontId="22" fillId="3" borderId="6" xfId="0" applyFont="1" applyFill="1" applyBorder="1" applyAlignment="1">
      <alignment horizontal="center"/>
    </xf>
    <xf numFmtId="0" fontId="22" fillId="3" borderId="7" xfId="0" applyFont="1" applyFill="1" applyBorder="1" applyAlignment="1">
      <alignment horizontal="center"/>
    </xf>
    <xf numFmtId="0" fontId="22" fillId="0" borderId="0" xfId="0" applyFont="1" applyAlignment="1">
      <alignment horizontal="center" vertical="center"/>
    </xf>
    <xf numFmtId="0" fontId="22" fillId="0" borderId="0" xfId="0" applyFont="1" applyAlignment="1"/>
    <xf numFmtId="0" fontId="22" fillId="0" borderId="0" xfId="0" applyNumberFormat="1" applyFont="1" applyAlignment="1"/>
    <xf numFmtId="0" fontId="22" fillId="0" borderId="0" xfId="0" applyFont="1" applyAlignment="1">
      <alignment horizontal="center"/>
    </xf>
    <xf numFmtId="2" fontId="22" fillId="0" borderId="0" xfId="0" applyNumberFormat="1" applyFont="1"/>
    <xf numFmtId="2" fontId="22" fillId="0" borderId="2" xfId="0" applyNumberFormat="1" applyFont="1" applyBorder="1" applyAlignment="1"/>
    <xf numFmtId="2" fontId="0" fillId="0" borderId="0" xfId="0" applyNumberFormat="1"/>
    <xf numFmtId="1" fontId="22" fillId="0" borderId="4" xfId="0" applyNumberFormat="1" applyFont="1" applyBorder="1"/>
    <xf numFmtId="1" fontId="0" fillId="0" borderId="0" xfId="0" applyNumberFormat="1"/>
    <xf numFmtId="0" fontId="22" fillId="0" borderId="0" xfId="0" applyFont="1" applyAlignment="1">
      <alignment horizontal="right" vertical="center"/>
    </xf>
    <xf numFmtId="0" fontId="24" fillId="0" borderId="0" xfId="0" applyFont="1" applyAlignment="1">
      <alignment horizontal="center"/>
    </xf>
    <xf numFmtId="0" fontId="25" fillId="0" borderId="0" xfId="0" applyFont="1"/>
    <xf numFmtId="1" fontId="22" fillId="0" borderId="0" xfId="0" applyNumberFormat="1" applyFont="1" applyAlignment="1"/>
    <xf numFmtId="0" fontId="22" fillId="0" borderId="0" xfId="0" applyFont="1" applyAlignment="1"/>
    <xf numFmtId="2" fontId="22" fillId="0" borderId="0" xfId="0" applyNumberFormat="1" applyFont="1"/>
    <xf numFmtId="1" fontId="22" fillId="0" borderId="0" xfId="0" applyNumberFormat="1" applyFont="1"/>
    <xf numFmtId="0" fontId="26" fillId="0" borderId="0" xfId="0" applyFont="1"/>
    <xf numFmtId="0" fontId="22" fillId="0" borderId="0" xfId="0" applyFont="1" applyFill="1"/>
    <xf numFmtId="2" fontId="22" fillId="0" borderId="0" xfId="0" applyNumberFormat="1" applyFont="1"/>
    <xf numFmtId="1" fontId="22" fillId="0" borderId="0" xfId="0" applyNumberFormat="1" applyFont="1"/>
    <xf numFmtId="0" fontId="22" fillId="0" borderId="0" xfId="0" applyFont="1" applyBorder="1" applyAlignment="1">
      <alignment horizontal="center"/>
    </xf>
    <xf numFmtId="0" fontId="22" fillId="0" borderId="0" xfId="0" applyFont="1" applyBorder="1"/>
    <xf numFmtId="1" fontId="27" fillId="0" borderId="0" xfId="0" applyNumberFormat="1" applyFont="1" applyFill="1"/>
    <xf numFmtId="0" fontId="28" fillId="0" borderId="0" xfId="0" applyFont="1"/>
    <xf numFmtId="2" fontId="22" fillId="0" borderId="0" xfId="0" applyNumberFormat="1" applyFont="1"/>
    <xf numFmtId="0" fontId="22" fillId="4" borderId="0" xfId="0" applyFont="1" applyFill="1"/>
    <xf numFmtId="0" fontId="0" fillId="4" borderId="0" xfId="0" applyFill="1"/>
    <xf numFmtId="1" fontId="22" fillId="4" borderId="0" xfId="0" applyNumberFormat="1" applyFont="1" applyFill="1"/>
    <xf numFmtId="2" fontId="0" fillId="4" borderId="0" xfId="0" applyNumberFormat="1" applyFill="1"/>
    <xf numFmtId="2" fontId="22" fillId="4" borderId="0" xfId="0" applyNumberFormat="1" applyFont="1" applyFill="1"/>
    <xf numFmtId="2" fontId="22" fillId="0" borderId="0" xfId="0" applyNumberFormat="1" applyFont="1" applyAlignment="1">
      <alignment horizontal="right"/>
    </xf>
    <xf numFmtId="2" fontId="0" fillId="0" borderId="0" xfId="0" applyNumberFormat="1"/>
    <xf numFmtId="0" fontId="0" fillId="0" borderId="0" xfId="0" applyBorder="1"/>
    <xf numFmtId="1" fontId="22" fillId="0" borderId="0" xfId="0" applyNumberFormat="1" applyFont="1" applyFill="1"/>
    <xf numFmtId="2" fontId="22" fillId="0" borderId="0" xfId="0" applyNumberFormat="1" applyFont="1"/>
    <xf numFmtId="2" fontId="22" fillId="0" borderId="2" xfId="0" applyNumberFormat="1" applyFont="1" applyBorder="1"/>
    <xf numFmtId="2" fontId="22" fillId="0" borderId="3" xfId="0" applyNumberFormat="1" applyFont="1" applyBorder="1"/>
    <xf numFmtId="2" fontId="22" fillId="0" borderId="4" xfId="0" applyNumberFormat="1" applyFont="1" applyBorder="1"/>
    <xf numFmtId="2" fontId="0" fillId="0" borderId="0" xfId="0" applyNumberFormat="1"/>
    <xf numFmtId="2" fontId="22" fillId="0" borderId="0" xfId="0" applyNumberFormat="1" applyFont="1"/>
    <xf numFmtId="1" fontId="22" fillId="0" borderId="2" xfId="0" applyNumberFormat="1" applyFont="1" applyBorder="1"/>
    <xf numFmtId="1" fontId="22" fillId="0" borderId="3" xfId="0" applyNumberFormat="1" applyFont="1" applyBorder="1"/>
    <xf numFmtId="1" fontId="22" fillId="0" borderId="4" xfId="0" applyNumberFormat="1" applyFont="1" applyBorder="1"/>
    <xf numFmtId="0" fontId="23" fillId="0" borderId="0" xfId="0" applyFont="1"/>
    <xf numFmtId="1" fontId="27" fillId="0" borderId="0" xfId="0" applyNumberFormat="1" applyFont="1"/>
    <xf numFmtId="0" fontId="26" fillId="0" borderId="0" xfId="0" applyFont="1" applyFill="1"/>
    <xf numFmtId="1" fontId="22" fillId="0" borderId="0" xfId="0" applyNumberFormat="1" applyFont="1"/>
    <xf numFmtId="2" fontId="22" fillId="0" borderId="0" xfId="0" applyNumberFormat="1" applyFont="1"/>
    <xf numFmtId="0" fontId="0" fillId="0" borderId="0" xfId="0" applyAlignment="1">
      <alignment horizontal="right"/>
    </xf>
    <xf numFmtId="2" fontId="0" fillId="0" borderId="0" xfId="0" applyNumberFormat="1"/>
    <xf numFmtId="0" fontId="0" fillId="0" borderId="0" xfId="0" applyFill="1"/>
    <xf numFmtId="2" fontId="27" fillId="0" borderId="0" xfId="0" applyNumberFormat="1" applyFont="1"/>
    <xf numFmtId="0" fontId="27" fillId="0" borderId="0" xfId="0" applyFont="1"/>
    <xf numFmtId="1" fontId="22" fillId="0" borderId="0" xfId="0" applyNumberFormat="1" applyFont="1"/>
    <xf numFmtId="165" fontId="22" fillId="0" borderId="0" xfId="0" applyNumberFormat="1" applyFont="1"/>
    <xf numFmtId="0" fontId="1" fillId="0" borderId="0" xfId="0" applyFont="1"/>
    <xf numFmtId="1" fontId="29" fillId="0" borderId="0" xfId="0" applyNumberFormat="1" applyFont="1" applyBorder="1"/>
    <xf numFmtId="2" fontId="22" fillId="0" borderId="0" xfId="0" applyNumberFormat="1" applyFont="1" applyFill="1"/>
    <xf numFmtId="3" fontId="22" fillId="0" borderId="0" xfId="0" applyNumberFormat="1" applyFont="1"/>
    <xf numFmtId="3" fontId="22" fillId="0" borderId="2" xfId="0" applyNumberFormat="1" applyFont="1" applyBorder="1"/>
    <xf numFmtId="3" fontId="22" fillId="0" borderId="3" xfId="0" applyNumberFormat="1" applyFont="1" applyBorder="1"/>
    <xf numFmtId="3" fontId="22" fillId="0" borderId="4" xfId="0" applyNumberFormat="1" applyFont="1" applyBorder="1"/>
    <xf numFmtId="3" fontId="0" fillId="0" borderId="0" xfId="0" applyNumberFormat="1"/>
    <xf numFmtId="3" fontId="22" fillId="0" borderId="2" xfId="0" applyNumberFormat="1" applyFont="1" applyBorder="1"/>
    <xf numFmtId="3" fontId="22" fillId="0" borderId="3" xfId="0" applyNumberFormat="1" applyFont="1" applyBorder="1"/>
    <xf numFmtId="3" fontId="22" fillId="0" borderId="4" xfId="0" applyNumberFormat="1" applyFont="1" applyBorder="1"/>
    <xf numFmtId="3" fontId="26" fillId="0" borderId="0" xfId="0" applyNumberFormat="1" applyFont="1" applyFill="1"/>
    <xf numFmtId="3" fontId="27" fillId="0" borderId="0" xfId="0" applyNumberFormat="1" applyFont="1"/>
    <xf numFmtId="3" fontId="22" fillId="0" borderId="0" xfId="0" applyNumberFormat="1" applyFont="1"/>
    <xf numFmtId="3" fontId="22" fillId="0" borderId="0" xfId="0" applyNumberFormat="1" applyFont="1" applyAlignment="1">
      <alignment horizontal="right"/>
    </xf>
    <xf numFmtId="3" fontId="26" fillId="0" borderId="0" xfId="0" applyNumberFormat="1" applyFont="1"/>
    <xf numFmtId="1" fontId="30" fillId="0" borderId="0" xfId="0" applyNumberFormat="1" applyFont="1" applyBorder="1"/>
    <xf numFmtId="2" fontId="27" fillId="0" borderId="0" xfId="0" applyNumberFormat="1" applyFont="1" applyFill="1"/>
    <xf numFmtId="2" fontId="30" fillId="0" borderId="0" xfId="0" applyNumberFormat="1" applyFont="1"/>
    <xf numFmtId="0" fontId="30" fillId="0" borderId="0" xfId="0" applyFont="1"/>
    <xf numFmtId="165" fontId="27" fillId="0" borderId="0" xfId="0" applyNumberFormat="1" applyFont="1"/>
    <xf numFmtId="2" fontId="27" fillId="0" borderId="0" xfId="0" applyNumberFormat="1" applyFont="1" applyFill="1" applyAlignment="1">
      <alignment horizontal="center"/>
    </xf>
    <xf numFmtId="2" fontId="27" fillId="0" borderId="0" xfId="0" applyNumberFormat="1" applyFont="1" applyAlignment="1">
      <alignment horizontal="center"/>
    </xf>
    <xf numFmtId="3" fontId="27" fillId="0" borderId="0" xfId="0" applyNumberFormat="1" applyFont="1" applyAlignment="1">
      <alignment horizontal="center"/>
    </xf>
    <xf numFmtId="165" fontId="30" fillId="0" borderId="0" xfId="0" applyNumberFormat="1" applyFont="1"/>
    <xf numFmtId="3" fontId="27" fillId="0" borderId="0" xfId="0" applyNumberFormat="1" applyFont="1" applyFill="1"/>
    <xf numFmtId="2" fontId="22" fillId="0" borderId="0" xfId="0" applyNumberFormat="1" applyFont="1"/>
    <xf numFmtId="3" fontId="22" fillId="0" borderId="4" xfId="0" applyNumberFormat="1" applyFont="1" applyFill="1" applyBorder="1"/>
    <xf numFmtId="3" fontId="22" fillId="27" borderId="0" xfId="0" applyNumberFormat="1" applyFont="1" applyFill="1"/>
    <xf numFmtId="3" fontId="21" fillId="27" borderId="0" xfId="0" applyNumberFormat="1" applyFont="1" applyFill="1"/>
    <xf numFmtId="3" fontId="33" fillId="27" borderId="0" xfId="0" applyNumberFormat="1" applyFont="1" applyFill="1"/>
    <xf numFmtId="1" fontId="34" fillId="27" borderId="0" xfId="0" applyNumberFormat="1" applyFont="1" applyFill="1" applyBorder="1"/>
    <xf numFmtId="2" fontId="21" fillId="27" borderId="0" xfId="0" applyNumberFormat="1" applyFont="1" applyFill="1"/>
    <xf numFmtId="0" fontId="21" fillId="27" borderId="0" xfId="0" applyFont="1" applyFill="1"/>
    <xf numFmtId="1" fontId="21" fillId="27" borderId="0" xfId="0" applyNumberFormat="1" applyFont="1" applyFill="1"/>
    <xf numFmtId="2" fontId="33" fillId="27" borderId="0" xfId="0" applyNumberFormat="1" applyFont="1" applyFill="1"/>
    <xf numFmtId="0" fontId="33" fillId="27" borderId="0" xfId="0" applyFont="1" applyFill="1"/>
    <xf numFmtId="0" fontId="35" fillId="0" borderId="8" xfId="0" applyFont="1" applyBorder="1"/>
    <xf numFmtId="0" fontId="35" fillId="0" borderId="9" xfId="0" applyFont="1" applyBorder="1"/>
    <xf numFmtId="0" fontId="36" fillId="0" borderId="10" xfId="0" applyFont="1" applyBorder="1"/>
    <xf numFmtId="17" fontId="35" fillId="0" borderId="23" xfId="0" applyNumberFormat="1" applyFont="1" applyBorder="1"/>
    <xf numFmtId="0" fontId="35" fillId="0" borderId="0" xfId="0" applyFont="1" applyBorder="1"/>
    <xf numFmtId="0" fontId="36" fillId="0" borderId="24" xfId="0" applyFont="1" applyBorder="1"/>
    <xf numFmtId="0" fontId="35" fillId="0" borderId="23" xfId="0" applyFont="1" applyBorder="1"/>
    <xf numFmtId="17" fontId="35" fillId="0" borderId="0" xfId="0" applyNumberFormat="1" applyFont="1" applyBorder="1"/>
    <xf numFmtId="0" fontId="35" fillId="0" borderId="11" xfId="0" applyFont="1" applyBorder="1"/>
    <xf numFmtId="0" fontId="35" fillId="0" borderId="12" xfId="0" applyFont="1" applyBorder="1"/>
    <xf numFmtId="0" fontId="36" fillId="0" borderId="13" xfId="0" applyFont="1" applyBorder="1"/>
    <xf numFmtId="3" fontId="30" fillId="0" borderId="0" xfId="0" applyNumberFormat="1" applyFont="1"/>
    <xf numFmtId="0" fontId="37" fillId="0" borderId="0" xfId="0" applyFont="1"/>
    <xf numFmtId="0" fontId="36" fillId="0" borderId="0" xfId="0" applyFont="1"/>
    <xf numFmtId="1" fontId="38" fillId="0" borderId="0" xfId="0" applyNumberFormat="1" applyFont="1" applyBorder="1"/>
    <xf numFmtId="0" fontId="38" fillId="0" borderId="0" xfId="0" applyFont="1"/>
    <xf numFmtId="3" fontId="38" fillId="0" borderId="0" xfId="0" applyNumberFormat="1" applyFont="1"/>
    <xf numFmtId="1" fontId="39" fillId="27" borderId="0" xfId="0" applyNumberFormat="1" applyFont="1" applyFill="1" applyBorder="1"/>
    <xf numFmtId="0" fontId="38" fillId="0" borderId="0" xfId="0" applyFont="1" applyBorder="1"/>
    <xf numFmtId="2" fontId="38" fillId="0" borderId="0" xfId="0" applyNumberFormat="1" applyFont="1" applyBorder="1"/>
    <xf numFmtId="3" fontId="36" fillId="0" borderId="0" xfId="0" applyNumberFormat="1" applyFont="1"/>
    <xf numFmtId="3" fontId="36" fillId="0" borderId="0" xfId="0" applyNumberFormat="1" applyFont="1" applyAlignment="1">
      <alignment horizontal="right"/>
    </xf>
    <xf numFmtId="1" fontId="29" fillId="0" borderId="0" xfId="0" applyNumberFormat="1" applyFont="1" applyBorder="1" applyAlignment="1">
      <alignment horizontal="center"/>
    </xf>
    <xf numFmtId="3" fontId="36" fillId="0" borderId="0" xfId="0" applyNumberFormat="1" applyFont="1" applyAlignment="1">
      <alignment horizontal="center"/>
    </xf>
    <xf numFmtId="2" fontId="38" fillId="0" borderId="0" xfId="0" applyNumberFormat="1" applyFont="1"/>
    <xf numFmtId="2" fontId="39" fillId="27" borderId="0" xfId="0" applyNumberFormat="1" applyFont="1" applyFill="1" applyBorder="1"/>
    <xf numFmtId="2" fontId="40" fillId="0" borderId="0" xfId="0" applyNumberFormat="1" applyFont="1" applyBorder="1"/>
    <xf numFmtId="3" fontId="22" fillId="4" borderId="0" xfId="0" applyNumberFormat="1" applyFont="1" applyFill="1"/>
    <xf numFmtId="0" fontId="39" fillId="0" borderId="0" xfId="0" applyFont="1" applyAlignment="1"/>
    <xf numFmtId="0" fontId="38" fillId="0" borderId="0" xfId="0" applyFont="1" applyAlignment="1">
      <alignment horizontal="left"/>
    </xf>
    <xf numFmtId="2" fontId="38" fillId="0" borderId="0" xfId="0" applyNumberFormat="1" applyFont="1" applyAlignment="1">
      <alignment horizontal="right"/>
    </xf>
    <xf numFmtId="0" fontId="38" fillId="0" borderId="0" xfId="0" applyFont="1" applyAlignment="1">
      <alignment horizontal="right"/>
    </xf>
    <xf numFmtId="3" fontId="38" fillId="0" borderId="0" xfId="0" applyNumberFormat="1" applyFont="1" applyAlignment="1">
      <alignment horizontal="right"/>
    </xf>
    <xf numFmtId="2" fontId="38" fillId="0" borderId="0" xfId="0" applyNumberFormat="1" applyFont="1" applyBorder="1" applyAlignment="1">
      <alignment horizontal="right"/>
    </xf>
    <xf numFmtId="1" fontId="38" fillId="0" borderId="0" xfId="0" applyNumberFormat="1" applyFont="1" applyBorder="1" applyAlignment="1">
      <alignment horizontal="right"/>
    </xf>
    <xf numFmtId="2" fontId="38" fillId="28" borderId="0" xfId="0" applyNumberFormat="1" applyFont="1" applyFill="1" applyBorder="1"/>
    <xf numFmtId="1" fontId="38" fillId="28" borderId="0" xfId="0" applyNumberFormat="1" applyFont="1" applyFill="1" applyBorder="1"/>
    <xf numFmtId="2" fontId="41" fillId="0" borderId="0" xfId="0" applyNumberFormat="1" applyFont="1"/>
    <xf numFmtId="4" fontId="22" fillId="0" borderId="0" xfId="0" applyNumberFormat="1" applyFont="1"/>
    <xf numFmtId="3" fontId="35" fillId="0" borderId="0" xfId="0" applyNumberFormat="1" applyFont="1"/>
    <xf numFmtId="0" fontId="35" fillId="0" borderId="0" xfId="0" applyFont="1" applyAlignment="1">
      <alignment horizontal="right"/>
    </xf>
    <xf numFmtId="166" fontId="22" fillId="0" borderId="25" xfId="0" applyNumberFormat="1" applyFont="1" applyBorder="1"/>
    <xf numFmtId="3" fontId="38" fillId="0" borderId="0" xfId="0" applyNumberFormat="1" applyFont="1" applyFill="1"/>
    <xf numFmtId="3" fontId="22" fillId="0" borderId="0" xfId="0" applyNumberFormat="1" applyFont="1" applyFill="1"/>
    <xf numFmtId="2" fontId="24" fillId="0" borderId="0" xfId="0" applyNumberFormat="1" applyFont="1"/>
    <xf numFmtId="2" fontId="22" fillId="29" borderId="0" xfId="0" applyNumberFormat="1" applyFont="1" applyFill="1"/>
    <xf numFmtId="2" fontId="27" fillId="29" borderId="0" xfId="0" applyNumberFormat="1" applyFont="1" applyFill="1"/>
    <xf numFmtId="2" fontId="36" fillId="0" borderId="0" xfId="0" applyNumberFormat="1" applyFont="1"/>
    <xf numFmtId="167" fontId="22" fillId="0" borderId="0" xfId="0" applyNumberFormat="1" applyFont="1"/>
    <xf numFmtId="0" fontId="22" fillId="0" borderId="5" xfId="0" applyFont="1" applyBorder="1" applyAlignment="1">
      <alignment horizontal="right"/>
    </xf>
    <xf numFmtId="0" fontId="22" fillId="0" borderId="7" xfId="0" applyFont="1" applyBorder="1" applyAlignment="1">
      <alignment horizontal="right"/>
    </xf>
    <xf numFmtId="0" fontId="22" fillId="28" borderId="0" xfId="0" applyFont="1" applyFill="1"/>
    <xf numFmtId="0" fontId="35" fillId="0" borderId="0" xfId="0" applyFont="1"/>
    <xf numFmtId="15" fontId="35" fillId="0" borderId="0" xfId="0" applyNumberFormat="1" applyFont="1" applyAlignment="1">
      <alignment horizontal="left"/>
    </xf>
    <xf numFmtId="0" fontId="22" fillId="29" borderId="0" xfId="0" applyFont="1" applyFill="1"/>
    <xf numFmtId="3" fontId="21" fillId="30" borderId="0" xfId="0" applyNumberFormat="1" applyFont="1" applyFill="1"/>
    <xf numFmtId="3" fontId="0" fillId="30" borderId="0" xfId="0" applyNumberFormat="1" applyFill="1"/>
    <xf numFmtId="0" fontId="0" fillId="30" borderId="0" xfId="0" applyFill="1"/>
    <xf numFmtId="3" fontId="21" fillId="30" borderId="2" xfId="0" applyNumberFormat="1" applyFont="1" applyFill="1" applyBorder="1"/>
    <xf numFmtId="3" fontId="21" fillId="30" borderId="3" xfId="0" applyNumberFormat="1" applyFont="1" applyFill="1" applyBorder="1"/>
    <xf numFmtId="1" fontId="21" fillId="30" borderId="4" xfId="0" applyNumberFormat="1" applyFont="1" applyFill="1" applyBorder="1"/>
    <xf numFmtId="0" fontId="21" fillId="30" borderId="0" xfId="0" applyFont="1" applyFill="1" applyAlignment="1">
      <alignment horizontal="right"/>
    </xf>
    <xf numFmtId="167" fontId="0" fillId="0" borderId="0" xfId="0" applyNumberFormat="1"/>
    <xf numFmtId="3" fontId="22" fillId="0" borderId="0" xfId="0" applyNumberFormat="1" applyFont="1" applyFill="1" applyAlignment="1">
      <alignment horizontal="right"/>
    </xf>
    <xf numFmtId="0" fontId="21" fillId="0" borderId="0" xfId="0" applyFont="1" applyFill="1"/>
    <xf numFmtId="0" fontId="33" fillId="0" borderId="0" xfId="0" applyFont="1" applyFill="1"/>
    <xf numFmtId="0" fontId="33" fillId="31" borderId="0" xfId="0" applyFont="1" applyFill="1"/>
    <xf numFmtId="0" fontId="21" fillId="31" borderId="0" xfId="0" applyFont="1" applyFill="1" applyAlignment="1">
      <alignment horizontal="right"/>
    </xf>
    <xf numFmtId="168" fontId="22" fillId="0" borderId="0" xfId="0" applyNumberFormat="1" applyFont="1"/>
    <xf numFmtId="0" fontId="36" fillId="0" borderId="0" xfId="0" applyFont="1" applyAlignment="1">
      <alignment horizontal="right"/>
    </xf>
    <xf numFmtId="0" fontId="22" fillId="0" borderId="0" xfId="0" applyFont="1" applyAlignment="1">
      <alignment horizontal="left"/>
    </xf>
    <xf numFmtId="3" fontId="21" fillId="0" borderId="0" xfId="0" applyNumberFormat="1" applyFont="1"/>
    <xf numFmtId="3" fontId="21" fillId="0" borderId="0" xfId="0" applyNumberFormat="1" applyFont="1" applyFill="1" applyAlignment="1">
      <alignment horizontal="right"/>
    </xf>
    <xf numFmtId="3" fontId="22" fillId="28" borderId="0" xfId="0" applyNumberFormat="1" applyFont="1" applyFill="1"/>
    <xf numFmtId="0" fontId="42" fillId="28" borderId="0" xfId="0" applyFont="1" applyFill="1"/>
    <xf numFmtId="3" fontId="21" fillId="28" borderId="0" xfId="0" applyNumberFormat="1" applyFont="1" applyFill="1"/>
    <xf numFmtId="0" fontId="33" fillId="28" borderId="0" xfId="0" applyFont="1" applyFill="1"/>
  </cellXfs>
  <cellStyles count="56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Good" xfId="29"/>
    <cellStyle name="Heading 1" xfId="30"/>
    <cellStyle name="Heading 2" xfId="31"/>
    <cellStyle name="Heading 3" xfId="32"/>
    <cellStyle name="Heading 4" xfId="33"/>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topLeftCell="G1" zoomScale="125" workbookViewId="0">
      <selection activeCell="Q2" sqref="Q2:U18"/>
    </sheetView>
  </sheetViews>
  <sheetFormatPr baseColWidth="10" defaultRowHeight="15" x14ac:dyDescent="0"/>
  <cols>
    <col min="1" max="15" width="10.83203125" style="1"/>
    <col min="16" max="17" width="3.83203125" style="1" customWidth="1"/>
    <col min="18" max="20" width="10.83203125" style="1"/>
    <col min="21" max="21" width="3.83203125" style="1" customWidth="1"/>
    <col min="22" max="16384" width="10.83203125" style="1"/>
  </cols>
  <sheetData>
    <row r="1" spans="1:21" ht="18">
      <c r="A1" s="163" t="s">
        <v>58</v>
      </c>
      <c r="B1" s="123" t="s">
        <v>251</v>
      </c>
    </row>
    <row r="2" spans="1:21">
      <c r="A2" s="163" t="s">
        <v>30</v>
      </c>
      <c r="B2" s="126" t="s">
        <v>250</v>
      </c>
      <c r="Q2" s="162"/>
      <c r="R2" s="162"/>
      <c r="S2" s="162"/>
      <c r="T2" s="162"/>
      <c r="U2" s="162"/>
    </row>
    <row r="3" spans="1:21">
      <c r="A3" s="164">
        <v>41544</v>
      </c>
      <c r="B3" s="71" t="s">
        <v>17</v>
      </c>
      <c r="Q3" s="162"/>
      <c r="R3" s="3" t="s">
        <v>246</v>
      </c>
      <c r="U3" s="162"/>
    </row>
    <row r="4" spans="1:21">
      <c r="A4" s="74"/>
      <c r="Q4" s="162"/>
      <c r="T4" s="160" t="s">
        <v>245</v>
      </c>
      <c r="U4" s="162"/>
    </row>
    <row r="5" spans="1:21">
      <c r="A5" s="74"/>
      <c r="B5" s="35" t="s">
        <v>243</v>
      </c>
      <c r="Q5" s="162"/>
      <c r="R5" s="139" t="s">
        <v>217</v>
      </c>
      <c r="S5" s="127"/>
      <c r="T5" s="161" t="s">
        <v>244</v>
      </c>
      <c r="U5" s="162"/>
    </row>
    <row r="6" spans="1:21">
      <c r="Q6" s="162"/>
      <c r="R6" s="140" t="s">
        <v>218</v>
      </c>
      <c r="S6" s="127">
        <v>0</v>
      </c>
      <c r="T6" s="1">
        <f>S6/(S6+S13)</f>
        <v>0</v>
      </c>
      <c r="U6" s="162"/>
    </row>
    <row r="7" spans="1:21">
      <c r="Q7" s="162"/>
      <c r="R7" s="140" t="s">
        <v>219</v>
      </c>
      <c r="S7" s="127">
        <v>449792.73405345611</v>
      </c>
      <c r="T7" s="6">
        <f t="shared" ref="T7:T10" si="0">S7/(S7+S14)</f>
        <v>0.63512587868078219</v>
      </c>
      <c r="U7" s="162"/>
    </row>
    <row r="8" spans="1:21">
      <c r="Q8" s="162"/>
      <c r="R8" s="140" t="s">
        <v>220</v>
      </c>
      <c r="S8" s="127">
        <v>449792.73405345611</v>
      </c>
      <c r="T8" s="6">
        <f t="shared" si="0"/>
        <v>0.62482095479988964</v>
      </c>
      <c r="U8" s="162"/>
    </row>
    <row r="9" spans="1:21">
      <c r="Q9" s="162"/>
      <c r="R9" s="140" t="s">
        <v>221</v>
      </c>
      <c r="S9" s="127">
        <v>250431.21939374332</v>
      </c>
      <c r="T9" s="6">
        <f t="shared" si="0"/>
        <v>0.65682385516270192</v>
      </c>
      <c r="U9" s="162"/>
    </row>
    <row r="10" spans="1:21">
      <c r="Q10" s="162"/>
      <c r="R10" s="140" t="s">
        <v>187</v>
      </c>
      <c r="S10" s="127">
        <v>700223.95344719943</v>
      </c>
      <c r="T10" s="6">
        <f t="shared" si="0"/>
        <v>0.63590203613165375</v>
      </c>
      <c r="U10" s="162"/>
    </row>
    <row r="11" spans="1:21">
      <c r="Q11" s="162"/>
      <c r="R11" s="139"/>
      <c r="S11" s="127"/>
      <c r="U11" s="162"/>
    </row>
    <row r="12" spans="1:21">
      <c r="A12" s="3" t="s">
        <v>150</v>
      </c>
      <c r="Q12" s="162"/>
      <c r="R12" s="140" t="s">
        <v>207</v>
      </c>
      <c r="S12" s="127"/>
      <c r="U12" s="162"/>
    </row>
    <row r="13" spans="1:21">
      <c r="B13" s="1" t="s">
        <v>74</v>
      </c>
      <c r="Q13" s="162"/>
      <c r="R13" s="140" t="s">
        <v>218</v>
      </c>
      <c r="S13" s="127">
        <v>11679.972729342515</v>
      </c>
      <c r="T13" s="1">
        <f>1-T6</f>
        <v>1</v>
      </c>
      <c r="U13" s="162"/>
    </row>
    <row r="14" spans="1:21">
      <c r="B14" s="1" t="s">
        <v>26</v>
      </c>
      <c r="Q14" s="162"/>
      <c r="R14" s="140" t="s">
        <v>219</v>
      </c>
      <c r="S14" s="127">
        <v>258401.89184923749</v>
      </c>
      <c r="T14" s="6">
        <f t="shared" ref="T14:T17" si="1">1-T7</f>
        <v>0.36487412131921781</v>
      </c>
      <c r="U14" s="162"/>
    </row>
    <row r="15" spans="1:21">
      <c r="B15" s="1" t="s">
        <v>114</v>
      </c>
      <c r="Q15" s="162"/>
      <c r="R15" s="140" t="s">
        <v>220</v>
      </c>
      <c r="S15" s="127">
        <v>270081.86457858002</v>
      </c>
      <c r="T15" s="6">
        <f t="shared" si="1"/>
        <v>0.37517904520011036</v>
      </c>
      <c r="U15" s="162"/>
    </row>
    <row r="16" spans="1:21">
      <c r="A16" s="3" t="s">
        <v>18</v>
      </c>
      <c r="B16" s="3"/>
      <c r="Q16" s="162"/>
      <c r="R16" s="140" t="s">
        <v>221</v>
      </c>
      <c r="S16" s="127">
        <v>130844.85245615765</v>
      </c>
      <c r="T16" s="6">
        <f t="shared" si="1"/>
        <v>0.34317614483729808</v>
      </c>
      <c r="U16" s="162"/>
    </row>
    <row r="17" spans="1:21">
      <c r="A17" s="3"/>
      <c r="B17" s="62" t="s">
        <v>79</v>
      </c>
      <c r="Q17" s="162"/>
      <c r="R17" s="1" t="s">
        <v>187</v>
      </c>
      <c r="S17" s="87">
        <v>400926.71703473764</v>
      </c>
      <c r="T17" s="6">
        <f t="shared" si="1"/>
        <v>0.36409796386834625</v>
      </c>
      <c r="U17" s="162"/>
    </row>
    <row r="18" spans="1:21">
      <c r="Q18" s="162"/>
      <c r="R18" s="162"/>
      <c r="S18" s="162"/>
      <c r="T18" s="162"/>
      <c r="U18" s="162"/>
    </row>
    <row r="19" spans="1:21">
      <c r="A19" s="3" t="s">
        <v>16</v>
      </c>
    </row>
    <row r="20" spans="1:21">
      <c r="A20" s="1" t="s">
        <v>134</v>
      </c>
    </row>
    <row r="21" spans="1:21">
      <c r="A21" s="1" t="s">
        <v>116</v>
      </c>
    </row>
    <row r="22" spans="1:21">
      <c r="A22" s="1" t="s">
        <v>126</v>
      </c>
    </row>
    <row r="23" spans="1:21">
      <c r="B23" s="1" t="s">
        <v>98</v>
      </c>
    </row>
    <row r="25" spans="1:21">
      <c r="A25" s="3" t="s">
        <v>52</v>
      </c>
    </row>
    <row r="26" spans="1:21">
      <c r="B26" s="1" t="s">
        <v>171</v>
      </c>
    </row>
    <row r="27" spans="1:21">
      <c r="B27" s="1" t="s">
        <v>119</v>
      </c>
    </row>
    <row r="28" spans="1:21">
      <c r="A28" s="1" t="s">
        <v>163</v>
      </c>
    </row>
    <row r="29" spans="1:21">
      <c r="B29" s="1" t="s">
        <v>151</v>
      </c>
    </row>
    <row r="30" spans="1:21">
      <c r="A30" s="1" t="s">
        <v>165</v>
      </c>
    </row>
    <row r="31" spans="1:21">
      <c r="B31" s="1" t="s">
        <v>82</v>
      </c>
    </row>
    <row r="32" spans="1:21">
      <c r="A32" s="1" t="s">
        <v>166</v>
      </c>
    </row>
    <row r="33" spans="1:4">
      <c r="A33" s="1" t="s">
        <v>167</v>
      </c>
    </row>
    <row r="34" spans="1:4">
      <c r="A34" s="1" t="s">
        <v>28</v>
      </c>
    </row>
    <row r="35" spans="1:4">
      <c r="B35" s="1" t="s">
        <v>49</v>
      </c>
    </row>
    <row r="37" spans="1:4">
      <c r="A37" s="3" t="s">
        <v>46</v>
      </c>
    </row>
    <row r="38" spans="1:4">
      <c r="A38" s="1" t="s">
        <v>139</v>
      </c>
    </row>
    <row r="39" spans="1:4">
      <c r="A39" s="21" t="s">
        <v>6</v>
      </c>
      <c r="B39" s="2"/>
      <c r="C39" s="20"/>
    </row>
    <row r="40" spans="1:4">
      <c r="A40" s="21" t="s">
        <v>0</v>
      </c>
      <c r="B40" s="31"/>
      <c r="C40" s="32"/>
    </row>
    <row r="41" spans="1:4">
      <c r="A41" s="20"/>
      <c r="C41" s="29" t="s">
        <v>42</v>
      </c>
      <c r="D41" s="29" t="s">
        <v>23</v>
      </c>
    </row>
    <row r="42" spans="1:4">
      <c r="B42" s="28" t="s">
        <v>154</v>
      </c>
      <c r="C42" s="19">
        <v>40.1</v>
      </c>
      <c r="D42" s="22">
        <v>41.4</v>
      </c>
    </row>
    <row r="43" spans="1:4">
      <c r="B43" s="28" t="s">
        <v>152</v>
      </c>
      <c r="C43" s="19">
        <v>47.1</v>
      </c>
      <c r="D43" s="19">
        <v>47.5</v>
      </c>
    </row>
    <row r="44" spans="1:4">
      <c r="B44" s="28" t="s">
        <v>153</v>
      </c>
      <c r="C44" s="19">
        <v>52.3</v>
      </c>
      <c r="D44" s="19">
        <v>52.7</v>
      </c>
    </row>
    <row r="46" spans="1:4">
      <c r="A46" s="3" t="s">
        <v>29</v>
      </c>
    </row>
    <row r="47" spans="1:4">
      <c r="B47" s="1" t="s">
        <v>7</v>
      </c>
    </row>
    <row r="48" spans="1:4">
      <c r="B48" s="1" t="s">
        <v>56</v>
      </c>
    </row>
    <row r="49" spans="1:10">
      <c r="B49" s="1" t="s">
        <v>57</v>
      </c>
    </row>
    <row r="50" spans="1:10">
      <c r="B50" s="1" t="s">
        <v>27</v>
      </c>
    </row>
    <row r="52" spans="1:10">
      <c r="A52" s="3" t="s">
        <v>55</v>
      </c>
    </row>
    <row r="53" spans="1:10">
      <c r="A53" s="1" t="s">
        <v>60</v>
      </c>
    </row>
    <row r="54" spans="1:10">
      <c r="A54" s="1" t="s">
        <v>158</v>
      </c>
    </row>
    <row r="56" spans="1:10">
      <c r="D56" s="1" t="s">
        <v>76</v>
      </c>
    </row>
    <row r="57" spans="1:10">
      <c r="F57" s="1" t="s">
        <v>129</v>
      </c>
      <c r="H57" s="1" t="s">
        <v>129</v>
      </c>
      <c r="J57" s="8" t="s">
        <v>106</v>
      </c>
    </row>
    <row r="58" spans="1:10">
      <c r="D58" s="8" t="s">
        <v>107</v>
      </c>
      <c r="F58" s="1" t="s">
        <v>110</v>
      </c>
      <c r="H58" s="1" t="s">
        <v>68</v>
      </c>
      <c r="J58" s="8" t="s">
        <v>136</v>
      </c>
    </row>
    <row r="59" spans="1:10">
      <c r="C59" s="9" t="s">
        <v>142</v>
      </c>
      <c r="D59" s="9" t="s">
        <v>48</v>
      </c>
      <c r="E59" s="3"/>
      <c r="F59" s="3" t="s">
        <v>8</v>
      </c>
      <c r="G59" s="3"/>
      <c r="H59" s="3" t="s">
        <v>141</v>
      </c>
      <c r="I59" s="3"/>
      <c r="J59" s="9" t="s">
        <v>38</v>
      </c>
    </row>
    <row r="60" spans="1:10">
      <c r="C60" s="8" t="s">
        <v>45</v>
      </c>
      <c r="D60" s="7">
        <v>83.183852482928984</v>
      </c>
      <c r="E60" s="7"/>
      <c r="F60" s="7">
        <v>74.682598954443606</v>
      </c>
      <c r="G60" s="7"/>
      <c r="H60" s="7">
        <v>126.75130694548169</v>
      </c>
      <c r="J60" s="6">
        <v>3.3800771023151599</v>
      </c>
    </row>
    <row r="61" spans="1:10">
      <c r="C61" s="8" t="s">
        <v>109</v>
      </c>
      <c r="D61" s="7">
        <v>61.714970342775892</v>
      </c>
      <c r="E61" s="7"/>
      <c r="F61" s="7">
        <v>55.407801418439718</v>
      </c>
      <c r="G61" s="7"/>
      <c r="H61" s="7">
        <v>94.038120567375913</v>
      </c>
      <c r="J61" s="6">
        <v>2.5077145611702134</v>
      </c>
    </row>
    <row r="62" spans="1:10">
      <c r="C62" s="8" t="s">
        <v>108</v>
      </c>
      <c r="D62" s="7">
        <v>65.7127896605557</v>
      </c>
      <c r="E62" s="7"/>
      <c r="F62" s="7">
        <v>58.997050147492622</v>
      </c>
      <c r="G62" s="7"/>
      <c r="H62" s="7">
        <v>100.12979351032448</v>
      </c>
      <c r="J62" s="6">
        <v>2.6701612035398226</v>
      </c>
    </row>
    <row r="63" spans="1:10">
      <c r="C63" s="8" t="s">
        <v>36</v>
      </c>
      <c r="D63" s="7">
        <v>65.627609282725615</v>
      </c>
      <c r="E63" s="7"/>
      <c r="F63" s="7">
        <v>58.920575064812631</v>
      </c>
      <c r="G63" s="7"/>
      <c r="H63" s="7">
        <v>100</v>
      </c>
      <c r="J63" s="6">
        <v>2.6667000000000001</v>
      </c>
    </row>
    <row r="64" spans="1:10">
      <c r="C64" s="8" t="s">
        <v>89</v>
      </c>
      <c r="D64" s="7">
        <v>66.636660768556339</v>
      </c>
      <c r="E64" s="7"/>
      <c r="F64" s="7">
        <v>59.826503140891411</v>
      </c>
      <c r="G64" s="7"/>
      <c r="H64" s="7">
        <v>101.53754113072091</v>
      </c>
      <c r="J64" s="6">
        <v>2.7077016093329349</v>
      </c>
    </row>
    <row r="65" spans="1:10">
      <c r="C65" s="8" t="s">
        <v>37</v>
      </c>
      <c r="D65" s="7">
        <v>84.973434905890983</v>
      </c>
      <c r="E65" s="7"/>
      <c r="F65" s="7">
        <v>76.289288983826665</v>
      </c>
      <c r="G65" s="7"/>
      <c r="H65" s="7">
        <v>129.47818126335062</v>
      </c>
      <c r="J65" s="6">
        <v>3.4527946597497707</v>
      </c>
    </row>
    <row r="66" spans="1:10">
      <c r="C66" s="8" t="s">
        <v>90</v>
      </c>
      <c r="D66" s="7">
        <v>63.647530556938236</v>
      </c>
      <c r="E66" s="7"/>
      <c r="F66" s="7">
        <v>57.142857142857146</v>
      </c>
      <c r="G66" s="7"/>
      <c r="H66" s="7">
        <v>96.982857142857142</v>
      </c>
      <c r="J66" s="6">
        <v>2.5862418514285714</v>
      </c>
    </row>
    <row r="67" spans="1:10">
      <c r="C67" s="8" t="s">
        <v>91</v>
      </c>
      <c r="D67" s="7">
        <v>15.334009536969894</v>
      </c>
      <c r="E67" s="7"/>
      <c r="F67" s="7">
        <v>13.766898868360913</v>
      </c>
      <c r="G67" s="7"/>
      <c r="H67" s="7">
        <v>23.365180759382145</v>
      </c>
      <c r="J67" s="6">
        <v>0.62307927531044371</v>
      </c>
    </row>
    <row r="68" spans="1:10" ht="16" thickBot="1"/>
    <row r="69" spans="1:10" ht="16" thickBot="1">
      <c r="C69" s="8" t="s">
        <v>143</v>
      </c>
      <c r="D69" s="11">
        <v>111.38317847464192</v>
      </c>
      <c r="J69" s="10">
        <v>4.4400000000000004</v>
      </c>
    </row>
    <row r="71" spans="1:10">
      <c r="A71" s="1" t="s">
        <v>147</v>
      </c>
    </row>
    <row r="72" spans="1:10">
      <c r="A72" s="1" t="s">
        <v>87</v>
      </c>
    </row>
    <row r="73" spans="1:10">
      <c r="A73" s="1" t="s">
        <v>78</v>
      </c>
    </row>
    <row r="74" spans="1:10">
      <c r="A74" s="1" t="s">
        <v>69</v>
      </c>
    </row>
    <row r="76" spans="1:10">
      <c r="A76" s="1" t="s">
        <v>61</v>
      </c>
    </row>
    <row r="77" spans="1:10">
      <c r="A77" s="1" t="s">
        <v>169</v>
      </c>
    </row>
    <row r="78" spans="1:10">
      <c r="A78" s="1" t="s">
        <v>77</v>
      </c>
    </row>
    <row r="80" spans="1:10">
      <c r="A80" s="3" t="s">
        <v>71</v>
      </c>
    </row>
    <row r="81" spans="1:2">
      <c r="A81" s="1" t="s">
        <v>88</v>
      </c>
    </row>
    <row r="82" spans="1:2">
      <c r="A82" s="1" t="s">
        <v>144</v>
      </c>
    </row>
    <row r="83" spans="1:2">
      <c r="A83" s="1" t="s">
        <v>200</v>
      </c>
    </row>
    <row r="84" spans="1:2">
      <c r="A84" s="1" t="s">
        <v>133</v>
      </c>
    </row>
    <row r="85" spans="1:2">
      <c r="B85" s="124" t="s">
        <v>199</v>
      </c>
    </row>
    <row r="86" spans="1:2">
      <c r="A86" s="1" t="s">
        <v>201</v>
      </c>
    </row>
    <row r="87" spans="1:2">
      <c r="A87" s="1" t="s">
        <v>121</v>
      </c>
    </row>
    <row r="88" spans="1:2">
      <c r="A88" s="1" t="s">
        <v>47</v>
      </c>
    </row>
    <row r="90" spans="1:2">
      <c r="A90" s="3" t="s">
        <v>72</v>
      </c>
    </row>
    <row r="91" spans="1:2">
      <c r="A91" s="1" t="s">
        <v>137</v>
      </c>
    </row>
    <row r="92" spans="1:2">
      <c r="A92" s="1" t="s">
        <v>105</v>
      </c>
    </row>
    <row r="93" spans="1:2">
      <c r="A93" s="1" t="s">
        <v>118</v>
      </c>
    </row>
    <row r="94" spans="1:2">
      <c r="A94" s="1" t="s">
        <v>168</v>
      </c>
    </row>
    <row r="95" spans="1:2">
      <c r="A95" s="1" t="s">
        <v>173</v>
      </c>
    </row>
    <row r="96" spans="1:2">
      <c r="A96" s="1" t="s">
        <v>174</v>
      </c>
    </row>
    <row r="97" spans="1:11">
      <c r="A97" s="1" t="s">
        <v>161</v>
      </c>
    </row>
    <row r="98" spans="1:11">
      <c r="A98" s="1" t="s">
        <v>162</v>
      </c>
    </row>
    <row r="99" spans="1:11">
      <c r="B99" s="1" t="s">
        <v>1</v>
      </c>
    </row>
    <row r="100" spans="1:11">
      <c r="A100" s="1" t="s">
        <v>2</v>
      </c>
    </row>
    <row r="101" spans="1:11">
      <c r="A101" s="1" t="s">
        <v>3</v>
      </c>
    </row>
    <row r="102" spans="1:11">
      <c r="B102" s="124" t="s">
        <v>248</v>
      </c>
      <c r="E102" s="165" t="s">
        <v>249</v>
      </c>
      <c r="F102" s="165"/>
      <c r="G102" s="165"/>
      <c r="H102" s="165"/>
      <c r="I102" s="165"/>
      <c r="J102" s="165"/>
      <c r="K102" s="165"/>
    </row>
    <row r="103" spans="1:11">
      <c r="A103" s="1" t="s">
        <v>252</v>
      </c>
    </row>
    <row r="104" spans="1:11">
      <c r="A104" s="1" t="s">
        <v>247</v>
      </c>
    </row>
    <row r="105" spans="1:11">
      <c r="A105" s="1" t="s">
        <v>253</v>
      </c>
    </row>
    <row r="106" spans="1:11">
      <c r="A106" s="1" t="s">
        <v>254</v>
      </c>
    </row>
  </sheetData>
  <phoneticPr fontId="20"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3"/>
  <sheetViews>
    <sheetView tabSelected="1" topLeftCell="A3" workbookViewId="0">
      <pane xSplit="9400" ySplit="3340" topLeftCell="BB22" activePane="bottomRight"/>
      <selection activeCell="Y36" sqref="Y36:Y45"/>
      <selection pane="topRight" activeCell="BG3" sqref="BG3:BG41"/>
      <selection pane="bottomLeft" activeCell="F39" sqref="F39:F41"/>
      <selection pane="bottomRight" activeCell="BG41" sqref="BG41"/>
    </sheetView>
  </sheetViews>
  <sheetFormatPr baseColWidth="10" defaultRowHeight="15" x14ac:dyDescent="0"/>
  <cols>
    <col min="1" max="1" width="6.6640625" customWidth="1"/>
    <col min="2" max="2" width="12.83203125" customWidth="1"/>
    <col min="3" max="3" width="11.33203125" customWidth="1"/>
    <col min="6" max="6" width="13" customWidth="1"/>
    <col min="7" max="8" width="10.83203125" style="81"/>
    <col min="9" max="9" width="13.83203125" style="81" customWidth="1"/>
    <col min="10" max="10" width="10.83203125" style="81"/>
    <col min="11" max="11" width="3.83203125" style="81" customWidth="1"/>
    <col min="12" max="13" width="10.33203125" style="81" customWidth="1"/>
    <col min="14" max="14" width="14" style="81" customWidth="1"/>
    <col min="15" max="15" width="10.33203125" style="81" customWidth="1"/>
    <col min="16" max="16" width="4.83203125" style="51" customWidth="1"/>
    <col min="17" max="17" width="12.5" style="25" customWidth="1"/>
    <col min="18" max="18" width="13" style="25" customWidth="1"/>
    <col min="19" max="19" width="11.83203125" style="25" customWidth="1"/>
    <col min="20" max="20" width="13" style="25" customWidth="1"/>
    <col min="21" max="21" width="4.83203125" customWidth="1"/>
    <col min="22" max="24" width="15.6640625" style="81" customWidth="1"/>
    <col min="25" max="25" width="10.83203125" style="27" customWidth="1"/>
    <col min="26" max="26" width="5" style="69" customWidth="1"/>
    <col min="27" max="28" width="18.83203125" style="69" customWidth="1"/>
    <col min="29" max="29" width="20.5" style="69" customWidth="1"/>
    <col min="30" max="30" width="5" style="69" customWidth="1"/>
    <col min="31" max="31" width="10.1640625" style="100" customWidth="1"/>
    <col min="32" max="32" width="15.83203125" style="100" customWidth="1"/>
    <col min="33" max="34" width="15.83203125" style="53" customWidth="1"/>
    <col min="35" max="35" width="6.83203125" style="1" customWidth="1"/>
    <col min="36" max="37" width="11.1640625" style="77" bestFit="1" customWidth="1"/>
    <col min="38" max="38" width="14.6640625" style="77" customWidth="1"/>
    <col min="39" max="39" width="13.1640625" style="77" bestFit="1" customWidth="1"/>
    <col min="40" max="40" width="4.83203125" style="57" customWidth="1"/>
    <col min="43" max="43" width="13.5" customWidth="1"/>
    <col min="45" max="45" width="4.83203125" customWidth="1"/>
    <col min="46" max="47" width="12" customWidth="1"/>
    <col min="48" max="48" width="14.83203125" customWidth="1"/>
    <col min="49" max="49" width="5.1640625" customWidth="1"/>
    <col min="50" max="50" width="4.83203125" customWidth="1"/>
    <col min="51" max="51" width="11.1640625" style="81" bestFit="1" customWidth="1"/>
    <col min="52" max="52" width="11" style="81" bestFit="1" customWidth="1"/>
    <col min="53" max="53" width="12.5" customWidth="1"/>
    <col min="54" max="54" width="4.83203125" customWidth="1"/>
    <col min="55" max="55" width="13.1640625" customWidth="1"/>
    <col min="56" max="57" width="11.1640625" bestFit="1" customWidth="1"/>
    <col min="59" max="59" width="10.83203125" customWidth="1"/>
    <col min="60" max="60" width="11" bestFit="1" customWidth="1"/>
    <col min="61" max="62" width="11.1640625" bestFit="1" customWidth="1"/>
    <col min="64" max="64" width="10.83203125" style="1"/>
  </cols>
  <sheetData>
    <row r="1" spans="1:64" ht="18">
      <c r="A1" s="111" t="s">
        <v>188</v>
      </c>
      <c r="B1" s="112"/>
      <c r="C1" s="113"/>
      <c r="D1" s="42" t="s">
        <v>113</v>
      </c>
      <c r="E1" s="1"/>
      <c r="F1" s="1"/>
      <c r="G1" s="87"/>
      <c r="H1" s="87"/>
      <c r="I1" s="87"/>
      <c r="J1" s="87"/>
      <c r="K1" s="87"/>
      <c r="L1" s="87"/>
      <c r="M1" s="87"/>
      <c r="N1" s="87"/>
      <c r="O1" s="87"/>
      <c r="P1" s="40"/>
      <c r="Q1" s="23"/>
      <c r="R1" s="23"/>
      <c r="S1" s="23"/>
      <c r="T1" s="23"/>
      <c r="U1" s="100"/>
      <c r="V1" s="87"/>
      <c r="W1" s="87"/>
      <c r="X1" s="87"/>
      <c r="Y1" s="100"/>
      <c r="Z1" s="100"/>
      <c r="AA1" s="100"/>
      <c r="AB1" s="100"/>
      <c r="AC1" s="100"/>
      <c r="AD1" s="100"/>
      <c r="AG1" s="100"/>
      <c r="AH1" s="100"/>
      <c r="AI1" s="100"/>
      <c r="AJ1" s="100"/>
      <c r="AK1" s="100"/>
      <c r="AL1" s="100"/>
      <c r="AM1" s="100"/>
      <c r="AN1" s="100"/>
      <c r="AO1" s="100"/>
      <c r="AP1" s="100"/>
      <c r="AQ1" s="100"/>
      <c r="AR1" s="100"/>
      <c r="AS1" s="100"/>
      <c r="AT1" s="100"/>
      <c r="AU1" s="100"/>
      <c r="AV1" s="100"/>
      <c r="AW1" s="100"/>
      <c r="AX1" s="100"/>
      <c r="AY1" s="87"/>
      <c r="AZ1" s="87"/>
    </row>
    <row r="2" spans="1:64" ht="17">
      <c r="A2" s="114" t="s">
        <v>189</v>
      </c>
      <c r="B2" s="115"/>
      <c r="C2" s="116"/>
      <c r="D2" s="30"/>
      <c r="E2" s="30"/>
      <c r="F2" s="30"/>
      <c r="G2" s="30"/>
      <c r="H2" s="30"/>
      <c r="I2" s="30"/>
      <c r="J2" s="30"/>
      <c r="K2" s="30"/>
      <c r="L2" s="30"/>
      <c r="M2" s="30"/>
      <c r="N2" s="30"/>
      <c r="O2" s="30"/>
      <c r="P2" s="30"/>
      <c r="Q2" s="23"/>
      <c r="R2" s="23"/>
      <c r="S2" s="23"/>
      <c r="T2" s="23"/>
      <c r="U2" s="100"/>
      <c r="V2" s="87"/>
      <c r="W2" s="87"/>
      <c r="X2" s="87"/>
      <c r="Y2" s="100"/>
      <c r="Z2" s="100"/>
      <c r="AA2" s="100"/>
      <c r="AB2" s="100"/>
      <c r="AC2" s="100"/>
      <c r="AD2" s="100"/>
      <c r="AG2" s="100"/>
      <c r="AH2" s="100"/>
      <c r="AI2" s="100"/>
      <c r="AJ2" s="100"/>
      <c r="AK2" s="100"/>
      <c r="AL2" s="100"/>
      <c r="AM2" s="100"/>
      <c r="AN2" s="100"/>
      <c r="AO2" s="100"/>
      <c r="AP2" s="100"/>
      <c r="AQ2" s="100"/>
      <c r="AR2" s="100"/>
      <c r="AS2" s="100"/>
      <c r="AT2" s="100"/>
      <c r="AU2" s="100"/>
      <c r="AV2" s="100"/>
      <c r="AW2" s="100"/>
      <c r="AX2" s="100"/>
      <c r="AY2" s="87"/>
      <c r="AZ2" s="87"/>
    </row>
    <row r="3" spans="1:64" ht="17">
      <c r="A3" s="117" t="s">
        <v>190</v>
      </c>
      <c r="B3" s="118"/>
      <c r="C3" s="116"/>
      <c r="D3" s="30"/>
      <c r="E3" s="30"/>
      <c r="F3" s="30"/>
      <c r="G3" s="89"/>
      <c r="H3" s="89"/>
      <c r="I3" s="89"/>
      <c r="J3" s="89"/>
      <c r="K3" s="87"/>
      <c r="L3" s="87"/>
      <c r="M3" s="87"/>
      <c r="N3" s="87"/>
      <c r="O3" s="87"/>
      <c r="P3" s="75"/>
      <c r="Q3" s="43"/>
      <c r="R3" s="43"/>
      <c r="S3" s="43"/>
      <c r="T3" s="43"/>
      <c r="U3" s="100"/>
      <c r="V3" s="87"/>
      <c r="W3" s="87"/>
      <c r="X3" s="87"/>
      <c r="Y3" s="100"/>
      <c r="Z3" s="100"/>
      <c r="AA3" s="100"/>
      <c r="AB3" s="100"/>
      <c r="AC3" s="100"/>
      <c r="AD3" s="100"/>
      <c r="AG3" s="100"/>
      <c r="AH3" s="100"/>
      <c r="AI3" s="100"/>
      <c r="AJ3" s="100"/>
      <c r="AK3" s="100"/>
      <c r="AL3" s="100"/>
      <c r="AM3" s="100"/>
      <c r="AN3" s="100"/>
      <c r="AO3" s="100"/>
      <c r="AP3" s="100"/>
      <c r="AQ3" s="100"/>
      <c r="AR3" s="100"/>
      <c r="AS3" s="100"/>
      <c r="AT3" s="100"/>
      <c r="AU3" s="100"/>
      <c r="AV3" s="100"/>
      <c r="AW3" s="100"/>
      <c r="AX3" s="100"/>
      <c r="AY3" s="87"/>
      <c r="AZ3" s="87"/>
      <c r="BK3" s="1"/>
      <c r="BL3"/>
    </row>
    <row r="4" spans="1:64">
      <c r="A4" s="117" t="s">
        <v>191</v>
      </c>
      <c r="B4" s="115"/>
      <c r="C4" s="116"/>
      <c r="E4" s="1"/>
      <c r="G4" s="103" t="s">
        <v>183</v>
      </c>
      <c r="H4" s="104"/>
      <c r="I4" s="104"/>
      <c r="J4" s="104"/>
      <c r="K4" s="104"/>
      <c r="L4" s="104" t="s">
        <v>184</v>
      </c>
      <c r="M4" s="104"/>
      <c r="N4" s="104"/>
      <c r="O4" s="104"/>
      <c r="P4" s="105"/>
      <c r="Q4" s="106"/>
      <c r="R4" s="106"/>
      <c r="S4" s="106"/>
      <c r="T4" s="106"/>
      <c r="U4" s="107"/>
      <c r="V4" s="103" t="s">
        <v>180</v>
      </c>
      <c r="W4" s="103"/>
      <c r="X4" s="103"/>
      <c r="Y4" s="108"/>
      <c r="Z4" s="107"/>
      <c r="AA4" s="107"/>
      <c r="AB4" s="107"/>
      <c r="AC4" s="107"/>
      <c r="AD4" s="107"/>
      <c r="AE4" s="106" t="s">
        <v>180</v>
      </c>
      <c r="AF4" s="106"/>
      <c r="AG4" s="106"/>
      <c r="AH4" s="106"/>
      <c r="AI4" s="107"/>
      <c r="AJ4" s="103" t="s">
        <v>180</v>
      </c>
      <c r="AK4" s="102"/>
      <c r="AL4" s="102"/>
      <c r="AM4" s="102"/>
      <c r="AN4" s="109"/>
      <c r="AO4" s="103" t="s">
        <v>179</v>
      </c>
      <c r="AP4" s="110"/>
      <c r="AQ4" s="110"/>
      <c r="AR4" s="110"/>
      <c r="AS4" s="110"/>
      <c r="AT4" s="103" t="s">
        <v>180</v>
      </c>
      <c r="AU4" s="110"/>
      <c r="AV4" s="177"/>
      <c r="AW4" s="100"/>
      <c r="AX4" s="100"/>
      <c r="AY4" s="166" t="s">
        <v>193</v>
      </c>
      <c r="AZ4" s="167"/>
      <c r="BA4" s="168"/>
      <c r="BC4" s="103" t="s">
        <v>180</v>
      </c>
      <c r="BD4" s="110"/>
      <c r="BE4" s="177"/>
      <c r="BF4" s="100"/>
      <c r="BG4" s="166" t="s">
        <v>193</v>
      </c>
      <c r="BH4" s="167"/>
      <c r="BI4" s="168"/>
      <c r="BK4" s="1"/>
      <c r="BL4"/>
    </row>
    <row r="5" spans="1:64">
      <c r="A5" s="119" t="s">
        <v>192</v>
      </c>
      <c r="B5" s="120"/>
      <c r="C5" s="121"/>
      <c r="E5" s="1"/>
      <c r="G5"/>
      <c r="H5"/>
      <c r="I5"/>
      <c r="J5"/>
      <c r="K5"/>
      <c r="L5"/>
      <c r="M5"/>
      <c r="N5"/>
      <c r="O5"/>
      <c r="P5"/>
      <c r="Q5"/>
      <c r="R5"/>
      <c r="S5"/>
      <c r="T5"/>
      <c r="Y5"/>
      <c r="Z5" s="36"/>
      <c r="AA5" s="36"/>
      <c r="AB5" s="36"/>
      <c r="AC5" s="36"/>
      <c r="AD5" s="36"/>
      <c r="AE5" s="76"/>
      <c r="AF5" s="76"/>
      <c r="AG5" s="100"/>
      <c r="AJ5" s="87"/>
      <c r="AK5" s="87"/>
      <c r="AL5" s="87"/>
      <c r="AM5" s="87"/>
      <c r="AT5" s="1" t="s">
        <v>75</v>
      </c>
      <c r="AW5" s="100"/>
      <c r="AX5" s="100"/>
      <c r="BC5" s="1" t="s">
        <v>75</v>
      </c>
      <c r="BF5" s="100"/>
      <c r="BG5" s="81"/>
      <c r="BH5" s="81"/>
      <c r="BK5" s="1"/>
      <c r="BL5"/>
    </row>
    <row r="6" spans="1:64" ht="16" thickBot="1">
      <c r="A6" s="8" t="s">
        <v>237</v>
      </c>
      <c r="B6" s="1"/>
      <c r="C6" s="1"/>
      <c r="D6" s="1"/>
      <c r="E6" s="1"/>
      <c r="F6" s="1"/>
      <c r="G6" s="1"/>
      <c r="H6" s="1"/>
      <c r="I6" s="1"/>
      <c r="J6" s="1"/>
      <c r="K6" s="1"/>
      <c r="L6" s="1"/>
      <c r="M6" s="1"/>
      <c r="N6" s="1"/>
      <c r="O6" s="1"/>
      <c r="P6" s="1"/>
      <c r="Q6" s="1"/>
      <c r="R6" s="1"/>
      <c r="S6" s="1"/>
      <c r="T6" s="1"/>
      <c r="U6" s="1"/>
      <c r="V6" s="182" t="s">
        <v>305</v>
      </c>
      <c r="W6" s="87"/>
      <c r="X6" s="87"/>
      <c r="Y6" s="1"/>
      <c r="Z6" s="36"/>
      <c r="AA6" s="175" t="s">
        <v>309</v>
      </c>
      <c r="AB6" s="36"/>
      <c r="AC6" s="36"/>
      <c r="AD6" s="36"/>
      <c r="AE6" s="100" t="s">
        <v>241</v>
      </c>
      <c r="AT6" s="182" t="s">
        <v>305</v>
      </c>
      <c r="AY6" s="182" t="s">
        <v>305</v>
      </c>
      <c r="AZ6" s="87"/>
      <c r="BA6" s="87"/>
      <c r="BB6" s="1"/>
      <c r="BC6" s="175" t="s">
        <v>309</v>
      </c>
      <c r="BG6" s="175" t="s">
        <v>309</v>
      </c>
      <c r="BH6" s="81"/>
      <c r="BK6" s="1"/>
      <c r="BL6"/>
    </row>
    <row r="7" spans="1:64" ht="16" thickBot="1">
      <c r="A7" s="8" t="s">
        <v>238</v>
      </c>
      <c r="B7" s="1"/>
      <c r="C7" s="1"/>
      <c r="D7" s="1"/>
      <c r="E7" s="1"/>
      <c r="F7" s="1"/>
      <c r="G7" s="82" t="s">
        <v>104</v>
      </c>
      <c r="H7" s="83"/>
      <c r="I7" s="83"/>
      <c r="J7" s="84"/>
      <c r="K7" s="87"/>
      <c r="L7" s="82" t="s">
        <v>132</v>
      </c>
      <c r="M7" s="83"/>
      <c r="N7" s="83"/>
      <c r="O7" s="101"/>
      <c r="P7" s="75"/>
      <c r="Q7" s="24" t="s">
        <v>70</v>
      </c>
      <c r="R7" s="55"/>
      <c r="S7" s="55"/>
      <c r="T7" s="56"/>
      <c r="U7" s="1"/>
      <c r="V7" s="82" t="s">
        <v>304</v>
      </c>
      <c r="W7" s="83"/>
      <c r="X7" s="83"/>
      <c r="Y7" s="26"/>
      <c r="Z7" s="36"/>
      <c r="AA7" s="82" t="s">
        <v>308</v>
      </c>
      <c r="AB7" s="83"/>
      <c r="AC7" s="83"/>
      <c r="AD7" s="36"/>
      <c r="AE7" s="54" t="s">
        <v>242</v>
      </c>
      <c r="AF7" s="55"/>
      <c r="AG7" s="55"/>
      <c r="AH7" s="56"/>
      <c r="AJ7" s="78" t="s">
        <v>101</v>
      </c>
      <c r="AK7" s="79"/>
      <c r="AL7" s="79"/>
      <c r="AM7" s="80"/>
      <c r="AO7" s="54" t="s">
        <v>315</v>
      </c>
      <c r="AP7" s="55"/>
      <c r="AQ7" s="55"/>
      <c r="AR7" s="56"/>
      <c r="AS7" s="1"/>
      <c r="AT7" s="59" t="s">
        <v>307</v>
      </c>
      <c r="AU7" s="60"/>
      <c r="AV7" s="61"/>
      <c r="AY7" s="169" t="s">
        <v>306</v>
      </c>
      <c r="AZ7" s="170"/>
      <c r="BA7" s="171"/>
      <c r="BC7" s="59" t="s">
        <v>310</v>
      </c>
      <c r="BD7" s="60"/>
      <c r="BE7" s="61"/>
      <c r="BG7" s="169" t="s">
        <v>311</v>
      </c>
      <c r="BH7" s="170"/>
      <c r="BI7" s="171"/>
      <c r="BK7" s="1"/>
      <c r="BL7"/>
    </row>
    <row r="8" spans="1:64">
      <c r="A8" s="8" t="s">
        <v>97</v>
      </c>
      <c r="B8" s="12" t="s">
        <v>159</v>
      </c>
      <c r="C8" s="1" t="s">
        <v>124</v>
      </c>
      <c r="D8" s="1"/>
      <c r="E8" s="1"/>
      <c r="F8" s="1"/>
      <c r="G8" s="88" t="s">
        <v>177</v>
      </c>
      <c r="H8" s="88" t="s">
        <v>176</v>
      </c>
      <c r="I8" s="88" t="s">
        <v>185</v>
      </c>
      <c r="J8" s="88"/>
      <c r="K8" s="87"/>
      <c r="L8" s="88" t="s">
        <v>177</v>
      </c>
      <c r="M8" s="88" t="s">
        <v>176</v>
      </c>
      <c r="N8" s="88" t="s">
        <v>185</v>
      </c>
      <c r="O8" s="88"/>
      <c r="P8" s="75"/>
      <c r="Q8" s="88" t="s">
        <v>177</v>
      </c>
      <c r="R8" s="88" t="s">
        <v>176</v>
      </c>
      <c r="S8" s="88"/>
      <c r="T8" s="88"/>
      <c r="U8" s="1"/>
      <c r="V8" s="88" t="s">
        <v>177</v>
      </c>
      <c r="W8" s="88" t="s">
        <v>176</v>
      </c>
      <c r="X8" s="88" t="s">
        <v>187</v>
      </c>
      <c r="Y8" s="88"/>
      <c r="Z8" s="36"/>
      <c r="AA8" s="88" t="s">
        <v>177</v>
      </c>
      <c r="AB8" s="88" t="s">
        <v>176</v>
      </c>
      <c r="AC8" s="88" t="s">
        <v>187</v>
      </c>
      <c r="AD8" s="36"/>
      <c r="AE8" s="49" t="s">
        <v>177</v>
      </c>
      <c r="AF8" s="49" t="s">
        <v>176</v>
      </c>
      <c r="AG8" s="88"/>
      <c r="AH8" s="88"/>
      <c r="AJ8" s="88" t="s">
        <v>177</v>
      </c>
      <c r="AK8" s="88" t="s">
        <v>176</v>
      </c>
      <c r="AL8" s="88" t="s">
        <v>185</v>
      </c>
      <c r="AM8" s="88"/>
      <c r="AO8" s="88" t="s">
        <v>177</v>
      </c>
      <c r="AP8" s="88" t="s">
        <v>176</v>
      </c>
      <c r="AQ8" s="88" t="s">
        <v>187</v>
      </c>
      <c r="AR8" s="88"/>
      <c r="AS8" s="1"/>
      <c r="AT8" s="88" t="s">
        <v>177</v>
      </c>
      <c r="AU8" s="88" t="s">
        <v>176</v>
      </c>
      <c r="AV8" s="88" t="s">
        <v>187</v>
      </c>
      <c r="AW8" s="88"/>
      <c r="AX8" s="88"/>
      <c r="AY8" s="88" t="s">
        <v>177</v>
      </c>
      <c r="AZ8" s="88" t="s">
        <v>176</v>
      </c>
      <c r="BA8" s="88" t="s">
        <v>187</v>
      </c>
      <c r="BC8" s="88" t="s">
        <v>177</v>
      </c>
      <c r="BD8" s="88" t="s">
        <v>176</v>
      </c>
      <c r="BE8" s="88" t="s">
        <v>187</v>
      </c>
      <c r="BF8" s="88"/>
      <c r="BG8" s="88" t="s">
        <v>177</v>
      </c>
      <c r="BH8" s="88" t="s">
        <v>176</v>
      </c>
      <c r="BI8" s="88" t="s">
        <v>187</v>
      </c>
      <c r="BK8" s="1"/>
      <c r="BL8"/>
    </row>
    <row r="9" spans="1:64">
      <c r="A9" s="8" t="s">
        <v>111</v>
      </c>
      <c r="B9" s="12" t="s">
        <v>54</v>
      </c>
      <c r="C9" s="1" t="s">
        <v>239</v>
      </c>
      <c r="D9" s="1" t="s">
        <v>112</v>
      </c>
      <c r="E9" s="1"/>
      <c r="F9" s="1"/>
      <c r="G9" s="88" t="s">
        <v>178</v>
      </c>
      <c r="H9" s="88" t="s">
        <v>23</v>
      </c>
      <c r="I9" s="88" t="s">
        <v>186</v>
      </c>
      <c r="J9" s="88"/>
      <c r="K9" s="87"/>
      <c r="L9" s="88" t="s">
        <v>178</v>
      </c>
      <c r="M9" s="88" t="s">
        <v>23</v>
      </c>
      <c r="N9" s="88" t="s">
        <v>186</v>
      </c>
      <c r="O9" s="88"/>
      <c r="P9" s="75"/>
      <c r="Q9" s="88" t="s">
        <v>178</v>
      </c>
      <c r="R9" s="88" t="s">
        <v>23</v>
      </c>
      <c r="S9" s="88" t="s">
        <v>80</v>
      </c>
      <c r="T9" s="88"/>
      <c r="U9" s="1"/>
      <c r="V9" s="88" t="s">
        <v>178</v>
      </c>
      <c r="W9" s="88" t="s">
        <v>23</v>
      </c>
      <c r="X9" s="88" t="s">
        <v>23</v>
      </c>
      <c r="Y9" s="88"/>
      <c r="Z9" s="36"/>
      <c r="AA9" s="88" t="s">
        <v>178</v>
      </c>
      <c r="AB9" s="88" t="s">
        <v>23</v>
      </c>
      <c r="AC9" s="88" t="s">
        <v>23</v>
      </c>
      <c r="AD9" s="36"/>
      <c r="AE9" s="49" t="s">
        <v>178</v>
      </c>
      <c r="AF9" s="49" t="s">
        <v>23</v>
      </c>
      <c r="AG9" s="88" t="s">
        <v>80</v>
      </c>
      <c r="AH9" s="88"/>
      <c r="AJ9" s="88" t="s">
        <v>178</v>
      </c>
      <c r="AK9" s="88" t="s">
        <v>23</v>
      </c>
      <c r="AL9" s="88" t="s">
        <v>186</v>
      </c>
      <c r="AM9" s="88"/>
      <c r="AO9" s="88" t="s">
        <v>178</v>
      </c>
      <c r="AP9" s="88" t="s">
        <v>23</v>
      </c>
      <c r="AQ9" s="88" t="s">
        <v>23</v>
      </c>
      <c r="AR9" s="88"/>
      <c r="AS9" s="1"/>
      <c r="AT9" s="88" t="s">
        <v>178</v>
      </c>
      <c r="AU9" s="88" t="s">
        <v>23</v>
      </c>
      <c r="AV9" s="88" t="s">
        <v>23</v>
      </c>
      <c r="AW9" s="88"/>
      <c r="AX9" s="88"/>
      <c r="AY9" s="88" t="s">
        <v>178</v>
      </c>
      <c r="AZ9" s="88" t="s">
        <v>23</v>
      </c>
      <c r="BA9" s="88" t="s">
        <v>23</v>
      </c>
      <c r="BC9" s="88" t="s">
        <v>178</v>
      </c>
      <c r="BD9" s="88" t="s">
        <v>23</v>
      </c>
      <c r="BE9" s="88" t="s">
        <v>23</v>
      </c>
      <c r="BF9" s="88"/>
      <c r="BG9" s="88" t="s">
        <v>178</v>
      </c>
      <c r="BH9" s="88" t="s">
        <v>23</v>
      </c>
      <c r="BI9" s="88" t="s">
        <v>23</v>
      </c>
      <c r="BK9" s="1"/>
      <c r="BL9"/>
    </row>
    <row r="10" spans="1:64">
      <c r="A10" s="1"/>
      <c r="B10" s="12"/>
      <c r="C10" s="1"/>
      <c r="D10" s="1"/>
      <c r="E10" s="1"/>
      <c r="F10" s="1"/>
      <c r="G10" s="87"/>
      <c r="H10" s="87"/>
      <c r="I10" s="87"/>
      <c r="J10" s="132" t="s">
        <v>214</v>
      </c>
      <c r="K10" s="87"/>
      <c r="L10" s="87"/>
      <c r="M10" s="87"/>
      <c r="N10" s="87"/>
      <c r="O10" s="87"/>
      <c r="P10" s="87"/>
      <c r="Q10" s="87"/>
      <c r="R10" s="87"/>
      <c r="S10" s="87"/>
      <c r="T10" s="88"/>
      <c r="U10" s="87"/>
      <c r="V10" s="87"/>
      <c r="W10" s="87"/>
      <c r="X10" s="87"/>
      <c r="Y10" s="88"/>
      <c r="Z10" s="36"/>
      <c r="AA10" s="36"/>
      <c r="AB10" s="36"/>
      <c r="AC10" s="36"/>
      <c r="AD10" s="36"/>
      <c r="AG10" s="154"/>
      <c r="AH10" s="88"/>
      <c r="AI10" s="87"/>
      <c r="AJ10" s="87"/>
      <c r="AK10" s="87"/>
      <c r="AL10" s="87"/>
      <c r="AM10" s="88"/>
      <c r="AR10" s="88"/>
      <c r="AW10" s="88"/>
      <c r="AX10" s="88"/>
      <c r="AY10" s="87"/>
      <c r="AZ10" s="87"/>
      <c r="BA10" s="1"/>
      <c r="BK10" s="1"/>
      <c r="BL10"/>
    </row>
    <row r="11" spans="1:64">
      <c r="A11" s="1">
        <v>1</v>
      </c>
      <c r="B11" s="13" t="s">
        <v>40</v>
      </c>
      <c r="C11" s="4" t="s">
        <v>41</v>
      </c>
      <c r="D11" s="32" t="s">
        <v>164</v>
      </c>
      <c r="E11" s="1"/>
      <c r="F11" s="1"/>
      <c r="G11" s="87"/>
      <c r="H11" s="86">
        <f>SUM(H12:H22)</f>
        <v>3696.0366600576413</v>
      </c>
      <c r="I11" s="86">
        <f>SUM(I12:I22)</f>
        <v>3696.0366600576413</v>
      </c>
      <c r="J11" s="132">
        <f>I11-H11-G11</f>
        <v>0</v>
      </c>
      <c r="K11" s="86"/>
      <c r="L11" s="87"/>
      <c r="M11" s="86">
        <f>SUM(M12:M22)</f>
        <v>6445.6587433078648</v>
      </c>
      <c r="N11" s="86">
        <f>SUM(N12:N22)</f>
        <v>6445.6587433078648</v>
      </c>
      <c r="O11" s="132">
        <f>N11-M11-L11</f>
        <v>0</v>
      </c>
      <c r="P11" s="90"/>
      <c r="Q11" s="87"/>
      <c r="R11" s="70">
        <f>W11/H11</f>
        <v>1103.2709936079123</v>
      </c>
      <c r="S11" s="70">
        <f t="shared" ref="S11:S20" si="0">X11/I11</f>
        <v>1103.2709936079123</v>
      </c>
      <c r="T11" s="88"/>
      <c r="U11" s="63"/>
      <c r="V11" s="87"/>
      <c r="W11" s="86">
        <f>SUM(W12:W22)</f>
        <v>4077730.0383530636</v>
      </c>
      <c r="X11" s="86">
        <f>SUM(X12:X22)</f>
        <v>4077730.0383530636</v>
      </c>
      <c r="Y11" s="132">
        <f>X11-W11-V11</f>
        <v>0</v>
      </c>
      <c r="Z11" s="36"/>
      <c r="AA11" s="36"/>
      <c r="AB11" s="154">
        <f>'(2) Deriving own-lab earnings'!AQ10</f>
        <v>4017137.4220699002</v>
      </c>
      <c r="AC11" s="154">
        <f>AB11</f>
        <v>4017137.4220699002</v>
      </c>
      <c r="AD11" s="36"/>
      <c r="AG11" s="91">
        <f>AL11/I11</f>
        <v>582.82094720929751</v>
      </c>
      <c r="AH11" s="88"/>
      <c r="AI11" s="71"/>
      <c r="AJ11" s="87"/>
      <c r="AK11" s="87">
        <v>2154127.587135083</v>
      </c>
      <c r="AL11" s="86">
        <v>2154127.587135083</v>
      </c>
      <c r="AM11" s="88"/>
      <c r="AN11" s="92"/>
      <c r="AP11" s="149">
        <f>AU11/H11</f>
        <v>1686.0919408172099</v>
      </c>
      <c r="AQ11" s="149">
        <f>AV11/I11</f>
        <v>1686.0919408172099</v>
      </c>
      <c r="AR11" s="88"/>
      <c r="AS11" s="93"/>
      <c r="AU11" s="73">
        <f>SUM(AU12:AU22)</f>
        <v>6231857.6254881462</v>
      </c>
      <c r="AV11" s="73">
        <f>SUM(AV12:AV22)</f>
        <v>6231857.6254881462</v>
      </c>
      <c r="AW11" s="132">
        <f>AV11-AT11-AU11</f>
        <v>0</v>
      </c>
      <c r="AX11" s="132"/>
      <c r="AY11" s="87"/>
      <c r="AZ11" s="87">
        <f>AU11/4.44</f>
        <v>1403571.537272105</v>
      </c>
      <c r="BA11" s="87">
        <f>AV11/4.44</f>
        <v>1403571.537272105</v>
      </c>
      <c r="BD11" s="87">
        <f t="shared" ref="BD11:BE11" si="1">AK11+AB11</f>
        <v>6171265.0092049837</v>
      </c>
      <c r="BE11" s="87">
        <f t="shared" si="1"/>
        <v>6171265.0092049837</v>
      </c>
      <c r="BH11" s="87">
        <f t="shared" ref="BH11:BI11" si="2">BD11/4.44</f>
        <v>1389924.551622744</v>
      </c>
      <c r="BI11" s="87">
        <f t="shared" si="2"/>
        <v>1389924.551622744</v>
      </c>
      <c r="BK11" s="1"/>
      <c r="BL11"/>
    </row>
    <row r="12" spans="1:64">
      <c r="A12" s="1">
        <v>2</v>
      </c>
      <c r="B12" s="14" t="s">
        <v>175</v>
      </c>
      <c r="C12" s="5" t="s">
        <v>94</v>
      </c>
      <c r="D12" s="2" t="s">
        <v>53</v>
      </c>
      <c r="E12" s="1"/>
      <c r="F12" s="1"/>
      <c r="G12" s="87"/>
      <c r="H12" s="87">
        <v>882.38165577173538</v>
      </c>
      <c r="I12" s="86">
        <v>882.38165577173538</v>
      </c>
      <c r="J12" s="132">
        <f t="shared" ref="J12:J20" si="3">I12-H12-G12</f>
        <v>0</v>
      </c>
      <c r="K12" s="86"/>
      <c r="L12" s="87"/>
      <c r="M12" s="87">
        <v>1733.362916060456</v>
      </c>
      <c r="N12" s="99">
        <v>1733.362916060456</v>
      </c>
      <c r="O12" s="132">
        <f t="shared" ref="O12:O20" si="4">N12-M12-L12</f>
        <v>0</v>
      </c>
      <c r="P12" s="90"/>
      <c r="Q12" s="87"/>
      <c r="R12" s="70">
        <f>W12/H12</f>
        <v>3262.2829959104115</v>
      </c>
      <c r="S12" s="70">
        <f t="shared" si="0"/>
        <v>3262.2829959104115</v>
      </c>
      <c r="T12" s="88"/>
      <c r="U12" s="63"/>
      <c r="V12" s="87"/>
      <c r="W12" s="86">
        <f>'(2) Deriving own-lab earnings'!AL11</f>
        <v>2878578.6715274062</v>
      </c>
      <c r="X12" s="86">
        <v>2878578.6715274062</v>
      </c>
      <c r="Y12" s="132">
        <f>X12-W12-V12</f>
        <v>0</v>
      </c>
      <c r="Z12" s="36"/>
      <c r="AA12" s="36"/>
      <c r="AB12" s="154">
        <f>'(2) Deriving own-lab earnings'!AQ11</f>
        <v>2878578.6715274062</v>
      </c>
      <c r="AC12" s="154">
        <f t="shared" ref="AC12:AC20" si="5">AB12</f>
        <v>2878578.6715274062</v>
      </c>
      <c r="AD12" s="36"/>
      <c r="AF12" s="91">
        <v>1578.1445403057689</v>
      </c>
      <c r="AG12" s="91">
        <v>1578.1445403057689</v>
      </c>
      <c r="AH12" s="88"/>
      <c r="AI12" s="71"/>
      <c r="AJ12" s="87"/>
      <c r="AK12" s="87">
        <v>1392525.7925221287</v>
      </c>
      <c r="AL12" s="86">
        <v>1392525.7925221287</v>
      </c>
      <c r="AM12" s="88"/>
      <c r="AN12" s="92"/>
      <c r="AP12" s="149">
        <f>AU12/H12</f>
        <v>4840.4275362161807</v>
      </c>
      <c r="AQ12" s="149">
        <f>AV12/I12</f>
        <v>4840.4275362161807</v>
      </c>
      <c r="AR12" s="88"/>
      <c r="AS12" s="93"/>
      <c r="AU12" s="88">
        <f>W12+AK12</f>
        <v>4271104.4640495349</v>
      </c>
      <c r="AV12" s="88">
        <f>X12+AL12</f>
        <v>4271104.4640495349</v>
      </c>
      <c r="AW12" s="132">
        <f t="shared" ref="AW12:AW41" si="6">AV12-AT12-AU12</f>
        <v>0</v>
      </c>
      <c r="AX12" s="132"/>
      <c r="AY12" s="87"/>
      <c r="AZ12" s="87">
        <f>AU12/4.44</f>
        <v>961960.46487602126</v>
      </c>
      <c r="BA12" s="87">
        <f>AV12/4.44</f>
        <v>961960.46487602126</v>
      </c>
      <c r="BD12" s="87">
        <f t="shared" ref="BD12:BD41" si="7">AK12+AB12</f>
        <v>4271104.4640495349</v>
      </c>
      <c r="BE12" s="87">
        <f>BD12</f>
        <v>4271104.4640495349</v>
      </c>
      <c r="BH12" s="87">
        <f>BD12/4.44</f>
        <v>961960.46487602126</v>
      </c>
      <c r="BI12" s="87">
        <f>BE12/4.44</f>
        <v>961960.46487602126</v>
      </c>
      <c r="BK12" s="1"/>
      <c r="BL12"/>
    </row>
    <row r="13" spans="1:64">
      <c r="A13" s="1">
        <v>3</v>
      </c>
      <c r="B13" s="14"/>
      <c r="C13" s="5" t="s">
        <v>50</v>
      </c>
      <c r="D13" s="2" t="s">
        <v>99</v>
      </c>
      <c r="E13" s="1"/>
      <c r="F13" s="1"/>
      <c r="G13" s="87"/>
      <c r="H13" s="87">
        <v>930.99772496026071</v>
      </c>
      <c r="I13" s="86">
        <v>930.99772496026071</v>
      </c>
      <c r="J13" s="132">
        <f t="shared" si="3"/>
        <v>0</v>
      </c>
      <c r="K13" s="86"/>
      <c r="L13" s="87"/>
      <c r="M13" s="87">
        <v>1828.8650050995996</v>
      </c>
      <c r="N13" s="99">
        <v>1828.8650050995996</v>
      </c>
      <c r="O13" s="132">
        <f t="shared" si="4"/>
        <v>0</v>
      </c>
      <c r="P13" s="90"/>
      <c r="Q13" s="87"/>
      <c r="R13" s="70">
        <f>W13/H13</f>
        <v>507.27549959361124</v>
      </c>
      <c r="S13" s="70">
        <f t="shared" si="0"/>
        <v>507.27549959361124</v>
      </c>
      <c r="T13" s="88"/>
      <c r="U13" s="63"/>
      <c r="V13" s="87"/>
      <c r="W13" s="86">
        <f>'(2) Deriving own-lab earnings'!AL12</f>
        <v>472272.3360497317</v>
      </c>
      <c r="X13" s="86">
        <v>472272.3360497317</v>
      </c>
      <c r="Y13" s="132">
        <f>X13-W13-V13</f>
        <v>0</v>
      </c>
      <c r="Z13" s="36"/>
      <c r="AA13" s="36"/>
      <c r="AB13" s="154">
        <f>'(2) Deriving own-lab earnings'!AQ12</f>
        <v>472272.3360497317</v>
      </c>
      <c r="AC13" s="154">
        <f t="shared" si="5"/>
        <v>472272.3360497317</v>
      </c>
      <c r="AD13" s="36"/>
      <c r="AF13" s="91">
        <v>77.459813446997401</v>
      </c>
      <c r="AG13" s="91">
        <v>77.459813446997401</v>
      </c>
      <c r="AH13" s="88"/>
      <c r="AI13" s="71"/>
      <c r="AJ13" s="87"/>
      <c r="AK13" s="87">
        <v>72114.910095000785</v>
      </c>
      <c r="AL13" s="86">
        <v>72114.910095000785</v>
      </c>
      <c r="AM13" s="88"/>
      <c r="AN13" s="92"/>
      <c r="AP13" s="149">
        <f>AU13/H13</f>
        <v>584.73531304060862</v>
      </c>
      <c r="AQ13" s="149">
        <f>AV13/I13</f>
        <v>584.73531304060862</v>
      </c>
      <c r="AR13" s="88"/>
      <c r="AS13" s="93"/>
      <c r="AU13" s="88">
        <f>W13+AK13</f>
        <v>544387.24614473246</v>
      </c>
      <c r="AV13" s="88">
        <f>X13+AL13</f>
        <v>544387.24614473246</v>
      </c>
      <c r="AW13" s="132">
        <f t="shared" si="6"/>
        <v>0</v>
      </c>
      <c r="AX13" s="132"/>
      <c r="AY13" s="87"/>
      <c r="AZ13" s="87">
        <f>AU13/4.44</f>
        <v>122609.74012268748</v>
      </c>
      <c r="BA13" s="87">
        <f>AV13/4.44</f>
        <v>122609.74012268748</v>
      </c>
      <c r="BD13" s="87">
        <f t="shared" si="7"/>
        <v>544387.24614473246</v>
      </c>
      <c r="BE13" s="87">
        <f t="shared" ref="BE13:BE41" si="8">AL13+AC13</f>
        <v>544387.24614473246</v>
      </c>
      <c r="BH13" s="87">
        <f>BD13/4.44</f>
        <v>122609.74012268748</v>
      </c>
      <c r="BI13" s="87">
        <f>BE13/4.44</f>
        <v>122609.74012268748</v>
      </c>
      <c r="BK13" s="1"/>
      <c r="BL13"/>
    </row>
    <row r="14" spans="1:64">
      <c r="A14" s="1">
        <v>4</v>
      </c>
      <c r="B14" s="14"/>
      <c r="C14" s="5" t="s">
        <v>44</v>
      </c>
      <c r="D14" s="32" t="s">
        <v>9</v>
      </c>
      <c r="E14" s="1"/>
      <c r="F14" s="1"/>
      <c r="G14" s="87"/>
      <c r="H14" s="87">
        <v>299</v>
      </c>
      <c r="I14" s="86">
        <v>299</v>
      </c>
      <c r="J14" s="132">
        <f t="shared" si="3"/>
        <v>0</v>
      </c>
      <c r="K14" s="86"/>
      <c r="L14" s="87"/>
      <c r="M14" s="87">
        <v>587.35979891693239</v>
      </c>
      <c r="N14" s="99">
        <v>587.35979891693239</v>
      </c>
      <c r="O14" s="132">
        <f t="shared" si="4"/>
        <v>0</v>
      </c>
      <c r="P14" s="90"/>
      <c r="Q14" s="87"/>
      <c r="R14" s="70">
        <f>W14/H14</f>
        <v>378.52299591041134</v>
      </c>
      <c r="S14" s="70">
        <f t="shared" si="0"/>
        <v>378.52299591041134</v>
      </c>
      <c r="T14" s="88"/>
      <c r="U14" s="63"/>
      <c r="V14" s="87"/>
      <c r="W14" s="86">
        <f>'(2) Deriving own-lab earnings'!AL13</f>
        <v>113178.37577721299</v>
      </c>
      <c r="X14" s="86">
        <v>113178.37577721299</v>
      </c>
      <c r="Y14" s="132">
        <f>X14-W14-V14</f>
        <v>0</v>
      </c>
      <c r="Z14" s="36"/>
      <c r="AA14" s="36"/>
      <c r="AB14" s="154">
        <f>'(2) Deriving own-lab earnings'!AQ13</f>
        <v>113178.37577721299</v>
      </c>
      <c r="AC14" s="154">
        <f t="shared" si="5"/>
        <v>113178.37577721299</v>
      </c>
      <c r="AD14" s="36"/>
      <c r="AF14" s="91">
        <v>233.29624915256639</v>
      </c>
      <c r="AG14" s="91">
        <v>233.29624915256639</v>
      </c>
      <c r="AH14" s="88"/>
      <c r="AI14" s="71"/>
      <c r="AJ14" s="87"/>
      <c r="AK14" s="87">
        <v>69755.578496617352</v>
      </c>
      <c r="AL14" s="86">
        <v>69755.578496617352</v>
      </c>
      <c r="AM14" s="88"/>
      <c r="AN14" s="92"/>
      <c r="AP14" s="149">
        <f>AU14/H14</f>
        <v>611.81924506297776</v>
      </c>
      <c r="AQ14" s="149">
        <f>AV14/I14</f>
        <v>611.81924506297776</v>
      </c>
      <c r="AR14" s="88"/>
      <c r="AS14" s="93"/>
      <c r="AU14" s="88">
        <f>W14+AK14</f>
        <v>182933.95427383034</v>
      </c>
      <c r="AV14" s="88">
        <f>X14+AL14</f>
        <v>182933.95427383034</v>
      </c>
      <c r="AW14" s="132">
        <f t="shared" si="6"/>
        <v>0</v>
      </c>
      <c r="AX14" s="132"/>
      <c r="AY14" s="87"/>
      <c r="AZ14" s="87">
        <f>AU14/4.44</f>
        <v>41201.341052664488</v>
      </c>
      <c r="BA14" s="87">
        <f>AV14/4.44</f>
        <v>41201.341052664488</v>
      </c>
      <c r="BD14" s="87">
        <f t="shared" si="7"/>
        <v>182933.95427383034</v>
      </c>
      <c r="BE14" s="87">
        <f t="shared" si="8"/>
        <v>182933.95427383034</v>
      </c>
      <c r="BH14" s="87">
        <f>BD14/4.44</f>
        <v>41201.341052664488</v>
      </c>
      <c r="BI14" s="87">
        <f>BE14/4.44</f>
        <v>41201.341052664488</v>
      </c>
      <c r="BK14" s="1"/>
      <c r="BL14"/>
    </row>
    <row r="15" spans="1:64">
      <c r="A15" s="1">
        <v>5</v>
      </c>
      <c r="B15" s="14"/>
      <c r="C15" s="5" t="s">
        <v>39</v>
      </c>
      <c r="D15" s="4" t="s">
        <v>125</v>
      </c>
      <c r="E15" s="1"/>
      <c r="F15" s="1"/>
      <c r="G15" s="87"/>
      <c r="H15" s="87">
        <v>216.02648296594066</v>
      </c>
      <c r="I15" s="86">
        <v>216.02648296594066</v>
      </c>
      <c r="J15" s="132">
        <f t="shared" si="3"/>
        <v>0</v>
      </c>
      <c r="K15" s="86"/>
      <c r="L15" s="87"/>
      <c r="M15" s="87">
        <v>424.36545684149507</v>
      </c>
      <c r="N15" s="99">
        <v>424.36545684149507</v>
      </c>
      <c r="O15" s="132">
        <f t="shared" si="4"/>
        <v>0</v>
      </c>
      <c r="P15" s="90"/>
      <c r="Q15" s="87"/>
      <c r="R15" s="70">
        <f>W15/H15</f>
        <v>492.03299591041127</v>
      </c>
      <c r="S15" s="70">
        <f t="shared" si="0"/>
        <v>492.03299591041127</v>
      </c>
      <c r="T15" s="88"/>
      <c r="U15" s="63"/>
      <c r="V15" s="87"/>
      <c r="W15" s="86">
        <f>'(2) Deriving own-lab earnings'!AL14</f>
        <v>106292.15760972121</v>
      </c>
      <c r="X15" s="86">
        <v>106292.15760972121</v>
      </c>
      <c r="Y15" s="132">
        <f>X15-W15-V15</f>
        <v>0</v>
      </c>
      <c r="Z15" s="36"/>
      <c r="AA15" s="36"/>
      <c r="AB15" s="154">
        <f>'(2) Deriving own-lab earnings'!AQ14</f>
        <v>95085.636200389577</v>
      </c>
      <c r="AC15" s="154">
        <f t="shared" si="5"/>
        <v>95085.636200389577</v>
      </c>
      <c r="AD15" s="36"/>
      <c r="AF15" s="91">
        <v>233.29624915256639</v>
      </c>
      <c r="AG15" s="91">
        <v>233.29624915256639</v>
      </c>
      <c r="AH15" s="88"/>
      <c r="AI15" s="71"/>
      <c r="AJ15" s="87"/>
      <c r="AK15" s="87">
        <v>50398.168193574733</v>
      </c>
      <c r="AL15" s="86">
        <v>50398.168193574733</v>
      </c>
      <c r="AM15" s="88"/>
      <c r="AN15" s="92"/>
      <c r="AP15" s="149">
        <f>AU15/H15</f>
        <v>725.32924506297763</v>
      </c>
      <c r="AQ15" s="149">
        <f>AV15/I15</f>
        <v>725.32924506297763</v>
      </c>
      <c r="AR15" s="88"/>
      <c r="AS15" s="93"/>
      <c r="AU15" s="88">
        <f>W15+AK15</f>
        <v>156690.32580329594</v>
      </c>
      <c r="AV15" s="88">
        <f>X15+AL15</f>
        <v>156690.32580329594</v>
      </c>
      <c r="AW15" s="132">
        <f t="shared" si="6"/>
        <v>0</v>
      </c>
      <c r="AX15" s="132"/>
      <c r="AY15" s="87"/>
      <c r="AZ15" s="87">
        <f>AU15/4.44</f>
        <v>35290.613919661242</v>
      </c>
      <c r="BA15" s="87">
        <f>AV15/4.44</f>
        <v>35290.613919661242</v>
      </c>
      <c r="BD15" s="87">
        <f t="shared" si="7"/>
        <v>145483.8043939643</v>
      </c>
      <c r="BE15" s="87">
        <f t="shared" si="8"/>
        <v>145483.8043939643</v>
      </c>
      <c r="BH15" s="87">
        <f>BD15/4.44</f>
        <v>32766.622611253217</v>
      </c>
      <c r="BI15" s="87">
        <f>BE15/4.44</f>
        <v>32766.622611253217</v>
      </c>
      <c r="BK15" s="1"/>
      <c r="BL15"/>
    </row>
    <row r="16" spans="1:64">
      <c r="A16" s="1">
        <v>6</v>
      </c>
      <c r="B16" s="14"/>
      <c r="C16" s="5" t="s">
        <v>83</v>
      </c>
      <c r="D16" s="32" t="s">
        <v>131</v>
      </c>
      <c r="E16" s="1"/>
      <c r="F16" s="1"/>
      <c r="G16" s="87"/>
      <c r="H16" s="87">
        <v>384.67464745420693</v>
      </c>
      <c r="I16" s="86">
        <v>384.67464745420693</v>
      </c>
      <c r="J16" s="132">
        <f t="shared" si="3"/>
        <v>0</v>
      </c>
      <c r="K16" s="86"/>
      <c r="L16" s="87"/>
      <c r="M16" s="87">
        <v>755.6602795222235</v>
      </c>
      <c r="N16" s="99">
        <v>755.6602795222235</v>
      </c>
      <c r="O16" s="132">
        <f t="shared" si="4"/>
        <v>0</v>
      </c>
      <c r="Q16" s="87"/>
      <c r="R16" s="70">
        <f>W16/H16</f>
        <v>822.03299591041127</v>
      </c>
      <c r="S16" s="70">
        <f t="shared" si="0"/>
        <v>822.03299591041127</v>
      </c>
      <c r="T16" s="88"/>
      <c r="U16" s="63"/>
      <c r="V16" s="87"/>
      <c r="W16" s="86">
        <f>'(2) Deriving own-lab earnings'!AL15</f>
        <v>316215.25289756298</v>
      </c>
      <c r="X16" s="86">
        <v>316215.25289756298</v>
      </c>
      <c r="Y16" s="132">
        <f>X16-W16-V16</f>
        <v>0</v>
      </c>
      <c r="Z16" s="36"/>
      <c r="AA16" s="36"/>
      <c r="AB16" s="154">
        <f>'(2) Deriving own-lab earnings'!AQ15</f>
        <v>282876.26457289979</v>
      </c>
      <c r="AC16" s="154">
        <f t="shared" si="5"/>
        <v>282876.26457289979</v>
      </c>
      <c r="AD16" s="36"/>
      <c r="AF16" s="91">
        <v>1273.7051736752167</v>
      </c>
      <c r="AG16" s="91">
        <v>1273.7051736752167</v>
      </c>
      <c r="AH16" s="88"/>
      <c r="AI16" s="71"/>
      <c r="AJ16" s="87"/>
      <c r="AK16" s="87">
        <v>489962.08864411339</v>
      </c>
      <c r="AL16" s="86">
        <v>489962.08864411339</v>
      </c>
      <c r="AM16" s="88"/>
      <c r="AN16" s="92"/>
      <c r="AP16" s="149">
        <f>AU16/H16</f>
        <v>2095.7381695856279</v>
      </c>
      <c r="AQ16" s="149">
        <f>AV16/I16</f>
        <v>2095.7381695856279</v>
      </c>
      <c r="AR16" s="88"/>
      <c r="AS16" s="93"/>
      <c r="AU16" s="88">
        <f>W16+AK16</f>
        <v>806177.34154167632</v>
      </c>
      <c r="AV16" s="88">
        <f>X16+AL16</f>
        <v>806177.34154167632</v>
      </c>
      <c r="AW16" s="132">
        <f t="shared" si="6"/>
        <v>0</v>
      </c>
      <c r="AX16" s="132"/>
      <c r="AY16" s="87"/>
      <c r="AZ16" s="87">
        <f>AU16/4.44</f>
        <v>181571.47332019734</v>
      </c>
      <c r="BA16" s="87">
        <f>AV16/4.44</f>
        <v>181571.47332019734</v>
      </c>
      <c r="BD16" s="87">
        <f t="shared" si="7"/>
        <v>772838.35321701318</v>
      </c>
      <c r="BE16" s="87">
        <f t="shared" si="8"/>
        <v>772838.35321701318</v>
      </c>
      <c r="BH16" s="87">
        <f>BD16/4.44</f>
        <v>174062.69216599394</v>
      </c>
      <c r="BI16" s="87">
        <f>BE16/4.44</f>
        <v>174062.69216599394</v>
      </c>
      <c r="BK16" s="1"/>
      <c r="BL16"/>
    </row>
    <row r="17" spans="1:64">
      <c r="A17" s="1">
        <v>7</v>
      </c>
      <c r="B17" s="14" t="s">
        <v>181</v>
      </c>
      <c r="C17" s="5" t="s">
        <v>127</v>
      </c>
      <c r="D17" s="4" t="s">
        <v>63</v>
      </c>
      <c r="E17" s="1"/>
      <c r="F17" s="1"/>
      <c r="G17" s="87"/>
      <c r="H17" s="87">
        <v>138</v>
      </c>
      <c r="I17" s="86">
        <v>138</v>
      </c>
      <c r="J17" s="132">
        <f t="shared" si="3"/>
        <v>0</v>
      </c>
      <c r="K17" s="86"/>
      <c r="L17" s="87"/>
      <c r="M17" s="87">
        <v>271.08913796166109</v>
      </c>
      <c r="N17" s="99">
        <v>271.08913796166109</v>
      </c>
      <c r="O17" s="132">
        <f t="shared" si="4"/>
        <v>0</v>
      </c>
      <c r="P17" s="90"/>
      <c r="Q17" s="87"/>
      <c r="R17" s="70">
        <f>W17/H17</f>
        <v>361.71299591041128</v>
      </c>
      <c r="S17" s="70">
        <f t="shared" si="0"/>
        <v>361.71299591041128</v>
      </c>
      <c r="T17" s="88"/>
      <c r="U17" s="63"/>
      <c r="V17" s="87"/>
      <c r="W17" s="86">
        <f>'(2) Deriving own-lab earnings'!AL16</f>
        <v>49916.393435636754</v>
      </c>
      <c r="X17" s="86">
        <v>49916.393435636754</v>
      </c>
      <c r="Y17" s="132">
        <f>X17-W17-V17</f>
        <v>0</v>
      </c>
      <c r="Z17" s="36"/>
      <c r="AA17" s="36"/>
      <c r="AB17" s="154">
        <f>'(2) Deriving own-lab earnings'!AQ16</f>
        <v>35403.959561378142</v>
      </c>
      <c r="AC17" s="154">
        <f t="shared" si="5"/>
        <v>35403.959561378142</v>
      </c>
      <c r="AD17" s="36"/>
      <c r="AF17" s="91">
        <v>64.491532800000002</v>
      </c>
      <c r="AG17" s="91">
        <v>64.491532800000002</v>
      </c>
      <c r="AH17" s="88"/>
      <c r="AI17" s="71"/>
      <c r="AJ17" s="87"/>
      <c r="AK17" s="87">
        <v>8899.8315263999993</v>
      </c>
      <c r="AL17" s="86">
        <v>8899.8315263999993</v>
      </c>
      <c r="AM17" s="88"/>
      <c r="AN17" s="92"/>
      <c r="AP17" s="149">
        <f>AU17/H17</f>
        <v>426.20452871041124</v>
      </c>
      <c r="AQ17" s="149">
        <f>AV17/I17</f>
        <v>426.20452871041124</v>
      </c>
      <c r="AR17" s="88"/>
      <c r="AS17" s="93"/>
      <c r="AU17" s="88">
        <f>W17+AK17</f>
        <v>58816.224962036751</v>
      </c>
      <c r="AV17" s="88">
        <f>X17+AL17</f>
        <v>58816.224962036751</v>
      </c>
      <c r="AW17" s="132">
        <f t="shared" si="6"/>
        <v>0</v>
      </c>
      <c r="AX17" s="132"/>
      <c r="AY17" s="87"/>
      <c r="AZ17" s="87">
        <f>AU17/4.44</f>
        <v>13246.897513972241</v>
      </c>
      <c r="BA17" s="87">
        <f>AV17/4.44</f>
        <v>13246.897513972241</v>
      </c>
      <c r="BD17" s="87">
        <f t="shared" si="7"/>
        <v>44303.79108777814</v>
      </c>
      <c r="BE17" s="87">
        <f t="shared" si="8"/>
        <v>44303.79108777814</v>
      </c>
      <c r="BH17" s="87">
        <f>BD17/4.44</f>
        <v>9978.331326076157</v>
      </c>
      <c r="BI17" s="87">
        <f>BE17/4.44</f>
        <v>9978.331326076157</v>
      </c>
      <c r="BK17" s="1"/>
      <c r="BL17"/>
    </row>
    <row r="18" spans="1:64">
      <c r="A18" s="1">
        <v>8</v>
      </c>
      <c r="B18" s="14" t="s">
        <v>182</v>
      </c>
      <c r="C18" s="5" t="s">
        <v>64</v>
      </c>
      <c r="D18" s="4" t="s">
        <v>43</v>
      </c>
      <c r="E18" s="1"/>
      <c r="F18" s="1"/>
      <c r="G18" s="87"/>
      <c r="H18" s="87">
        <v>88.064721726642944</v>
      </c>
      <c r="I18" s="86">
        <v>88.064721726642944</v>
      </c>
      <c r="J18" s="132">
        <f t="shared" si="3"/>
        <v>0</v>
      </c>
      <c r="K18" s="86"/>
      <c r="L18" s="87"/>
      <c r="M18" s="87">
        <v>88.064721726642944</v>
      </c>
      <c r="N18" s="99">
        <v>88.064721726642944</v>
      </c>
      <c r="O18" s="132">
        <f t="shared" si="4"/>
        <v>0</v>
      </c>
      <c r="P18" s="90"/>
      <c r="Q18" s="87"/>
      <c r="R18" s="70">
        <f>W18/H18</f>
        <v>59.94</v>
      </c>
      <c r="S18" s="70">
        <f t="shared" si="0"/>
        <v>59.94</v>
      </c>
      <c r="T18" s="88"/>
      <c r="U18" s="63"/>
      <c r="V18" s="87"/>
      <c r="W18" s="86">
        <f>'(2) Deriving own-lab earnings'!AL17</f>
        <v>5278.5994202949778</v>
      </c>
      <c r="X18" s="86">
        <v>5278.5994202949778</v>
      </c>
      <c r="Y18" s="132">
        <f>X18-W18-V18</f>
        <v>0</v>
      </c>
      <c r="Z18" s="36"/>
      <c r="AA18" s="36"/>
      <c r="AB18" s="154">
        <f>'(2) Deriving own-lab earnings'!AQ17</f>
        <v>3743.9267453849361</v>
      </c>
      <c r="AC18" s="154">
        <f t="shared" si="5"/>
        <v>3743.9267453849361</v>
      </c>
      <c r="AD18" s="36"/>
      <c r="AF18" s="91"/>
      <c r="AG18" s="91"/>
      <c r="AH18" s="88"/>
      <c r="AI18" s="71"/>
      <c r="AJ18" s="87"/>
      <c r="AK18" s="87">
        <v>0</v>
      </c>
      <c r="AL18" s="86">
        <v>0</v>
      </c>
      <c r="AM18" s="88"/>
      <c r="AN18" s="92"/>
      <c r="AP18" s="149">
        <f>AU18/H18</f>
        <v>59.94</v>
      </c>
      <c r="AQ18" s="149">
        <f>AV18/I18</f>
        <v>59.94</v>
      </c>
      <c r="AR18" s="88"/>
      <c r="AS18" s="93"/>
      <c r="AU18" s="88">
        <f>W18+AK18</f>
        <v>5278.5994202949778</v>
      </c>
      <c r="AV18" s="88">
        <f>X18+AL18</f>
        <v>5278.5994202949778</v>
      </c>
      <c r="AW18" s="132">
        <f t="shared" si="6"/>
        <v>0</v>
      </c>
      <c r="AX18" s="132"/>
      <c r="AY18" s="87"/>
      <c r="AZ18" s="87">
        <f>AU18/4.44</f>
        <v>1188.8737433096796</v>
      </c>
      <c r="BA18" s="87">
        <f>AV18/4.44</f>
        <v>1188.8737433096796</v>
      </c>
      <c r="BD18" s="87">
        <f t="shared" si="7"/>
        <v>3743.9267453849361</v>
      </c>
      <c r="BE18" s="87">
        <f t="shared" si="8"/>
        <v>3743.9267453849361</v>
      </c>
      <c r="BH18" s="87">
        <f>BD18/4.44</f>
        <v>843.22674445606663</v>
      </c>
      <c r="BI18" s="87">
        <f>BE18/4.44</f>
        <v>843.22674445606663</v>
      </c>
      <c r="BK18" s="1"/>
      <c r="BL18"/>
    </row>
    <row r="19" spans="1:64">
      <c r="A19" s="1">
        <v>9</v>
      </c>
      <c r="B19" s="14"/>
      <c r="C19" s="4" t="s">
        <v>32</v>
      </c>
      <c r="D19" s="31" t="s">
        <v>66</v>
      </c>
      <c r="E19" s="1"/>
      <c r="F19" s="1"/>
      <c r="G19" s="87"/>
      <c r="H19" s="87">
        <v>563.64255215446599</v>
      </c>
      <c r="I19" s="86">
        <v>563.64255215446599</v>
      </c>
      <c r="J19" s="132">
        <f t="shared" si="3"/>
        <v>0</v>
      </c>
      <c r="K19" s="86"/>
      <c r="L19" s="87"/>
      <c r="M19" s="87">
        <v>563.64255215446599</v>
      </c>
      <c r="N19" s="99">
        <v>563.64255215446599</v>
      </c>
      <c r="O19" s="132">
        <f t="shared" si="4"/>
        <v>0</v>
      </c>
      <c r="P19" s="90"/>
      <c r="Q19" s="87"/>
      <c r="R19" s="70">
        <f>W19/H19</f>
        <v>179.68</v>
      </c>
      <c r="S19" s="70">
        <f t="shared" si="0"/>
        <v>179.68</v>
      </c>
      <c r="T19" s="88"/>
      <c r="U19" s="63"/>
      <c r="V19" s="87"/>
      <c r="W19" s="86">
        <f>'(2) Deriving own-lab earnings'!AL18</f>
        <v>101275.29377111445</v>
      </c>
      <c r="X19" s="86">
        <v>101275.29377111445</v>
      </c>
      <c r="Y19" s="132">
        <f>X19-W19-V19</f>
        <v>0</v>
      </c>
      <c r="Z19" s="36"/>
      <c r="AA19" s="36"/>
      <c r="AB19" s="154">
        <f>'(2) Deriving own-lab earnings'!AQ18</f>
        <v>101275.29377111445</v>
      </c>
      <c r="AC19" s="154">
        <f t="shared" si="5"/>
        <v>101275.29377111445</v>
      </c>
      <c r="AD19" s="36"/>
      <c r="AF19" s="91">
        <v>55.019240916873322</v>
      </c>
      <c r="AG19" s="91">
        <v>55.019240916873322</v>
      </c>
      <c r="AH19" s="88"/>
      <c r="AI19" s="71"/>
      <c r="AJ19" s="87"/>
      <c r="AK19" s="87">
        <v>31011.185367987902</v>
      </c>
      <c r="AL19" s="86">
        <v>31011.185367987902</v>
      </c>
      <c r="AM19" s="88"/>
      <c r="AN19" s="92"/>
      <c r="AP19" s="149">
        <f>AU19/H19</f>
        <v>234.69924091687335</v>
      </c>
      <c r="AQ19" s="149">
        <f>AV19/I19</f>
        <v>234.69924091687335</v>
      </c>
      <c r="AR19" s="88"/>
      <c r="AS19" s="93"/>
      <c r="AU19" s="88">
        <f>W19+AK19</f>
        <v>132286.47913910236</v>
      </c>
      <c r="AV19" s="88">
        <f>X19+AL19</f>
        <v>132286.47913910236</v>
      </c>
      <c r="AW19" s="132">
        <f t="shared" si="6"/>
        <v>0</v>
      </c>
      <c r="AX19" s="132"/>
      <c r="AY19" s="87"/>
      <c r="AZ19" s="87">
        <f>AU19/4.44</f>
        <v>29794.252058356386</v>
      </c>
      <c r="BA19" s="87">
        <f>AV19/4.44</f>
        <v>29794.252058356386</v>
      </c>
      <c r="BD19" s="87">
        <f t="shared" si="7"/>
        <v>132286.47913910236</v>
      </c>
      <c r="BE19" s="87">
        <f t="shared" si="8"/>
        <v>132286.47913910236</v>
      </c>
      <c r="BH19" s="87">
        <f>BD19/4.44</f>
        <v>29794.252058356386</v>
      </c>
      <c r="BI19" s="87">
        <f>BE19/4.44</f>
        <v>29794.252058356386</v>
      </c>
      <c r="BK19" s="1"/>
      <c r="BL19"/>
    </row>
    <row r="20" spans="1:64">
      <c r="A20" s="1">
        <v>10</v>
      </c>
      <c r="B20" s="14"/>
      <c r="C20" s="4" t="s">
        <v>20</v>
      </c>
      <c r="D20" s="31" t="s">
        <v>22</v>
      </c>
      <c r="E20" s="1"/>
      <c r="F20" s="1"/>
      <c r="G20" s="87"/>
      <c r="H20" s="87">
        <v>193.24887502438833</v>
      </c>
      <c r="I20" s="86">
        <v>193.24887502438833</v>
      </c>
      <c r="J20" s="132">
        <f t="shared" si="3"/>
        <v>0</v>
      </c>
      <c r="K20" s="86"/>
      <c r="L20" s="87"/>
      <c r="M20" s="87">
        <v>193.24887502438833</v>
      </c>
      <c r="N20" s="99">
        <v>193.24887502438833</v>
      </c>
      <c r="O20" s="132">
        <f t="shared" si="4"/>
        <v>0</v>
      </c>
      <c r="P20" s="90"/>
      <c r="Q20" s="87"/>
      <c r="R20" s="70">
        <f>W20/H20</f>
        <v>179.68</v>
      </c>
      <c r="S20" s="70">
        <f t="shared" si="0"/>
        <v>179.68</v>
      </c>
      <c r="T20" s="88"/>
      <c r="U20" s="63"/>
      <c r="V20" s="87"/>
      <c r="W20" s="86">
        <f>'(2) Deriving own-lab earnings'!AL19</f>
        <v>34722.957864382093</v>
      </c>
      <c r="X20" s="86">
        <v>34722.957864382093</v>
      </c>
      <c r="Y20" s="132">
        <f>X20-W20-V20</f>
        <v>0</v>
      </c>
      <c r="Z20" s="36"/>
      <c r="AA20" s="36"/>
      <c r="AB20" s="154">
        <f>'(2) Deriving own-lab earnings'!AQ19</f>
        <v>34722.957864382093</v>
      </c>
      <c r="AC20" s="154">
        <f t="shared" si="5"/>
        <v>34722.957864382093</v>
      </c>
      <c r="AD20" s="36"/>
      <c r="AF20" s="91">
        <v>204.19281760000001</v>
      </c>
      <c r="AG20" s="91">
        <v>204.19281760000001</v>
      </c>
      <c r="AH20" s="88"/>
      <c r="AI20" s="71"/>
      <c r="AJ20" s="87"/>
      <c r="AK20" s="87">
        <v>39460.032289260125</v>
      </c>
      <c r="AL20" s="86">
        <v>39460.032289260125</v>
      </c>
      <c r="AM20" s="88"/>
      <c r="AN20" s="92"/>
      <c r="AP20" s="149">
        <f>AU20/H20</f>
        <v>383.87281760000008</v>
      </c>
      <c r="AQ20" s="149">
        <f>AV20/I20</f>
        <v>383.87281760000008</v>
      </c>
      <c r="AR20" s="88"/>
      <c r="AS20" s="93"/>
      <c r="AU20" s="88">
        <f>W20+AK20</f>
        <v>74182.990153642226</v>
      </c>
      <c r="AV20" s="88">
        <f>X20+AL20</f>
        <v>74182.990153642226</v>
      </c>
      <c r="AW20" s="132">
        <f t="shared" si="6"/>
        <v>0</v>
      </c>
      <c r="AX20" s="132"/>
      <c r="AY20" s="87"/>
      <c r="AZ20" s="87">
        <f>AU20/4.44</f>
        <v>16707.880665234734</v>
      </c>
      <c r="BA20" s="87">
        <f>AV20/4.44</f>
        <v>16707.880665234734</v>
      </c>
      <c r="BD20" s="87">
        <f t="shared" si="7"/>
        <v>74182.990153642226</v>
      </c>
      <c r="BE20" s="87">
        <f t="shared" si="8"/>
        <v>74182.990153642226</v>
      </c>
      <c r="BH20" s="87">
        <f>BD20/4.44</f>
        <v>16707.880665234734</v>
      </c>
      <c r="BI20" s="87">
        <f>BE20/4.44</f>
        <v>16707.880665234734</v>
      </c>
      <c r="BK20" s="1"/>
      <c r="BL20"/>
    </row>
    <row r="21" spans="1:64">
      <c r="A21" s="1">
        <v>11</v>
      </c>
      <c r="B21" s="14" t="s">
        <v>40</v>
      </c>
      <c r="C21" s="5" t="s">
        <v>67</v>
      </c>
      <c r="D21" s="4" t="s">
        <v>84</v>
      </c>
      <c r="E21" s="1"/>
      <c r="F21" s="1"/>
      <c r="G21" s="87"/>
      <c r="H21" s="87"/>
      <c r="I21" s="86"/>
      <c r="J21" s="88"/>
      <c r="K21" s="86"/>
      <c r="L21" s="87"/>
      <c r="M21" s="87">
        <v>0</v>
      </c>
      <c r="N21" s="99">
        <v>0</v>
      </c>
      <c r="O21" s="87"/>
      <c r="P21" s="90"/>
      <c r="Q21" s="87"/>
      <c r="R21" s="87"/>
      <c r="S21" s="70"/>
      <c r="T21" s="88"/>
      <c r="U21" s="63"/>
      <c r="V21" s="87"/>
      <c r="W21" s="86"/>
      <c r="X21" s="86"/>
      <c r="Y21" s="87"/>
      <c r="Z21" s="36"/>
      <c r="AA21" s="36"/>
      <c r="AB21" s="36"/>
      <c r="AC21" s="36"/>
      <c r="AD21" s="36"/>
      <c r="AG21" s="91"/>
      <c r="AH21" s="88"/>
      <c r="AI21" s="71"/>
      <c r="AJ21" s="87"/>
      <c r="AK21" s="87"/>
      <c r="AL21" s="86"/>
      <c r="AM21" s="88"/>
      <c r="AN21" s="71"/>
      <c r="AR21" s="88"/>
      <c r="AS21" s="93"/>
      <c r="AY21" s="86"/>
      <c r="AZ21" s="86"/>
      <c r="BA21" s="94"/>
      <c r="BB21" s="94"/>
      <c r="BC21" s="94"/>
      <c r="BD21" s="94"/>
      <c r="BE21" s="94"/>
      <c r="BK21" s="1"/>
      <c r="BL21"/>
    </row>
    <row r="22" spans="1:64">
      <c r="A22" s="1">
        <v>12</v>
      </c>
      <c r="B22" s="15" t="s">
        <v>93</v>
      </c>
      <c r="C22" s="5" t="s">
        <v>65</v>
      </c>
      <c r="D22" s="32" t="s">
        <v>140</v>
      </c>
      <c r="E22" s="1"/>
      <c r="F22" s="1"/>
      <c r="G22" s="87"/>
      <c r="H22" s="87"/>
      <c r="I22" s="86"/>
      <c r="J22" s="88"/>
      <c r="K22" s="86"/>
      <c r="L22" s="87"/>
      <c r="M22" s="87"/>
      <c r="N22" s="99"/>
      <c r="O22" s="87"/>
      <c r="P22" s="90"/>
      <c r="Q22" s="87"/>
      <c r="R22" s="87"/>
      <c r="S22" s="70"/>
      <c r="T22" s="88"/>
      <c r="U22" s="63"/>
      <c r="V22" s="131" t="str">
        <f>'(2) Deriving own-lab earnings'!AK21</f>
        <v>[All slaves are included in rural-towns, below.]</v>
      </c>
      <c r="W22" s="86"/>
      <c r="X22" s="86"/>
      <c r="Y22" s="87"/>
      <c r="Z22" s="36"/>
      <c r="AA22" s="131" t="str">
        <f>'(2) Deriving own-lab earnings'!AP21</f>
        <v>[All slaves are included in rural-towns, below.]</v>
      </c>
      <c r="AB22" s="36"/>
      <c r="AC22" s="36"/>
      <c r="AD22" s="36"/>
      <c r="AF22" s="91"/>
      <c r="AG22" s="91"/>
      <c r="AH22" s="88"/>
      <c r="AI22" s="71"/>
      <c r="AJ22" s="87"/>
      <c r="AK22" s="87"/>
      <c r="AL22" s="86"/>
      <c r="AM22" s="88"/>
      <c r="AN22" s="71"/>
      <c r="AR22" s="88"/>
      <c r="AS22" s="93"/>
      <c r="AY22" s="86"/>
      <c r="AZ22" s="86"/>
      <c r="BA22" s="94"/>
      <c r="BB22" s="94"/>
      <c r="BC22" s="94"/>
      <c r="BD22" s="94"/>
      <c r="BE22" s="94"/>
      <c r="BK22" s="1"/>
      <c r="BL22"/>
    </row>
    <row r="23" spans="1:64">
      <c r="A23" s="1">
        <v>13</v>
      </c>
      <c r="B23" s="12"/>
      <c r="C23" s="5" t="s">
        <v>149</v>
      </c>
      <c r="D23" s="4"/>
      <c r="E23" s="1"/>
      <c r="F23" s="1"/>
      <c r="G23" s="87"/>
      <c r="H23" s="87"/>
      <c r="I23" s="86"/>
      <c r="J23" s="88"/>
      <c r="K23" s="86"/>
      <c r="L23" s="87"/>
      <c r="M23" s="87"/>
      <c r="N23" s="86"/>
      <c r="O23" s="87"/>
      <c r="P23" s="90"/>
      <c r="Q23" s="87"/>
      <c r="R23" s="87"/>
      <c r="S23" s="70"/>
      <c r="T23" s="88"/>
      <c r="U23" s="63"/>
      <c r="V23" s="63"/>
      <c r="W23" s="63"/>
      <c r="X23" s="63"/>
      <c r="Y23" s="87"/>
      <c r="Z23" s="36"/>
      <c r="AA23" s="36"/>
      <c r="AB23" s="36"/>
      <c r="AC23" s="36"/>
      <c r="AD23" s="36"/>
      <c r="AG23" s="95"/>
      <c r="AH23" s="88"/>
      <c r="AI23" s="71"/>
      <c r="AJ23" s="87"/>
      <c r="AK23" s="87"/>
      <c r="AL23" s="97"/>
      <c r="AM23" s="88"/>
      <c r="AN23" s="96"/>
      <c r="AR23" s="88"/>
      <c r="AS23" s="93"/>
      <c r="AY23" s="122"/>
      <c r="AZ23" s="122"/>
      <c r="BA23" s="98"/>
      <c r="BB23" s="98"/>
      <c r="BC23" s="98"/>
      <c r="BD23" s="98"/>
      <c r="BE23" s="98"/>
      <c r="BK23" s="1"/>
      <c r="BL23"/>
    </row>
    <row r="24" spans="1:64">
      <c r="A24" s="1">
        <v>27</v>
      </c>
      <c r="B24" s="16" t="s">
        <v>100</v>
      </c>
      <c r="C24" s="4" t="s">
        <v>41</v>
      </c>
      <c r="D24" s="32" t="s">
        <v>170</v>
      </c>
      <c r="E24" s="1"/>
      <c r="F24" s="1"/>
      <c r="G24" s="87">
        <v>156349.32638234363</v>
      </c>
      <c r="H24" s="87">
        <v>80176.219246339781</v>
      </c>
      <c r="I24" s="88">
        <f>SUM(I25:I37)</f>
        <v>236525.54562868335</v>
      </c>
      <c r="J24" s="132">
        <f>I24-H24-G24</f>
        <v>0</v>
      </c>
      <c r="K24" s="86"/>
      <c r="L24" s="88">
        <f>SUM(L25:L37)</f>
        <v>282066.05309915484</v>
      </c>
      <c r="M24" s="88">
        <f>SUM(M25:M37)</f>
        <v>147624.6917358716</v>
      </c>
      <c r="N24" s="88">
        <f>SUM(N25:N37)</f>
        <v>429690.74483502645</v>
      </c>
      <c r="O24" s="132">
        <f>N24-M24-L24</f>
        <v>0</v>
      </c>
      <c r="P24" s="90"/>
      <c r="Q24" s="70">
        <f>V24/G24</f>
        <v>274.53017647329506</v>
      </c>
      <c r="R24" s="70">
        <f>W24/H24</f>
        <v>349.01712773973077</v>
      </c>
      <c r="S24" s="70">
        <f t="shared" ref="S24:S28" si="9">X24/I24</f>
        <v>299.77938209231365</v>
      </c>
      <c r="T24" s="88"/>
      <c r="U24" s="63"/>
      <c r="V24" s="88">
        <f>SUM(V25:V37)</f>
        <v>42922608.163225599</v>
      </c>
      <c r="W24" s="88">
        <f>SUM(W25:W37)</f>
        <v>27982873.754388433</v>
      </c>
      <c r="X24" s="88">
        <f>SUM(X25:X37)</f>
        <v>70905481.917614028</v>
      </c>
      <c r="Y24" s="132">
        <f>X24-W24-V24</f>
        <v>0</v>
      </c>
      <c r="Z24" s="36"/>
      <c r="AA24" s="154">
        <f>'(2) Deriving own-lab earnings'!AP23</f>
        <v>40919156.528164469</v>
      </c>
      <c r="AB24" s="154">
        <f>'(2) Deriving own-lab earnings'!AQ23</f>
        <v>25515671.060879391</v>
      </c>
      <c r="AC24" s="154">
        <f>AA24+AB24</f>
        <v>66434827.589043856</v>
      </c>
      <c r="AD24" s="36"/>
      <c r="AE24" s="91">
        <f>AJ24/G24</f>
        <v>66.87978431697762</v>
      </c>
      <c r="AF24" s="91">
        <f>AK24/H24</f>
        <v>139.93677659889241</v>
      </c>
      <c r="AG24" s="91">
        <f>AL24/I24</f>
        <v>91.644238445273729</v>
      </c>
      <c r="AH24" s="88"/>
      <c r="AI24" s="71"/>
      <c r="AJ24" s="88">
        <f>SUM(AJ25:AJ37)</f>
        <v>10456609.22655588</v>
      </c>
      <c r="AK24" s="88">
        <f>SUM(AK25:AK37)</f>
        <v>11219601.681218868</v>
      </c>
      <c r="AL24" s="88">
        <f>SUM(AL25:AL37)</f>
        <v>21676203.501993529</v>
      </c>
      <c r="AM24" s="88"/>
      <c r="AN24" s="92"/>
      <c r="AO24" s="149">
        <f>AT24/G24</f>
        <v>341.40996079027263</v>
      </c>
      <c r="AP24" s="149">
        <f>AU24/H24</f>
        <v>488.95390433862315</v>
      </c>
      <c r="AQ24" s="149">
        <f>AV24/I24</f>
        <v>391.42362053758734</v>
      </c>
      <c r="AR24" s="88"/>
      <c r="AS24" s="93"/>
      <c r="AT24" s="88">
        <f>V24+AJ24</f>
        <v>53379217.389781475</v>
      </c>
      <c r="AU24" s="88">
        <f>W24+AK24</f>
        <v>39202475.435607299</v>
      </c>
      <c r="AV24" s="88">
        <f>X24+AL24</f>
        <v>92581685.41960755</v>
      </c>
      <c r="AW24" s="132">
        <f t="shared" si="6"/>
        <v>-7.4057812243700027</v>
      </c>
      <c r="AX24" s="132"/>
      <c r="AY24" s="87">
        <f>AT24/4.44</f>
        <v>12022346.258959791</v>
      </c>
      <c r="AZ24" s="87">
        <f>AU24/4.44</f>
        <v>8829386.3593710121</v>
      </c>
      <c r="BA24" s="87">
        <f>AV24/4.44</f>
        <v>20851730.95036206</v>
      </c>
      <c r="BC24" s="87">
        <f t="shared" ref="BC24:BC41" si="10">AJ24+AA24</f>
        <v>51375765.754720345</v>
      </c>
      <c r="BD24" s="87">
        <f t="shared" si="7"/>
        <v>36735272.742098257</v>
      </c>
      <c r="BE24" s="87">
        <f t="shared" si="8"/>
        <v>88111031.091037393</v>
      </c>
      <c r="BG24" s="87">
        <f>BC24/4.44</f>
        <v>11571118.413225302</v>
      </c>
      <c r="BH24" s="87">
        <f>BD24/4.44</f>
        <v>8273710.0770491567</v>
      </c>
      <c r="BI24" s="87">
        <f>BE24/4.44</f>
        <v>19844826.822305717</v>
      </c>
      <c r="BK24" s="1"/>
      <c r="BL24"/>
    </row>
    <row r="25" spans="1:64">
      <c r="A25" s="1">
        <v>28</v>
      </c>
      <c r="B25" s="17" t="s">
        <v>24</v>
      </c>
      <c r="C25" s="5" t="s">
        <v>94</v>
      </c>
      <c r="D25" s="2" t="s">
        <v>53</v>
      </c>
      <c r="E25" s="1"/>
      <c r="F25" s="1"/>
      <c r="G25" s="87">
        <v>4333.5986079063669</v>
      </c>
      <c r="H25" s="87">
        <v>2489.6135353425743</v>
      </c>
      <c r="I25" s="99">
        <v>6823.2121432489412</v>
      </c>
      <c r="J25" s="132">
        <f t="shared" ref="J25:J39" si="11">I25-H25-G25</f>
        <v>0</v>
      </c>
      <c r="K25" s="86"/>
      <c r="L25" s="87">
        <v>6241.8176261146336</v>
      </c>
      <c r="M25" s="87">
        <v>3585.8682478722558</v>
      </c>
      <c r="N25" s="86">
        <v>9827.6858739868894</v>
      </c>
      <c r="O25" s="132">
        <f t="shared" ref="O25:O37" si="12">N25-M25-L25</f>
        <v>0</v>
      </c>
      <c r="P25" s="90"/>
      <c r="Q25" s="70">
        <f>V25/G25</f>
        <v>1216.8234029275411</v>
      </c>
      <c r="R25" s="70">
        <f>W25/H25</f>
        <v>2735.5527078127893</v>
      </c>
      <c r="S25" s="70">
        <f t="shared" si="9"/>
        <v>1770.9684235692926</v>
      </c>
      <c r="T25" s="88"/>
      <c r="U25" s="63"/>
      <c r="V25" s="86">
        <f>'(2) Deriving own-lab earnings'!AK24</f>
        <v>5273224.2049946804</v>
      </c>
      <c r="W25" s="86">
        <f>'(2) Deriving own-lab earnings'!AL24</f>
        <v>6810469.0480137505</v>
      </c>
      <c r="X25" s="86">
        <v>12083693.253008431</v>
      </c>
      <c r="Y25" s="132">
        <f>X25-W25-V25</f>
        <v>0</v>
      </c>
      <c r="Z25" s="36"/>
      <c r="AA25" s="154">
        <f>'(2) Deriving own-lab earnings'!AP24</f>
        <v>5273224.2049946804</v>
      </c>
      <c r="AB25" s="154">
        <f>'(2) Deriving own-lab earnings'!AQ24</f>
        <v>6810469.0480137505</v>
      </c>
      <c r="AC25" s="154">
        <f t="shared" ref="AC25:AC37" si="13">AA25+AB25</f>
        <v>12083693.253008431</v>
      </c>
      <c r="AD25" s="36"/>
      <c r="AE25" s="156">
        <f>202.716189205245 * 0.352865</f>
        <v>71.531448103908772</v>
      </c>
      <c r="AF25" s="156">
        <f>3882.270704064*0.352865</f>
        <v>1369.9174519895432</v>
      </c>
      <c r="AG25" s="157">
        <v>545.28040882324308</v>
      </c>
      <c r="AH25" s="88"/>
      <c r="AI25" s="71"/>
      <c r="AJ25" s="87">
        <f>AE25*G25</f>
        <v>309988.58392462559</v>
      </c>
      <c r="AK25" s="87">
        <f>AF25*H25</f>
        <v>3410565.0307751782</v>
      </c>
      <c r="AL25" s="86">
        <v>3720563.9069584995</v>
      </c>
      <c r="AM25" s="88"/>
      <c r="AN25" s="92"/>
      <c r="AO25" s="149">
        <f>AT25/G25</f>
        <v>1288.3548510314499</v>
      </c>
      <c r="AP25" s="149">
        <f>AU25/H25</f>
        <v>4105.4701598023321</v>
      </c>
      <c r="AQ25" s="149">
        <f>AV25/I25</f>
        <v>2316.2488323925359</v>
      </c>
      <c r="AR25" s="88"/>
      <c r="AS25" s="93"/>
      <c r="AT25" s="88">
        <f>V25+AJ25</f>
        <v>5583212.7889193064</v>
      </c>
      <c r="AU25" s="88">
        <f>W25+AK25</f>
        <v>10221034.078788929</v>
      </c>
      <c r="AV25" s="88">
        <f>X25+AL25</f>
        <v>15804257.159966931</v>
      </c>
      <c r="AW25" s="132">
        <f t="shared" si="6"/>
        <v>10.292258694767952</v>
      </c>
      <c r="AX25" s="132"/>
      <c r="AY25" s="87">
        <f>AT25/4.44</f>
        <v>1257480.3578647086</v>
      </c>
      <c r="AZ25" s="87">
        <f>AU25/4.44</f>
        <v>2302034.7024299386</v>
      </c>
      <c r="BA25" s="87">
        <f>AV25/4.44</f>
        <v>3559517.37837093</v>
      </c>
      <c r="BC25" s="87">
        <f t="shared" si="10"/>
        <v>5583212.7889193064</v>
      </c>
      <c r="BD25" s="87">
        <f t="shared" si="7"/>
        <v>10221034.078788929</v>
      </c>
      <c r="BE25" s="87">
        <f>BC25+BD25</f>
        <v>15804246.867708236</v>
      </c>
      <c r="BG25" s="87">
        <f>BC25/4.44</f>
        <v>1257480.3578647086</v>
      </c>
      <c r="BH25" s="87">
        <f>BD25/4.44</f>
        <v>2302034.7024299386</v>
      </c>
      <c r="BI25" s="87">
        <f>BE25/4.44</f>
        <v>3559515.0602946472</v>
      </c>
      <c r="BK25" s="1"/>
      <c r="BL25"/>
    </row>
    <row r="26" spans="1:64">
      <c r="A26" s="1">
        <v>29</v>
      </c>
      <c r="B26" s="17"/>
      <c r="C26" s="5" t="s">
        <v>95</v>
      </c>
      <c r="D26" s="2" t="s">
        <v>99</v>
      </c>
      <c r="E26" s="1"/>
      <c r="F26" s="1"/>
      <c r="G26" s="87">
        <v>1990.3514047342671</v>
      </c>
      <c r="H26" s="87">
        <v>1143.4390320031232</v>
      </c>
      <c r="I26" s="99">
        <v>3133.7904367373903</v>
      </c>
      <c r="J26" s="132">
        <f t="shared" si="11"/>
        <v>0</v>
      </c>
      <c r="K26" s="86"/>
      <c r="L26" s="87">
        <v>2866.7653846774529</v>
      </c>
      <c r="M26" s="87">
        <v>1646.9310035597919</v>
      </c>
      <c r="N26" s="86">
        <v>4513.6963882372447</v>
      </c>
      <c r="O26" s="132">
        <f t="shared" si="12"/>
        <v>0</v>
      </c>
      <c r="P26" s="90"/>
      <c r="Q26" s="70">
        <f>V26/G26</f>
        <v>411.59529079630227</v>
      </c>
      <c r="R26" s="70">
        <f>W26/H26</f>
        <v>432.72546500330623</v>
      </c>
      <c r="S26" s="70">
        <f t="shared" si="9"/>
        <v>419.30514454340482</v>
      </c>
      <c r="T26" s="88"/>
      <c r="U26" s="63"/>
      <c r="V26" s="86">
        <f>'(2) Deriving own-lab earnings'!AK25</f>
        <v>819219.26521842938</v>
      </c>
      <c r="W26" s="86">
        <f>'(2) Deriving own-lab earnings'!AL25</f>
        <v>494795.18682648183</v>
      </c>
      <c r="X26" s="86">
        <v>1314014.4520449112</v>
      </c>
      <c r="Y26" s="132">
        <f>X26-W26-V26</f>
        <v>0</v>
      </c>
      <c r="Z26" s="36"/>
      <c r="AA26" s="154">
        <f>'(2) Deriving own-lab earnings'!AP25</f>
        <v>819219.26521842938</v>
      </c>
      <c r="AB26" s="154">
        <f>'(2) Deriving own-lab earnings'!AQ25</f>
        <v>494795.18682648183</v>
      </c>
      <c r="AC26" s="154">
        <f t="shared" si="13"/>
        <v>1314014.4520449112</v>
      </c>
      <c r="AD26" s="36"/>
      <c r="AE26" s="156">
        <f>67.9483382960637 * 1.14926</f>
        <v>78.090307270134161</v>
      </c>
      <c r="AF26" s="156">
        <f>92.3580212574747 * 1.14926</f>
        <v>106.14337951036538</v>
      </c>
      <c r="AG26" s="157">
        <v>88.326184172558484</v>
      </c>
      <c r="AH26" s="88"/>
      <c r="AI26" s="71"/>
      <c r="AJ26" s="87">
        <f>AE26*G26</f>
        <v>155427.15277124208</v>
      </c>
      <c r="AK26" s="87">
        <f>AF26*H26</f>
        <v>121368.48312087233</v>
      </c>
      <c r="AL26" s="86">
        <v>276795.75127346924</v>
      </c>
      <c r="AM26" s="88"/>
      <c r="AN26" s="92"/>
      <c r="AO26" s="149">
        <f>AT26/G26</f>
        <v>489.6855980664364</v>
      </c>
      <c r="AP26" s="149">
        <f>AU26/H26</f>
        <v>538.86884451367155</v>
      </c>
      <c r="AQ26" s="149">
        <f>AV26/I26</f>
        <v>507.63132871596332</v>
      </c>
      <c r="AR26" s="88"/>
      <c r="AS26" s="93"/>
      <c r="AT26" s="88">
        <f>V26+AJ26</f>
        <v>974646.41798967146</v>
      </c>
      <c r="AU26" s="88">
        <f>W26+AK26</f>
        <v>616163.66994735412</v>
      </c>
      <c r="AV26" s="88">
        <f>X26+AL26</f>
        <v>1590810.2033183805</v>
      </c>
      <c r="AW26" s="132">
        <f t="shared" si="6"/>
        <v>0.11538135493174195</v>
      </c>
      <c r="AX26" s="132"/>
      <c r="AY26" s="87">
        <f>AT26/4.44</f>
        <v>219514.95900668274</v>
      </c>
      <c r="AZ26" s="87">
        <f>AU26/4.44</f>
        <v>138775.60133949417</v>
      </c>
      <c r="BA26" s="87">
        <f>AV26/4.44</f>
        <v>358290.58633296855</v>
      </c>
      <c r="BC26" s="87">
        <f t="shared" si="10"/>
        <v>974646.41798967146</v>
      </c>
      <c r="BD26" s="87">
        <f t="shared" si="7"/>
        <v>616163.66994735412</v>
      </c>
      <c r="BE26" s="87">
        <f t="shared" ref="BE26:BE33" si="14">BC26+BD26</f>
        <v>1590810.0879370256</v>
      </c>
      <c r="BG26" s="87">
        <f>BC26/4.44</f>
        <v>219514.95900668274</v>
      </c>
      <c r="BH26" s="87">
        <f>BD26/4.44</f>
        <v>138775.60133949417</v>
      </c>
      <c r="BI26" s="87">
        <f>BE26/4.44</f>
        <v>358290.56034617691</v>
      </c>
      <c r="BK26" s="1"/>
      <c r="BL26"/>
    </row>
    <row r="27" spans="1:64">
      <c r="A27" s="1">
        <v>30</v>
      </c>
      <c r="B27" s="17"/>
      <c r="C27" s="5" t="s">
        <v>44</v>
      </c>
      <c r="D27" s="32" t="s">
        <v>9</v>
      </c>
      <c r="E27" s="1"/>
      <c r="F27" s="1"/>
      <c r="G27" s="87">
        <v>3060.6716093626892</v>
      </c>
      <c r="H27" s="87">
        <v>1758.3283906373108</v>
      </c>
      <c r="I27" s="99">
        <v>4819</v>
      </c>
      <c r="J27" s="132">
        <f t="shared" si="11"/>
        <v>0</v>
      </c>
      <c r="K27" s="86"/>
      <c r="L27" s="87">
        <v>4408.3810540769509</v>
      </c>
      <c r="M27" s="87">
        <v>2532.5753799981094</v>
      </c>
      <c r="N27" s="86">
        <v>6940.9564340750603</v>
      </c>
      <c r="O27" s="132">
        <f t="shared" si="12"/>
        <v>0</v>
      </c>
      <c r="P27" s="90"/>
      <c r="Q27" s="70">
        <f>V27/G27</f>
        <v>274.9223197751603</v>
      </c>
      <c r="R27" s="70">
        <f>W27/H27</f>
        <v>296.05249411105677</v>
      </c>
      <c r="S27" s="70">
        <f t="shared" si="9"/>
        <v>282.63217356929243</v>
      </c>
      <c r="T27" s="88"/>
      <c r="U27" s="63"/>
      <c r="V27" s="86">
        <f>'(2) Deriving own-lab earnings'!AK26</f>
        <v>841446.93891596375</v>
      </c>
      <c r="W27" s="86">
        <f>'(2) Deriving own-lab earnings'!AL26</f>
        <v>520557.50551445642</v>
      </c>
      <c r="X27" s="86">
        <v>1362004.4444304202</v>
      </c>
      <c r="Y27" s="132">
        <f>X27-W27-V27</f>
        <v>0</v>
      </c>
      <c r="Z27" s="36"/>
      <c r="AA27" s="154">
        <f>'(2) Deriving own-lab earnings'!AP26</f>
        <v>841446.93891596375</v>
      </c>
      <c r="AB27" s="154">
        <f>'(2) Deriving own-lab earnings'!AQ26</f>
        <v>520557.50551445642</v>
      </c>
      <c r="AC27" s="154">
        <f t="shared" si="13"/>
        <v>1362004.4444304202</v>
      </c>
      <c r="AD27" s="36"/>
      <c r="AE27" s="156">
        <f>43.9613829522011*1.11111</f>
        <v>48.845932212020166</v>
      </c>
      <c r="AF27" s="156">
        <f>19.42*1.11111</f>
        <v>21.577756200000003</v>
      </c>
      <c r="AG27" s="157">
        <v>38.896449405717114</v>
      </c>
      <c r="AH27" s="88"/>
      <c r="AI27" s="71"/>
      <c r="AJ27" s="87">
        <f>AE27*G27</f>
        <v>149501.35795418458</v>
      </c>
      <c r="AK27" s="87">
        <f>AF27*H27</f>
        <v>37940.781332710263</v>
      </c>
      <c r="AL27" s="86">
        <v>187441.98968615077</v>
      </c>
      <c r="AM27" s="88"/>
      <c r="AN27" s="92"/>
      <c r="AO27" s="149">
        <f>AT27/G27</f>
        <v>323.76825198718046</v>
      </c>
      <c r="AP27" s="149">
        <f>AU27/H27</f>
        <v>317.63025031105684</v>
      </c>
      <c r="AQ27" s="149">
        <f>AV27/I27</f>
        <v>321.52862297500957</v>
      </c>
      <c r="AR27" s="88"/>
      <c r="AS27" s="93"/>
      <c r="AT27" s="88">
        <f>V27+AJ27</f>
        <v>990948.29687014828</v>
      </c>
      <c r="AU27" s="88">
        <f>W27+AK27</f>
        <v>558498.28684716672</v>
      </c>
      <c r="AV27" s="88">
        <f>X27+AL27</f>
        <v>1549446.434116571</v>
      </c>
      <c r="AW27" s="132">
        <f t="shared" si="6"/>
        <v>-0.14960074401460588</v>
      </c>
      <c r="AX27" s="132"/>
      <c r="AY27" s="87">
        <f>AT27/4.44</f>
        <v>223186.55334913247</v>
      </c>
      <c r="AZ27" s="87">
        <f>AU27/4.44</f>
        <v>125787.90244305556</v>
      </c>
      <c r="BA27" s="87">
        <f>AV27/4.44</f>
        <v>348974.42209832679</v>
      </c>
      <c r="BC27" s="87">
        <f t="shared" si="10"/>
        <v>990948.29687014828</v>
      </c>
      <c r="BD27" s="87">
        <f t="shared" si="7"/>
        <v>558498.28684716672</v>
      </c>
      <c r="BE27" s="87">
        <f t="shared" si="14"/>
        <v>1549446.583717315</v>
      </c>
      <c r="BG27" s="87">
        <f>BC27/4.44</f>
        <v>223186.55334913247</v>
      </c>
      <c r="BH27" s="87">
        <f>BD27/4.44</f>
        <v>125787.90244305556</v>
      </c>
      <c r="BI27" s="87">
        <f>BE27/4.44</f>
        <v>348974.455792188</v>
      </c>
      <c r="BK27" s="1"/>
      <c r="BL27"/>
    </row>
    <row r="28" spans="1:64">
      <c r="A28" s="1">
        <v>31</v>
      </c>
      <c r="B28" s="17"/>
      <c r="C28" s="5" t="s">
        <v>39</v>
      </c>
      <c r="D28" s="4" t="s">
        <v>125</v>
      </c>
      <c r="E28" s="1"/>
      <c r="F28" s="1"/>
      <c r="G28" s="87">
        <v>1875.8816845835358</v>
      </c>
      <c r="H28" s="87">
        <v>1077.6772043723408</v>
      </c>
      <c r="I28" s="99">
        <v>2953.5588889558767</v>
      </c>
      <c r="J28" s="132">
        <f t="shared" si="11"/>
        <v>0</v>
      </c>
      <c r="K28" s="86"/>
      <c r="L28" s="87">
        <v>2701.8910662323419</v>
      </c>
      <c r="M28" s="87">
        <v>1552.2121862511353</v>
      </c>
      <c r="N28" s="86">
        <v>4254.1032524834773</v>
      </c>
      <c r="O28" s="132">
        <f t="shared" si="12"/>
        <v>0</v>
      </c>
      <c r="P28" s="90"/>
      <c r="Q28" s="70">
        <f>V28/G28</f>
        <v>323.54715476444392</v>
      </c>
      <c r="R28" s="70">
        <f>W28/H28</f>
        <v>381.55351248673321</v>
      </c>
      <c r="S28" s="70">
        <f t="shared" si="9"/>
        <v>344.71217356929247</v>
      </c>
      <c r="T28" s="88"/>
      <c r="U28" s="63"/>
      <c r="V28" s="86">
        <f>'(2) Deriving own-lab earnings'!AK27</f>
        <v>606936.18172173505</v>
      </c>
      <c r="W28" s="86">
        <f>'(2) Deriving own-lab earnings'!AL27</f>
        <v>411191.52265514969</v>
      </c>
      <c r="X28" s="86">
        <v>1018127.7043768847</v>
      </c>
      <c r="Y28" s="132">
        <f>X28-W28-V28</f>
        <v>0</v>
      </c>
      <c r="Z28" s="36"/>
      <c r="AA28" s="154">
        <f>'(2) Deriving own-lab earnings'!AP27</f>
        <v>549434.45445676905</v>
      </c>
      <c r="AB28" s="154">
        <f>'(2) Deriving own-lab earnings'!AQ27</f>
        <v>361350.7123979521</v>
      </c>
      <c r="AC28" s="154">
        <f t="shared" si="13"/>
        <v>910785.16685472114</v>
      </c>
      <c r="AD28" s="36"/>
      <c r="AE28" s="156">
        <f>43.9613829522011 * 1.11111</f>
        <v>48.845932212020166</v>
      </c>
      <c r="AF28" s="156">
        <f>19.42 * 1.11111</f>
        <v>21.577756200000003</v>
      </c>
      <c r="AG28" s="157">
        <v>38.896449405717114</v>
      </c>
      <c r="AH28" s="88"/>
      <c r="AI28" s="71"/>
      <c r="AJ28" s="154">
        <f>AE28*G28</f>
        <v>91629.189602937593</v>
      </c>
      <c r="AK28" s="154">
        <f>AF28*H28</f>
        <v>23253.855978243948</v>
      </c>
      <c r="AL28" s="86">
        <v>114882.9538910783</v>
      </c>
      <c r="AM28" s="88"/>
      <c r="AN28" s="92"/>
      <c r="AO28" s="149">
        <f>AT28/G28</f>
        <v>372.39308697646408</v>
      </c>
      <c r="AP28" s="149">
        <f>AU28/H28</f>
        <v>403.13126868673322</v>
      </c>
      <c r="AQ28" s="149">
        <f>AV28/I28</f>
        <v>383.60862297500955</v>
      </c>
      <c r="AR28" s="88"/>
      <c r="AS28" s="93"/>
      <c r="AT28" s="88">
        <f>V28+AJ28</f>
        <v>698565.3713246726</v>
      </c>
      <c r="AU28" s="88">
        <f>W28+AK28</f>
        <v>434445.37863339362</v>
      </c>
      <c r="AV28" s="88">
        <f>X28+AL28</f>
        <v>1133010.658267963</v>
      </c>
      <c r="AW28" s="132">
        <f t="shared" si="6"/>
        <v>-9.1690103232394904E-2</v>
      </c>
      <c r="AX28" s="132"/>
      <c r="AY28" s="87">
        <f>AT28/4.44</f>
        <v>157334.54309114246</v>
      </c>
      <c r="AZ28" s="87">
        <f>AU28/4.44</f>
        <v>97848.058250764312</v>
      </c>
      <c r="BA28" s="87">
        <f>AV28/4.44</f>
        <v>255182.58069098264</v>
      </c>
      <c r="BC28" s="87">
        <f t="shared" si="10"/>
        <v>641063.6440597066</v>
      </c>
      <c r="BD28" s="87">
        <f t="shared" si="7"/>
        <v>384604.56837619602</v>
      </c>
      <c r="BE28" s="87">
        <f t="shared" si="14"/>
        <v>1025668.2124359026</v>
      </c>
      <c r="BG28" s="87">
        <f>BC28/4.44</f>
        <v>144383.70361705101</v>
      </c>
      <c r="BH28" s="87">
        <f>BD28/4.44</f>
        <v>86622.650535179273</v>
      </c>
      <c r="BI28" s="87">
        <f>BE28/4.44</f>
        <v>231006.35415223028</v>
      </c>
      <c r="BK28" s="1"/>
      <c r="BL28"/>
    </row>
    <row r="29" spans="1:64">
      <c r="A29" s="1">
        <v>32</v>
      </c>
      <c r="B29" s="17"/>
      <c r="C29" s="5" t="s">
        <v>146</v>
      </c>
      <c r="D29" s="32" t="s">
        <v>148</v>
      </c>
      <c r="E29" s="1"/>
      <c r="F29" s="1"/>
      <c r="G29" s="87">
        <v>64311.263642966864</v>
      </c>
      <c r="H29" s="87">
        <v>36946.24420185214</v>
      </c>
      <c r="I29" s="86">
        <v>101257.507844819</v>
      </c>
      <c r="J29" s="132">
        <f t="shared" si="11"/>
        <v>0</v>
      </c>
      <c r="K29" s="86"/>
      <c r="L29" s="87">
        <v>92629.524624641854</v>
      </c>
      <c r="M29" s="87">
        <v>53214.831169901314</v>
      </c>
      <c r="N29" s="86">
        <v>145844.35579454317</v>
      </c>
      <c r="O29" s="132">
        <f t="shared" si="12"/>
        <v>0</v>
      </c>
      <c r="P29" s="90"/>
      <c r="Q29" s="70">
        <f>V29/G29</f>
        <v>396.19231981848168</v>
      </c>
      <c r="R29" s="70">
        <f>W29/H29</f>
        <v>417.32249403565049</v>
      </c>
      <c r="S29" s="70">
        <f t="shared" ref="S29:S33" si="15">X29/I29</f>
        <v>403.90217356929315</v>
      </c>
      <c r="T29" s="88"/>
      <c r="U29" s="41"/>
      <c r="V29" s="86">
        <f>'(2) Deriving own-lab earnings'!AK28</f>
        <v>25479628.733165022</v>
      </c>
      <c r="W29" s="86">
        <f>'(2) Deriving own-lab earnings'!AL28</f>
        <v>15418498.775567126</v>
      </c>
      <c r="X29" s="86">
        <v>40898127.508732148</v>
      </c>
      <c r="Y29" s="132">
        <f>X29-W29-V29</f>
        <v>0</v>
      </c>
      <c r="Z29" s="36"/>
      <c r="AA29" s="154">
        <f>'(2) Deriving own-lab earnings'!AP28</f>
        <v>23556230.684895076</v>
      </c>
      <c r="AB29" s="154">
        <f>'(2) Deriving own-lab earnings'!AQ28</f>
        <v>13029953.667964354</v>
      </c>
      <c r="AC29" s="154">
        <f t="shared" si="13"/>
        <v>36586184.35285943</v>
      </c>
      <c r="AD29" s="36"/>
      <c r="AE29" s="156">
        <f>138.496670024864 * 1.02049</f>
        <v>141.33446679367344</v>
      </c>
      <c r="AF29" s="156">
        <f>189.204900077525 * 1.02049</f>
        <v>193.08170848011346</v>
      </c>
      <c r="AG29" s="157">
        <f>AL29/I29</f>
        <v>160.21551423763441</v>
      </c>
      <c r="AH29" s="88"/>
      <c r="AI29" s="71"/>
      <c r="AJ29" s="154">
        <f>AE29*G29</f>
        <v>9089398.1558060776</v>
      </c>
      <c r="AK29" s="154">
        <f>AF29*H29</f>
        <v>7133643.9524170971</v>
      </c>
      <c r="AL29" s="86">
        <v>16223023.689778976</v>
      </c>
      <c r="AM29" s="88"/>
      <c r="AN29" s="92"/>
      <c r="AO29" s="149">
        <f>AT29/G29</f>
        <v>537.52678661215509</v>
      </c>
      <c r="AP29" s="149">
        <f>AU29/H29</f>
        <v>610.40420251576393</v>
      </c>
      <c r="AQ29" s="149">
        <f>AV29/I29</f>
        <v>564.11768780692751</v>
      </c>
      <c r="AR29" s="88"/>
      <c r="AS29" s="93"/>
      <c r="AT29" s="88">
        <f>V29+AJ29</f>
        <v>34569026.888971098</v>
      </c>
      <c r="AU29" s="88">
        <f>W29+AK29</f>
        <v>22552142.727984224</v>
      </c>
      <c r="AV29" s="88">
        <f>X29+AL29</f>
        <v>57121151.198511124</v>
      </c>
      <c r="AW29" s="132">
        <f t="shared" si="6"/>
        <v>-18.418444197624922</v>
      </c>
      <c r="AX29" s="132"/>
      <c r="AY29" s="87">
        <f>AT29/4.44</f>
        <v>7785816.8668853818</v>
      </c>
      <c r="AZ29" s="87">
        <f>AU29/4.44</f>
        <v>5079311.4252216714</v>
      </c>
      <c r="BA29" s="87">
        <f>AV29/4.44</f>
        <v>12865124.14380881</v>
      </c>
      <c r="BC29" s="87">
        <f t="shared" si="10"/>
        <v>32645628.840701155</v>
      </c>
      <c r="BD29" s="87">
        <f t="shared" si="7"/>
        <v>20163597.620381452</v>
      </c>
      <c r="BE29" s="87">
        <f t="shared" si="14"/>
        <v>52809226.461082608</v>
      </c>
      <c r="BG29" s="87">
        <f>BC29/4.44</f>
        <v>7352619.1082660258</v>
      </c>
      <c r="BH29" s="87">
        <f>BD29/4.44</f>
        <v>4541350.8154012272</v>
      </c>
      <c r="BI29" s="87">
        <f>BE29/4.44</f>
        <v>11893969.923667252</v>
      </c>
      <c r="BK29" s="1"/>
      <c r="BL29"/>
    </row>
    <row r="30" spans="1:64">
      <c r="A30" s="1">
        <v>37</v>
      </c>
      <c r="B30" s="17"/>
      <c r="C30" s="5" t="s">
        <v>127</v>
      </c>
      <c r="D30" s="4" t="s">
        <v>63</v>
      </c>
      <c r="E30" s="1"/>
      <c r="F30" s="1"/>
      <c r="G30" s="87">
        <v>1458.8841433297566</v>
      </c>
      <c r="H30" s="87">
        <v>838.11585667024337</v>
      </c>
      <c r="I30" s="86">
        <v>2297</v>
      </c>
      <c r="J30" s="132">
        <f t="shared" si="11"/>
        <v>0</v>
      </c>
      <c r="K30" s="86"/>
      <c r="L30" s="87">
        <v>2101.2764642487564</v>
      </c>
      <c r="M30" s="87">
        <v>1207.1644838878724</v>
      </c>
      <c r="N30" s="86">
        <v>3308.4409481366288</v>
      </c>
      <c r="O30" s="132">
        <f t="shared" si="12"/>
        <v>0</v>
      </c>
      <c r="P30" s="90"/>
      <c r="Q30" s="70">
        <f>V30/G30</f>
        <v>205.60687219914243</v>
      </c>
      <c r="R30" s="70">
        <f>W30/H30</f>
        <v>214.19970240264985</v>
      </c>
      <c r="S30" s="70">
        <f t="shared" si="15"/>
        <v>208.74217356929245</v>
      </c>
      <c r="T30" s="88"/>
      <c r="U30" s="63"/>
      <c r="V30" s="86">
        <f>'(2) Deriving own-lab earnings'!AK29</f>
        <v>299956.60561095667</v>
      </c>
      <c r="W30" s="86">
        <f>'(2) Deriving own-lab earnings'!AL29</f>
        <v>179524.16707770806</v>
      </c>
      <c r="X30" s="86">
        <v>479480.77268866473</v>
      </c>
      <c r="Y30" s="132">
        <f>X30-W30-V30</f>
        <v>0</v>
      </c>
      <c r="Z30" s="36"/>
      <c r="AA30" s="154">
        <f>'(2) Deriving own-lab earnings'!AP29</f>
        <v>277923.23061111488</v>
      </c>
      <c r="AB30" s="154">
        <f>'(2) Deriving own-lab earnings'!AQ29</f>
        <v>151005.25613912829</v>
      </c>
      <c r="AC30" s="154">
        <f t="shared" si="13"/>
        <v>428928.48675024317</v>
      </c>
      <c r="AD30" s="36"/>
      <c r="AE30" s="156">
        <f>90.8684496570609 * 0.94</f>
        <v>85.416342677637246</v>
      </c>
      <c r="AF30" s="156">
        <f>90.8684496570609 * 0.94</f>
        <v>85.416342677637246</v>
      </c>
      <c r="AG30" s="156">
        <f>90.8684496570609 * 0.94</f>
        <v>85.416342677637246</v>
      </c>
      <c r="AH30" s="88"/>
      <c r="AI30" s="71"/>
      <c r="AJ30" s="154">
        <f>AE30*G30</f>
        <v>124612.54791362575</v>
      </c>
      <c r="AK30" s="154">
        <f>AF30*H30</f>
        <v>71588.791216907004</v>
      </c>
      <c r="AL30" s="86">
        <v>196201.33913053284</v>
      </c>
      <c r="AM30" s="88"/>
      <c r="AN30" s="92"/>
      <c r="AO30" s="149">
        <f>AT30/G30</f>
        <v>291.02321487677966</v>
      </c>
      <c r="AP30" s="149">
        <f>AU30/H30</f>
        <v>299.61604508028705</v>
      </c>
      <c r="AQ30" s="149">
        <f>AV30/I30</f>
        <v>294.15851624692971</v>
      </c>
      <c r="AR30" s="88"/>
      <c r="AS30" s="93"/>
      <c r="AT30" s="88">
        <f>V30+AJ30</f>
        <v>424569.15352458239</v>
      </c>
      <c r="AU30" s="88">
        <f>W30+AK30</f>
        <v>251112.95829461506</v>
      </c>
      <c r="AV30" s="88">
        <f>X30+AL30</f>
        <v>675682.11181919754</v>
      </c>
      <c r="AW30" s="132">
        <f t="shared" si="6"/>
        <v>0</v>
      </c>
      <c r="AX30" s="132"/>
      <c r="AY30" s="87">
        <f>AT30/4.44</f>
        <v>95623.683226257286</v>
      </c>
      <c r="AZ30" s="87">
        <f>AU30/4.44</f>
        <v>56556.972588877259</v>
      </c>
      <c r="BA30" s="87">
        <f>AV30/4.44</f>
        <v>152180.65581513458</v>
      </c>
      <c r="BC30" s="87">
        <f t="shared" si="10"/>
        <v>402535.7785247406</v>
      </c>
      <c r="BD30" s="87">
        <f t="shared" si="7"/>
        <v>222594.0473560353</v>
      </c>
      <c r="BE30" s="87">
        <f t="shared" si="14"/>
        <v>625129.82588077593</v>
      </c>
      <c r="BG30" s="87">
        <f>BC30/4.44</f>
        <v>90661.211379446075</v>
      </c>
      <c r="BH30" s="87">
        <f>BD30/4.44</f>
        <v>50133.794449557492</v>
      </c>
      <c r="BI30" s="87">
        <f>BE30/4.44</f>
        <v>140795.00582900358</v>
      </c>
      <c r="BK30" s="1"/>
      <c r="BL30"/>
    </row>
    <row r="31" spans="1:64">
      <c r="A31" s="1">
        <v>38</v>
      </c>
      <c r="B31" s="17"/>
      <c r="C31" s="5" t="s">
        <v>64</v>
      </c>
      <c r="D31" s="4" t="s">
        <v>43</v>
      </c>
      <c r="E31" s="1"/>
      <c r="F31" s="1"/>
      <c r="G31" s="87">
        <v>101.29242377822223</v>
      </c>
      <c r="H31" s="87">
        <v>58.191589042380173</v>
      </c>
      <c r="I31" s="86">
        <v>159.4840128206024</v>
      </c>
      <c r="J31" s="132">
        <f t="shared" si="11"/>
        <v>0</v>
      </c>
      <c r="K31" s="86"/>
      <c r="L31" s="87">
        <v>101.29242377822223</v>
      </c>
      <c r="M31" s="87">
        <v>58.191589042380173</v>
      </c>
      <c r="N31" s="86">
        <v>159.4840128206024</v>
      </c>
      <c r="O31" s="132">
        <f t="shared" si="12"/>
        <v>0</v>
      </c>
      <c r="P31" s="90"/>
      <c r="Q31" s="70">
        <f>V31/G31</f>
        <v>48.550000000000004</v>
      </c>
      <c r="R31" s="70">
        <f>W31/H31</f>
        <v>48.549999999999983</v>
      </c>
      <c r="S31" s="70">
        <f t="shared" si="15"/>
        <v>48.55</v>
      </c>
      <c r="T31" s="88"/>
      <c r="U31" s="63"/>
      <c r="V31" s="86">
        <f>'(2) Deriving own-lab earnings'!AK30</f>
        <v>4917.7471744326895</v>
      </c>
      <c r="W31" s="86">
        <f>'(2) Deriving own-lab earnings'!AL30</f>
        <v>2825.2016480075563</v>
      </c>
      <c r="X31" s="86">
        <v>7742.9488224402457</v>
      </c>
      <c r="Y31" s="132">
        <f>X31-W31-V31</f>
        <v>0</v>
      </c>
      <c r="Z31" s="36"/>
      <c r="AA31" s="154">
        <f>'(2) Deriving own-lab earnings'!AP30</f>
        <v>4399.2626480548015</v>
      </c>
      <c r="AB31" s="154">
        <f>'(2) Deriving own-lab earnings'!AQ30</f>
        <v>2527.3369375147468</v>
      </c>
      <c r="AC31" s="154">
        <f t="shared" si="13"/>
        <v>6926.5995855695483</v>
      </c>
      <c r="AD31" s="36"/>
      <c r="AE31" s="156">
        <f>90.8684496570609 * 0.86416</f>
        <v>78.52487945564576</v>
      </c>
      <c r="AF31" s="156">
        <f>90.8684496570609 * 0.86416</f>
        <v>78.52487945564576</v>
      </c>
      <c r="AG31" s="157">
        <v>90.868449657060921</v>
      </c>
      <c r="AH31" s="88"/>
      <c r="AI31" s="71"/>
      <c r="AJ31" s="154">
        <f>AE31*G31</f>
        <v>7953.9753669550864</v>
      </c>
      <c r="AK31" s="154">
        <f>AF31*H31</f>
        <v>4569.4875148853798</v>
      </c>
      <c r="AL31" s="86">
        <v>12523.489731736139</v>
      </c>
      <c r="AM31" s="88"/>
      <c r="AN31" s="71"/>
      <c r="AO31" s="149">
        <f>AT31/G31</f>
        <v>127.07487945564574</v>
      </c>
      <c r="AP31" s="149">
        <f>AU31/H31</f>
        <v>127.07487945564574</v>
      </c>
      <c r="AQ31" s="149">
        <f>AV31/I31</f>
        <v>127.07504781042438</v>
      </c>
      <c r="AR31" s="88"/>
      <c r="AS31" s="93"/>
      <c r="AT31" s="88">
        <f>V31+AJ31</f>
        <v>12871.722541387775</v>
      </c>
      <c r="AU31" s="88">
        <f>W31+AK31</f>
        <v>7394.6891628929361</v>
      </c>
      <c r="AV31" s="88">
        <f>X31+AL31</f>
        <v>20266.438554176384</v>
      </c>
      <c r="AW31" s="132">
        <f t="shared" si="6"/>
        <v>2.684989567296725E-2</v>
      </c>
      <c r="AX31" s="132"/>
      <c r="AY31" s="87">
        <f>AT31/4.44</f>
        <v>2899.0366084206698</v>
      </c>
      <c r="AZ31" s="87">
        <f>AU31/4.44</f>
        <v>1665.4705321830936</v>
      </c>
      <c r="BA31" s="87">
        <f>AV31/4.44</f>
        <v>4564.5131878775637</v>
      </c>
      <c r="BC31" s="87">
        <f t="shared" si="10"/>
        <v>12353.238015009887</v>
      </c>
      <c r="BD31" s="87">
        <f t="shared" si="7"/>
        <v>7096.8244524001266</v>
      </c>
      <c r="BE31" s="87">
        <f t="shared" si="14"/>
        <v>19450.062467410015</v>
      </c>
      <c r="BG31" s="87">
        <f>BC31/4.44</f>
        <v>2782.2608141914156</v>
      </c>
      <c r="BH31" s="87">
        <f>BD31/4.44</f>
        <v>1598.3838856757041</v>
      </c>
      <c r="BI31" s="87">
        <f>BE31/4.44</f>
        <v>4380.6446998671199</v>
      </c>
      <c r="BK31" s="1"/>
      <c r="BL31"/>
    </row>
    <row r="32" spans="1:64">
      <c r="A32" s="1">
        <v>39</v>
      </c>
      <c r="B32" s="17"/>
      <c r="C32" s="4" t="s">
        <v>32</v>
      </c>
      <c r="D32" s="31" t="s">
        <v>66</v>
      </c>
      <c r="E32" s="1"/>
      <c r="F32" s="1"/>
      <c r="G32" s="87">
        <v>4396.2902359558739</v>
      </c>
      <c r="H32" s="87">
        <v>2525.6293134213192</v>
      </c>
      <c r="I32" s="86">
        <v>6921.9195493771931</v>
      </c>
      <c r="J32" s="132">
        <f t="shared" si="11"/>
        <v>0</v>
      </c>
      <c r="K32" s="86"/>
      <c r="L32" s="87">
        <v>4396.2902359558739</v>
      </c>
      <c r="M32" s="87">
        <v>2525.6293134213192</v>
      </c>
      <c r="N32" s="86">
        <v>6921.9195493771931</v>
      </c>
      <c r="O32" s="132">
        <f t="shared" si="12"/>
        <v>0</v>
      </c>
      <c r="P32" s="90"/>
      <c r="Q32" s="70">
        <f>V32/G32</f>
        <v>106.84</v>
      </c>
      <c r="R32" s="70">
        <f>W32/H32</f>
        <v>106.83999999999999</v>
      </c>
      <c r="S32" s="70">
        <f t="shared" si="15"/>
        <v>106.84</v>
      </c>
      <c r="T32" s="88"/>
      <c r="U32" s="63"/>
      <c r="V32" s="86">
        <f>'(2) Deriving own-lab earnings'!AK31</f>
        <v>469699.64880952559</v>
      </c>
      <c r="W32" s="86">
        <f>'(2) Deriving own-lab earnings'!AL31</f>
        <v>269838.23584593373</v>
      </c>
      <c r="X32" s="86">
        <v>739537.88465545932</v>
      </c>
      <c r="Y32" s="132">
        <f>X32-W32-V32</f>
        <v>0</v>
      </c>
      <c r="Z32" s="36"/>
      <c r="AA32" s="154">
        <f>'(2) Deriving own-lab earnings'!AP31</f>
        <v>469699.64880952559</v>
      </c>
      <c r="AB32" s="154">
        <f>'(2) Deriving own-lab earnings'!AQ31</f>
        <v>269838.23584593373</v>
      </c>
      <c r="AC32" s="154">
        <f t="shared" si="13"/>
        <v>739537.88465545932</v>
      </c>
      <c r="AD32" s="36"/>
      <c r="AE32" s="156">
        <f>10.1779330210156 * 0.96436</f>
        <v>9.8151914881466027</v>
      </c>
      <c r="AF32" s="156">
        <f>33.7852485919132 * 0.96436</f>
        <v>32.581142332097414</v>
      </c>
      <c r="AG32" s="157">
        <v>90.868449657060921</v>
      </c>
      <c r="AH32" s="88"/>
      <c r="AI32" s="71"/>
      <c r="AJ32" s="154">
        <f>AE32*G32</f>
        <v>43150.430503376112</v>
      </c>
      <c r="AK32" s="154">
        <f>AF32*H32</f>
        <v>82287.888138697468</v>
      </c>
      <c r="AL32" s="86">
        <v>125438.46119104314</v>
      </c>
      <c r="AM32" s="88"/>
      <c r="AN32" s="92"/>
      <c r="AO32" s="149">
        <f>AT32/G32</f>
        <v>116.65519148814661</v>
      </c>
      <c r="AP32" s="149">
        <f>AU32/H32</f>
        <v>139.42114233209742</v>
      </c>
      <c r="AQ32" s="149">
        <f>AV32/I32</f>
        <v>124.96191839217917</v>
      </c>
      <c r="AR32" s="88"/>
      <c r="AS32" s="93"/>
      <c r="AT32" s="88">
        <f>V32+AJ32</f>
        <v>512850.07931290171</v>
      </c>
      <c r="AU32" s="88">
        <f>W32+AK32</f>
        <v>352126.12398463121</v>
      </c>
      <c r="AV32" s="88">
        <f>X32+AL32</f>
        <v>864976.34584650246</v>
      </c>
      <c r="AW32" s="132">
        <f t="shared" si="6"/>
        <v>0.14254896953934804</v>
      </c>
      <c r="AX32" s="132"/>
      <c r="AY32" s="87">
        <f>AT32/4.44</f>
        <v>115506.7746200229</v>
      </c>
      <c r="AZ32" s="87">
        <f>AU32/4.44</f>
        <v>79307.685582124133</v>
      </c>
      <c r="BA32" s="87">
        <f>AV32/4.44</f>
        <v>194814.49230777079</v>
      </c>
      <c r="BC32" s="87">
        <f t="shared" si="10"/>
        <v>512850.07931290171</v>
      </c>
      <c r="BD32" s="87">
        <f t="shared" si="7"/>
        <v>352126.12398463121</v>
      </c>
      <c r="BE32" s="87">
        <f t="shared" si="14"/>
        <v>864976.20329753286</v>
      </c>
      <c r="BG32" s="87">
        <f>BC32/4.44</f>
        <v>115506.7746200229</v>
      </c>
      <c r="BH32" s="87">
        <f>BD32/4.44</f>
        <v>79307.685582124133</v>
      </c>
      <c r="BI32" s="87">
        <f>BE32/4.44</f>
        <v>194814.46020214702</v>
      </c>
      <c r="BK32" s="1"/>
      <c r="BL32"/>
    </row>
    <row r="33" spans="1:65">
      <c r="A33" s="1">
        <v>40</v>
      </c>
      <c r="B33" s="17"/>
      <c r="C33" s="4" t="s">
        <v>20</v>
      </c>
      <c r="D33" s="31" t="s">
        <v>22</v>
      </c>
      <c r="E33" s="1"/>
      <c r="F33" s="1"/>
      <c r="G33" s="87">
        <v>4904.3607090060923</v>
      </c>
      <c r="H33" s="87">
        <v>2817.5112436734671</v>
      </c>
      <c r="I33" s="86">
        <v>7721.8719526795594</v>
      </c>
      <c r="J33" s="132">
        <f t="shared" si="11"/>
        <v>0</v>
      </c>
      <c r="K33" s="86"/>
      <c r="L33" s="87">
        <v>4904.3607090060923</v>
      </c>
      <c r="M33" s="87">
        <v>2817.5112436734671</v>
      </c>
      <c r="N33" s="86">
        <v>7721.8719526795594</v>
      </c>
      <c r="O33" s="132">
        <f t="shared" si="12"/>
        <v>0</v>
      </c>
      <c r="P33" s="90"/>
      <c r="Q33" s="70">
        <f>V33/G33</f>
        <v>106.84</v>
      </c>
      <c r="R33" s="70">
        <f>W33/H33</f>
        <v>106.84</v>
      </c>
      <c r="S33" s="70">
        <f t="shared" si="15"/>
        <v>106.84</v>
      </c>
      <c r="T33" s="88"/>
      <c r="U33" s="63"/>
      <c r="V33" s="86">
        <f>'(2) Deriving own-lab earnings'!AK32</f>
        <v>523981.89815021091</v>
      </c>
      <c r="W33" s="86">
        <f>'(2) Deriving own-lab earnings'!AL32</f>
        <v>301022.90127407323</v>
      </c>
      <c r="X33" s="86">
        <v>825004.79942428414</v>
      </c>
      <c r="Y33" s="132">
        <f>X33-W33-V33</f>
        <v>0</v>
      </c>
      <c r="Z33" s="36"/>
      <c r="AA33" s="154">
        <f>'(2) Deriving own-lab earnings'!AP32</f>
        <v>523981.89815021091</v>
      </c>
      <c r="AB33" s="154">
        <f>'(2) Deriving own-lab earnings'!AQ32</f>
        <v>301022.90127407323</v>
      </c>
      <c r="AC33" s="154">
        <f t="shared" si="13"/>
        <v>825004.79942428414</v>
      </c>
      <c r="AD33" s="36"/>
      <c r="AE33" s="156">
        <f>87.6697408241283 * 1.12788</f>
        <v>98.88094728071782</v>
      </c>
      <c r="AF33" s="156">
        <f>105.224330163695 * 1.12788</f>
        <v>118.68041750502832</v>
      </c>
      <c r="AG33" s="157">
        <v>90.868449657060921</v>
      </c>
      <c r="AH33" s="88"/>
      <c r="AI33" s="71"/>
      <c r="AJ33" s="154">
        <f>AE33*G33</f>
        <v>484947.83271285531</v>
      </c>
      <c r="AK33" s="154">
        <f>AF33*H33</f>
        <v>334383.41072427866</v>
      </c>
      <c r="AL33" s="86">
        <v>819331.92035204358</v>
      </c>
      <c r="AM33" s="88"/>
      <c r="AN33" s="92"/>
      <c r="AO33" s="149">
        <f>AT33/G33</f>
        <v>205.72094728071781</v>
      </c>
      <c r="AP33" s="149">
        <f>AU33/H33</f>
        <v>225.52041750502835</v>
      </c>
      <c r="AQ33" s="149">
        <f>AV33/I33</f>
        <v>212.94534924342122</v>
      </c>
      <c r="AR33" s="88"/>
      <c r="AS33" s="93"/>
      <c r="AT33" s="88">
        <f>V33+AJ33</f>
        <v>1008929.7308630662</v>
      </c>
      <c r="AU33" s="88">
        <f>W33+AK33</f>
        <v>635406.31199835194</v>
      </c>
      <c r="AV33" s="88">
        <f>X33+AL33</f>
        <v>1644336.7197763277</v>
      </c>
      <c r="AW33" s="132">
        <f t="shared" si="6"/>
        <v>0.67691490962170064</v>
      </c>
      <c r="AX33" s="132"/>
      <c r="AY33" s="87">
        <f>AT33/4.44</f>
        <v>227236.42587005993</v>
      </c>
      <c r="AZ33" s="87">
        <f>AU33/4.44</f>
        <v>143109.52972935853</v>
      </c>
      <c r="BA33" s="87">
        <f>AV33/4.44</f>
        <v>370346.10805773141</v>
      </c>
      <c r="BC33" s="87">
        <f t="shared" si="10"/>
        <v>1008929.7308630662</v>
      </c>
      <c r="BD33" s="87">
        <f t="shared" si="7"/>
        <v>635406.31199835194</v>
      </c>
      <c r="BE33" s="87">
        <f t="shared" si="14"/>
        <v>1644336.0428614181</v>
      </c>
      <c r="BG33" s="87">
        <f>BC33/4.44</f>
        <v>227236.42587005993</v>
      </c>
      <c r="BH33" s="87">
        <f>BD33/4.44</f>
        <v>143109.52972935853</v>
      </c>
      <c r="BI33" s="87">
        <f>BE33/4.44</f>
        <v>370345.95559941843</v>
      </c>
      <c r="BK33" s="1"/>
      <c r="BL33"/>
    </row>
    <row r="34" spans="1:65">
      <c r="A34" s="1">
        <v>41</v>
      </c>
      <c r="B34" s="17"/>
      <c r="C34" s="5" t="s">
        <v>67</v>
      </c>
      <c r="D34" s="4" t="s">
        <v>84</v>
      </c>
      <c r="E34" s="1"/>
      <c r="F34" s="1"/>
      <c r="G34" s="87">
        <v>0</v>
      </c>
      <c r="H34" s="87">
        <v>0</v>
      </c>
      <c r="I34" s="86">
        <v>0</v>
      </c>
      <c r="J34" s="132">
        <f t="shared" si="11"/>
        <v>0</v>
      </c>
      <c r="K34" s="86"/>
      <c r="L34" s="87">
        <v>0</v>
      </c>
      <c r="M34" s="87">
        <v>0</v>
      </c>
      <c r="N34" s="86">
        <v>0</v>
      </c>
      <c r="O34" s="132">
        <f t="shared" si="12"/>
        <v>0</v>
      </c>
      <c r="P34" s="90"/>
      <c r="Q34" s="70"/>
      <c r="R34" s="70"/>
      <c r="S34" s="70"/>
      <c r="T34" s="88"/>
      <c r="U34" s="63"/>
      <c r="V34" s="63"/>
      <c r="W34" s="63"/>
      <c r="X34" s="63"/>
      <c r="Y34" s="63"/>
      <c r="Z34" s="63"/>
      <c r="AA34" s="63"/>
      <c r="AB34" s="63"/>
      <c r="AC34" s="63"/>
      <c r="AD34" s="36"/>
      <c r="AE34" s="158" t="s">
        <v>255</v>
      </c>
      <c r="AG34" s="41">
        <v>0</v>
      </c>
      <c r="AH34" s="88"/>
      <c r="AI34" s="71"/>
      <c r="AJ34" s="87"/>
      <c r="AK34" s="87"/>
      <c r="AL34" s="87"/>
      <c r="AM34" s="88"/>
      <c r="AN34" s="92"/>
      <c r="AR34" s="88"/>
      <c r="AS34" s="93"/>
      <c r="AY34" s="86"/>
      <c r="AZ34" s="86"/>
      <c r="BA34" s="94"/>
      <c r="BK34" s="1"/>
      <c r="BL34"/>
    </row>
    <row r="35" spans="1:65">
      <c r="A35" s="1">
        <v>42</v>
      </c>
      <c r="B35" s="17"/>
      <c r="C35" s="31" t="s">
        <v>122</v>
      </c>
      <c r="D35" s="31" t="s">
        <v>62</v>
      </c>
      <c r="E35" s="1"/>
      <c r="F35" s="1"/>
      <c r="G35" s="87">
        <v>10810</v>
      </c>
      <c r="H35" s="87">
        <v>0</v>
      </c>
      <c r="I35" s="86">
        <v>10810</v>
      </c>
      <c r="J35" s="132">
        <f t="shared" si="11"/>
        <v>0</v>
      </c>
      <c r="K35" s="86"/>
      <c r="L35" s="87">
        <v>10810</v>
      </c>
      <c r="M35" s="87">
        <v>0</v>
      </c>
      <c r="N35" s="86">
        <v>10810</v>
      </c>
      <c r="O35" s="132">
        <f t="shared" si="12"/>
        <v>0</v>
      </c>
      <c r="P35" s="90"/>
      <c r="Q35" s="70">
        <f>V35/G35</f>
        <v>153.28962840000003</v>
      </c>
      <c r="R35" s="70"/>
      <c r="S35" s="70">
        <f>X35/I35</f>
        <v>153.28962840000003</v>
      </c>
      <c r="T35" s="88"/>
      <c r="U35" s="63"/>
      <c r="V35" s="86">
        <f>'(2) Deriving own-lab earnings'!AK34</f>
        <v>1657060.8830040002</v>
      </c>
      <c r="W35" s="86">
        <f>'(2) Deriving own-lab earnings'!AL34</f>
        <v>0</v>
      </c>
      <c r="X35" s="86">
        <v>1657060.8830040002</v>
      </c>
      <c r="Y35" s="132">
        <f>X35-W35-V35</f>
        <v>0</v>
      </c>
      <c r="Z35" s="36"/>
      <c r="AA35" s="154">
        <f>'(2) Deriving own-lab earnings'!AP34</f>
        <v>1657060.8830040002</v>
      </c>
      <c r="AB35" s="63"/>
      <c r="AC35" s="154">
        <f>AA35</f>
        <v>1657060.8830040002</v>
      </c>
      <c r="AD35" s="36"/>
      <c r="AG35" s="41"/>
      <c r="AH35" s="88"/>
      <c r="AI35" s="71"/>
      <c r="AJ35" s="87"/>
      <c r="AK35" s="87"/>
      <c r="AL35" s="86"/>
      <c r="AM35" s="88"/>
      <c r="AN35" s="92"/>
      <c r="AO35" s="149">
        <f>AT35/G35</f>
        <v>153.28962840000003</v>
      </c>
      <c r="AQ35" s="149">
        <f>AV35/I35</f>
        <v>153.28962840000003</v>
      </c>
      <c r="AR35" s="88"/>
      <c r="AS35" s="93"/>
      <c r="AT35" s="88">
        <f>V35+AJ35</f>
        <v>1657060.8830040002</v>
      </c>
      <c r="AV35" s="88">
        <f>X35+AL35</f>
        <v>1657060.8830040002</v>
      </c>
      <c r="AW35" s="132">
        <f t="shared" si="6"/>
        <v>0</v>
      </c>
      <c r="AX35" s="132"/>
      <c r="AY35" s="87">
        <f>AT35/4.44</f>
        <v>373211.91058648651</v>
      </c>
      <c r="AZ35" s="86"/>
      <c r="BA35" s="87">
        <f>AV35/4.44</f>
        <v>373211.91058648651</v>
      </c>
      <c r="BC35" s="87">
        <f t="shared" si="10"/>
        <v>1657060.8830040002</v>
      </c>
      <c r="BE35" s="87">
        <f t="shared" si="8"/>
        <v>1657060.8830040002</v>
      </c>
      <c r="BG35" s="87">
        <f>BC35/4.44</f>
        <v>373211.91058648651</v>
      </c>
      <c r="BH35">
        <v>0</v>
      </c>
      <c r="BI35" s="87">
        <f>BE35/4.44</f>
        <v>373211.91058648651</v>
      </c>
      <c r="BK35" s="1"/>
      <c r="BL35"/>
    </row>
    <row r="36" spans="1:65">
      <c r="A36" s="1">
        <v>43</v>
      </c>
      <c r="B36" s="17" t="s">
        <v>102</v>
      </c>
      <c r="C36" s="31" t="s">
        <v>135</v>
      </c>
      <c r="D36" s="31" t="s">
        <v>19</v>
      </c>
      <c r="E36" s="1"/>
      <c r="F36" s="1"/>
      <c r="G36" s="87">
        <v>690</v>
      </c>
      <c r="H36" s="87">
        <v>0</v>
      </c>
      <c r="I36" s="86">
        <v>690</v>
      </c>
      <c r="J36" s="132">
        <f t="shared" si="11"/>
        <v>0</v>
      </c>
      <c r="K36" s="86"/>
      <c r="L36" s="87">
        <v>690</v>
      </c>
      <c r="M36" s="87">
        <v>0</v>
      </c>
      <c r="N36" s="86">
        <v>690</v>
      </c>
      <c r="O36" s="132">
        <f t="shared" si="12"/>
        <v>0</v>
      </c>
      <c r="P36" s="90"/>
      <c r="Q36" s="70">
        <f>V36/G36</f>
        <v>153.28962840000003</v>
      </c>
      <c r="R36" s="70"/>
      <c r="S36" s="70">
        <f>X36/I36</f>
        <v>153.28962840000003</v>
      </c>
      <c r="T36" s="88"/>
      <c r="U36" s="63"/>
      <c r="V36" s="86">
        <f>'(2) Deriving own-lab earnings'!AK35</f>
        <v>105769.84359600002</v>
      </c>
      <c r="W36" s="86">
        <f>'(2) Deriving own-lab earnings'!AL35</f>
        <v>0</v>
      </c>
      <c r="X36" s="86">
        <v>105769.84359600002</v>
      </c>
      <c r="Y36" s="132">
        <f>X36-W36-V36</f>
        <v>0</v>
      </c>
      <c r="Z36" s="36"/>
      <c r="AA36" s="154">
        <f>'(2) Deriving own-lab earnings'!AP35</f>
        <v>105769.84359600002</v>
      </c>
      <c r="AB36" s="63"/>
      <c r="AC36" s="154">
        <f>AA36</f>
        <v>105769.84359600002</v>
      </c>
      <c r="AD36" s="36"/>
      <c r="AG36" s="41"/>
      <c r="AH36" s="88"/>
      <c r="AI36" s="71"/>
      <c r="AJ36" s="87"/>
      <c r="AK36" s="87"/>
      <c r="AL36" s="86"/>
      <c r="AM36" s="88"/>
      <c r="AN36" s="92"/>
      <c r="AO36" s="149">
        <f>AT36/G36</f>
        <v>153.28962840000003</v>
      </c>
      <c r="AQ36" s="149">
        <f>AV36/I36</f>
        <v>153.28962840000003</v>
      </c>
      <c r="AR36" s="88"/>
      <c r="AS36" s="93"/>
      <c r="AT36" s="88">
        <f>V36+AJ36</f>
        <v>105769.84359600002</v>
      </c>
      <c r="AV36" s="88">
        <f>X36+AL36</f>
        <v>105769.84359600002</v>
      </c>
      <c r="AW36" s="132">
        <f t="shared" si="6"/>
        <v>0</v>
      </c>
      <c r="AX36" s="132"/>
      <c r="AY36" s="87">
        <f>AT36/4.44</f>
        <v>23822.03684594595</v>
      </c>
      <c r="AZ36" s="86"/>
      <c r="BA36" s="87">
        <f>AV36/4.44</f>
        <v>23822.03684594595</v>
      </c>
      <c r="BC36" s="87">
        <f t="shared" si="10"/>
        <v>105769.84359600002</v>
      </c>
      <c r="BE36" s="87">
        <f t="shared" si="8"/>
        <v>105769.84359600002</v>
      </c>
      <c r="BG36" s="87">
        <f>BC36/4.44</f>
        <v>23822.03684594595</v>
      </c>
      <c r="BH36">
        <v>0</v>
      </c>
      <c r="BI36" s="87">
        <f>BE36/4.44</f>
        <v>23822.03684594595</v>
      </c>
      <c r="BK36" s="1"/>
      <c r="BL36"/>
    </row>
    <row r="37" spans="1:65">
      <c r="A37" s="1">
        <v>44</v>
      </c>
      <c r="B37" s="18" t="s">
        <v>103</v>
      </c>
      <c r="C37" s="5" t="s">
        <v>65</v>
      </c>
      <c r="D37" s="32" t="s">
        <v>140</v>
      </c>
      <c r="E37" s="1"/>
      <c r="F37" s="1"/>
      <c r="G37" s="87">
        <v>58416.731920719925</v>
      </c>
      <c r="H37" s="87">
        <v>30521.468879324872</v>
      </c>
      <c r="I37" s="86">
        <v>88938.200800044797</v>
      </c>
      <c r="J37" s="132">
        <f t="shared" si="11"/>
        <v>0</v>
      </c>
      <c r="K37" s="86"/>
      <c r="L37" s="87">
        <v>150214.45351042267</v>
      </c>
      <c r="M37" s="87">
        <v>78483.77711826397</v>
      </c>
      <c r="N37" s="86">
        <v>228698.23062868664</v>
      </c>
      <c r="O37" s="132">
        <f t="shared" si="12"/>
        <v>0</v>
      </c>
      <c r="P37" s="90"/>
      <c r="Q37" s="70">
        <f>V37/G37</f>
        <v>117.10285714285713</v>
      </c>
      <c r="R37" s="70">
        <f>W37/H37</f>
        <v>117.1028571428572</v>
      </c>
      <c r="S37" s="70">
        <f>X37/I37</f>
        <v>117.10285714285716</v>
      </c>
      <c r="T37" s="88"/>
      <c r="U37" s="63"/>
      <c r="V37" s="86">
        <f>'(2) Deriving own-lab earnings'!AK36</f>
        <v>6840766.2128646476</v>
      </c>
      <c r="W37" s="86">
        <f>'(2) Deriving own-lab earnings'!AL36</f>
        <v>3574151.2099657422</v>
      </c>
      <c r="X37" s="86">
        <v>10414917.42283039</v>
      </c>
      <c r="Y37" s="132">
        <f>X37-W37-V37</f>
        <v>0</v>
      </c>
      <c r="Z37" s="36"/>
      <c r="AA37" s="154">
        <f>'(2) Deriving own-lab earnings'!AP36</f>
        <v>6840766.2128646476</v>
      </c>
      <c r="AB37" s="154">
        <f>'(2) Deriving own-lab earnings'!AQ36</f>
        <v>3574151.2099657422</v>
      </c>
      <c r="AC37" s="154">
        <f t="shared" si="13"/>
        <v>10414917.42283039</v>
      </c>
      <c r="AD37" s="36"/>
      <c r="AG37" s="41"/>
      <c r="AH37" s="88"/>
      <c r="AI37" s="71"/>
      <c r="AJ37" s="87"/>
      <c r="AK37" s="87"/>
      <c r="AL37" s="86"/>
      <c r="AM37" s="88"/>
      <c r="AN37" s="92"/>
      <c r="AO37" s="149">
        <f>AT37/G37</f>
        <v>117.10285714285713</v>
      </c>
      <c r="AP37" s="149">
        <f>AU37/H37</f>
        <v>117.1028571428572</v>
      </c>
      <c r="AQ37" s="149">
        <f>AV37/I37</f>
        <v>117.10285714285716</v>
      </c>
      <c r="AR37" s="88"/>
      <c r="AS37" s="93"/>
      <c r="AT37" s="88">
        <f>V37+AJ37</f>
        <v>6840766.2128646476</v>
      </c>
      <c r="AU37" s="88">
        <f>W37+AK37</f>
        <v>3574151.2099657422</v>
      </c>
      <c r="AV37" s="88">
        <f>X37+AL37</f>
        <v>10414917.42283039</v>
      </c>
      <c r="AW37" s="132">
        <f t="shared" si="6"/>
        <v>0</v>
      </c>
      <c r="AX37" s="132"/>
      <c r="AY37" s="87">
        <f>AT37/4.44</f>
        <v>1540713.1110055512</v>
      </c>
      <c r="AZ37" s="87">
        <f>AU37/4.44</f>
        <v>804989.01125354541</v>
      </c>
      <c r="BA37" s="87">
        <f>AV37/4.44</f>
        <v>2345702.1222590967</v>
      </c>
      <c r="BC37" s="87">
        <f t="shared" si="10"/>
        <v>6840766.2128646476</v>
      </c>
      <c r="BD37" s="87">
        <f t="shared" si="7"/>
        <v>3574151.2099657422</v>
      </c>
      <c r="BE37" s="87">
        <f t="shared" si="8"/>
        <v>10414917.42283039</v>
      </c>
      <c r="BG37" s="87">
        <f>BC37/4.44</f>
        <v>1540713.1110055512</v>
      </c>
      <c r="BH37" s="87">
        <f>BD37/4.44</f>
        <v>804989.01125354541</v>
      </c>
      <c r="BI37" s="87">
        <f>BE37/4.44</f>
        <v>2345702.1222590967</v>
      </c>
      <c r="BK37" s="1"/>
      <c r="BL37"/>
    </row>
    <row r="38" spans="1:65">
      <c r="A38" s="1">
        <v>45</v>
      </c>
      <c r="B38" s="12"/>
      <c r="C38" s="5" t="s">
        <v>149</v>
      </c>
      <c r="D38" s="4"/>
      <c r="E38" s="1"/>
      <c r="F38" s="1"/>
      <c r="G38" s="87"/>
      <c r="H38" s="87"/>
      <c r="I38" s="87"/>
      <c r="J38" s="88"/>
      <c r="K38" s="86"/>
      <c r="L38" s="87"/>
      <c r="M38" s="87"/>
      <c r="N38" s="87"/>
      <c r="O38" s="87"/>
      <c r="P38" s="75"/>
      <c r="Q38" s="72"/>
      <c r="R38" s="72"/>
      <c r="S38" s="65"/>
      <c r="T38" s="88"/>
      <c r="U38" s="34"/>
      <c r="V38" s="87"/>
      <c r="W38" s="86"/>
      <c r="X38" s="87"/>
      <c r="Y38" s="87"/>
      <c r="Z38" s="36"/>
      <c r="AA38" s="36"/>
      <c r="AB38" s="36"/>
      <c r="AC38" s="36"/>
      <c r="AD38" s="36"/>
      <c r="AG38" s="76"/>
      <c r="AH38" s="88"/>
      <c r="AI38" s="71"/>
      <c r="AJ38" s="87"/>
      <c r="AK38" s="87"/>
      <c r="AM38" s="88"/>
      <c r="AN38" s="77"/>
      <c r="AR38" s="88"/>
      <c r="AS38" s="77"/>
      <c r="AY38" s="87"/>
      <c r="AZ38" s="87"/>
      <c r="BA38" s="87"/>
      <c r="BB38" s="87"/>
      <c r="BC38" s="87"/>
      <c r="BD38" s="87"/>
      <c r="BE38" s="87"/>
      <c r="BK38" s="1"/>
      <c r="BL38"/>
    </row>
    <row r="39" spans="1:65">
      <c r="A39" s="1"/>
      <c r="B39" s="22"/>
      <c r="C39" s="5"/>
      <c r="D39" s="32"/>
      <c r="E39" s="1"/>
      <c r="F39" s="8" t="s">
        <v>240</v>
      </c>
      <c r="G39" s="127">
        <f>G40-G21</f>
        <v>86432.594461623696</v>
      </c>
      <c r="H39" s="127">
        <f>H40-H21</f>
        <v>53350.787027072547</v>
      </c>
      <c r="I39" s="127">
        <f>I40-I21</f>
        <v>139783.38148869621</v>
      </c>
      <c r="J39" s="132">
        <f t="shared" si="11"/>
        <v>0</v>
      </c>
      <c r="K39" s="86"/>
      <c r="L39" s="87">
        <f>L40</f>
        <v>120351.59958873218</v>
      </c>
      <c r="M39" s="87">
        <f t="shared" ref="M39:N39" si="16">M40</f>
        <v>75586.5733609155</v>
      </c>
      <c r="N39" s="87">
        <f t="shared" si="16"/>
        <v>195938.17294964768</v>
      </c>
      <c r="O39" s="132">
        <f t="shared" ref="O39:O41" si="17">N39-M39-L39</f>
        <v>0</v>
      </c>
      <c r="P39" s="75"/>
      <c r="Q39" s="100">
        <f t="shared" ref="Q39" si="18">V39/G39</f>
        <v>0</v>
      </c>
      <c r="R39" s="100">
        <f t="shared" ref="R39" si="19">W39/H39</f>
        <v>533.94624840905283</v>
      </c>
      <c r="S39" s="100">
        <f t="shared" ref="S39" si="20">X39/I39</f>
        <v>449.3056552049112</v>
      </c>
      <c r="T39" s="88"/>
      <c r="U39" s="72"/>
      <c r="V39" s="87"/>
      <c r="W39" s="87">
        <f t="shared" ref="W39:X39" si="21">W40</f>
        <v>28486452.582775753</v>
      </c>
      <c r="X39" s="87">
        <f t="shared" si="21"/>
        <v>62805463.806536704</v>
      </c>
      <c r="Y39" s="132"/>
      <c r="Z39" s="52"/>
      <c r="AA39" s="52"/>
      <c r="AB39" s="52"/>
      <c r="AC39" s="52"/>
      <c r="AD39" s="52"/>
      <c r="AE39" s="76">
        <f>AJ39/G39</f>
        <v>120.88790480341483</v>
      </c>
      <c r="AF39" s="76">
        <f>AK39/H39</f>
        <v>250.58973870535334</v>
      </c>
      <c r="AG39" s="76">
        <f>AL39/I39</f>
        <v>170.39083863715902</v>
      </c>
      <c r="AH39" s="88"/>
      <c r="AI39" s="71"/>
      <c r="AJ39" s="131">
        <f>AJ40-AJ18-AJ21-AJ31</f>
        <v>10448655.251188925</v>
      </c>
      <c r="AK39" s="131">
        <f>AK40-AK18-AK21-AK31</f>
        <v>13369159.780839065</v>
      </c>
      <c r="AL39" s="131">
        <f>AL40-AL18-AL21-AL31</f>
        <v>23817807.599396877</v>
      </c>
      <c r="AM39" s="132">
        <f>AL39-AJ39-AK39</f>
        <v>-7.4326311126351357</v>
      </c>
      <c r="AN39" s="77"/>
      <c r="AO39" s="149">
        <f>AT39/G39</f>
        <v>120.88790480341483</v>
      </c>
      <c r="AP39" s="149">
        <f>AU39/H39</f>
        <v>784.53598711440623</v>
      </c>
      <c r="AQ39" s="149">
        <f>AV39/I39</f>
        <v>619.69649384207025</v>
      </c>
      <c r="AR39" s="88"/>
      <c r="AS39" s="77"/>
      <c r="AT39" s="88">
        <f>V39+AJ39</f>
        <v>10448655.251188925</v>
      </c>
      <c r="AU39" s="88">
        <f>W39+AK39</f>
        <v>41855612.36361482</v>
      </c>
      <c r="AV39" s="88">
        <f>X39+AL39</f>
        <v>86623271.405933589</v>
      </c>
      <c r="AW39" s="132"/>
      <c r="AX39" s="132"/>
      <c r="AY39" s="87">
        <f>AT39/4.44</f>
        <v>2353300.7322497577</v>
      </c>
      <c r="AZ39" s="87">
        <f>AU39/4.44</f>
        <v>9426939.7215348687</v>
      </c>
      <c r="BA39" s="87">
        <f>AV39/4.44</f>
        <v>19509745.812147204</v>
      </c>
      <c r="BB39" t="s">
        <v>256</v>
      </c>
      <c r="BC39" s="87"/>
      <c r="BD39" s="87"/>
      <c r="BE39" s="87"/>
      <c r="BK39" s="1"/>
      <c r="BL39"/>
    </row>
    <row r="40" spans="1:65" s="1" customFormat="1">
      <c r="B40" s="39"/>
      <c r="C40" s="5"/>
      <c r="D40" s="32"/>
      <c r="F40" s="8" t="s">
        <v>10</v>
      </c>
      <c r="G40" s="127">
        <f>G11+G24-SUM(G35:G37)</f>
        <v>86432.594461623696</v>
      </c>
      <c r="H40" s="127">
        <f>H11+H24-SUM(H35:H37)</f>
        <v>53350.787027072547</v>
      </c>
      <c r="I40" s="153">
        <f>I41-SUM(I35:I37)</f>
        <v>139783.38148869621</v>
      </c>
      <c r="J40" s="132">
        <f t="shared" ref="J40:J41" si="22">I40-H40-G40</f>
        <v>0</v>
      </c>
      <c r="K40" s="86"/>
      <c r="L40" s="87">
        <f>L41-L22-SUM(L35:L37)</f>
        <v>120351.59958873218</v>
      </c>
      <c r="M40" s="87">
        <f>M41-M22-SUM(M35:M37)</f>
        <v>75586.5733609155</v>
      </c>
      <c r="N40" s="87">
        <v>195938.17294964768</v>
      </c>
      <c r="O40" s="132">
        <f t="shared" si="17"/>
        <v>0</v>
      </c>
      <c r="P40" s="75"/>
      <c r="Q40" s="100">
        <f t="shared" ref="Q40:S41" si="23">V40/G40</f>
        <v>397.06098651242826</v>
      </c>
      <c r="R40" s="100">
        <f t="shared" si="23"/>
        <v>533.94624840905283</v>
      </c>
      <c r="S40" s="66">
        <f t="shared" si="23"/>
        <v>449.3056552049112</v>
      </c>
      <c r="T40" s="88"/>
      <c r="V40" s="87">
        <f>V41-SUM(V35:V37)</f>
        <v>34319011.223760948</v>
      </c>
      <c r="W40" s="87">
        <f>W41-W22-SUM(W35:W37)</f>
        <v>28486452.582775753</v>
      </c>
      <c r="X40" s="87">
        <v>62805463.806536704</v>
      </c>
      <c r="Y40" s="132">
        <f t="shared" ref="Y40:Y41" si="24">X40-W40-V40</f>
        <v>0</v>
      </c>
      <c r="Z40" s="36"/>
      <c r="AA40" s="154">
        <f>AA41-SUM(AA35:AA37)</f>
        <v>32315559.588699821</v>
      </c>
      <c r="AB40" s="154">
        <f>AB41-AB37</f>
        <v>25958657.272983547</v>
      </c>
      <c r="AC40" s="154">
        <f>AC41-SUM(AC35:AC37)</f>
        <v>54257079.439613461</v>
      </c>
      <c r="AD40" s="36"/>
      <c r="AE40" s="76">
        <f>AJ40/G40</f>
        <v>120.97992998692921</v>
      </c>
      <c r="AF40" s="76">
        <f>AK40/H40</f>
        <v>250.67538856676151</v>
      </c>
      <c r="AG40" s="76">
        <f>AL40/I40</f>
        <v>170.48043075890027</v>
      </c>
      <c r="AH40" s="88"/>
      <c r="AI40" s="71"/>
      <c r="AJ40" s="85">
        <f>AJ41-SUM(AJ35:AJ37)</f>
        <v>10456609.22655588</v>
      </c>
      <c r="AK40" s="85">
        <f>AK41-SUM(AK35:AK37)</f>
        <v>13373729.26835395</v>
      </c>
      <c r="AL40" s="85">
        <f>AL41-SUM(AL35:AL37)</f>
        <v>23830331.089128613</v>
      </c>
      <c r="AM40" s="132">
        <f t="shared" ref="AM40:AM41" si="25">AL40-AJ40-AK40</f>
        <v>-7.4057812169194221</v>
      </c>
      <c r="AN40" s="58"/>
      <c r="AO40" s="149">
        <f>AT40/G40</f>
        <v>518.04091649935754</v>
      </c>
      <c r="AP40" s="149">
        <f>AU40/H40</f>
        <v>784.62163697581434</v>
      </c>
      <c r="AQ40" s="149">
        <f>AV40/I40</f>
        <v>619.7860859638115</v>
      </c>
      <c r="AR40" s="88"/>
      <c r="AS40" s="8" t="s">
        <v>73</v>
      </c>
      <c r="AT40" s="88">
        <f>V40+AJ40</f>
        <v>44775620.450316831</v>
      </c>
      <c r="AU40" s="88">
        <f>W40+AK40</f>
        <v>41860181.851129703</v>
      </c>
      <c r="AV40" s="88">
        <f>X40+AL40</f>
        <v>86635794.895665318</v>
      </c>
      <c r="AW40" s="132">
        <f t="shared" si="6"/>
        <v>-7.4057812169194221</v>
      </c>
      <c r="AX40" s="132"/>
      <c r="AY40" s="87">
        <f>AT40/4.44</f>
        <v>10084599.200521808</v>
      </c>
      <c r="AZ40" s="87">
        <f>AU40/4.44</f>
        <v>9427968.885389572</v>
      </c>
      <c r="BA40" s="87">
        <f>AV40/4.44</f>
        <v>19512566.417942636</v>
      </c>
      <c r="BB40" t="s">
        <v>256</v>
      </c>
      <c r="BC40" s="87">
        <f t="shared" si="10"/>
        <v>42772168.815255702</v>
      </c>
      <c r="BD40" s="87">
        <f t="shared" si="7"/>
        <v>39332386.541337498</v>
      </c>
      <c r="BE40" s="87">
        <f t="shared" si="8"/>
        <v>78087410.528742075</v>
      </c>
      <c r="BF40"/>
      <c r="BG40" s="87">
        <f>BC40/4.44</f>
        <v>9633371.3547873199</v>
      </c>
      <c r="BH40" s="87">
        <f>BD40/4.44</f>
        <v>8858645.6174183544</v>
      </c>
      <c r="BI40" s="87">
        <f>BE40/4.44</f>
        <v>17587254.623590555</v>
      </c>
      <c r="BJ40"/>
    </row>
    <row r="41" spans="1:65" s="1" customFormat="1">
      <c r="B41" s="39"/>
      <c r="C41" s="5"/>
      <c r="D41" s="32"/>
      <c r="F41" s="8" t="s">
        <v>123</v>
      </c>
      <c r="G41" s="127">
        <f>G11+G24</f>
        <v>156349.32638234363</v>
      </c>
      <c r="H41" s="127">
        <f>H11+H24</f>
        <v>83872.255906397419</v>
      </c>
      <c r="I41" s="153">
        <f>I11+I24</f>
        <v>240221.58228874099</v>
      </c>
      <c r="J41" s="132">
        <f t="shared" si="22"/>
        <v>0</v>
      </c>
      <c r="K41" s="86"/>
      <c r="L41" s="87">
        <f>L11+L24</f>
        <v>282066.05309915484</v>
      </c>
      <c r="M41" s="87">
        <f>M11+M24</f>
        <v>154070.35047917947</v>
      </c>
      <c r="N41" s="87">
        <v>436136.40357833431</v>
      </c>
      <c r="O41" s="132">
        <f t="shared" si="17"/>
        <v>0</v>
      </c>
      <c r="P41" s="75"/>
      <c r="Q41" s="100">
        <f t="shared" si="23"/>
        <v>274.53017647329506</v>
      </c>
      <c r="R41" s="100">
        <f t="shared" si="23"/>
        <v>382.25517420828129</v>
      </c>
      <c r="S41" s="66">
        <f t="shared" si="23"/>
        <v>312.14186186584578</v>
      </c>
      <c r="T41" s="88"/>
      <c r="V41" s="87">
        <f>V24</f>
        <v>42922608.163225599</v>
      </c>
      <c r="W41" s="87">
        <f>W11+W24</f>
        <v>32060603.792741496</v>
      </c>
      <c r="X41" s="87">
        <v>74983211.955967098</v>
      </c>
      <c r="Y41" s="132">
        <f t="shared" si="24"/>
        <v>0</v>
      </c>
      <c r="Z41" s="36"/>
      <c r="AA41" s="154">
        <f>AA24</f>
        <v>40919156.528164469</v>
      </c>
      <c r="AB41" s="154">
        <f>AB11+AB24</f>
        <v>29532808.48294929</v>
      </c>
      <c r="AC41" s="154">
        <f>AC10+AC24</f>
        <v>66434827.589043856</v>
      </c>
      <c r="AD41" s="36"/>
      <c r="AE41" s="76">
        <f>AJ41/G41</f>
        <v>66.87978431697762</v>
      </c>
      <c r="AF41" s="76">
        <f>AK41/H41</f>
        <v>159.45355378635833</v>
      </c>
      <c r="AG41" s="76">
        <f>AL41/I41</f>
        <v>99.20145751302681</v>
      </c>
      <c r="AH41" s="88"/>
      <c r="AI41" s="71"/>
      <c r="AJ41" s="85">
        <f>AJ11+AJ24</f>
        <v>10456609.22655588</v>
      </c>
      <c r="AK41" s="85">
        <f>AK11+AK24</f>
        <v>13373729.26835395</v>
      </c>
      <c r="AL41" s="85">
        <f>AL11+AL24</f>
        <v>23830331.089128613</v>
      </c>
      <c r="AM41" s="132">
        <f t="shared" si="25"/>
        <v>-7.4057812169194221</v>
      </c>
      <c r="AN41" s="58"/>
      <c r="AO41" s="149">
        <f>AT41/G41</f>
        <v>341.40996079027263</v>
      </c>
      <c r="AP41" s="149">
        <f>AU41/H41</f>
        <v>541.70872799463962</v>
      </c>
      <c r="AQ41" s="149">
        <f>AV41/I41</f>
        <v>411.34331937887259</v>
      </c>
      <c r="AR41" s="88"/>
      <c r="AS41" s="8" t="s">
        <v>51</v>
      </c>
      <c r="AT41" s="88">
        <f>V41+AJ41</f>
        <v>53379217.389781475</v>
      </c>
      <c r="AU41" s="88">
        <f>W41+AK41</f>
        <v>45434333.061095446</v>
      </c>
      <c r="AV41" s="88">
        <f>X41+AL41</f>
        <v>98813543.045095712</v>
      </c>
      <c r="AW41" s="132">
        <f t="shared" si="6"/>
        <v>-7.4057812094688416</v>
      </c>
      <c r="AX41" s="132"/>
      <c r="AY41" s="87">
        <f>AT41/4.44</f>
        <v>12022346.258959791</v>
      </c>
      <c r="AZ41" s="87">
        <f>AU41/4.44</f>
        <v>10232957.896643117</v>
      </c>
      <c r="BA41" s="87">
        <f>AV41/4.44</f>
        <v>22255302.487634167</v>
      </c>
      <c r="BB41" t="s">
        <v>256</v>
      </c>
      <c r="BC41" s="87">
        <f t="shared" si="10"/>
        <v>51375765.754720345</v>
      </c>
      <c r="BD41" s="87">
        <f t="shared" si="7"/>
        <v>42906537.751303241</v>
      </c>
      <c r="BE41" s="87">
        <f t="shared" si="8"/>
        <v>90265158.678172469</v>
      </c>
      <c r="BF41"/>
      <c r="BG41" s="87">
        <f>BC41/4.44</f>
        <v>11571118.413225302</v>
      </c>
      <c r="BH41" s="87">
        <f>BD41/4.44</f>
        <v>9663634.6286718994</v>
      </c>
      <c r="BI41" s="87">
        <f>BE41/4.44</f>
        <v>20329990.693282086</v>
      </c>
      <c r="BJ41"/>
    </row>
    <row r="42" spans="1:65">
      <c r="A42" s="1"/>
      <c r="B42" s="39"/>
      <c r="C42" s="5"/>
      <c r="D42" s="5"/>
      <c r="E42" s="5"/>
      <c r="F42" s="5"/>
      <c r="G42" s="5"/>
      <c r="H42" s="87"/>
      <c r="I42" s="87"/>
      <c r="J42" s="87"/>
      <c r="K42" s="87"/>
      <c r="L42" s="87"/>
      <c r="M42" s="87"/>
      <c r="N42" s="87"/>
      <c r="O42" s="87"/>
      <c r="P42" s="87"/>
      <c r="Q42" s="87"/>
      <c r="R42" s="87"/>
      <c r="S42" s="27"/>
      <c r="T42" s="88"/>
      <c r="U42" s="1"/>
      <c r="V42" s="87"/>
      <c r="W42" s="87"/>
      <c r="X42" s="87"/>
      <c r="Y42" s="88"/>
      <c r="Z42" s="64"/>
      <c r="AA42" s="64"/>
      <c r="AB42" s="64"/>
      <c r="AC42" s="64"/>
      <c r="AD42" s="64"/>
      <c r="AG42" s="76"/>
      <c r="AH42" s="88"/>
      <c r="AI42" s="71"/>
      <c r="AJ42" s="87"/>
      <c r="AK42" s="87"/>
      <c r="AM42" s="88"/>
      <c r="AR42" s="88"/>
      <c r="AV42" s="88"/>
      <c r="AW42" s="132"/>
      <c r="AX42" s="132"/>
      <c r="AY42" s="87"/>
      <c r="AZ42" s="87"/>
      <c r="BA42" s="87"/>
      <c r="BC42" s="87"/>
      <c r="BD42" s="87"/>
      <c r="BE42" s="87"/>
    </row>
    <row r="43" spans="1:65">
      <c r="A43" s="1"/>
      <c r="B43" s="39"/>
      <c r="C43" s="5"/>
      <c r="D43" s="32"/>
      <c r="G43" s="87"/>
      <c r="H43" s="87"/>
      <c r="I43" s="87"/>
      <c r="J43" s="87"/>
      <c r="K43" s="87"/>
      <c r="L43" s="87"/>
      <c r="M43" s="87"/>
      <c r="N43" s="87"/>
      <c r="O43" s="87"/>
      <c r="P43" s="87"/>
      <c r="Q43" s="87"/>
      <c r="R43" s="87"/>
      <c r="S43" s="27"/>
      <c r="T43" s="88"/>
      <c r="U43" s="68"/>
      <c r="V43" s="3" t="s">
        <v>277</v>
      </c>
      <c r="W43" s="87"/>
      <c r="X43" s="87"/>
      <c r="Y43" s="88"/>
      <c r="Z43" s="64"/>
      <c r="AA43" s="64"/>
      <c r="AB43" s="64"/>
      <c r="AC43" s="64"/>
      <c r="AD43" s="64"/>
      <c r="AG43" s="76"/>
      <c r="AH43" s="88"/>
      <c r="AI43" s="57"/>
      <c r="AJ43" s="3" t="s">
        <v>276</v>
      </c>
      <c r="AK43" s="87"/>
      <c r="AL43" s="87"/>
      <c r="AM43" s="88"/>
      <c r="AR43" s="88"/>
      <c r="AW43" s="132"/>
      <c r="AX43" s="132"/>
      <c r="AY43" s="87" t="s">
        <v>312</v>
      </c>
      <c r="AZ43" s="87"/>
      <c r="BA43" s="87"/>
      <c r="BD43" s="69"/>
      <c r="BE43" s="69"/>
      <c r="BG43" s="132"/>
      <c r="BH43" s="87" t="s">
        <v>309</v>
      </c>
      <c r="BI43" s="87"/>
      <c r="BJ43" s="87"/>
      <c r="BM43" s="69"/>
    </row>
    <row r="44" spans="1:65">
      <c r="A44" s="1"/>
      <c r="B44" s="39"/>
      <c r="C44" s="5"/>
      <c r="D44" s="32"/>
      <c r="G44" s="87"/>
      <c r="H44" s="87"/>
      <c r="I44" s="87"/>
      <c r="J44" s="87"/>
      <c r="K44" s="87"/>
      <c r="L44" s="87"/>
      <c r="M44" s="87"/>
      <c r="N44" s="87"/>
      <c r="O44" s="87"/>
      <c r="P44" s="87"/>
      <c r="Q44" s="87"/>
      <c r="R44" s="87"/>
      <c r="S44" s="27"/>
      <c r="T44" s="88"/>
      <c r="U44" s="8" t="s">
        <v>274</v>
      </c>
      <c r="V44" s="179">
        <f>V40/BC46</f>
        <v>76.29961230027844</v>
      </c>
      <c r="W44" s="159">
        <f>W40/(BC50+BC51)</f>
        <v>105.47340017525558</v>
      </c>
      <c r="X44" s="159">
        <f>X40/(BC55+BC56)</f>
        <v>87.245006180082925</v>
      </c>
      <c r="Y44" s="88"/>
      <c r="Z44" s="64"/>
      <c r="AA44" s="64"/>
      <c r="AB44" s="64"/>
      <c r="AC44" s="64"/>
      <c r="AD44" s="64"/>
      <c r="AG44" s="76"/>
      <c r="AH44" s="88"/>
      <c r="AI44" s="8" t="s">
        <v>274</v>
      </c>
      <c r="AJ44" s="179">
        <f>AJ40/BC46</f>
        <v>23.24761703534578</v>
      </c>
      <c r="AK44" s="159">
        <f>AK40/(BC50+BC51)</f>
        <v>49.517316866948981</v>
      </c>
      <c r="AL44" s="159">
        <f>AL40/(BC55+BC56)</f>
        <v>33.103447648261145</v>
      </c>
      <c r="AM44" s="88"/>
      <c r="AV44" s="1"/>
      <c r="AW44" s="88"/>
      <c r="AX44" s="174"/>
      <c r="AY44" s="183" t="s">
        <v>261</v>
      </c>
      <c r="AZ44" s="175" t="s">
        <v>267</v>
      </c>
      <c r="BA44" s="176"/>
      <c r="BB44" s="69"/>
      <c r="BC44" s="175" t="s">
        <v>187</v>
      </c>
      <c r="BD44" s="69"/>
      <c r="BE44" s="69"/>
      <c r="BG44" s="174"/>
      <c r="BH44" s="183" t="s">
        <v>261</v>
      </c>
      <c r="BI44" s="175" t="s">
        <v>267</v>
      </c>
      <c r="BJ44" s="176"/>
      <c r="BK44" s="69"/>
      <c r="BL44" s="175" t="s">
        <v>187</v>
      </c>
      <c r="BM44" s="69"/>
    </row>
    <row r="45" spans="1:65">
      <c r="A45" s="3" t="s">
        <v>115</v>
      </c>
      <c r="G45" s="87"/>
      <c r="H45" s="87"/>
      <c r="I45" s="87"/>
      <c r="J45" s="87"/>
      <c r="K45" s="87"/>
      <c r="L45" s="87"/>
      <c r="M45" s="87"/>
      <c r="N45" s="87"/>
      <c r="O45" s="87"/>
      <c r="P45" s="87"/>
      <c r="Q45" s="87"/>
      <c r="R45" s="87"/>
      <c r="S45" s="27"/>
      <c r="T45" s="88"/>
      <c r="U45" s="8" t="s">
        <v>275</v>
      </c>
      <c r="V45" s="179">
        <f>V41/BC48</f>
        <v>61.298400250259633</v>
      </c>
      <c r="W45" s="159">
        <f>W41/BC53</f>
        <v>79.966244279908281</v>
      </c>
      <c r="X45" s="159">
        <f>X41/BC58</f>
        <v>68.095324251266575</v>
      </c>
      <c r="Y45" s="72"/>
      <c r="Z45" s="64"/>
      <c r="AA45" s="64"/>
      <c r="AB45" s="64"/>
      <c r="AC45" s="64"/>
      <c r="AD45" s="64"/>
      <c r="AG45" s="100"/>
      <c r="AH45" s="88"/>
      <c r="AI45" s="8" t="s">
        <v>275</v>
      </c>
      <c r="AJ45" s="179">
        <f>AJ41/BC48</f>
        <v>14.933235538541689</v>
      </c>
      <c r="AK45" s="179">
        <f>AK41/BC53</f>
        <v>33.357041823668752</v>
      </c>
      <c r="AL45" s="179">
        <f>AL41/BC58</f>
        <v>21.641299168168214</v>
      </c>
      <c r="AM45" s="88"/>
      <c r="AV45" s="1"/>
      <c r="AW45" s="88"/>
      <c r="AX45" s="88"/>
      <c r="AY45" s="166" t="s">
        <v>268</v>
      </c>
      <c r="AZ45" s="172" t="s">
        <v>271</v>
      </c>
      <c r="BA45" s="178" t="s">
        <v>272</v>
      </c>
      <c r="BC45" s="175" t="s">
        <v>269</v>
      </c>
      <c r="BD45" s="176"/>
      <c r="BG45" s="88"/>
      <c r="BH45" s="166" t="s">
        <v>268</v>
      </c>
      <c r="BI45" s="172" t="s">
        <v>271</v>
      </c>
      <c r="BJ45" s="178" t="s">
        <v>272</v>
      </c>
      <c r="BL45" s="175" t="s">
        <v>269</v>
      </c>
      <c r="BM45" s="176"/>
    </row>
    <row r="46" spans="1:65">
      <c r="A46" s="3"/>
      <c r="G46" s="87"/>
      <c r="H46" s="87"/>
      <c r="P46" s="75"/>
      <c r="Q46" s="27"/>
      <c r="R46" s="27"/>
      <c r="S46" s="27"/>
      <c r="T46" s="88"/>
      <c r="U46" s="1"/>
      <c r="V46" s="87"/>
      <c r="W46" s="87"/>
      <c r="X46" s="87"/>
      <c r="Y46" s="65"/>
      <c r="Z46" s="36"/>
      <c r="AA46" s="36"/>
      <c r="AB46" s="36"/>
      <c r="AC46" s="36"/>
      <c r="AD46" s="36"/>
      <c r="AE46" s="155" t="s">
        <v>21</v>
      </c>
      <c r="AG46" s="66"/>
      <c r="AH46" s="66"/>
      <c r="AM46" s="88"/>
      <c r="AV46" s="1"/>
      <c r="AX46" s="8" t="s">
        <v>257</v>
      </c>
      <c r="AY46" s="87">
        <f>AY40</f>
        <v>10084599.200521808</v>
      </c>
      <c r="AZ46" s="159">
        <f>AY46/BC46</f>
        <v>22.420547147663111</v>
      </c>
      <c r="BA46" s="100">
        <f>AZ46*4.44</f>
        <v>99.547229335624223</v>
      </c>
      <c r="BC46" s="127">
        <v>449792.73405345611</v>
      </c>
      <c r="BG46" s="8" t="s">
        <v>257</v>
      </c>
      <c r="BH46" s="87">
        <f>BG40</f>
        <v>9633371.3547873199</v>
      </c>
      <c r="BI46" s="159">
        <f>BH46/BL46</f>
        <v>21.417356541029477</v>
      </c>
      <c r="BJ46" s="100">
        <f>BI46*4.44</f>
        <v>95.093063042170883</v>
      </c>
      <c r="BL46" s="127">
        <v>449792.73405345611</v>
      </c>
    </row>
    <row r="47" spans="1:65">
      <c r="A47" s="43" t="s">
        <v>160</v>
      </c>
      <c r="P47" s="75"/>
      <c r="Q47" s="27"/>
      <c r="R47" s="27"/>
      <c r="S47" s="27"/>
      <c r="T47" s="37"/>
      <c r="U47" s="1"/>
      <c r="V47" s="87"/>
      <c r="W47" s="87"/>
      <c r="X47" s="87"/>
      <c r="Y47" s="38"/>
      <c r="Z47" s="36"/>
      <c r="AA47" s="36"/>
      <c r="AB47" s="36"/>
      <c r="AC47" s="36"/>
      <c r="AD47" s="36"/>
      <c r="AE47" s="100" t="s">
        <v>12</v>
      </c>
      <c r="AV47" s="1"/>
      <c r="AX47" s="8" t="s">
        <v>270</v>
      </c>
      <c r="AY47" s="87">
        <f>SUM(AY35:AY37)</f>
        <v>1937747.0584379835</v>
      </c>
      <c r="AZ47" s="159">
        <f>AY47/BC47</f>
        <v>7.7376417490158795</v>
      </c>
      <c r="BA47" s="100">
        <f t="shared" ref="BA47:BA58" si="26">AZ47*4.44</f>
        <v>34.355129365630511</v>
      </c>
      <c r="BC47" s="127">
        <v>250431.21939374332</v>
      </c>
      <c r="BG47" s="8" t="s">
        <v>270</v>
      </c>
      <c r="BH47" s="87">
        <f>SUM(BG35:BG37)</f>
        <v>1937747.0584379835</v>
      </c>
      <c r="BI47" s="159">
        <f>BH47/BL47</f>
        <v>7.7376417490158795</v>
      </c>
      <c r="BJ47" s="100">
        <f t="shared" ref="BJ47:BJ58" si="27">BI47*4.44</f>
        <v>34.355129365630511</v>
      </c>
      <c r="BL47" s="127">
        <v>250431.21939374332</v>
      </c>
    </row>
    <row r="48" spans="1:65">
      <c r="A48" s="1" t="s">
        <v>92</v>
      </c>
      <c r="P48" s="75"/>
      <c r="Q48" s="27"/>
      <c r="R48" s="27"/>
      <c r="S48" s="27"/>
      <c r="T48" s="33"/>
      <c r="U48" s="1"/>
      <c r="V48" s="87"/>
      <c r="W48" s="87"/>
      <c r="X48" s="87"/>
      <c r="Y48" s="34"/>
      <c r="Z48" s="36"/>
      <c r="AA48" s="36"/>
      <c r="AB48" s="36"/>
      <c r="AC48" s="36"/>
      <c r="AD48" s="36"/>
      <c r="AE48" s="100" t="s">
        <v>105</v>
      </c>
      <c r="AN48" s="68"/>
      <c r="AV48" s="1"/>
      <c r="AX48" s="8" t="s">
        <v>258</v>
      </c>
      <c r="AY48" s="87">
        <f>AY41</f>
        <v>12022346.258959791</v>
      </c>
      <c r="AZ48" s="159">
        <f>AY48/BC48</f>
        <v>17.169287339820116</v>
      </c>
      <c r="BA48" s="100">
        <f t="shared" si="26"/>
        <v>76.231635788801327</v>
      </c>
      <c r="BC48" s="127">
        <v>700223.95344719943</v>
      </c>
      <c r="BG48" s="8" t="s">
        <v>258</v>
      </c>
      <c r="BH48" s="87">
        <f>BG41</f>
        <v>11571118.413225302</v>
      </c>
      <c r="BI48" s="159">
        <f>BH48/BL48</f>
        <v>16.524882298385734</v>
      </c>
      <c r="BJ48" s="100">
        <f t="shared" si="27"/>
        <v>73.37047740483267</v>
      </c>
      <c r="BL48" s="127">
        <v>700223.95344719943</v>
      </c>
    </row>
    <row r="49" spans="1:65">
      <c r="A49" s="1" t="s">
        <v>130</v>
      </c>
      <c r="P49" s="75"/>
      <c r="T49" s="33"/>
      <c r="U49" s="1"/>
      <c r="V49" s="87"/>
      <c r="W49" s="87"/>
      <c r="X49" s="87"/>
      <c r="Y49" s="34"/>
      <c r="Z49" s="36"/>
      <c r="AA49" s="36"/>
      <c r="AB49" s="36"/>
      <c r="AC49" s="36"/>
      <c r="AD49" s="36"/>
      <c r="AE49" s="100" t="s">
        <v>118</v>
      </c>
      <c r="AN49" s="68"/>
      <c r="AV49" s="1"/>
      <c r="AX49" s="8"/>
      <c r="AY49" s="87"/>
      <c r="AZ49" s="159"/>
      <c r="BA49" s="159"/>
      <c r="BC49" s="1"/>
      <c r="BG49" s="8"/>
      <c r="BH49" s="87"/>
      <c r="BI49" s="159"/>
      <c r="BJ49" s="159"/>
    </row>
    <row r="50" spans="1:65">
      <c r="A50" s="3"/>
      <c r="B50" s="1" t="s">
        <v>172</v>
      </c>
      <c r="P50" s="75"/>
      <c r="T50" s="33"/>
      <c r="U50" s="1"/>
      <c r="V50" s="87"/>
      <c r="W50" s="87"/>
      <c r="X50" s="87"/>
      <c r="Y50" s="34"/>
      <c r="Z50" s="36"/>
      <c r="AA50" s="36"/>
      <c r="AB50" s="36"/>
      <c r="AC50" s="36"/>
      <c r="AD50" s="36"/>
      <c r="AE50" s="76"/>
      <c r="AF50" s="76"/>
      <c r="AN50" s="68"/>
      <c r="AV50" s="1"/>
      <c r="AX50" s="8" t="s">
        <v>260</v>
      </c>
      <c r="AY50" s="87">
        <f>AZ11</f>
        <v>1403571.537272105</v>
      </c>
      <c r="AZ50" s="159">
        <f>AY50/BC50</f>
        <v>120.1690765720747</v>
      </c>
      <c r="BA50" s="100">
        <f t="shared" si="26"/>
        <v>533.5506999800117</v>
      </c>
      <c r="BC50" s="127">
        <v>11679.972729342515</v>
      </c>
      <c r="BD50" s="1" t="s">
        <v>278</v>
      </c>
      <c r="BG50" s="8" t="s">
        <v>260</v>
      </c>
      <c r="BH50" s="87">
        <f>BH11</f>
        <v>1389924.551622744</v>
      </c>
      <c r="BI50" s="159">
        <f>BH50/BL50</f>
        <v>119.00066753845795</v>
      </c>
      <c r="BJ50" s="100">
        <f t="shared" ref="BJ50:BJ58" si="28">BI50*4.44</f>
        <v>528.36296387075333</v>
      </c>
      <c r="BL50" s="127">
        <v>11679.972729342515</v>
      </c>
      <c r="BM50" s="1" t="s">
        <v>278</v>
      </c>
    </row>
    <row r="51" spans="1:65">
      <c r="A51" s="1" t="s">
        <v>85</v>
      </c>
      <c r="Q51" s="47"/>
      <c r="R51" s="47"/>
      <c r="S51" s="47"/>
      <c r="T51" s="48"/>
      <c r="U51" s="44"/>
      <c r="V51" s="138">
        <v>19880544.116541695</v>
      </c>
      <c r="W51" s="138">
        <v>8526527.368562635</v>
      </c>
      <c r="X51" s="138">
        <v>38186840.583154976</v>
      </c>
      <c r="Y51" s="46">
        <v>66593912.068259306</v>
      </c>
      <c r="Z51" s="36"/>
      <c r="AA51" s="36"/>
      <c r="AB51" s="36"/>
      <c r="AC51" s="36"/>
      <c r="AD51" s="36"/>
      <c r="AE51" s="76"/>
      <c r="AF51" s="76"/>
      <c r="AN51" s="68"/>
      <c r="AV51" s="1"/>
      <c r="AX51" s="88" t="s">
        <v>259</v>
      </c>
      <c r="AY51" s="87">
        <f>AZ24-AZ37</f>
        <v>8024397.348117467</v>
      </c>
      <c r="AZ51" s="159">
        <f>AY51/BC51</f>
        <v>31.053941945592399</v>
      </c>
      <c r="BA51" s="100">
        <f t="shared" si="26"/>
        <v>137.87950223843026</v>
      </c>
      <c r="BC51" s="127">
        <v>258401.89184923749</v>
      </c>
      <c r="BD51" s="179">
        <f>((AZ50*BC50)+(AZ51*BC51))/(BC50+BC51)</f>
        <v>34.907819153649669</v>
      </c>
      <c r="BG51" s="88" t="s">
        <v>259</v>
      </c>
      <c r="BH51" s="87">
        <f>BH24-BH37</f>
        <v>7468721.0657956116</v>
      </c>
      <c r="BI51" s="159">
        <f>BH51/BL51</f>
        <v>28.903507680791968</v>
      </c>
      <c r="BJ51" s="100">
        <f t="shared" si="28"/>
        <v>128.33157410271636</v>
      </c>
      <c r="BL51" s="127">
        <v>258401.89184923749</v>
      </c>
      <c r="BM51" s="179">
        <f>((BI50*BL50)+(BI51*BL51))/(BL50+BL51)</f>
        <v>32.799853597133854</v>
      </c>
    </row>
    <row r="52" spans="1:65">
      <c r="A52" s="3"/>
      <c r="B52" s="1" t="s">
        <v>128</v>
      </c>
      <c r="T52" s="33"/>
      <c r="U52" s="1"/>
      <c r="V52" s="87"/>
      <c r="W52" s="87" t="s">
        <v>86</v>
      </c>
      <c r="X52" s="87"/>
      <c r="Y52" s="34"/>
      <c r="Z52" s="36"/>
      <c r="AA52" s="36"/>
      <c r="AB52" s="36"/>
      <c r="AC52" s="36"/>
      <c r="AD52" s="36"/>
      <c r="AE52" s="76"/>
      <c r="AF52" s="76"/>
      <c r="AV52" s="1"/>
      <c r="AX52" s="88" t="s">
        <v>262</v>
      </c>
      <c r="AY52" s="87">
        <f>AZ37</f>
        <v>804989.01125354541</v>
      </c>
      <c r="AZ52" s="159">
        <f>AY52/BC52</f>
        <v>6.1522405822061215</v>
      </c>
      <c r="BA52" s="100">
        <f t="shared" si="26"/>
        <v>27.315948184995182</v>
      </c>
      <c r="BC52" s="127">
        <v>130844.85245615765</v>
      </c>
      <c r="BG52" s="88" t="s">
        <v>262</v>
      </c>
      <c r="BH52" s="87">
        <f>BH37</f>
        <v>804989.01125354541</v>
      </c>
      <c r="BI52" s="159">
        <f>BH52/BL52</f>
        <v>6.1522405822061215</v>
      </c>
      <c r="BJ52" s="100">
        <f t="shared" si="28"/>
        <v>27.315948184995182</v>
      </c>
      <c r="BL52" s="127">
        <v>130844.85245615765</v>
      </c>
    </row>
    <row r="53" spans="1:65">
      <c r="S53" s="50"/>
      <c r="T53" s="33"/>
      <c r="U53" s="1"/>
      <c r="V53" s="87"/>
      <c r="W53" s="87">
        <v>2824095.2187264785</v>
      </c>
      <c r="X53" s="87"/>
      <c r="Y53" s="34"/>
      <c r="Z53" s="36"/>
      <c r="AA53" s="36"/>
      <c r="AB53" s="36"/>
      <c r="AC53" s="36"/>
      <c r="AD53" s="36"/>
      <c r="AE53" s="76"/>
      <c r="AF53" s="76"/>
      <c r="AQ53" t="s">
        <v>120</v>
      </c>
      <c r="AX53" s="8" t="s">
        <v>263</v>
      </c>
      <c r="AY53" s="87">
        <f>AZ41</f>
        <v>10232957.896643117</v>
      </c>
      <c r="AZ53" s="159">
        <f>AY53/BC53</f>
        <v>25.523262635940771</v>
      </c>
      <c r="BA53" s="100">
        <f t="shared" si="26"/>
        <v>113.32328610357703</v>
      </c>
      <c r="BC53" s="87">
        <v>400926.71703473764</v>
      </c>
      <c r="BG53" s="8" t="s">
        <v>263</v>
      </c>
      <c r="BH53" s="87">
        <f>BH41</f>
        <v>9663634.6286718994</v>
      </c>
      <c r="BI53" s="159">
        <f>BH53/BL53</f>
        <v>24.103244353841877</v>
      </c>
      <c r="BJ53" s="100">
        <f t="shared" si="28"/>
        <v>107.01840493105794</v>
      </c>
      <c r="BL53" s="87">
        <v>400926.71703473764</v>
      </c>
    </row>
    <row r="54" spans="1:65">
      <c r="A54" s="44" t="s">
        <v>117</v>
      </c>
      <c r="B54" s="45"/>
      <c r="C54" s="45"/>
      <c r="D54" s="45"/>
      <c r="S54" s="50"/>
      <c r="T54" s="33"/>
      <c r="U54" s="1"/>
      <c r="V54" s="87"/>
      <c r="W54" s="87"/>
      <c r="X54" s="87"/>
      <c r="Y54" s="34"/>
      <c r="Z54" s="36"/>
      <c r="AA54" s="36"/>
      <c r="AB54" s="36"/>
      <c r="AC54" s="36"/>
      <c r="AD54" s="36"/>
      <c r="AE54" s="76"/>
      <c r="AF54" s="76"/>
      <c r="AZ54" s="173"/>
      <c r="BC54" s="1"/>
      <c r="BH54" s="81"/>
      <c r="BI54" s="173"/>
    </row>
    <row r="55" spans="1:65">
      <c r="S55" s="50"/>
      <c r="T55" s="33"/>
      <c r="U55" s="1"/>
      <c r="V55" s="87"/>
      <c r="W55" s="87"/>
      <c r="X55" s="87"/>
      <c r="Y55" s="34"/>
      <c r="Z55" s="36"/>
      <c r="AA55" s="36"/>
      <c r="AB55" s="36"/>
      <c r="AC55" s="36"/>
      <c r="AD55" s="36"/>
      <c r="AX55" s="8" t="s">
        <v>264</v>
      </c>
      <c r="AY55" s="87">
        <f>AY50</f>
        <v>1403571.537272105</v>
      </c>
      <c r="AZ55" s="159">
        <f>AY55/BC55</f>
        <v>120.1690765720747</v>
      </c>
      <c r="BA55" s="100">
        <f t="shared" si="26"/>
        <v>533.5506999800117</v>
      </c>
      <c r="BC55" s="87">
        <f>BC50</f>
        <v>11679.972729342515</v>
      </c>
      <c r="BD55" s="1" t="s">
        <v>279</v>
      </c>
      <c r="BG55" s="8" t="s">
        <v>264</v>
      </c>
      <c r="BH55" s="87">
        <f>BH50</f>
        <v>1389924.551622744</v>
      </c>
      <c r="BI55" s="159">
        <f>BH55/BL55</f>
        <v>119.00066753845795</v>
      </c>
      <c r="BJ55" s="100">
        <f t="shared" ref="BJ55:BJ58" si="29">BI55*4.44</f>
        <v>528.36296387075333</v>
      </c>
      <c r="BL55" s="87">
        <f>BL50</f>
        <v>11679.972729342515</v>
      </c>
      <c r="BM55" s="1" t="s">
        <v>279</v>
      </c>
    </row>
    <row r="56" spans="1:65">
      <c r="S56" s="50"/>
      <c r="T56" s="33"/>
      <c r="U56" s="1"/>
      <c r="V56" s="87"/>
      <c r="W56" s="87"/>
      <c r="X56" s="87"/>
      <c r="Y56" s="34"/>
      <c r="Z56" s="36"/>
      <c r="AA56" s="36"/>
      <c r="AB56" s="36"/>
      <c r="AC56" s="36"/>
      <c r="AD56" s="36"/>
      <c r="AX56" s="8" t="s">
        <v>265</v>
      </c>
      <c r="AY56" s="87">
        <f>AY46+AY51</f>
        <v>18108996.548639275</v>
      </c>
      <c r="AZ56" s="159">
        <f>AY56/BC56</f>
        <v>25.570649488559468</v>
      </c>
      <c r="BA56" s="100">
        <f t="shared" si="26"/>
        <v>113.53368372920404</v>
      </c>
      <c r="BC56" s="87">
        <f>BC46+BC51</f>
        <v>708194.6259026936</v>
      </c>
      <c r="BD56" s="179">
        <f>((AZ55*BC55)+(AZ56*BC56))/(BC55+BC56)</f>
        <v>27.105509936023214</v>
      </c>
      <c r="BG56" s="8" t="s">
        <v>265</v>
      </c>
      <c r="BH56" s="87">
        <f>BH46+BH51</f>
        <v>17102092.420582931</v>
      </c>
      <c r="BI56" s="159">
        <f>BH56/BL56</f>
        <v>24.148859360213176</v>
      </c>
      <c r="BJ56" s="100">
        <f t="shared" si="29"/>
        <v>107.22093555934651</v>
      </c>
      <c r="BL56" s="87">
        <f>BL46+BL51</f>
        <v>708194.6259026936</v>
      </c>
      <c r="BM56" s="179">
        <f>((BI55*BL55)+(BI56*BL56))/(BL55+BL56)</f>
        <v>25.687830918531784</v>
      </c>
    </row>
    <row r="57" spans="1:65">
      <c r="F57" s="67" t="s">
        <v>138</v>
      </c>
      <c r="G57" s="81">
        <f>100*(G16+SUM(G29:G29))/G40</f>
        <v>74.406263104275126</v>
      </c>
      <c r="S57" s="50"/>
      <c r="T57" s="33"/>
      <c r="U57" s="1"/>
      <c r="V57" s="87"/>
      <c r="W57" s="87"/>
      <c r="X57" s="87"/>
      <c r="Y57" s="34"/>
      <c r="Z57" s="36"/>
      <c r="AA57" s="36"/>
      <c r="AB57" s="36"/>
      <c r="AC57" s="36"/>
      <c r="AD57" s="36"/>
      <c r="AX57" s="8" t="s">
        <v>273</v>
      </c>
      <c r="AY57" s="87">
        <f>AY47+AY52</f>
        <v>2742736.069691529</v>
      </c>
      <c r="AZ57" s="159">
        <f>AY57/BC57</f>
        <v>7.1935698885695523</v>
      </c>
      <c r="BA57" s="100">
        <f t="shared" si="26"/>
        <v>31.939450305248815</v>
      </c>
      <c r="BC57" s="87">
        <f>BC47+BC52</f>
        <v>381276.071849901</v>
      </c>
      <c r="BG57" s="8" t="s">
        <v>273</v>
      </c>
      <c r="BH57" s="87">
        <f>BH47+BH52</f>
        <v>2742736.069691529</v>
      </c>
      <c r="BI57" s="159">
        <f>BH57/BL57</f>
        <v>7.1935698885695523</v>
      </c>
      <c r="BJ57" s="100">
        <f t="shared" si="29"/>
        <v>31.939450305248815</v>
      </c>
      <c r="BL57" s="87">
        <f>BL47+BL52</f>
        <v>381276.071849901</v>
      </c>
    </row>
    <row r="58" spans="1:65">
      <c r="F58" s="67" t="s">
        <v>155</v>
      </c>
      <c r="G58" s="81">
        <f>100*(SUM(G12:G15)+SUM(G25:G28))/G40</f>
        <v>13.028075087560344</v>
      </c>
      <c r="T58" s="33"/>
      <c r="U58" s="1"/>
      <c r="V58" s="87"/>
      <c r="W58" s="87"/>
      <c r="X58" s="87"/>
      <c r="Y58" s="34"/>
      <c r="Z58" s="36"/>
      <c r="AA58" s="36"/>
      <c r="AB58" s="36"/>
      <c r="AC58" s="36"/>
      <c r="AD58" s="36"/>
      <c r="AX58" s="8" t="s">
        <v>266</v>
      </c>
      <c r="AY58" s="87">
        <f>AY48+AY53</f>
        <v>22255304.15560291</v>
      </c>
      <c r="AZ58" s="159">
        <f>AY58/BC58</f>
        <v>20.210952735344115</v>
      </c>
      <c r="BA58" s="100">
        <f t="shared" si="26"/>
        <v>89.736630144927872</v>
      </c>
      <c r="BC58" s="87">
        <f>BC48+BC53</f>
        <v>1101150.670481937</v>
      </c>
      <c r="BG58" s="8" t="s">
        <v>266</v>
      </c>
      <c r="BH58" s="87">
        <f>BH48+BH53</f>
        <v>21234753.0418972</v>
      </c>
      <c r="BI58" s="159">
        <f>BH58/BL58</f>
        <v>19.284148492234451</v>
      </c>
      <c r="BJ58" s="100">
        <f t="shared" si="29"/>
        <v>85.621619305520966</v>
      </c>
      <c r="BL58" s="87">
        <f>BL48+BL53</f>
        <v>1101150.670481937</v>
      </c>
    </row>
    <row r="59" spans="1:65">
      <c r="F59" s="67" t="s">
        <v>156</v>
      </c>
      <c r="G59" s="81">
        <f>100*(G19+G20+G32+G33)/G40</f>
        <v>10.760582859850956</v>
      </c>
      <c r="T59" s="33"/>
      <c r="U59" s="1"/>
      <c r="V59" s="87"/>
      <c r="W59" s="87"/>
      <c r="X59" s="87"/>
      <c r="Y59" s="34"/>
      <c r="Z59" s="36"/>
      <c r="AA59" s="36"/>
      <c r="AB59" s="36"/>
      <c r="AC59" s="36"/>
      <c r="AD59" s="36"/>
      <c r="AZ59"/>
    </row>
    <row r="60" spans="1:65">
      <c r="F60" s="67" t="s">
        <v>157</v>
      </c>
      <c r="G60" s="81">
        <f>100*(G17+G18+G21+G30+G31+G34)/G40</f>
        <v>1.8050789483135341</v>
      </c>
      <c r="T60" s="33"/>
      <c r="U60" s="1"/>
      <c r="V60" s="87"/>
      <c r="W60" s="87"/>
      <c r="X60" s="87"/>
      <c r="Y60" s="34"/>
      <c r="Z60" s="36"/>
      <c r="AA60" s="36"/>
      <c r="AB60" s="36"/>
      <c r="AC60" s="36"/>
      <c r="AD60" s="36"/>
      <c r="AZ60"/>
    </row>
    <row r="61" spans="1:65">
      <c r="T61" s="33"/>
      <c r="U61" s="1"/>
      <c r="V61" s="87"/>
      <c r="W61" s="87"/>
      <c r="X61" s="87"/>
      <c r="Y61" s="34"/>
      <c r="Z61" s="36"/>
      <c r="AA61" s="36"/>
      <c r="AB61" s="36"/>
      <c r="AC61" s="36"/>
      <c r="AD61" s="36"/>
      <c r="AZ61"/>
    </row>
    <row r="62" spans="1:65">
      <c r="T62" s="33"/>
      <c r="U62" s="1"/>
      <c r="V62" s="87"/>
      <c r="W62" s="87"/>
      <c r="X62" s="87"/>
      <c r="Y62" s="34"/>
      <c r="Z62" s="36"/>
      <c r="AA62" s="36"/>
      <c r="AB62" s="36"/>
      <c r="AC62" s="36"/>
      <c r="AD62" s="36"/>
      <c r="AZ62"/>
    </row>
    <row r="63" spans="1:65">
      <c r="T63" s="33"/>
      <c r="U63" s="1"/>
      <c r="V63" s="87"/>
      <c r="W63" s="87"/>
      <c r="X63" s="87"/>
      <c r="Y63" s="34"/>
      <c r="Z63" s="36"/>
      <c r="AA63" s="36"/>
      <c r="AB63" s="36"/>
      <c r="AC63" s="36"/>
      <c r="AD63" s="36"/>
      <c r="AZ63"/>
    </row>
    <row r="64" spans="1:65">
      <c r="T64" s="33"/>
      <c r="U64" s="1"/>
      <c r="V64" s="87"/>
      <c r="W64" s="87"/>
      <c r="X64" s="87"/>
      <c r="Y64" s="34"/>
      <c r="Z64" s="36"/>
      <c r="AA64" s="36"/>
      <c r="AB64" s="36"/>
      <c r="AC64" s="36"/>
      <c r="AD64" s="36"/>
      <c r="AZ64"/>
    </row>
    <row r="65" spans="20:30">
      <c r="T65" s="33"/>
      <c r="U65" s="1"/>
      <c r="V65" s="87"/>
      <c r="W65" s="87"/>
      <c r="X65" s="87"/>
      <c r="Y65" s="34"/>
      <c r="Z65" s="36"/>
      <c r="AA65" s="36"/>
      <c r="AB65" s="36"/>
      <c r="AC65" s="36"/>
      <c r="AD65" s="36"/>
    </row>
    <row r="66" spans="20:30">
      <c r="T66" s="33"/>
      <c r="U66" s="1"/>
      <c r="V66" s="87"/>
      <c r="W66" s="87"/>
      <c r="X66" s="87"/>
      <c r="Y66" s="34"/>
      <c r="Z66" s="36"/>
      <c r="AA66" s="36"/>
      <c r="AB66" s="36"/>
      <c r="AC66" s="36"/>
      <c r="AD66" s="36"/>
    </row>
    <row r="67" spans="20:30">
      <c r="T67" s="33"/>
      <c r="U67" s="1"/>
      <c r="V67" s="87"/>
      <c r="W67" s="87"/>
      <c r="X67" s="87"/>
      <c r="Y67" s="34"/>
      <c r="Z67" s="36"/>
      <c r="AA67" s="36"/>
      <c r="AB67" s="36"/>
      <c r="AC67" s="36"/>
      <c r="AD67" s="36"/>
    </row>
    <row r="68" spans="20:30">
      <c r="T68" s="33"/>
      <c r="U68" s="1"/>
      <c r="V68" s="87"/>
      <c r="W68" s="87"/>
      <c r="X68" s="87"/>
      <c r="Y68" s="34"/>
      <c r="Z68" s="36"/>
      <c r="AA68" s="36"/>
      <c r="AB68" s="36"/>
      <c r="AC68" s="36"/>
      <c r="AD68" s="36"/>
    </row>
    <row r="69" spans="20:30">
      <c r="T69" s="33"/>
      <c r="U69" s="1"/>
      <c r="V69" s="87"/>
      <c r="W69" s="87"/>
      <c r="X69" s="87"/>
      <c r="Y69" s="34"/>
      <c r="Z69" s="36"/>
      <c r="AA69" s="36"/>
      <c r="AB69" s="36"/>
      <c r="AC69" s="36"/>
      <c r="AD69" s="36"/>
    </row>
    <row r="70" spans="20:30">
      <c r="T70" s="33"/>
      <c r="U70" s="1"/>
      <c r="V70" s="87"/>
      <c r="W70" s="87"/>
      <c r="X70" s="87"/>
      <c r="Y70" s="34"/>
      <c r="Z70" s="36"/>
      <c r="AA70" s="36"/>
      <c r="AB70" s="36"/>
      <c r="AC70" s="36"/>
      <c r="AD70" s="36"/>
    </row>
    <row r="71" spans="20:30">
      <c r="T71" s="33"/>
      <c r="U71" s="1"/>
      <c r="V71" s="87"/>
      <c r="W71" s="87"/>
      <c r="X71" s="87"/>
      <c r="Y71" s="34"/>
      <c r="Z71" s="36"/>
      <c r="AA71" s="36"/>
      <c r="AB71" s="36"/>
      <c r="AC71" s="36"/>
      <c r="AD71" s="36"/>
    </row>
    <row r="72" spans="20:30">
      <c r="T72" s="33"/>
      <c r="U72" s="1"/>
      <c r="V72" s="87"/>
      <c r="W72" s="87"/>
      <c r="X72" s="87"/>
      <c r="Y72" s="34"/>
      <c r="Z72" s="36"/>
      <c r="AA72" s="36"/>
      <c r="AB72" s="36"/>
      <c r="AC72" s="36"/>
      <c r="AD72" s="36"/>
    </row>
    <row r="73" spans="20:30">
      <c r="T73" s="33"/>
      <c r="U73" s="1"/>
      <c r="V73" s="87"/>
      <c r="W73" s="87"/>
      <c r="X73" s="87"/>
      <c r="Y73" s="34"/>
      <c r="Z73" s="36"/>
      <c r="AA73" s="36"/>
      <c r="AB73" s="36"/>
      <c r="AC73" s="36"/>
      <c r="AD73" s="36"/>
    </row>
  </sheetData>
  <phoneticPr fontId="20"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9"/>
  <sheetViews>
    <sheetView workbookViewId="0">
      <pane xSplit="12060" ySplit="2660" topLeftCell="AM15" activePane="bottomRight"/>
      <selection activeCell="AH41" sqref="AH41"/>
      <selection pane="topRight" activeCell="AN4" sqref="AN4"/>
      <selection pane="bottomLeft" activeCell="A18" sqref="A18"/>
      <selection pane="bottomRight" activeCell="AP41" sqref="AP41"/>
    </sheetView>
  </sheetViews>
  <sheetFormatPr baseColWidth="10" defaultRowHeight="15" x14ac:dyDescent="0"/>
  <cols>
    <col min="7" max="7" width="12.83203125" customWidth="1"/>
    <col min="10" max="10" width="14" customWidth="1"/>
    <col min="11" max="11" width="12.33203125" customWidth="1"/>
    <col min="14" max="14" width="14.1640625" customWidth="1"/>
    <col min="15" max="15" width="4.83203125" customWidth="1"/>
    <col min="16" max="17" width="12.83203125" style="135" customWidth="1"/>
    <col min="18" max="21" width="12.83203125" style="126" customWidth="1"/>
    <col min="22" max="22" width="22.83203125" style="126" customWidth="1"/>
    <col min="23" max="23" width="4.83203125" style="126" customWidth="1"/>
    <col min="25" max="25" width="12.33203125" customWidth="1"/>
    <col min="26" max="26" width="17.1640625" customWidth="1"/>
    <col min="28" max="28" width="11.6640625" style="81" customWidth="1"/>
    <col min="29" max="29" width="12.33203125" style="81" customWidth="1"/>
    <col min="30" max="30" width="16.33203125" style="81" customWidth="1"/>
    <col min="31" max="31" width="12.1640625" customWidth="1"/>
    <col min="32" max="32" width="5.5" customWidth="1"/>
    <col min="33" max="35" width="14.83203125" style="1" customWidth="1"/>
    <col min="36" max="36" width="4.83203125" customWidth="1"/>
    <col min="37" max="39" width="16.5" style="87" customWidth="1"/>
    <col min="42" max="43" width="16.5" style="87" customWidth="1"/>
    <col min="44" max="44" width="17.1640625" style="87" customWidth="1"/>
    <col min="45" max="45" width="10.83203125" style="87"/>
  </cols>
  <sheetData>
    <row r="1" spans="1:45" ht="18">
      <c r="D1" s="123" t="s">
        <v>194</v>
      </c>
      <c r="AK1" s="131" t="s">
        <v>291</v>
      </c>
      <c r="AO1" s="180" t="s">
        <v>281</v>
      </c>
      <c r="AQ1" s="131" t="s">
        <v>299</v>
      </c>
    </row>
    <row r="2" spans="1:45">
      <c r="T2" s="126" t="s">
        <v>212</v>
      </c>
      <c r="Y2" s="126" t="s">
        <v>212</v>
      </c>
      <c r="Z2" s="126"/>
      <c r="AC2" s="127" t="s">
        <v>212</v>
      </c>
      <c r="AD2" s="127"/>
      <c r="AG2" s="87"/>
      <c r="AH2" s="127" t="s">
        <v>212</v>
      </c>
      <c r="AI2" s="127"/>
      <c r="AK2" s="131" t="s">
        <v>292</v>
      </c>
      <c r="AO2" s="180" t="s">
        <v>283</v>
      </c>
      <c r="AQ2" s="131" t="s">
        <v>300</v>
      </c>
      <c r="AR2" s="127"/>
    </row>
    <row r="3" spans="1:45" ht="17">
      <c r="E3" s="1"/>
      <c r="K3" s="30" t="s">
        <v>198</v>
      </c>
      <c r="T3" s="126" t="s">
        <v>213</v>
      </c>
      <c r="Y3" s="126" t="s">
        <v>213</v>
      </c>
      <c r="Z3" s="126"/>
      <c r="AC3" s="127" t="s">
        <v>213</v>
      </c>
      <c r="AD3" s="127"/>
      <c r="AG3" s="87"/>
      <c r="AH3" s="127" t="s">
        <v>213</v>
      </c>
      <c r="AI3" s="127"/>
      <c r="AK3" s="131" t="s">
        <v>290</v>
      </c>
      <c r="AO3" s="180" t="s">
        <v>284</v>
      </c>
      <c r="AQ3" s="131" t="s">
        <v>301</v>
      </c>
      <c r="AR3" s="127"/>
    </row>
    <row r="4" spans="1:45">
      <c r="E4" s="1"/>
      <c r="H4" s="103" t="s">
        <v>183</v>
      </c>
      <c r="I4" s="104"/>
      <c r="J4" s="104"/>
      <c r="K4" s="104"/>
      <c r="L4" s="104" t="s">
        <v>184</v>
      </c>
      <c r="M4" s="104"/>
      <c r="N4" s="104"/>
      <c r="O4" s="105"/>
      <c r="P4" s="136" t="s">
        <v>210</v>
      </c>
      <c r="Q4" s="136"/>
      <c r="R4" s="103"/>
      <c r="S4" s="128"/>
      <c r="T4" s="128"/>
      <c r="U4" s="128"/>
      <c r="V4" s="128"/>
      <c r="W4" s="128"/>
      <c r="X4" s="106"/>
      <c r="Y4" s="106"/>
      <c r="Z4" s="106"/>
      <c r="AA4" s="106"/>
      <c r="AB4" s="103" t="s">
        <v>180</v>
      </c>
      <c r="AC4" s="103"/>
      <c r="AD4" s="103"/>
      <c r="AG4" s="103" t="s">
        <v>180</v>
      </c>
      <c r="AH4" s="103"/>
      <c r="AI4" s="103"/>
      <c r="AK4" s="131" t="s">
        <v>294</v>
      </c>
      <c r="AO4" s="180">
        <v>1774</v>
      </c>
      <c r="AP4" s="103" t="s">
        <v>297</v>
      </c>
      <c r="AQ4" s="103"/>
      <c r="AR4" s="103"/>
    </row>
    <row r="5" spans="1:45" ht="16" thickBot="1">
      <c r="A5" s="1"/>
      <c r="B5" s="1"/>
      <c r="C5" s="1"/>
      <c r="D5" s="1"/>
      <c r="E5" s="1"/>
      <c r="F5" s="1"/>
      <c r="G5" s="1"/>
      <c r="H5" s="1"/>
      <c r="I5" s="1"/>
      <c r="J5" s="1"/>
      <c r="K5" s="1"/>
      <c r="L5" s="1"/>
      <c r="M5" s="1"/>
      <c r="N5" s="1"/>
      <c r="O5" s="1"/>
      <c r="P5" s="141"/>
      <c r="Q5" s="141" t="s">
        <v>205</v>
      </c>
      <c r="R5" s="142"/>
      <c r="S5" s="142" t="s">
        <v>205</v>
      </c>
      <c r="T5" s="142"/>
      <c r="U5" s="142" t="s">
        <v>205</v>
      </c>
      <c r="X5" s="1"/>
      <c r="Y5" s="1"/>
      <c r="Z5" s="1"/>
      <c r="AA5" s="75"/>
      <c r="AB5" s="186" t="s">
        <v>313</v>
      </c>
      <c r="AC5" s="186"/>
      <c r="AD5" s="186"/>
      <c r="AE5" s="185"/>
      <c r="AF5" s="187"/>
      <c r="AG5" s="186" t="s">
        <v>314</v>
      </c>
      <c r="AH5" s="184"/>
      <c r="AI5" s="184"/>
      <c r="AK5" s="131" t="s">
        <v>295</v>
      </c>
      <c r="AO5" s="180" t="s">
        <v>282</v>
      </c>
    </row>
    <row r="6" spans="1:45" ht="16" thickBot="1">
      <c r="A6" s="8" t="s">
        <v>96</v>
      </c>
      <c r="B6" s="1"/>
      <c r="C6" s="1"/>
      <c r="D6" s="1"/>
      <c r="E6" s="1"/>
      <c r="F6" s="1"/>
      <c r="G6" s="1" t="s">
        <v>206</v>
      </c>
      <c r="H6" s="82" t="s">
        <v>104</v>
      </c>
      <c r="I6" s="83"/>
      <c r="J6" s="84"/>
      <c r="K6" s="87" t="s">
        <v>197</v>
      </c>
      <c r="L6" s="82" t="s">
        <v>195</v>
      </c>
      <c r="M6" s="83"/>
      <c r="N6" s="84"/>
      <c r="O6" s="87"/>
      <c r="P6" s="141" t="s">
        <v>202</v>
      </c>
      <c r="Q6" s="141" t="s">
        <v>204</v>
      </c>
      <c r="R6" s="143" t="s">
        <v>202</v>
      </c>
      <c r="S6" s="143" t="s">
        <v>204</v>
      </c>
      <c r="T6" s="143" t="s">
        <v>202</v>
      </c>
      <c r="U6" s="143" t="s">
        <v>204</v>
      </c>
      <c r="V6" s="127"/>
      <c r="W6" s="127"/>
      <c r="X6" s="24" t="s">
        <v>196</v>
      </c>
      <c r="Y6" s="55"/>
      <c r="Z6" s="56"/>
      <c r="AA6" s="133" t="s">
        <v>214</v>
      </c>
      <c r="AB6" s="82" t="s">
        <v>280</v>
      </c>
      <c r="AC6" s="83"/>
      <c r="AD6" s="84"/>
      <c r="AG6" s="82" t="s">
        <v>298</v>
      </c>
      <c r="AH6" s="83"/>
      <c r="AI6" s="84"/>
      <c r="AK6" s="82" t="s">
        <v>293</v>
      </c>
      <c r="AL6" s="83"/>
      <c r="AM6" s="84"/>
      <c r="AO6" s="142" t="s">
        <v>285</v>
      </c>
      <c r="AP6" s="82" t="s">
        <v>298</v>
      </c>
      <c r="AQ6" s="83"/>
      <c r="AR6" s="84"/>
    </row>
    <row r="7" spans="1:45">
      <c r="A7" s="8" t="s">
        <v>97</v>
      </c>
      <c r="B7" s="22" t="s">
        <v>159</v>
      </c>
      <c r="C7" s="1" t="s">
        <v>124</v>
      </c>
      <c r="D7" s="1"/>
      <c r="E7" s="1"/>
      <c r="F7" s="1"/>
      <c r="G7" s="1" t="s">
        <v>289</v>
      </c>
      <c r="H7" s="88" t="s">
        <v>177</v>
      </c>
      <c r="I7" s="88" t="s">
        <v>176</v>
      </c>
      <c r="J7" s="88" t="s">
        <v>185</v>
      </c>
      <c r="K7" s="87"/>
      <c r="L7" s="88" t="s">
        <v>177</v>
      </c>
      <c r="M7" s="88" t="s">
        <v>176</v>
      </c>
      <c r="N7" s="88" t="s">
        <v>185</v>
      </c>
      <c r="O7" s="75"/>
      <c r="P7" s="144" t="s">
        <v>203</v>
      </c>
      <c r="Q7" s="144" t="s">
        <v>203</v>
      </c>
      <c r="R7" s="145" t="s">
        <v>203</v>
      </c>
      <c r="S7" s="145" t="s">
        <v>203</v>
      </c>
      <c r="T7" s="145" t="s">
        <v>203</v>
      </c>
      <c r="U7" s="145" t="s">
        <v>203</v>
      </c>
      <c r="V7" s="125"/>
      <c r="W7" s="125"/>
      <c r="X7" s="88" t="s">
        <v>177</v>
      </c>
      <c r="Y7" s="88" t="s">
        <v>176</v>
      </c>
      <c r="Z7" s="88"/>
      <c r="AA7" s="133"/>
      <c r="AB7" s="88" t="s">
        <v>177</v>
      </c>
      <c r="AC7" s="88" t="s">
        <v>176</v>
      </c>
      <c r="AD7" s="88" t="s">
        <v>185</v>
      </c>
      <c r="AG7" s="88" t="s">
        <v>177</v>
      </c>
      <c r="AH7" s="88" t="s">
        <v>176</v>
      </c>
      <c r="AI7" s="88" t="s">
        <v>187</v>
      </c>
      <c r="AK7" s="88" t="s">
        <v>177</v>
      </c>
      <c r="AL7" s="88" t="s">
        <v>176</v>
      </c>
      <c r="AM7" s="88" t="s">
        <v>187</v>
      </c>
      <c r="AO7" s="142" t="s">
        <v>286</v>
      </c>
      <c r="AP7" s="88" t="s">
        <v>177</v>
      </c>
      <c r="AQ7" s="88" t="s">
        <v>176</v>
      </c>
      <c r="AR7" s="88" t="s">
        <v>187</v>
      </c>
    </row>
    <row r="8" spans="1:45">
      <c r="A8" s="8" t="s">
        <v>111</v>
      </c>
      <c r="B8" s="22" t="s">
        <v>54</v>
      </c>
      <c r="C8" s="1" t="s">
        <v>145</v>
      </c>
      <c r="D8" s="1" t="s">
        <v>112</v>
      </c>
      <c r="E8" s="1"/>
      <c r="F8" s="1"/>
      <c r="G8" s="1" t="s">
        <v>222</v>
      </c>
      <c r="H8" s="88" t="s">
        <v>178</v>
      </c>
      <c r="I8" s="88" t="s">
        <v>23</v>
      </c>
      <c r="J8" s="88" t="s">
        <v>186</v>
      </c>
      <c r="K8" s="87"/>
      <c r="L8" s="88" t="s">
        <v>178</v>
      </c>
      <c r="M8" s="88" t="s">
        <v>23</v>
      </c>
      <c r="N8" s="88" t="s">
        <v>186</v>
      </c>
      <c r="O8" s="75"/>
      <c r="P8" s="144" t="s">
        <v>206</v>
      </c>
      <c r="Q8" s="144" t="s">
        <v>206</v>
      </c>
      <c r="R8" s="145" t="s">
        <v>207</v>
      </c>
      <c r="S8" s="145" t="s">
        <v>207</v>
      </c>
      <c r="T8" s="145" t="s">
        <v>208</v>
      </c>
      <c r="U8" s="145" t="s">
        <v>208</v>
      </c>
      <c r="V8" s="125" t="s">
        <v>209</v>
      </c>
      <c r="W8" s="125"/>
      <c r="X8" s="88" t="s">
        <v>178</v>
      </c>
      <c r="Y8" s="88" t="s">
        <v>23</v>
      </c>
      <c r="Z8" s="88" t="s">
        <v>25</v>
      </c>
      <c r="AA8" s="133"/>
      <c r="AB8" s="88" t="s">
        <v>178</v>
      </c>
      <c r="AC8" s="88" t="s">
        <v>23</v>
      </c>
      <c r="AD8" s="88" t="s">
        <v>186</v>
      </c>
      <c r="AG8" s="88" t="s">
        <v>178</v>
      </c>
      <c r="AH8" s="88" t="s">
        <v>23</v>
      </c>
      <c r="AI8" s="88" t="s">
        <v>23</v>
      </c>
      <c r="AK8" s="88" t="s">
        <v>178</v>
      </c>
      <c r="AL8" s="88" t="s">
        <v>23</v>
      </c>
      <c r="AM8" s="88" t="s">
        <v>23</v>
      </c>
      <c r="AO8" s="142" t="s">
        <v>287</v>
      </c>
      <c r="AP8" s="88" t="s">
        <v>178</v>
      </c>
      <c r="AQ8" s="88" t="s">
        <v>23</v>
      </c>
      <c r="AR8" s="88" t="s">
        <v>23</v>
      </c>
    </row>
    <row r="9" spans="1:45">
      <c r="A9" s="1"/>
      <c r="B9" s="22"/>
      <c r="C9" s="1"/>
      <c r="D9" s="1"/>
      <c r="E9" s="1"/>
      <c r="F9" s="1"/>
      <c r="G9" s="1"/>
      <c r="H9" s="87"/>
      <c r="I9" s="87"/>
      <c r="J9" s="87"/>
      <c r="K9" s="87"/>
      <c r="L9" s="87"/>
      <c r="M9" s="87"/>
      <c r="N9" s="87"/>
      <c r="O9" s="87"/>
      <c r="R9" s="127"/>
      <c r="S9" s="127"/>
      <c r="T9" s="131" t="s">
        <v>211</v>
      </c>
      <c r="U9" s="131" t="s">
        <v>211</v>
      </c>
      <c r="V9" s="127"/>
      <c r="W9" s="127"/>
      <c r="X9" s="87"/>
      <c r="Y9" s="132" t="s">
        <v>211</v>
      </c>
      <c r="Z9" s="132" t="s">
        <v>211</v>
      </c>
      <c r="AA9" s="133"/>
      <c r="AB9" s="88"/>
      <c r="AC9" s="132" t="s">
        <v>211</v>
      </c>
      <c r="AD9" s="132" t="s">
        <v>211</v>
      </c>
      <c r="AO9" s="142" t="s">
        <v>288</v>
      </c>
    </row>
    <row r="10" spans="1:45">
      <c r="A10" s="1">
        <v>1</v>
      </c>
      <c r="B10" s="13" t="s">
        <v>40</v>
      </c>
      <c r="C10" s="32" t="s">
        <v>5</v>
      </c>
      <c r="D10" s="32" t="s">
        <v>164</v>
      </c>
      <c r="E10" s="1"/>
      <c r="F10" s="1"/>
      <c r="G10" s="1">
        <v>0</v>
      </c>
      <c r="H10" s="87">
        <v>0</v>
      </c>
      <c r="I10" s="87">
        <v>3696.0366600576413</v>
      </c>
      <c r="J10" s="86">
        <v>3696.0366600576413</v>
      </c>
      <c r="K10" s="86"/>
      <c r="L10" s="87"/>
      <c r="M10" s="87">
        <v>6445.6587433078648</v>
      </c>
      <c r="N10" s="99">
        <v>6445.6587433078648</v>
      </c>
      <c r="O10" s="90"/>
      <c r="P10" s="130"/>
      <c r="Q10" s="130"/>
      <c r="R10" s="130">
        <v>962.85281739352433</v>
      </c>
      <c r="S10" s="125"/>
      <c r="T10" s="130">
        <v>962.85281739352433</v>
      </c>
      <c r="U10" s="130">
        <v>188.75</v>
      </c>
      <c r="V10" s="125"/>
      <c r="W10" s="125"/>
      <c r="X10" s="87"/>
      <c r="Y10" s="70">
        <f t="shared" ref="Y10:Y19" si="0">AC10/I10</f>
        <v>1103.2709936079123</v>
      </c>
      <c r="Z10" s="70">
        <f t="shared" ref="Z10:Z19" si="1">AD10/J10</f>
        <v>1103.2709936079123</v>
      </c>
      <c r="AA10" s="134">
        <f t="shared" ref="AA10" si="2">(((T10*J10)+(U10*(N10-J10)))/J10)-Z10</f>
        <v>1.1936750320273859E-4</v>
      </c>
      <c r="AB10" s="87"/>
      <c r="AC10" s="86">
        <v>4077730.0383530636</v>
      </c>
      <c r="AD10" s="86">
        <v>4077730.0383530636</v>
      </c>
      <c r="AE10" s="13" t="s">
        <v>40</v>
      </c>
      <c r="AH10" s="87">
        <f>SUM(AH11:AH19)</f>
        <v>4043199.9639558364</v>
      </c>
      <c r="AI10" s="87">
        <f>AH10</f>
        <v>4043199.9639558364</v>
      </c>
      <c r="AL10" s="87">
        <f>AM10</f>
        <v>4077730.0383530636</v>
      </c>
      <c r="AM10" s="87">
        <v>4077730.0383530636</v>
      </c>
      <c r="AO10" s="100">
        <v>0.99027695754226797</v>
      </c>
      <c r="AQ10" s="87">
        <f>AR10</f>
        <v>4017137.4220699002</v>
      </c>
      <c r="AR10" s="87">
        <v>4017137.4220699002</v>
      </c>
      <c r="AS10" s="87" t="s">
        <v>302</v>
      </c>
    </row>
    <row r="11" spans="1:45">
      <c r="A11" s="1">
        <v>2</v>
      </c>
      <c r="B11" s="14" t="s">
        <v>175</v>
      </c>
      <c r="C11" s="5" t="s">
        <v>33</v>
      </c>
      <c r="D11" s="31" t="s">
        <v>53</v>
      </c>
      <c r="E11" s="1"/>
      <c r="F11" s="1"/>
      <c r="G11" s="1">
        <v>0</v>
      </c>
      <c r="H11" s="87">
        <v>0</v>
      </c>
      <c r="I11" s="87">
        <v>882.38165577173538</v>
      </c>
      <c r="J11" s="86">
        <v>882.38165577173538</v>
      </c>
      <c r="K11" s="86"/>
      <c r="L11" s="87"/>
      <c r="M11" s="87">
        <v>1733.362916060456</v>
      </c>
      <c r="N11" s="99">
        <v>1733.362916060456</v>
      </c>
      <c r="O11" s="90"/>
      <c r="Q11" s="130"/>
      <c r="R11" s="130">
        <v>3080.25</v>
      </c>
      <c r="S11" s="100">
        <v>188.74983954643406</v>
      </c>
      <c r="T11" s="130">
        <v>3080.25</v>
      </c>
      <c r="U11" s="100">
        <v>188.74983954643406</v>
      </c>
      <c r="V11" s="125"/>
      <c r="W11" s="125"/>
      <c r="X11" s="87"/>
      <c r="Y11" s="70">
        <f t="shared" si="0"/>
        <v>3262.2829959104115</v>
      </c>
      <c r="Z11" s="70">
        <f t="shared" si="1"/>
        <v>3262.2829959104115</v>
      </c>
      <c r="AA11" s="134">
        <f>(((T11*J11)+(U11*(N11-J11)))/J11)-Z11</f>
        <v>0</v>
      </c>
      <c r="AB11" s="87"/>
      <c r="AC11" s="86">
        <v>2878578.6715274062</v>
      </c>
      <c r="AD11" s="86">
        <v>2878578.6715274062</v>
      </c>
      <c r="AE11" s="14" t="s">
        <v>175</v>
      </c>
      <c r="AH11" s="87">
        <f>$AO11*AC11</f>
        <v>2878578.6715274062</v>
      </c>
      <c r="AI11" s="87">
        <f t="shared" ref="AI11:AI19" si="3">AH11</f>
        <v>2878578.6715274062</v>
      </c>
      <c r="AL11" s="87">
        <f t="shared" ref="AL11:AL19" si="4">AM11</f>
        <v>2878578.6715274062</v>
      </c>
      <c r="AM11" s="87">
        <v>2878578.6715274062</v>
      </c>
      <c r="AO11" s="100">
        <v>1</v>
      </c>
      <c r="AQ11" s="87">
        <f t="shared" ref="AQ11:AQ19" si="5">AR11</f>
        <v>2878578.6715274062</v>
      </c>
      <c r="AR11" s="87">
        <v>2878578.6715274062</v>
      </c>
    </row>
    <row r="12" spans="1:45">
      <c r="A12" s="1">
        <v>3</v>
      </c>
      <c r="B12" s="14"/>
      <c r="C12" s="5" t="s">
        <v>50</v>
      </c>
      <c r="D12" s="31" t="s">
        <v>14</v>
      </c>
      <c r="E12" s="1"/>
      <c r="F12" s="1"/>
      <c r="G12" s="1">
        <v>0</v>
      </c>
      <c r="H12" s="87">
        <v>0</v>
      </c>
      <c r="I12" s="87">
        <v>930.99772496026071</v>
      </c>
      <c r="J12" s="86">
        <v>930.99772496026071</v>
      </c>
      <c r="K12" s="86"/>
      <c r="L12" s="87"/>
      <c r="M12" s="87">
        <v>1828.8650050995996</v>
      </c>
      <c r="N12" s="99">
        <v>1828.8650050995996</v>
      </c>
      <c r="O12" s="90"/>
      <c r="P12" s="130"/>
      <c r="Q12" s="130"/>
      <c r="R12" s="130">
        <v>325.24250368319986</v>
      </c>
      <c r="S12" s="100">
        <v>188.74983954643406</v>
      </c>
      <c r="T12" s="130">
        <v>325.24250368319986</v>
      </c>
      <c r="U12" s="100">
        <v>188.74983954643406</v>
      </c>
      <c r="V12" s="125"/>
      <c r="W12" s="125"/>
      <c r="X12" s="87"/>
      <c r="Y12" s="70">
        <f t="shared" si="0"/>
        <v>507.27549959361124</v>
      </c>
      <c r="Z12" s="70">
        <f t="shared" si="1"/>
        <v>507.27549959361124</v>
      </c>
      <c r="AA12" s="134">
        <f t="shared" ref="AA12:AA19" si="6">(((T12*J12)+(U12*(N12-J12)))/J12)-Z12</f>
        <v>0</v>
      </c>
      <c r="AB12" s="87"/>
      <c r="AC12" s="86">
        <v>472272.3360497317</v>
      </c>
      <c r="AD12" s="86">
        <v>472272.3360497317</v>
      </c>
      <c r="AE12" s="14"/>
      <c r="AH12" s="87">
        <f>$AO12*AC12</f>
        <v>472272.3360497317</v>
      </c>
      <c r="AI12" s="87">
        <f t="shared" si="3"/>
        <v>472272.3360497317</v>
      </c>
      <c r="AL12" s="87">
        <f t="shared" si="4"/>
        <v>472272.3360497317</v>
      </c>
      <c r="AM12" s="87">
        <v>472272.3360497317</v>
      </c>
      <c r="AO12" s="100">
        <v>1</v>
      </c>
      <c r="AQ12" s="87">
        <f t="shared" si="5"/>
        <v>472272.3360497317</v>
      </c>
      <c r="AR12" s="87">
        <v>472272.3360497317</v>
      </c>
    </row>
    <row r="13" spans="1:45">
      <c r="A13" s="1">
        <v>4</v>
      </c>
      <c r="B13" s="14"/>
      <c r="C13" s="5" t="s">
        <v>15</v>
      </c>
      <c r="D13" s="32" t="s">
        <v>9</v>
      </c>
      <c r="E13" s="1"/>
      <c r="F13" s="1"/>
      <c r="G13" s="1">
        <v>0</v>
      </c>
      <c r="H13" s="87">
        <v>0</v>
      </c>
      <c r="I13" s="87">
        <v>299</v>
      </c>
      <c r="J13" s="86">
        <v>299</v>
      </c>
      <c r="K13" s="86"/>
      <c r="L13" s="87"/>
      <c r="M13" s="87">
        <v>587.35979891693239</v>
      </c>
      <c r="N13" s="99">
        <v>587.35979891693239</v>
      </c>
      <c r="O13" s="90"/>
      <c r="P13" s="130"/>
      <c r="Q13" s="130"/>
      <c r="R13" s="130">
        <v>196.49</v>
      </c>
      <c r="S13" s="100">
        <v>188.74983954643406</v>
      </c>
      <c r="T13" s="130">
        <v>196.49</v>
      </c>
      <c r="U13" s="100">
        <v>188.74983954643406</v>
      </c>
      <c r="V13" s="125"/>
      <c r="W13" s="125"/>
      <c r="X13" s="87"/>
      <c r="Y13" s="70">
        <f t="shared" si="0"/>
        <v>378.52299591041134</v>
      </c>
      <c r="Z13" s="70">
        <f t="shared" si="1"/>
        <v>378.52299591041134</v>
      </c>
      <c r="AA13" s="134">
        <f t="shared" si="6"/>
        <v>0</v>
      </c>
      <c r="AB13" s="87"/>
      <c r="AC13" s="86">
        <v>113178.37577721299</v>
      </c>
      <c r="AD13" s="86">
        <v>113178.37577721299</v>
      </c>
      <c r="AE13" s="14"/>
      <c r="AH13" s="87">
        <f>$AO13*AC13</f>
        <v>113178.37577721299</v>
      </c>
      <c r="AI13" s="87">
        <f t="shared" si="3"/>
        <v>113178.37577721299</v>
      </c>
      <c r="AL13" s="87">
        <f t="shared" si="4"/>
        <v>113178.37577721299</v>
      </c>
      <c r="AM13" s="87">
        <v>113178.37577721299</v>
      </c>
      <c r="AO13" s="100">
        <v>1</v>
      </c>
      <c r="AQ13" s="87">
        <f t="shared" si="5"/>
        <v>113178.37577721299</v>
      </c>
      <c r="AR13" s="87">
        <v>113178.37577721299</v>
      </c>
    </row>
    <row r="14" spans="1:45">
      <c r="A14" s="1">
        <v>5</v>
      </c>
      <c r="B14" s="14"/>
      <c r="C14" s="5" t="s">
        <v>39</v>
      </c>
      <c r="D14" s="32" t="s">
        <v>125</v>
      </c>
      <c r="E14" s="1"/>
      <c r="F14" s="1"/>
      <c r="G14" s="1">
        <v>0</v>
      </c>
      <c r="H14" s="87">
        <v>0</v>
      </c>
      <c r="I14" s="87">
        <v>216.02648296594066</v>
      </c>
      <c r="J14" s="86">
        <v>216.02648296594066</v>
      </c>
      <c r="K14" s="86"/>
      <c r="L14" s="87"/>
      <c r="M14" s="87">
        <v>424.36545684149507</v>
      </c>
      <c r="N14" s="99">
        <v>424.36545684149507</v>
      </c>
      <c r="O14" s="90"/>
      <c r="P14" s="130"/>
      <c r="Q14" s="130"/>
      <c r="R14" s="130">
        <v>310</v>
      </c>
      <c r="S14" s="100">
        <v>188.74983954643406</v>
      </c>
      <c r="T14" s="130">
        <v>310</v>
      </c>
      <c r="U14" s="100">
        <v>188.74983954643406</v>
      </c>
      <c r="V14" s="125"/>
      <c r="W14" s="125"/>
      <c r="X14" s="87"/>
      <c r="Y14" s="70">
        <f t="shared" si="0"/>
        <v>492.03299591041127</v>
      </c>
      <c r="Z14" s="70">
        <f t="shared" si="1"/>
        <v>492.03299591041127</v>
      </c>
      <c r="AA14" s="134">
        <f t="shared" si="6"/>
        <v>0</v>
      </c>
      <c r="AB14" s="87"/>
      <c r="AC14" s="86">
        <v>106292.15760972121</v>
      </c>
      <c r="AD14" s="86">
        <v>106292.15760972121</v>
      </c>
      <c r="AE14" s="14"/>
      <c r="AH14" s="87">
        <f>$AO14*AC14</f>
        <v>98690.122616235094</v>
      </c>
      <c r="AI14" s="87">
        <f t="shared" si="3"/>
        <v>98690.122616235094</v>
      </c>
      <c r="AL14" s="87">
        <f t="shared" si="4"/>
        <v>106292.15760972121</v>
      </c>
      <c r="AM14" s="87">
        <v>106292.15760972121</v>
      </c>
      <c r="AO14" s="100">
        <v>0.92847981295667248</v>
      </c>
      <c r="AQ14" s="87">
        <f t="shared" si="5"/>
        <v>95085.636200389577</v>
      </c>
      <c r="AR14" s="87">
        <v>95085.636200389577</v>
      </c>
    </row>
    <row r="15" spans="1:45">
      <c r="A15" s="1">
        <v>6</v>
      </c>
      <c r="B15" s="14"/>
      <c r="C15" s="5" t="s">
        <v>34</v>
      </c>
      <c r="D15" s="32" t="s">
        <v>131</v>
      </c>
      <c r="E15" s="1"/>
      <c r="F15" s="1"/>
      <c r="G15" s="1">
        <v>0</v>
      </c>
      <c r="H15" s="87">
        <v>0</v>
      </c>
      <c r="I15" s="87">
        <v>384.67464745420693</v>
      </c>
      <c r="J15" s="86">
        <v>384.67464745420693</v>
      </c>
      <c r="K15" s="86"/>
      <c r="L15" s="87"/>
      <c r="M15" s="87">
        <v>755.6602795222235</v>
      </c>
      <c r="N15" s="99">
        <v>755.6602795222235</v>
      </c>
      <c r="O15" s="51"/>
      <c r="P15" s="130"/>
      <c r="Q15" s="130"/>
      <c r="R15" s="130">
        <v>640</v>
      </c>
      <c r="S15" s="100">
        <v>188.74983954643406</v>
      </c>
      <c r="T15" s="130">
        <v>640</v>
      </c>
      <c r="U15" s="100">
        <v>188.74983954643406</v>
      </c>
      <c r="V15" s="129"/>
      <c r="W15" s="129"/>
      <c r="X15" s="87"/>
      <c r="Y15" s="70">
        <f t="shared" si="0"/>
        <v>822.03299591041127</v>
      </c>
      <c r="Z15" s="70">
        <f t="shared" si="1"/>
        <v>822.03299591041127</v>
      </c>
      <c r="AA15" s="134">
        <f t="shared" si="6"/>
        <v>0</v>
      </c>
      <c r="AB15" s="87"/>
      <c r="AC15" s="86">
        <v>316215.25289756298</v>
      </c>
      <c r="AD15" s="86">
        <v>316215.25289756298</v>
      </c>
      <c r="AE15" s="14"/>
      <c r="AH15" s="87">
        <f>$AO15*AC15</f>
        <v>303138.35767712438</v>
      </c>
      <c r="AI15" s="87">
        <f t="shared" si="3"/>
        <v>303138.35767712438</v>
      </c>
      <c r="AL15" s="87">
        <f t="shared" si="4"/>
        <v>316215.25289756298</v>
      </c>
      <c r="AM15" s="87">
        <v>316215.25289756298</v>
      </c>
      <c r="AO15" s="100">
        <v>0.95864558998779592</v>
      </c>
      <c r="AQ15" s="87">
        <f t="shared" si="5"/>
        <v>282876.26457289979</v>
      </c>
      <c r="AR15" s="87">
        <v>282876.26457289979</v>
      </c>
    </row>
    <row r="16" spans="1:45">
      <c r="A16" s="1">
        <v>7</v>
      </c>
      <c r="B16" s="14" t="s">
        <v>181</v>
      </c>
      <c r="C16" s="5" t="s">
        <v>127</v>
      </c>
      <c r="D16" s="32" t="s">
        <v>11</v>
      </c>
      <c r="E16" s="1"/>
      <c r="F16" s="1"/>
      <c r="G16" s="1">
        <v>0</v>
      </c>
      <c r="H16" s="87">
        <v>0</v>
      </c>
      <c r="I16" s="87">
        <v>138</v>
      </c>
      <c r="J16" s="86">
        <v>138</v>
      </c>
      <c r="K16" s="86"/>
      <c r="L16" s="87"/>
      <c r="M16" s="87">
        <v>271.08913796166109</v>
      </c>
      <c r="N16" s="99">
        <v>271.08913796166109</v>
      </c>
      <c r="O16" s="90"/>
      <c r="P16" s="130"/>
      <c r="Q16" s="130"/>
      <c r="R16" s="130">
        <v>179.68</v>
      </c>
      <c r="S16" s="100">
        <v>188.74983954643406</v>
      </c>
      <c r="T16" s="130">
        <v>179.68</v>
      </c>
      <c r="U16" s="100">
        <v>188.74983954643406</v>
      </c>
      <c r="V16" s="125"/>
      <c r="W16" s="125"/>
      <c r="X16" s="87"/>
      <c r="Y16" s="70">
        <f t="shared" si="0"/>
        <v>361.71299591041128</v>
      </c>
      <c r="Z16" s="70">
        <f t="shared" si="1"/>
        <v>361.71299591041128</v>
      </c>
      <c r="AA16" s="134">
        <f t="shared" si="6"/>
        <v>0</v>
      </c>
      <c r="AB16" s="87"/>
      <c r="AC16" s="86">
        <v>49916.393435636754</v>
      </c>
      <c r="AD16" s="86">
        <v>49916.393435636754</v>
      </c>
      <c r="AE16" s="14" t="s">
        <v>181</v>
      </c>
      <c r="AH16" s="87">
        <f>$AO16*AC16</f>
        <v>37599.92192724382</v>
      </c>
      <c r="AI16" s="87">
        <f t="shared" si="3"/>
        <v>37599.92192724382</v>
      </c>
      <c r="AL16" s="87">
        <f t="shared" si="4"/>
        <v>49916.393435636754</v>
      </c>
      <c r="AM16" s="87">
        <v>49916.393435636754</v>
      </c>
      <c r="AO16" s="100">
        <v>0.7532579847886236</v>
      </c>
      <c r="AQ16" s="87">
        <f t="shared" si="5"/>
        <v>35403.959561378142</v>
      </c>
      <c r="AR16" s="87">
        <v>35403.959561378142</v>
      </c>
    </row>
    <row r="17" spans="1:45">
      <c r="A17" s="1">
        <v>8</v>
      </c>
      <c r="B17" s="14" t="s">
        <v>182</v>
      </c>
      <c r="C17" s="5" t="s">
        <v>64</v>
      </c>
      <c r="D17" s="32" t="s">
        <v>43</v>
      </c>
      <c r="E17" s="1"/>
      <c r="F17" s="1"/>
      <c r="G17" s="1">
        <v>0</v>
      </c>
      <c r="H17" s="87">
        <v>0</v>
      </c>
      <c r="I17" s="87">
        <v>88.064721726642944</v>
      </c>
      <c r="J17" s="86">
        <v>88.064721726642944</v>
      </c>
      <c r="K17" s="86"/>
      <c r="L17" s="87"/>
      <c r="M17" s="87">
        <v>88.064721726642944</v>
      </c>
      <c r="N17" s="99">
        <v>88.064721726642944</v>
      </c>
      <c r="O17" s="90"/>
      <c r="P17" s="130"/>
      <c r="Q17" s="130"/>
      <c r="R17" s="130">
        <v>59.94</v>
      </c>
      <c r="S17" s="125"/>
      <c r="T17" s="130">
        <v>59.94</v>
      </c>
      <c r="U17" s="125"/>
      <c r="V17" s="125"/>
      <c r="W17" s="125"/>
      <c r="X17" s="87"/>
      <c r="Y17" s="70">
        <f t="shared" si="0"/>
        <v>59.94</v>
      </c>
      <c r="Z17" s="70">
        <f t="shared" si="1"/>
        <v>59.94</v>
      </c>
      <c r="AA17" s="134">
        <f t="shared" si="6"/>
        <v>0</v>
      </c>
      <c r="AB17" s="87"/>
      <c r="AC17" s="86">
        <v>5278.5994202949778</v>
      </c>
      <c r="AD17" s="86">
        <v>5278.5994202949778</v>
      </c>
      <c r="AE17" s="14" t="s">
        <v>182</v>
      </c>
      <c r="AH17" s="87">
        <f>$AO17*AC17</f>
        <v>3743.9267453849361</v>
      </c>
      <c r="AI17" s="87">
        <f t="shared" si="3"/>
        <v>3743.9267453849361</v>
      </c>
      <c r="AL17" s="87">
        <f t="shared" si="4"/>
        <v>5278.5994202949778</v>
      </c>
      <c r="AM17" s="87">
        <v>5278.5994202949778</v>
      </c>
      <c r="AO17" s="100">
        <v>0.70926517571884984</v>
      </c>
      <c r="AQ17" s="87">
        <f t="shared" si="5"/>
        <v>3743.9267453849361</v>
      </c>
      <c r="AR17" s="87">
        <v>3743.9267453849361</v>
      </c>
    </row>
    <row r="18" spans="1:45">
      <c r="A18" s="1">
        <v>9</v>
      </c>
      <c r="B18" s="14"/>
      <c r="C18" s="32" t="s">
        <v>32</v>
      </c>
      <c r="D18" s="31" t="s">
        <v>66</v>
      </c>
      <c r="E18" s="1"/>
      <c r="F18" s="1"/>
      <c r="G18" s="1">
        <v>0</v>
      </c>
      <c r="H18" s="87">
        <v>0</v>
      </c>
      <c r="I18" s="87">
        <v>563.64255215446599</v>
      </c>
      <c r="J18" s="86">
        <v>563.64255215446599</v>
      </c>
      <c r="K18" s="86"/>
      <c r="L18" s="87"/>
      <c r="M18" s="87">
        <v>563.64255215446599</v>
      </c>
      <c r="N18" s="99">
        <v>563.64255215446599</v>
      </c>
      <c r="O18" s="90"/>
      <c r="P18" s="130"/>
      <c r="Q18" s="130"/>
      <c r="R18" s="130">
        <v>179.68</v>
      </c>
      <c r="S18" s="125"/>
      <c r="T18" s="130">
        <v>179.68</v>
      </c>
      <c r="U18" s="125"/>
      <c r="V18" s="125"/>
      <c r="W18" s="125"/>
      <c r="X18" s="87"/>
      <c r="Y18" s="70">
        <f t="shared" si="0"/>
        <v>179.68</v>
      </c>
      <c r="Z18" s="70">
        <f t="shared" si="1"/>
        <v>179.68</v>
      </c>
      <c r="AA18" s="134">
        <f t="shared" si="6"/>
        <v>0</v>
      </c>
      <c r="AB18" s="87"/>
      <c r="AC18" s="86">
        <v>101275.29377111445</v>
      </c>
      <c r="AD18" s="86">
        <v>101275.29377111445</v>
      </c>
      <c r="AE18" s="14"/>
      <c r="AH18" s="87">
        <f>$AO18*AC18</f>
        <v>101275.29377111445</v>
      </c>
      <c r="AI18" s="87">
        <f t="shared" si="3"/>
        <v>101275.29377111445</v>
      </c>
      <c r="AL18" s="87">
        <f t="shared" si="4"/>
        <v>101275.29377111445</v>
      </c>
      <c r="AM18" s="87">
        <v>101275.29377111445</v>
      </c>
      <c r="AO18" s="100">
        <v>1</v>
      </c>
      <c r="AQ18" s="87">
        <f t="shared" si="5"/>
        <v>101275.29377111445</v>
      </c>
      <c r="AR18" s="87">
        <v>101275.29377111445</v>
      </c>
    </row>
    <row r="19" spans="1:45">
      <c r="A19" s="1">
        <v>10</v>
      </c>
      <c r="B19" s="14"/>
      <c r="C19" s="32" t="s">
        <v>20</v>
      </c>
      <c r="D19" s="31" t="s">
        <v>22</v>
      </c>
      <c r="E19" s="1"/>
      <c r="F19" s="1"/>
      <c r="G19" s="1">
        <v>0</v>
      </c>
      <c r="H19" s="87">
        <v>0</v>
      </c>
      <c r="I19" s="87">
        <v>193.24887502438833</v>
      </c>
      <c r="J19" s="86">
        <v>193.24887502438833</v>
      </c>
      <c r="K19" s="86"/>
      <c r="L19" s="87"/>
      <c r="M19" s="87">
        <v>193.24887502438833</v>
      </c>
      <c r="N19" s="99">
        <v>193.24887502438833</v>
      </c>
      <c r="O19" s="90"/>
      <c r="P19" s="130"/>
      <c r="Q19" s="130"/>
      <c r="R19" s="130">
        <v>179.68</v>
      </c>
      <c r="S19" s="125"/>
      <c r="T19" s="130">
        <v>179.68</v>
      </c>
      <c r="U19" s="125"/>
      <c r="V19" s="125"/>
      <c r="W19" s="125"/>
      <c r="X19" s="87"/>
      <c r="Y19" s="70">
        <f t="shared" si="0"/>
        <v>179.68</v>
      </c>
      <c r="Z19" s="70">
        <f t="shared" si="1"/>
        <v>179.68</v>
      </c>
      <c r="AA19" s="134">
        <f t="shared" si="6"/>
        <v>0</v>
      </c>
      <c r="AB19" s="87"/>
      <c r="AC19" s="86">
        <v>34722.957864382093</v>
      </c>
      <c r="AD19" s="86">
        <v>34722.957864382093</v>
      </c>
      <c r="AE19" s="14"/>
      <c r="AH19" s="87">
        <f>$AO19*AC19</f>
        <v>34722.957864382093</v>
      </c>
      <c r="AI19" s="87">
        <f t="shared" si="3"/>
        <v>34722.957864382093</v>
      </c>
      <c r="AL19" s="87">
        <f t="shared" si="4"/>
        <v>34722.957864382093</v>
      </c>
      <c r="AM19" s="87">
        <v>34722.957864382093</v>
      </c>
      <c r="AO19" s="100">
        <v>1</v>
      </c>
      <c r="AQ19" s="87">
        <f t="shared" si="5"/>
        <v>34722.957864382093</v>
      </c>
      <c r="AR19" s="87">
        <v>34722.957864382093</v>
      </c>
    </row>
    <row r="20" spans="1:45">
      <c r="A20" s="1">
        <v>11</v>
      </c>
      <c r="B20" s="14" t="s">
        <v>40</v>
      </c>
      <c r="C20" s="5" t="s">
        <v>31</v>
      </c>
      <c r="D20" s="32" t="s">
        <v>81</v>
      </c>
      <c r="E20" s="1"/>
      <c r="F20" s="1"/>
      <c r="G20" s="1">
        <v>0</v>
      </c>
      <c r="H20" s="87">
        <v>0</v>
      </c>
      <c r="I20" s="87"/>
      <c r="J20" s="86"/>
      <c r="K20" s="86"/>
      <c r="L20" s="87"/>
      <c r="M20" s="87">
        <v>0</v>
      </c>
      <c r="N20" s="99">
        <v>0</v>
      </c>
      <c r="O20" s="90"/>
      <c r="P20" s="130"/>
      <c r="Q20" s="130"/>
      <c r="R20" s="130">
        <v>89.84</v>
      </c>
      <c r="S20" s="125"/>
      <c r="T20" s="130">
        <v>89.84</v>
      </c>
      <c r="U20" s="125"/>
      <c r="V20" s="125"/>
      <c r="W20" s="125"/>
      <c r="X20" s="87"/>
      <c r="Y20" s="87"/>
      <c r="Z20" s="70"/>
      <c r="AA20" s="88"/>
      <c r="AB20" s="87"/>
      <c r="AC20" s="86">
        <v>0</v>
      </c>
      <c r="AD20" s="86">
        <v>0</v>
      </c>
      <c r="AE20" s="14" t="s">
        <v>40</v>
      </c>
      <c r="AI20" s="87"/>
      <c r="AM20" s="87">
        <v>0</v>
      </c>
      <c r="AO20" s="100"/>
    </row>
    <row r="21" spans="1:45">
      <c r="A21" s="1">
        <v>12</v>
      </c>
      <c r="B21" s="15" t="s">
        <v>59</v>
      </c>
      <c r="C21" s="5" t="s">
        <v>13</v>
      </c>
      <c r="D21" s="32" t="s">
        <v>140</v>
      </c>
      <c r="E21" s="1"/>
      <c r="F21" s="1"/>
      <c r="G21" s="1">
        <v>0</v>
      </c>
      <c r="H21" s="87">
        <v>0</v>
      </c>
      <c r="I21" s="87"/>
      <c r="J21" s="86"/>
      <c r="K21" s="86"/>
      <c r="L21" s="87"/>
      <c r="M21" s="87"/>
      <c r="N21" s="99"/>
      <c r="O21" s="90"/>
      <c r="P21" s="130"/>
      <c r="Q21" s="130"/>
      <c r="R21" s="130">
        <v>108.80010839999998</v>
      </c>
      <c r="S21" s="76">
        <v>108.8001084</v>
      </c>
      <c r="T21" s="130">
        <v>108.80010839999998</v>
      </c>
      <c r="U21" s="76">
        <v>108.8001084</v>
      </c>
      <c r="V21" s="125"/>
      <c r="W21" s="125"/>
      <c r="X21" s="87"/>
      <c r="Y21" s="87"/>
      <c r="Z21" s="70"/>
      <c r="AA21" s="88"/>
      <c r="AB21" s="87"/>
      <c r="AC21" s="86"/>
      <c r="AD21" s="86"/>
      <c r="AE21" s="15" t="s">
        <v>59</v>
      </c>
      <c r="AG21" s="131" t="s">
        <v>296</v>
      </c>
      <c r="AH21" s="124"/>
      <c r="AI21" s="131"/>
      <c r="AJ21" s="163"/>
      <c r="AK21" s="131" t="s">
        <v>296</v>
      </c>
      <c r="AO21" s="100"/>
      <c r="AP21" s="131" t="s">
        <v>296</v>
      </c>
    </row>
    <row r="22" spans="1:45">
      <c r="A22" s="1">
        <v>13</v>
      </c>
      <c r="B22" s="22"/>
      <c r="C22" s="5" t="s">
        <v>149</v>
      </c>
      <c r="D22" s="32"/>
      <c r="E22" s="1"/>
      <c r="F22" s="1"/>
      <c r="G22" s="1"/>
      <c r="H22" s="87"/>
      <c r="I22" s="87"/>
      <c r="J22" s="86"/>
      <c r="K22" s="86"/>
      <c r="L22" s="87"/>
      <c r="M22" s="87"/>
      <c r="N22" s="86"/>
      <c r="O22" s="90"/>
      <c r="P22" s="130"/>
      <c r="Q22" s="130"/>
      <c r="R22" s="125"/>
      <c r="S22" s="125"/>
      <c r="T22" s="125"/>
      <c r="U22" s="125"/>
      <c r="V22" s="125"/>
      <c r="W22" s="125"/>
      <c r="X22" s="87"/>
      <c r="Y22" s="87"/>
      <c r="Z22" s="70"/>
      <c r="AA22" s="88"/>
      <c r="AB22" s="87"/>
      <c r="AC22" s="86"/>
      <c r="AD22" s="86"/>
      <c r="AE22" s="22"/>
      <c r="AF22" s="151" t="s">
        <v>234</v>
      </c>
      <c r="AI22" s="87"/>
      <c r="AO22" s="100"/>
    </row>
    <row r="23" spans="1:45">
      <c r="A23" s="1">
        <v>27</v>
      </c>
      <c r="B23" s="16" t="s">
        <v>100</v>
      </c>
      <c r="C23" s="32" t="s">
        <v>5</v>
      </c>
      <c r="D23" s="32" t="s">
        <v>170</v>
      </c>
      <c r="E23" s="1"/>
      <c r="F23" s="1"/>
      <c r="G23" s="6">
        <f>H23/J23</f>
        <v>0.66102511661803021</v>
      </c>
      <c r="H23" s="86">
        <f>SUM(H24:H36)</f>
        <v>156349.32638234363</v>
      </c>
      <c r="I23" s="86">
        <f>SUM(I24:I36)</f>
        <v>80176.219246339781</v>
      </c>
      <c r="J23" s="86">
        <f>SUM(J24:J36)</f>
        <v>236525.54562868335</v>
      </c>
      <c r="K23" s="86"/>
      <c r="L23" s="87">
        <f>SUM(L24:L36)</f>
        <v>282066.05309915484</v>
      </c>
      <c r="M23" s="87">
        <f>N23-L23</f>
        <v>147624.6917358716</v>
      </c>
      <c r="N23" s="86">
        <v>429690.74483502645</v>
      </c>
      <c r="O23" s="90"/>
      <c r="P23" s="130"/>
      <c r="Q23" s="130"/>
      <c r="R23" s="125"/>
      <c r="S23" s="125"/>
      <c r="T23" s="130">
        <v>224.71979629113261</v>
      </c>
      <c r="U23" s="130">
        <v>92</v>
      </c>
      <c r="V23" s="125"/>
      <c r="W23" s="125"/>
      <c r="X23" s="87"/>
      <c r="Y23" s="87"/>
      <c r="Z23" s="70">
        <f>AD23/J23</f>
        <v>299.77938209231365</v>
      </c>
      <c r="AA23" s="134">
        <f t="shared" ref="AA23:AA36" si="7">(((T23*J23)+(U23*(N23-J23)))/J23)-Z23</f>
        <v>7.4786174361179292E-2</v>
      </c>
      <c r="AB23" s="86">
        <f>SUM(AB24:AB36)</f>
        <v>42922606.700041234</v>
      </c>
      <c r="AC23" s="86">
        <f>SUM(AC24:AC36)</f>
        <v>27982872.167581867</v>
      </c>
      <c r="AD23" s="86">
        <f>SUM(AD24:AD36)</f>
        <v>70905481.917614028</v>
      </c>
      <c r="AE23" s="16" t="s">
        <v>100</v>
      </c>
      <c r="AF23" s="150">
        <f>AD23-AB23-AC23</f>
        <v>3.049990925937891</v>
      </c>
      <c r="AG23" s="87">
        <f>$AO23*AB23</f>
        <v>40849927.459354028</v>
      </c>
      <c r="AH23" s="87">
        <f>$AO23*AC23</f>
        <v>26631614.108119812</v>
      </c>
      <c r="AI23" s="87">
        <f>AG23+AH23</f>
        <v>67481541.567473844</v>
      </c>
      <c r="AK23" s="87">
        <f>AM23*AG23/AI23</f>
        <v>42922608.54635217</v>
      </c>
      <c r="AL23" s="87">
        <f>AM23-AK23</f>
        <v>27982873.371261857</v>
      </c>
      <c r="AM23" s="87">
        <v>70905481.917614028</v>
      </c>
      <c r="AO23" s="100">
        <v>0.95171124495835391</v>
      </c>
      <c r="AP23" s="87">
        <f>SUM(AP24:AP36)</f>
        <v>40919156.528164469</v>
      </c>
      <c r="AQ23" s="87">
        <f>SUM(AQ24:AQ36)</f>
        <v>25515671.060879391</v>
      </c>
      <c r="AR23" s="87">
        <v>66434827.589043863</v>
      </c>
      <c r="AS23" s="87" t="s">
        <v>303</v>
      </c>
    </row>
    <row r="24" spans="1:45">
      <c r="A24" s="1">
        <v>28</v>
      </c>
      <c r="B24" s="17" t="s">
        <v>24</v>
      </c>
      <c r="C24" s="5" t="s">
        <v>33</v>
      </c>
      <c r="D24" s="31" t="s">
        <v>53</v>
      </c>
      <c r="E24" s="1"/>
      <c r="F24" s="1"/>
      <c r="G24" s="6">
        <v>0.63512587868078219</v>
      </c>
      <c r="H24" s="87">
        <f>G24*J24</f>
        <v>4333.5986079063669</v>
      </c>
      <c r="I24" s="87">
        <f>J24-H24</f>
        <v>2489.6135353425743</v>
      </c>
      <c r="J24" s="99">
        <v>6823.2121432489412</v>
      </c>
      <c r="K24" s="86"/>
      <c r="L24" s="87">
        <f t="shared" ref="L24:L33" si="8">G24*N24</f>
        <v>6241.8176261146336</v>
      </c>
      <c r="M24" s="87">
        <f t="shared" ref="M24:M33" si="9">N24-L24</f>
        <v>3585.8682478722558</v>
      </c>
      <c r="N24" s="86">
        <v>9827.6858739868894</v>
      </c>
      <c r="O24" s="90"/>
      <c r="P24" s="130">
        <v>1130.6308526243126</v>
      </c>
      <c r="Q24" s="146">
        <v>195.74424692841225</v>
      </c>
      <c r="R24" s="130">
        <v>2628.2296894232622</v>
      </c>
      <c r="S24" s="146">
        <v>243.73123977328089</v>
      </c>
      <c r="T24" s="130">
        <v>1677.0662499999999</v>
      </c>
      <c r="U24" s="76">
        <v>213.25347078940703</v>
      </c>
      <c r="V24" s="125" t="s">
        <v>227</v>
      </c>
      <c r="W24" s="125"/>
      <c r="X24" s="149">
        <f>((P24*H24)+(Q24*(L24-H24)))/H24</f>
        <v>1216.8231672545101</v>
      </c>
      <c r="Y24" s="149">
        <f>((R24*I24)+(S24*(M24-I24)))/I24</f>
        <v>2735.5521779939213</v>
      </c>
      <c r="Z24" s="70">
        <f>AD24/J24</f>
        <v>1770.9684235692926</v>
      </c>
      <c r="AA24" s="134">
        <f t="shared" si="7"/>
        <v>0</v>
      </c>
      <c r="AB24" s="87">
        <f>X24*H24</f>
        <v>5273223.1836823607</v>
      </c>
      <c r="AC24" s="87">
        <f>Y24*I24</f>
        <v>6810467.7289695255</v>
      </c>
      <c r="AD24" s="86">
        <v>12083693.253008431</v>
      </c>
      <c r="AE24" s="17" t="s">
        <v>24</v>
      </c>
      <c r="AF24" s="150">
        <f>AD24-AB24-AC24</f>
        <v>2.3403565445914865</v>
      </c>
      <c r="AG24" s="87">
        <f>$AO24*AB24</f>
        <v>5273223.1836823607</v>
      </c>
      <c r="AH24" s="87">
        <f>$AO24*AC24</f>
        <v>6810467.7289695255</v>
      </c>
      <c r="AI24" s="87">
        <f t="shared" ref="AI24:AI41" si="10">AG24+AH24</f>
        <v>12083690.912651885</v>
      </c>
      <c r="AK24" s="87">
        <f t="shared" ref="AK24:AK32" si="11">AM24*AG24/AI24</f>
        <v>5273224.2049946804</v>
      </c>
      <c r="AL24" s="87">
        <f t="shared" ref="AL24:AL28" si="12">AM24-AK24</f>
        <v>6810469.0480137505</v>
      </c>
      <c r="AM24" s="87">
        <v>12083693.253008431</v>
      </c>
      <c r="AO24" s="100">
        <v>1</v>
      </c>
      <c r="AP24" s="87">
        <f>AK24*AO24</f>
        <v>5273224.2049946804</v>
      </c>
      <c r="AQ24" s="87">
        <f>AR24-AP24</f>
        <v>6810469.0480137505</v>
      </c>
      <c r="AR24" s="87">
        <v>12083693.253008431</v>
      </c>
    </row>
    <row r="25" spans="1:45">
      <c r="A25" s="1">
        <v>29</v>
      </c>
      <c r="B25" s="17"/>
      <c r="C25" s="5" t="s">
        <v>35</v>
      </c>
      <c r="D25" s="31" t="s">
        <v>14</v>
      </c>
      <c r="E25" s="1"/>
      <c r="F25" s="1"/>
      <c r="G25" s="6">
        <v>0.63512587868078219</v>
      </c>
      <c r="H25" s="87">
        <f t="shared" ref="H25:H33" si="13">G25*J25</f>
        <v>1990.3514047342671</v>
      </c>
      <c r="I25" s="87">
        <f t="shared" ref="I25:I33" si="14">J25-H25</f>
        <v>1143.4390320031232</v>
      </c>
      <c r="J25" s="99">
        <v>3133.7904367373903</v>
      </c>
      <c r="K25" s="86"/>
      <c r="L25" s="87">
        <f t="shared" si="8"/>
        <v>2866.7653846774529</v>
      </c>
      <c r="M25" s="87">
        <f t="shared" si="9"/>
        <v>1646.9310035597919</v>
      </c>
      <c r="N25" s="86">
        <v>4513.6963882372447</v>
      </c>
      <c r="O25" s="90"/>
      <c r="P25" s="137">
        <v>325.40297097411241</v>
      </c>
      <c r="Q25" s="146">
        <v>195.74424692841225</v>
      </c>
      <c r="R25" s="137">
        <v>325.40297097411241</v>
      </c>
      <c r="S25" s="146">
        <v>243.73123977328089</v>
      </c>
      <c r="T25" s="130">
        <v>325.40297097411241</v>
      </c>
      <c r="U25" s="76">
        <v>213.25347078940703</v>
      </c>
      <c r="V25" s="125" t="s">
        <v>227</v>
      </c>
      <c r="W25" s="125"/>
      <c r="X25" s="149">
        <f t="shared" ref="X25:X29" si="15">((P25*H25)+(Q25*(L25-H25)))/H25</f>
        <v>411.59528560430982</v>
      </c>
      <c r="Y25" s="149">
        <f t="shared" ref="Y25:Y29" si="16">((R25*I25)+(S25*(M25-I25)))/I25</f>
        <v>432.72545954477118</v>
      </c>
      <c r="Z25" s="70">
        <f>AD25/J25</f>
        <v>419.30514454340482</v>
      </c>
      <c r="AA25" s="134">
        <f t="shared" si="7"/>
        <v>0</v>
      </c>
      <c r="AB25" s="87">
        <f t="shared" ref="AB25:AB32" si="17">X25*H25</f>
        <v>819219.25488453999</v>
      </c>
      <c r="AC25" s="87">
        <f t="shared" ref="AC25:AC32" si="18">Y25*I25</f>
        <v>494795.18058497983</v>
      </c>
      <c r="AD25" s="86">
        <v>1314014.4520449112</v>
      </c>
      <c r="AE25" s="17"/>
      <c r="AF25" s="150">
        <f t="shared" ref="AF25:AF36" si="19">AD25-AB25-AC25</f>
        <v>1.657539140433073E-2</v>
      </c>
      <c r="AG25" s="87">
        <f>$AO25*AB25</f>
        <v>819219.25488453999</v>
      </c>
      <c r="AH25" s="87">
        <f>$AO25*AC25</f>
        <v>494795.18058497983</v>
      </c>
      <c r="AI25" s="87">
        <f t="shared" si="10"/>
        <v>1314014.4354695198</v>
      </c>
      <c r="AK25" s="87">
        <f t="shared" si="11"/>
        <v>819219.26521842938</v>
      </c>
      <c r="AL25" s="87">
        <f t="shared" si="12"/>
        <v>494795.18682648183</v>
      </c>
      <c r="AM25" s="87">
        <v>1314014.4520449112</v>
      </c>
      <c r="AO25" s="100">
        <v>1</v>
      </c>
      <c r="AP25" s="87">
        <f t="shared" ref="AP25:AP40" si="20">AK25*AO25</f>
        <v>819219.26521842938</v>
      </c>
      <c r="AQ25" s="87">
        <f t="shared" ref="AQ25:AQ41" si="21">AR25-AP25</f>
        <v>494795.18682648183</v>
      </c>
      <c r="AR25" s="87">
        <v>1314014.4520449112</v>
      </c>
    </row>
    <row r="26" spans="1:45">
      <c r="A26" s="1">
        <v>30</v>
      </c>
      <c r="B26" s="17"/>
      <c r="C26" s="5" t="s">
        <v>15</v>
      </c>
      <c r="D26" s="32" t="s">
        <v>9</v>
      </c>
      <c r="E26" s="1"/>
      <c r="F26" s="1"/>
      <c r="G26" s="6">
        <v>0.63512587868078219</v>
      </c>
      <c r="H26" s="87">
        <f t="shared" si="13"/>
        <v>3060.6716093626892</v>
      </c>
      <c r="I26" s="87">
        <f t="shared" si="14"/>
        <v>1758.3283906373108</v>
      </c>
      <c r="J26" s="99">
        <v>4819</v>
      </c>
      <c r="K26" s="86"/>
      <c r="L26" s="87">
        <f t="shared" si="8"/>
        <v>4408.3810540769509</v>
      </c>
      <c r="M26" s="87">
        <f t="shared" si="9"/>
        <v>2532.5753799981094</v>
      </c>
      <c r="N26" s="86">
        <v>6940.9564340750603</v>
      </c>
      <c r="O26" s="90"/>
      <c r="P26" s="137">
        <v>188.73</v>
      </c>
      <c r="Q26" s="146">
        <v>195.74424692841225</v>
      </c>
      <c r="R26" s="137">
        <v>188.73</v>
      </c>
      <c r="S26" s="146">
        <v>243.73123977328089</v>
      </c>
      <c r="T26" s="130">
        <v>188.73</v>
      </c>
      <c r="U26" s="76">
        <v>213.25347078940703</v>
      </c>
      <c r="V26" s="125" t="s">
        <v>227</v>
      </c>
      <c r="W26" s="125"/>
      <c r="X26" s="149">
        <f t="shared" si="15"/>
        <v>274.92231463019749</v>
      </c>
      <c r="Y26" s="149">
        <f t="shared" si="16"/>
        <v>296.0524885706588</v>
      </c>
      <c r="Z26" s="70">
        <f>AD26/J26</f>
        <v>282.63217356929243</v>
      </c>
      <c r="AA26" s="134">
        <f t="shared" si="7"/>
        <v>0</v>
      </c>
      <c r="AB26" s="87">
        <f t="shared" si="17"/>
        <v>841446.92316892219</v>
      </c>
      <c r="AC26" s="87">
        <f t="shared" si="18"/>
        <v>520557.49577261735</v>
      </c>
      <c r="AD26" s="86">
        <v>1362004.4444304202</v>
      </c>
      <c r="AE26" s="17"/>
      <c r="AF26" s="150">
        <f t="shared" si="19"/>
        <v>2.548888063756749E-2</v>
      </c>
      <c r="AG26" s="87">
        <f>$AO26*AB26</f>
        <v>841446.92316892219</v>
      </c>
      <c r="AH26" s="87">
        <f>$AO26*AC26</f>
        <v>520557.49577261735</v>
      </c>
      <c r="AI26" s="87">
        <f t="shared" si="10"/>
        <v>1362004.4189415395</v>
      </c>
      <c r="AK26" s="87">
        <f t="shared" si="11"/>
        <v>841446.93891596375</v>
      </c>
      <c r="AL26" s="87">
        <f t="shared" si="12"/>
        <v>520557.50551445642</v>
      </c>
      <c r="AM26" s="87">
        <v>1362004.4444304202</v>
      </c>
      <c r="AO26" s="100">
        <v>1</v>
      </c>
      <c r="AP26" s="87">
        <f t="shared" si="20"/>
        <v>841446.93891596375</v>
      </c>
      <c r="AQ26" s="87">
        <f t="shared" si="21"/>
        <v>520557.50551445642</v>
      </c>
      <c r="AR26" s="87">
        <v>1362004.4444304202</v>
      </c>
    </row>
    <row r="27" spans="1:45">
      <c r="A27" s="1">
        <v>31</v>
      </c>
      <c r="B27" s="17"/>
      <c r="C27" s="5" t="s">
        <v>39</v>
      </c>
      <c r="D27" s="32" t="s">
        <v>125</v>
      </c>
      <c r="E27" s="1"/>
      <c r="F27" s="1"/>
      <c r="G27" s="6">
        <v>0.63512587868078219</v>
      </c>
      <c r="H27" s="87">
        <f t="shared" si="13"/>
        <v>1875.8816845835358</v>
      </c>
      <c r="I27" s="87">
        <f t="shared" si="14"/>
        <v>1077.6772043723408</v>
      </c>
      <c r="J27" s="99">
        <v>2953.5588889558767</v>
      </c>
      <c r="K27" s="86"/>
      <c r="L27" s="87">
        <f t="shared" si="8"/>
        <v>2701.8910662323419</v>
      </c>
      <c r="M27" s="87">
        <f t="shared" si="9"/>
        <v>1552.2121862511353</v>
      </c>
      <c r="N27" s="86">
        <v>4254.1032524834773</v>
      </c>
      <c r="O27" s="90"/>
      <c r="P27" s="130">
        <v>237.354835304434</v>
      </c>
      <c r="Q27" s="146">
        <v>195.74424692841225</v>
      </c>
      <c r="R27" s="130">
        <v>274.23101822036125</v>
      </c>
      <c r="S27" s="146">
        <v>243.73123977328089</v>
      </c>
      <c r="T27" s="130">
        <v>250.81000000000003</v>
      </c>
      <c r="U27" s="76">
        <v>213.25347078940703</v>
      </c>
      <c r="V27" s="125" t="s">
        <v>227</v>
      </c>
      <c r="W27" s="125"/>
      <c r="X27" s="149">
        <f t="shared" si="15"/>
        <v>323.54714993463153</v>
      </c>
      <c r="Y27" s="149">
        <f t="shared" si="16"/>
        <v>381.55350679101997</v>
      </c>
      <c r="Z27" s="70">
        <f>AD27/J27</f>
        <v>344.71217356929247</v>
      </c>
      <c r="AA27" s="134">
        <f t="shared" si="7"/>
        <v>0</v>
      </c>
      <c r="AB27" s="87">
        <f t="shared" si="17"/>
        <v>606936.1726615784</v>
      </c>
      <c r="AC27" s="87">
        <f t="shared" si="18"/>
        <v>411191.51651700935</v>
      </c>
      <c r="AD27" s="86">
        <v>1018127.7043768847</v>
      </c>
      <c r="AE27" s="17"/>
      <c r="AF27" s="150">
        <f t="shared" si="19"/>
        <v>1.5198296983726323E-2</v>
      </c>
      <c r="AG27" s="87">
        <f>$AO27*AB27</f>
        <v>549434.44625498052</v>
      </c>
      <c r="AH27" s="87">
        <f>$AO27*AC27</f>
        <v>372234.83021540224</v>
      </c>
      <c r="AI27" s="87">
        <f t="shared" si="10"/>
        <v>921669.2764703827</v>
      </c>
      <c r="AK27" s="87">
        <f t="shared" si="11"/>
        <v>606936.18172173505</v>
      </c>
      <c r="AL27" s="87">
        <f t="shared" si="12"/>
        <v>411191.52265514969</v>
      </c>
      <c r="AM27" s="87">
        <v>1018127.7043768847</v>
      </c>
      <c r="AO27" s="100">
        <v>0.90525902228822952</v>
      </c>
      <c r="AP27" s="87">
        <f t="shared" si="20"/>
        <v>549434.45445676905</v>
      </c>
      <c r="AQ27" s="87">
        <f t="shared" si="21"/>
        <v>361350.7123979521</v>
      </c>
      <c r="AR27" s="87">
        <v>910785.16685472114</v>
      </c>
    </row>
    <row r="28" spans="1:45">
      <c r="A28" s="1">
        <v>32</v>
      </c>
      <c r="B28" s="17"/>
      <c r="C28" s="5" t="s">
        <v>146</v>
      </c>
      <c r="D28" s="32" t="s">
        <v>216</v>
      </c>
      <c r="E28" s="1"/>
      <c r="F28" s="1"/>
      <c r="G28" s="6">
        <v>0.63512587868078219</v>
      </c>
      <c r="H28" s="87">
        <f t="shared" si="13"/>
        <v>64311.263642966864</v>
      </c>
      <c r="I28" s="87">
        <f t="shared" si="14"/>
        <v>36946.24420185214</v>
      </c>
      <c r="J28" s="86">
        <v>101257.507844819</v>
      </c>
      <c r="K28" s="86"/>
      <c r="L28" s="87">
        <f t="shared" si="8"/>
        <v>92629.524624641854</v>
      </c>
      <c r="M28" s="87">
        <f t="shared" si="9"/>
        <v>53214.831169901314</v>
      </c>
      <c r="N28" s="86">
        <v>145844.35579454317</v>
      </c>
      <c r="O28" s="90"/>
      <c r="P28" s="137">
        <v>310</v>
      </c>
      <c r="Q28" s="146">
        <v>195.74424692841225</v>
      </c>
      <c r="R28" s="137">
        <v>310</v>
      </c>
      <c r="S28" s="146">
        <v>243.73123977328089</v>
      </c>
      <c r="T28" s="130">
        <v>310</v>
      </c>
      <c r="U28" s="76">
        <v>213.25347078940703</v>
      </c>
      <c r="V28" s="125" t="s">
        <v>215</v>
      </c>
      <c r="W28" s="125"/>
      <c r="X28" s="149">
        <f t="shared" si="15"/>
        <v>396.19231463019793</v>
      </c>
      <c r="Y28" s="149">
        <f t="shared" si="16"/>
        <v>417.32248857065935</v>
      </c>
      <c r="Z28" s="70">
        <v>403.90217356929247</v>
      </c>
      <c r="AA28" s="134">
        <f t="shared" si="7"/>
        <v>4.5474735088646412E-13</v>
      </c>
      <c r="AB28" s="87">
        <f t="shared" si="17"/>
        <v>25479628.399499938</v>
      </c>
      <c r="AC28" s="87">
        <f t="shared" si="18"/>
        <v>15418498.573656229</v>
      </c>
      <c r="AD28" s="86">
        <v>40898127.508732148</v>
      </c>
      <c r="AE28" s="17"/>
      <c r="AF28" s="150">
        <f t="shared" si="19"/>
        <v>0.53557598032057285</v>
      </c>
      <c r="AG28" s="87">
        <f>$AO28*AB28</f>
        <v>23556230.376417596</v>
      </c>
      <c r="AH28" s="87">
        <f>$AO28*AC28</f>
        <v>14254591.894544287</v>
      </c>
      <c r="AI28" s="87">
        <f t="shared" si="10"/>
        <v>37810822.270961881</v>
      </c>
      <c r="AK28" s="87">
        <f t="shared" si="11"/>
        <v>25479628.733165022</v>
      </c>
      <c r="AL28" s="87">
        <f t="shared" si="12"/>
        <v>15418498.775567126</v>
      </c>
      <c r="AM28" s="87">
        <v>40898127.508732148</v>
      </c>
      <c r="AO28" s="100">
        <v>0.92451232047324161</v>
      </c>
      <c r="AP28" s="87">
        <f t="shared" si="20"/>
        <v>23556230.684895076</v>
      </c>
      <c r="AQ28" s="87">
        <f t="shared" si="21"/>
        <v>13029953.667964354</v>
      </c>
      <c r="AR28" s="87">
        <v>36586184.35285943</v>
      </c>
    </row>
    <row r="29" spans="1:45">
      <c r="A29" s="1">
        <v>37</v>
      </c>
      <c r="B29" s="17"/>
      <c r="C29" s="5" t="s">
        <v>127</v>
      </c>
      <c r="D29" s="32" t="s">
        <v>11</v>
      </c>
      <c r="E29" s="1"/>
      <c r="F29" s="1"/>
      <c r="G29" s="6">
        <v>0.63512587868078219</v>
      </c>
      <c r="H29" s="87">
        <f t="shared" si="13"/>
        <v>1458.8841433297566</v>
      </c>
      <c r="I29" s="87">
        <f t="shared" si="14"/>
        <v>838.11585667024337</v>
      </c>
      <c r="J29" s="86">
        <v>2297</v>
      </c>
      <c r="K29" s="86"/>
      <c r="L29" s="87">
        <f t="shared" si="8"/>
        <v>2101.2764642487564</v>
      </c>
      <c r="M29" s="87">
        <f t="shared" si="9"/>
        <v>1207.1644838878724</v>
      </c>
      <c r="N29" s="86">
        <v>3308.4409481366288</v>
      </c>
      <c r="O29" s="90"/>
      <c r="P29" s="130">
        <v>119.414507485548</v>
      </c>
      <c r="Q29" s="146">
        <v>195.74424692841225</v>
      </c>
      <c r="R29" s="130">
        <v>106.87716165548254</v>
      </c>
      <c r="S29" s="146">
        <v>243.73123977328089</v>
      </c>
      <c r="T29" s="130">
        <v>114.84</v>
      </c>
      <c r="U29" s="76">
        <v>213.25347078940703</v>
      </c>
      <c r="V29" s="125" t="s">
        <v>227</v>
      </c>
      <c r="W29" s="125"/>
      <c r="X29" s="149">
        <f t="shared" si="15"/>
        <v>205.6068221157455</v>
      </c>
      <c r="Y29" s="149">
        <f t="shared" si="16"/>
        <v>214.19965022614136</v>
      </c>
      <c r="Z29" s="70">
        <f>AD29/J29</f>
        <v>208.74217356929245</v>
      </c>
      <c r="AA29" s="134">
        <f t="shared" si="7"/>
        <v>0</v>
      </c>
      <c r="AB29" s="87">
        <f t="shared" si="17"/>
        <v>299956.53254508303</v>
      </c>
      <c r="AC29" s="87">
        <f t="shared" si="18"/>
        <v>179524.12334774894</v>
      </c>
      <c r="AD29" s="86">
        <v>479480.77268866473</v>
      </c>
      <c r="AE29" s="17"/>
      <c r="AF29" s="150">
        <f t="shared" si="19"/>
        <v>0.11679583275690675</v>
      </c>
      <c r="AG29" s="87">
        <f>$AO29*AB29</f>
        <v>277923.16291231022</v>
      </c>
      <c r="AH29" s="87">
        <f>$AO29*AC29</f>
        <v>166337.14144020891</v>
      </c>
      <c r="AI29" s="87">
        <f t="shared" si="10"/>
        <v>444260.3043525191</v>
      </c>
      <c r="AK29" s="87">
        <f t="shared" si="11"/>
        <v>299956.60561095667</v>
      </c>
      <c r="AL29" s="87">
        <f>AM29-AK29</f>
        <v>179524.16707770806</v>
      </c>
      <c r="AM29" s="87">
        <v>479480.77268866473</v>
      </c>
      <c r="AO29" s="100">
        <v>0.92654479152088076</v>
      </c>
      <c r="AP29" s="87">
        <f t="shared" si="20"/>
        <v>277923.23061111488</v>
      </c>
      <c r="AQ29" s="87">
        <f t="shared" si="21"/>
        <v>151005.25613912829</v>
      </c>
      <c r="AR29" s="87">
        <v>428928.48675024317</v>
      </c>
    </row>
    <row r="30" spans="1:45">
      <c r="A30" s="1">
        <v>38</v>
      </c>
      <c r="B30" s="17"/>
      <c r="C30" s="5" t="s">
        <v>64</v>
      </c>
      <c r="D30" s="32" t="s">
        <v>43</v>
      </c>
      <c r="E30" s="1"/>
      <c r="F30" s="1"/>
      <c r="G30" s="6">
        <v>0.63512587868078219</v>
      </c>
      <c r="H30" s="87">
        <f t="shared" si="13"/>
        <v>101.29242377822223</v>
      </c>
      <c r="I30" s="87">
        <f t="shared" si="14"/>
        <v>58.191589042380173</v>
      </c>
      <c r="J30" s="86">
        <v>159.4840128206024</v>
      </c>
      <c r="K30" s="86"/>
      <c r="L30" s="87">
        <f t="shared" si="8"/>
        <v>101.29242377822223</v>
      </c>
      <c r="M30" s="87">
        <f t="shared" si="9"/>
        <v>58.191589042380173</v>
      </c>
      <c r="N30" s="86">
        <v>159.4840128206024</v>
      </c>
      <c r="O30" s="90"/>
      <c r="P30" s="130">
        <v>48.55</v>
      </c>
      <c r="Q30" s="146"/>
      <c r="R30" s="130">
        <v>48.55</v>
      </c>
      <c r="S30" s="146"/>
      <c r="T30" s="130">
        <v>48.55</v>
      </c>
      <c r="U30" s="125"/>
      <c r="V30" s="125"/>
      <c r="W30" s="125"/>
      <c r="X30" s="149">
        <f t="shared" ref="X30:X32" si="22">((P30*H30)+(Q30*(L30-H30)))/H30</f>
        <v>48.54999999999999</v>
      </c>
      <c r="Y30" s="149">
        <f t="shared" ref="Y30:Y32" si="23">((R30*I30)+(S30*(M30-I30)))/I30</f>
        <v>48.55</v>
      </c>
      <c r="Z30" s="70">
        <f>AD30/J30</f>
        <v>48.55</v>
      </c>
      <c r="AA30" s="134">
        <f t="shared" si="7"/>
        <v>0</v>
      </c>
      <c r="AB30" s="87">
        <f t="shared" si="17"/>
        <v>4917.7471744326886</v>
      </c>
      <c r="AC30" s="87">
        <f t="shared" si="18"/>
        <v>2825.2016480075572</v>
      </c>
      <c r="AD30" s="86">
        <v>7742.9488224402457</v>
      </c>
      <c r="AE30" s="17"/>
      <c r="AF30" s="150">
        <f t="shared" si="19"/>
        <v>0</v>
      </c>
      <c r="AG30" s="87">
        <f>$AO30*AB30</f>
        <v>4399.2626480548015</v>
      </c>
      <c r="AH30" s="87">
        <f>$AO30*AC30</f>
        <v>2527.3369375147477</v>
      </c>
      <c r="AI30" s="87">
        <f t="shared" si="10"/>
        <v>6926.5995855695492</v>
      </c>
      <c r="AK30" s="87">
        <f t="shared" si="11"/>
        <v>4917.7471744326895</v>
      </c>
      <c r="AL30" s="87">
        <f t="shared" ref="AL30:AL32" si="24">AM30-AK30</f>
        <v>2825.2016480075563</v>
      </c>
      <c r="AM30" s="87">
        <v>7742.9488224402457</v>
      </c>
      <c r="AO30" s="100">
        <v>0.89456869009584661</v>
      </c>
      <c r="AP30" s="87">
        <f t="shared" si="20"/>
        <v>4399.2626480548015</v>
      </c>
      <c r="AQ30" s="87">
        <f t="shared" si="21"/>
        <v>2527.3369375147468</v>
      </c>
      <c r="AR30" s="87">
        <v>6926.5995855695483</v>
      </c>
    </row>
    <row r="31" spans="1:45">
      <c r="A31" s="1">
        <v>39</v>
      </c>
      <c r="B31" s="17"/>
      <c r="C31" s="32" t="s">
        <v>32</v>
      </c>
      <c r="D31" s="31" t="s">
        <v>66</v>
      </c>
      <c r="E31" s="1"/>
      <c r="F31" s="1"/>
      <c r="G31" s="6">
        <v>0.63512587868078219</v>
      </c>
      <c r="H31" s="87">
        <f t="shared" si="13"/>
        <v>4396.2902359558739</v>
      </c>
      <c r="I31" s="87">
        <f t="shared" si="14"/>
        <v>2525.6293134213192</v>
      </c>
      <c r="J31" s="86">
        <v>6921.9195493771931</v>
      </c>
      <c r="K31" s="86"/>
      <c r="L31" s="87">
        <f t="shared" si="8"/>
        <v>4396.2902359558739</v>
      </c>
      <c r="M31" s="87">
        <f t="shared" si="9"/>
        <v>2525.6293134213192</v>
      </c>
      <c r="N31" s="86">
        <v>6921.9195493771931</v>
      </c>
      <c r="O31" s="90"/>
      <c r="P31" s="137">
        <v>106.84</v>
      </c>
      <c r="Q31" s="146"/>
      <c r="R31" s="137">
        <v>106.84</v>
      </c>
      <c r="S31" s="146"/>
      <c r="T31" s="130">
        <v>106.84</v>
      </c>
      <c r="U31" s="125"/>
      <c r="V31" s="125" t="s">
        <v>215</v>
      </c>
      <c r="W31" s="125"/>
      <c r="X31" s="149">
        <f t="shared" si="22"/>
        <v>106.84</v>
      </c>
      <c r="Y31" s="149">
        <f t="shared" si="23"/>
        <v>106.84000000000002</v>
      </c>
      <c r="Z31" s="70">
        <f>AD31/J31</f>
        <v>106.84</v>
      </c>
      <c r="AA31" s="134">
        <f t="shared" si="7"/>
        <v>0</v>
      </c>
      <c r="AB31" s="87">
        <f t="shared" si="17"/>
        <v>469699.64880952559</v>
      </c>
      <c r="AC31" s="87">
        <f t="shared" si="18"/>
        <v>269838.23584593378</v>
      </c>
      <c r="AD31" s="86">
        <v>739537.88465545932</v>
      </c>
      <c r="AE31" s="17"/>
      <c r="AF31" s="150">
        <f t="shared" si="19"/>
        <v>0</v>
      </c>
      <c r="AG31" s="87">
        <f>$AO31*AB31</f>
        <v>469699.64880952559</v>
      </c>
      <c r="AH31" s="87">
        <f>$AO31*AC31</f>
        <v>269838.23584593378</v>
      </c>
      <c r="AI31" s="87">
        <f t="shared" si="10"/>
        <v>739537.88465545932</v>
      </c>
      <c r="AK31" s="87">
        <f t="shared" si="11"/>
        <v>469699.64880952559</v>
      </c>
      <c r="AL31" s="87">
        <f t="shared" si="24"/>
        <v>269838.23584593373</v>
      </c>
      <c r="AM31" s="87">
        <v>739537.88465545932</v>
      </c>
      <c r="AO31" s="100">
        <v>1</v>
      </c>
      <c r="AP31" s="87">
        <f t="shared" si="20"/>
        <v>469699.64880952559</v>
      </c>
      <c r="AQ31" s="87">
        <f t="shared" si="21"/>
        <v>269838.23584593373</v>
      </c>
      <c r="AR31" s="87">
        <v>739537.88465545932</v>
      </c>
    </row>
    <row r="32" spans="1:45">
      <c r="A32" s="1">
        <v>40</v>
      </c>
      <c r="B32" s="17"/>
      <c r="C32" s="32" t="s">
        <v>20</v>
      </c>
      <c r="D32" s="31" t="s">
        <v>22</v>
      </c>
      <c r="E32" s="1"/>
      <c r="F32" s="1"/>
      <c r="G32" s="6">
        <v>0.63512587868078219</v>
      </c>
      <c r="H32" s="87">
        <f t="shared" si="13"/>
        <v>4904.3607090060923</v>
      </c>
      <c r="I32" s="87">
        <f t="shared" si="14"/>
        <v>2817.5112436734671</v>
      </c>
      <c r="J32" s="86">
        <v>7721.8719526795594</v>
      </c>
      <c r="K32" s="86"/>
      <c r="L32" s="87">
        <f t="shared" si="8"/>
        <v>4904.3607090060923</v>
      </c>
      <c r="M32" s="87">
        <f t="shared" si="9"/>
        <v>2817.5112436734671</v>
      </c>
      <c r="N32" s="86">
        <v>7721.8719526795594</v>
      </c>
      <c r="O32" s="90"/>
      <c r="P32" s="137">
        <v>106.84</v>
      </c>
      <c r="Q32" s="146"/>
      <c r="R32" s="137">
        <v>106.84</v>
      </c>
      <c r="S32" s="146"/>
      <c r="T32" s="130">
        <v>106.84</v>
      </c>
      <c r="U32" s="125"/>
      <c r="V32" s="125" t="s">
        <v>215</v>
      </c>
      <c r="W32" s="125"/>
      <c r="X32" s="149">
        <f t="shared" si="22"/>
        <v>106.84</v>
      </c>
      <c r="Y32" s="149">
        <f t="shared" si="23"/>
        <v>106.84</v>
      </c>
      <c r="Z32" s="70">
        <f>AD32/J32</f>
        <v>106.84</v>
      </c>
      <c r="AA32" s="134">
        <f t="shared" si="7"/>
        <v>0</v>
      </c>
      <c r="AB32" s="87">
        <f t="shared" si="17"/>
        <v>523981.89815021091</v>
      </c>
      <c r="AC32" s="87">
        <f t="shared" si="18"/>
        <v>301022.90127407323</v>
      </c>
      <c r="AD32" s="86">
        <v>825004.79942428414</v>
      </c>
      <c r="AE32" s="17"/>
      <c r="AF32" s="150">
        <f t="shared" si="19"/>
        <v>0</v>
      </c>
      <c r="AG32" s="87">
        <f>$AO32*AB32</f>
        <v>523981.89815021091</v>
      </c>
      <c r="AH32" s="87">
        <f>$AO32*AC32</f>
        <v>301022.90127407323</v>
      </c>
      <c r="AI32" s="87">
        <f t="shared" si="10"/>
        <v>825004.79942428414</v>
      </c>
      <c r="AK32" s="87">
        <f t="shared" si="11"/>
        <v>523981.89815021091</v>
      </c>
      <c r="AL32" s="87">
        <f t="shared" si="24"/>
        <v>301022.90127407323</v>
      </c>
      <c r="AM32" s="87">
        <v>825004.79942428414</v>
      </c>
      <c r="AO32" s="100">
        <v>1</v>
      </c>
      <c r="AP32" s="87">
        <f t="shared" si="20"/>
        <v>523981.89815021091</v>
      </c>
      <c r="AQ32" s="87">
        <f t="shared" si="21"/>
        <v>301022.90127407323</v>
      </c>
      <c r="AR32" s="87">
        <v>825004.79942428414</v>
      </c>
    </row>
    <row r="33" spans="1:45">
      <c r="A33" s="1">
        <v>41</v>
      </c>
      <c r="B33" s="17"/>
      <c r="C33" s="5" t="s">
        <v>31</v>
      </c>
      <c r="D33" s="32" t="s">
        <v>81</v>
      </c>
      <c r="E33" s="1"/>
      <c r="F33" s="1"/>
      <c r="G33" s="6">
        <v>0.63512587868078219</v>
      </c>
      <c r="H33" s="87">
        <f t="shared" si="13"/>
        <v>0</v>
      </c>
      <c r="I33" s="87">
        <f t="shared" si="14"/>
        <v>0</v>
      </c>
      <c r="J33" s="86">
        <v>0</v>
      </c>
      <c r="K33" s="86"/>
      <c r="L33" s="87">
        <f t="shared" si="8"/>
        <v>0</v>
      </c>
      <c r="M33" s="87">
        <f t="shared" si="9"/>
        <v>0</v>
      </c>
      <c r="N33" s="86">
        <v>0</v>
      </c>
      <c r="O33" s="90"/>
      <c r="P33" s="130"/>
      <c r="Q33" s="146"/>
      <c r="R33" s="125"/>
      <c r="S33" s="147"/>
      <c r="T33" s="130"/>
      <c r="U33" s="125"/>
      <c r="V33" s="125"/>
      <c r="W33" s="125"/>
      <c r="X33" s="87"/>
      <c r="Y33" s="87"/>
      <c r="Z33" s="70"/>
      <c r="AA33" s="70"/>
      <c r="AB33" s="70"/>
      <c r="AC33" s="70"/>
      <c r="AD33" s="70"/>
      <c r="AE33" s="17"/>
      <c r="AF33" s="150"/>
      <c r="AG33" s="100"/>
      <c r="AH33" s="100"/>
      <c r="AI33" s="100"/>
      <c r="AO33" s="100"/>
      <c r="AP33" s="100"/>
      <c r="AQ33" s="100"/>
    </row>
    <row r="34" spans="1:45">
      <c r="A34" s="1">
        <v>42</v>
      </c>
      <c r="B34" s="17"/>
      <c r="C34" s="31" t="s">
        <v>122</v>
      </c>
      <c r="D34" s="31" t="s">
        <v>62</v>
      </c>
      <c r="E34" s="1"/>
      <c r="F34" s="1"/>
      <c r="G34" s="6">
        <v>1</v>
      </c>
      <c r="H34" s="86">
        <v>10810</v>
      </c>
      <c r="I34" s="87">
        <v>0</v>
      </c>
      <c r="J34" s="86">
        <v>10810</v>
      </c>
      <c r="K34" s="86"/>
      <c r="L34" s="86">
        <v>10810</v>
      </c>
      <c r="M34" s="87">
        <v>0</v>
      </c>
      <c r="N34" s="86">
        <v>10810</v>
      </c>
      <c r="O34" s="90"/>
      <c r="P34" s="130">
        <v>153.28962840000003</v>
      </c>
      <c r="Q34" s="146"/>
      <c r="R34" s="125"/>
      <c r="S34" s="147"/>
      <c r="T34" s="130">
        <v>153.28962840000003</v>
      </c>
      <c r="U34" s="125"/>
      <c r="V34" s="125"/>
      <c r="W34" s="125"/>
      <c r="X34" s="149">
        <f t="shared" ref="X34:Y36" si="25">((P34*H34)+(Q34*(L34-H34)))/H34</f>
        <v>153.28962840000003</v>
      </c>
      <c r="Y34" s="149"/>
      <c r="Z34" s="70">
        <f>AD34/J34</f>
        <v>153.28962840000003</v>
      </c>
      <c r="AA34" s="134">
        <f t="shared" si="7"/>
        <v>0</v>
      </c>
      <c r="AB34" s="87">
        <f t="shared" ref="AB34:AB36" si="26">X34*H34</f>
        <v>1657060.8830040002</v>
      </c>
      <c r="AC34" s="70"/>
      <c r="AD34" s="86">
        <v>1657060.8830040002</v>
      </c>
      <c r="AE34" s="17"/>
      <c r="AF34" s="150">
        <f t="shared" si="19"/>
        <v>0</v>
      </c>
      <c r="AG34" s="87">
        <f>$AO34*AB34</f>
        <v>1657060.8830040002</v>
      </c>
      <c r="AH34" s="100"/>
      <c r="AI34" s="87">
        <f>AG34</f>
        <v>1657060.8830040002</v>
      </c>
      <c r="AK34" s="87">
        <f>AM34</f>
        <v>1657060.8830040002</v>
      </c>
      <c r="AM34" s="87">
        <v>1657060.8830040002</v>
      </c>
      <c r="AO34" s="100">
        <v>1</v>
      </c>
      <c r="AP34" s="87">
        <f t="shared" si="20"/>
        <v>1657060.8830040002</v>
      </c>
      <c r="AQ34" s="87">
        <f t="shared" si="21"/>
        <v>0</v>
      </c>
      <c r="AR34" s="87">
        <v>1657060.8830040002</v>
      </c>
    </row>
    <row r="35" spans="1:45">
      <c r="A35" s="1">
        <v>43</v>
      </c>
      <c r="B35" s="17" t="s">
        <v>102</v>
      </c>
      <c r="C35" s="31" t="s">
        <v>135</v>
      </c>
      <c r="D35" s="31" t="s">
        <v>19</v>
      </c>
      <c r="E35" s="1"/>
      <c r="F35" s="1"/>
      <c r="G35" s="6">
        <v>1</v>
      </c>
      <c r="H35" s="86">
        <v>690</v>
      </c>
      <c r="I35" s="87">
        <v>0</v>
      </c>
      <c r="J35" s="86">
        <v>690</v>
      </c>
      <c r="K35" s="86"/>
      <c r="L35" s="86">
        <v>690</v>
      </c>
      <c r="M35" s="87">
        <v>0</v>
      </c>
      <c r="N35" s="86">
        <v>690</v>
      </c>
      <c r="O35" s="90"/>
      <c r="P35" s="130">
        <v>153.28962840000003</v>
      </c>
      <c r="Q35" s="146"/>
      <c r="R35" s="125"/>
      <c r="S35" s="147"/>
      <c r="T35" s="130">
        <v>153.28962840000003</v>
      </c>
      <c r="U35" s="125"/>
      <c r="V35" s="125"/>
      <c r="W35" s="125"/>
      <c r="X35" s="149">
        <f t="shared" si="25"/>
        <v>153.28962840000003</v>
      </c>
      <c r="Y35" s="87"/>
      <c r="Z35" s="70">
        <f>AD35/J35</f>
        <v>153.28962840000003</v>
      </c>
      <c r="AA35" s="134">
        <f t="shared" si="7"/>
        <v>0</v>
      </c>
      <c r="AB35" s="87">
        <f t="shared" si="26"/>
        <v>105769.84359600002</v>
      </c>
      <c r="AC35" s="70"/>
      <c r="AD35" s="86">
        <v>105769.84359600002</v>
      </c>
      <c r="AE35" s="17" t="s">
        <v>102</v>
      </c>
      <c r="AF35" s="150">
        <f t="shared" si="19"/>
        <v>0</v>
      </c>
      <c r="AG35" s="87">
        <f>$AO35*AB35</f>
        <v>105769.84359600002</v>
      </c>
      <c r="AH35" s="100"/>
      <c r="AI35" s="87">
        <f>AG35</f>
        <v>105769.84359600002</v>
      </c>
      <c r="AK35" s="87">
        <f t="shared" ref="AK35:AK36" si="27">AM35</f>
        <v>105769.84359600002</v>
      </c>
      <c r="AM35" s="87">
        <v>105769.84359600002</v>
      </c>
      <c r="AO35" s="100">
        <v>1</v>
      </c>
      <c r="AP35" s="87">
        <f t="shared" si="20"/>
        <v>105769.84359600002</v>
      </c>
      <c r="AQ35" s="87">
        <f t="shared" si="21"/>
        <v>0</v>
      </c>
      <c r="AR35" s="87">
        <v>105769.84359600002</v>
      </c>
    </row>
    <row r="36" spans="1:45">
      <c r="A36" s="1">
        <v>44</v>
      </c>
      <c r="B36" s="18" t="s">
        <v>103</v>
      </c>
      <c r="C36" s="5" t="s">
        <v>13</v>
      </c>
      <c r="D36" s="32" t="s">
        <v>140</v>
      </c>
      <c r="E36" s="1"/>
      <c r="F36" s="1"/>
      <c r="G36" s="6">
        <v>0.65682385516270192</v>
      </c>
      <c r="H36" s="87">
        <f t="shared" ref="H36" si="28">G36*J36</f>
        <v>58416.731920719925</v>
      </c>
      <c r="I36" s="87">
        <f t="shared" ref="I36" si="29">J36-H36</f>
        <v>30521.468879324872</v>
      </c>
      <c r="J36" s="86">
        <v>88938.200800044797</v>
      </c>
      <c r="K36" s="86"/>
      <c r="L36" s="87">
        <f t="shared" ref="L36" si="30">G36*N36</f>
        <v>150214.45351042267</v>
      </c>
      <c r="M36" s="87">
        <f t="shared" ref="M36" si="31">N36-L36</f>
        <v>78483.77711826397</v>
      </c>
      <c r="N36" s="86">
        <v>228698.23062868664</v>
      </c>
      <c r="O36" s="90"/>
      <c r="P36" s="130">
        <v>45.54</v>
      </c>
      <c r="Q36" s="146">
        <v>45.54</v>
      </c>
      <c r="R36" s="130">
        <v>45.54</v>
      </c>
      <c r="S36" s="146">
        <v>45.54</v>
      </c>
      <c r="T36" s="130">
        <v>45.54</v>
      </c>
      <c r="U36" s="130">
        <v>45.54</v>
      </c>
      <c r="V36" s="125" t="s">
        <v>223</v>
      </c>
      <c r="W36" s="125"/>
      <c r="X36" s="149">
        <f t="shared" si="25"/>
        <v>117.10285714285715</v>
      </c>
      <c r="Y36" s="149">
        <f t="shared" si="25"/>
        <v>117.10285714285715</v>
      </c>
      <c r="Z36" s="70">
        <f>AD36/J36</f>
        <v>117.10285714285716</v>
      </c>
      <c r="AA36" s="134">
        <f t="shared" si="7"/>
        <v>0</v>
      </c>
      <c r="AB36" s="87">
        <f t="shared" si="26"/>
        <v>6840766.2128646486</v>
      </c>
      <c r="AC36" s="87">
        <f t="shared" ref="AC36" si="32">Y36*I36</f>
        <v>3574151.2099657408</v>
      </c>
      <c r="AD36" s="86">
        <v>10414917.42283039</v>
      </c>
      <c r="AE36" s="18" t="s">
        <v>103</v>
      </c>
      <c r="AF36" s="150">
        <f t="shared" si="19"/>
        <v>0</v>
      </c>
      <c r="AG36" s="87">
        <f>$AO36*AB36</f>
        <v>6840766.2128646486</v>
      </c>
      <c r="AH36" s="87">
        <f>$AO36*AC36</f>
        <v>3574151.2099657408</v>
      </c>
      <c r="AI36" s="87">
        <f t="shared" si="10"/>
        <v>10414917.42283039</v>
      </c>
      <c r="AK36" s="87">
        <f t="shared" ref="AK36" si="33">AM36*AG36/AI36</f>
        <v>6840766.2128646476</v>
      </c>
      <c r="AL36" s="87">
        <f>AM36-AK36</f>
        <v>3574151.2099657422</v>
      </c>
      <c r="AM36" s="87">
        <v>10414917.42283039</v>
      </c>
      <c r="AO36" s="100">
        <v>1</v>
      </c>
      <c r="AP36" s="87">
        <f t="shared" si="20"/>
        <v>6840766.2128646476</v>
      </c>
      <c r="AQ36" s="87">
        <f t="shared" si="21"/>
        <v>3574151.2099657422</v>
      </c>
      <c r="AR36" s="87">
        <v>10414917.42283039</v>
      </c>
    </row>
    <row r="37" spans="1:45">
      <c r="A37" s="1">
        <v>45</v>
      </c>
      <c r="B37" s="22"/>
      <c r="C37" s="5" t="s">
        <v>149</v>
      </c>
      <c r="D37" s="32"/>
      <c r="E37" s="1"/>
      <c r="F37" s="1"/>
      <c r="G37" s="1"/>
      <c r="H37" s="87"/>
      <c r="I37" s="87"/>
      <c r="J37" s="87"/>
      <c r="K37" s="86"/>
      <c r="L37" s="87"/>
      <c r="M37" s="87"/>
      <c r="N37" s="87"/>
      <c r="O37" s="75"/>
      <c r="P37" s="130"/>
      <c r="Q37" s="130"/>
      <c r="R37" s="125"/>
      <c r="S37" s="125"/>
      <c r="T37" s="125"/>
      <c r="U37" s="125"/>
      <c r="V37" s="125"/>
      <c r="W37" s="125"/>
      <c r="X37" s="87"/>
      <c r="Y37" s="87"/>
      <c r="Z37" s="72"/>
      <c r="AA37" s="88"/>
      <c r="AB37" s="87"/>
      <c r="AC37" s="86"/>
      <c r="AD37" s="87"/>
      <c r="AP37"/>
      <c r="AQ37"/>
    </row>
    <row r="38" spans="1:45">
      <c r="A38" s="1"/>
      <c r="B38" s="22"/>
      <c r="C38" s="5"/>
      <c r="D38" s="32"/>
      <c r="E38" s="1"/>
      <c r="F38" s="1"/>
      <c r="G38" s="1"/>
      <c r="H38" s="87"/>
      <c r="I38" s="87"/>
      <c r="J38" s="87"/>
      <c r="K38" s="86"/>
      <c r="L38" s="87"/>
      <c r="M38" s="87"/>
      <c r="N38" s="87"/>
      <c r="O38" s="75"/>
      <c r="P38" s="130"/>
      <c r="Q38" s="130"/>
      <c r="R38" s="125"/>
      <c r="S38" s="125"/>
      <c r="T38" s="125"/>
      <c r="U38" s="125"/>
      <c r="V38" s="125"/>
      <c r="W38" s="125"/>
      <c r="X38" s="87"/>
      <c r="Y38" s="87"/>
      <c r="Z38" s="72"/>
      <c r="AA38" s="88"/>
      <c r="AB38" s="87" t="s">
        <v>235</v>
      </c>
      <c r="AC38" s="87"/>
      <c r="AD38" s="87"/>
      <c r="AP38"/>
      <c r="AQ38"/>
    </row>
    <row r="39" spans="1:45">
      <c r="A39" s="1"/>
      <c r="B39" s="22"/>
      <c r="C39" s="5"/>
      <c r="D39" s="32"/>
      <c r="E39" s="1"/>
      <c r="F39" s="8" t="s">
        <v>4</v>
      </c>
      <c r="G39" s="8"/>
      <c r="H39" s="87"/>
      <c r="I39" s="87"/>
      <c r="J39" s="87">
        <v>139783.38148869621</v>
      </c>
      <c r="K39" s="86"/>
      <c r="L39" s="87"/>
      <c r="M39" s="87"/>
      <c r="N39" s="87"/>
      <c r="O39" s="75"/>
      <c r="P39" s="130"/>
      <c r="Q39" s="130"/>
      <c r="R39" s="125"/>
      <c r="S39" s="125"/>
      <c r="T39" s="125"/>
      <c r="U39" s="125"/>
      <c r="V39" s="125"/>
      <c r="W39" s="125"/>
      <c r="X39" s="87"/>
      <c r="Y39" s="87"/>
      <c r="Z39" s="72"/>
      <c r="AA39" s="88"/>
      <c r="AB39" s="87"/>
      <c r="AC39" s="87"/>
      <c r="AD39" s="87"/>
      <c r="AP39"/>
      <c r="AQ39"/>
    </row>
    <row r="40" spans="1:45">
      <c r="A40" s="1"/>
      <c r="B40" s="39"/>
      <c r="C40" s="5"/>
      <c r="D40" s="32"/>
      <c r="E40" s="1"/>
      <c r="F40" s="8" t="s">
        <v>10</v>
      </c>
      <c r="G40" s="8"/>
      <c r="H40" s="87"/>
      <c r="I40" s="87"/>
      <c r="J40" s="87">
        <v>139783.38148869621</v>
      </c>
      <c r="K40" s="86"/>
      <c r="L40" s="87"/>
      <c r="M40" s="87">
        <f>M41-M21-SUM(M34:M36)</f>
        <v>75586.5733609155</v>
      </c>
      <c r="N40" s="87">
        <v>195938.17294964768</v>
      </c>
      <c r="O40" s="75"/>
      <c r="P40" s="130"/>
      <c r="Q40" s="130"/>
      <c r="R40" s="125"/>
      <c r="S40" s="125"/>
      <c r="T40" s="125"/>
      <c r="U40" s="125"/>
      <c r="V40" s="125"/>
      <c r="W40" s="125"/>
      <c r="X40" s="87"/>
      <c r="Y40" s="87"/>
      <c r="Z40" s="100">
        <f>AD40/J40</f>
        <v>449.3056552049112</v>
      </c>
      <c r="AA40" s="88"/>
      <c r="AB40" s="87">
        <f>AB41-AB21-SUM(AB34:AB36)</f>
        <v>34319009.760576583</v>
      </c>
      <c r="AC40" s="87">
        <f>AC41-AC21-SUM(AC34:AC36)</f>
        <v>28486450.995969191</v>
      </c>
      <c r="AD40" s="87">
        <v>62805463.806536704</v>
      </c>
      <c r="AF40" s="150">
        <f t="shared" ref="AF40:AF41" si="34">AD40-AB40-AC40</f>
        <v>3.0499909296631813</v>
      </c>
      <c r="AG40" s="87">
        <f>$AO40*AB40</f>
        <v>32524048.35559056</v>
      </c>
      <c r="AH40" s="87">
        <f>$AO40*AC40</f>
        <v>26996545.533675592</v>
      </c>
      <c r="AI40" s="87">
        <f t="shared" si="10"/>
        <v>59520593.889266148</v>
      </c>
      <c r="AK40" s="87">
        <f>AK23-SUM(AK34:AK36)</f>
        <v>34319011.606887519</v>
      </c>
      <c r="AL40" s="87">
        <f t="shared" ref="AL40:AL41" si="35">AM40-AK40</f>
        <v>28486452.199649185</v>
      </c>
      <c r="AM40" s="87">
        <v>62805463.806536704</v>
      </c>
      <c r="AO40" s="100">
        <v>0.94769775067787776</v>
      </c>
      <c r="AP40" s="87">
        <f>AP41-SUM(AP34:AP36)</f>
        <v>32315559.588699821</v>
      </c>
      <c r="AQ40" s="87">
        <f t="shared" si="21"/>
        <v>25958657.272983547</v>
      </c>
      <c r="AR40" s="87">
        <f>AR41-SUM(AR34:AR36)</f>
        <v>58274216.861683369</v>
      </c>
      <c r="AS40" s="181" t="s">
        <v>10</v>
      </c>
    </row>
    <row r="41" spans="1:45">
      <c r="A41" s="1"/>
      <c r="B41" s="39"/>
      <c r="C41" s="5"/>
      <c r="D41" s="32"/>
      <c r="E41" s="1"/>
      <c r="F41" s="8" t="s">
        <v>123</v>
      </c>
      <c r="G41" s="8"/>
      <c r="H41" s="87"/>
      <c r="I41" s="87"/>
      <c r="J41" s="87">
        <v>240221.58228874099</v>
      </c>
      <c r="K41" s="86"/>
      <c r="L41" s="87"/>
      <c r="M41" s="87">
        <f>M10+M23</f>
        <v>154070.35047917947</v>
      </c>
      <c r="N41" s="87">
        <v>436136.40357833431</v>
      </c>
      <c r="O41" s="75"/>
      <c r="P41" s="130"/>
      <c r="Q41" s="130"/>
      <c r="R41" s="125"/>
      <c r="S41" s="125"/>
      <c r="T41" s="125"/>
      <c r="U41" s="125"/>
      <c r="V41" s="125"/>
      <c r="W41" s="125"/>
      <c r="X41" s="87"/>
      <c r="Y41" s="87"/>
      <c r="Z41" s="100">
        <f>AD41/J41</f>
        <v>312.14186186584578</v>
      </c>
      <c r="AA41" s="88"/>
      <c r="AB41" s="87">
        <f>AB10+AB23</f>
        <v>42922606.700041234</v>
      </c>
      <c r="AC41" s="87">
        <f>AC10+AC23</f>
        <v>32060602.205934931</v>
      </c>
      <c r="AD41" s="87">
        <v>74983211.955967098</v>
      </c>
      <c r="AF41" s="150">
        <f t="shared" si="34"/>
        <v>3.0499909333884716</v>
      </c>
      <c r="AG41" s="87">
        <f>$AO41*AB41</f>
        <v>40954324.575131066</v>
      </c>
      <c r="AH41" s="87">
        <f>$AO41*AC41</f>
        <v>30590413.997730497</v>
      </c>
      <c r="AI41" s="87">
        <f t="shared" si="10"/>
        <v>71544738.572861567</v>
      </c>
      <c r="AK41" s="87">
        <f>AK23</f>
        <v>42922608.54635217</v>
      </c>
      <c r="AL41" s="87">
        <f t="shared" si="35"/>
        <v>32060603.409614928</v>
      </c>
      <c r="AM41" s="87">
        <v>74983211.955967098</v>
      </c>
      <c r="AO41" s="100">
        <v>0.95414346247269566</v>
      </c>
      <c r="AP41" s="87">
        <f>AP23</f>
        <v>40919156.528164469</v>
      </c>
      <c r="AQ41" s="87">
        <f t="shared" si="21"/>
        <v>29532808.482949294</v>
      </c>
      <c r="AR41" s="87">
        <f>AR10+AR23</f>
        <v>70451965.011113763</v>
      </c>
      <c r="AS41" s="181" t="s">
        <v>123</v>
      </c>
    </row>
    <row r="42" spans="1:45">
      <c r="P42" s="148" t="s">
        <v>224</v>
      </c>
    </row>
    <row r="43" spans="1:45">
      <c r="P43" s="135" t="s">
        <v>225</v>
      </c>
    </row>
    <row r="44" spans="1:45">
      <c r="P44" s="135" t="s">
        <v>226</v>
      </c>
    </row>
    <row r="46" spans="1:45">
      <c r="F46" s="5" t="s">
        <v>33</v>
      </c>
      <c r="G46" s="31" t="s">
        <v>53</v>
      </c>
      <c r="H46" s="81">
        <f>H24</f>
        <v>4333.5986079063669</v>
      </c>
      <c r="I46" s="81">
        <f>I24</f>
        <v>2489.6135353425743</v>
      </c>
      <c r="J46" s="81">
        <f>H46+I46</f>
        <v>6823.2121432489412</v>
      </c>
      <c r="M46" s="5" t="s">
        <v>33</v>
      </c>
      <c r="N46" s="31" t="s">
        <v>53</v>
      </c>
      <c r="P46" s="127">
        <f t="shared" ref="P46:P51" si="36">P24*H24</f>
        <v>4899700.2889887094</v>
      </c>
      <c r="R46" s="127">
        <f t="shared" ref="R46:R51" si="37">R24*I24</f>
        <v>6543276.2087773643</v>
      </c>
      <c r="T46" s="127">
        <f t="shared" ref="T46:T51" si="38">T24*J24</f>
        <v>11442978.802032964</v>
      </c>
      <c r="U46" s="131">
        <f>T46-P46-R46</f>
        <v>2.3042668905109167</v>
      </c>
    </row>
    <row r="47" spans="1:45">
      <c r="F47" s="5" t="s">
        <v>35</v>
      </c>
      <c r="G47" s="31" t="s">
        <v>14</v>
      </c>
      <c r="H47" s="81">
        <f t="shared" ref="H47:I47" si="39">H25</f>
        <v>1990.3514047342671</v>
      </c>
      <c r="I47" s="81">
        <f t="shared" si="39"/>
        <v>1143.4390320031232</v>
      </c>
      <c r="J47" s="81">
        <f t="shared" ref="J47:J51" si="40">H47+I47</f>
        <v>3133.7904367373903</v>
      </c>
      <c r="M47" s="5" t="s">
        <v>35</v>
      </c>
      <c r="N47" s="31" t="s">
        <v>14</v>
      </c>
      <c r="P47" s="127">
        <f t="shared" si="36"/>
        <v>647666.26038302854</v>
      </c>
      <c r="R47" s="127">
        <f t="shared" si="37"/>
        <v>372078.45814157947</v>
      </c>
      <c r="T47" s="127">
        <f t="shared" si="38"/>
        <v>1019744.7185246081</v>
      </c>
      <c r="U47" s="131">
        <f>T47-P47-R47</f>
        <v>0</v>
      </c>
    </row>
    <row r="48" spans="1:45">
      <c r="F48" s="5" t="s">
        <v>15</v>
      </c>
      <c r="G48" s="32" t="s">
        <v>9</v>
      </c>
      <c r="H48" s="81">
        <f t="shared" ref="H48:I48" si="41">H26</f>
        <v>3060.6716093626892</v>
      </c>
      <c r="I48" s="81">
        <f t="shared" si="41"/>
        <v>1758.3283906373108</v>
      </c>
      <c r="J48" s="81">
        <f t="shared" si="40"/>
        <v>4819</v>
      </c>
      <c r="M48" s="5" t="s">
        <v>15</v>
      </c>
      <c r="N48" s="32" t="s">
        <v>9</v>
      </c>
      <c r="P48" s="127">
        <f t="shared" si="36"/>
        <v>577640.55283502035</v>
      </c>
      <c r="R48" s="127">
        <f t="shared" si="37"/>
        <v>331849.31716497964</v>
      </c>
      <c r="T48" s="127">
        <f t="shared" si="38"/>
        <v>909489.87</v>
      </c>
      <c r="U48" s="131">
        <f t="shared" ref="U48:U53" si="42">T48-P48-R48</f>
        <v>0</v>
      </c>
    </row>
    <row r="49" spans="6:22">
      <c r="F49" s="5" t="s">
        <v>39</v>
      </c>
      <c r="G49" s="32" t="s">
        <v>125</v>
      </c>
      <c r="H49" s="81">
        <f t="shared" ref="H49:I49" si="43">H27</f>
        <v>1875.8816845835358</v>
      </c>
      <c r="I49" s="81">
        <f t="shared" si="43"/>
        <v>1077.6772043723408</v>
      </c>
      <c r="J49" s="81">
        <f t="shared" si="40"/>
        <v>2953.5588889558767</v>
      </c>
      <c r="M49" s="5" t="s">
        <v>39</v>
      </c>
      <c r="N49" s="32" t="s">
        <v>125</v>
      </c>
      <c r="P49" s="127">
        <f t="shared" si="36"/>
        <v>445249.58829492936</v>
      </c>
      <c r="R49" s="127">
        <f t="shared" si="37"/>
        <v>295532.5170678994</v>
      </c>
      <c r="T49" s="127">
        <f t="shared" si="38"/>
        <v>740782.1049390235</v>
      </c>
      <c r="U49" s="131">
        <f t="shared" si="42"/>
        <v>-4.238052642904222E-4</v>
      </c>
    </row>
    <row r="50" spans="6:22">
      <c r="F50" s="5" t="s">
        <v>146</v>
      </c>
      <c r="G50" s="32" t="s">
        <v>216</v>
      </c>
      <c r="H50" s="81">
        <f t="shared" ref="H50:I50" si="44">H28</f>
        <v>64311.263642966864</v>
      </c>
      <c r="I50" s="81">
        <f t="shared" si="44"/>
        <v>36946.24420185214</v>
      </c>
      <c r="J50" s="81">
        <f t="shared" si="40"/>
        <v>101257.507844819</v>
      </c>
      <c r="M50" s="5" t="s">
        <v>146</v>
      </c>
      <c r="N50" s="32" t="s">
        <v>216</v>
      </c>
      <c r="P50" s="127">
        <f t="shared" si="36"/>
        <v>19936491.729319729</v>
      </c>
      <c r="R50" s="127">
        <f t="shared" si="37"/>
        <v>11453335.702574164</v>
      </c>
      <c r="T50" s="127">
        <f t="shared" si="38"/>
        <v>31389827.431893893</v>
      </c>
      <c r="U50" s="131">
        <f t="shared" si="42"/>
        <v>0</v>
      </c>
    </row>
    <row r="51" spans="6:22">
      <c r="F51" s="5" t="s">
        <v>127</v>
      </c>
      <c r="G51" s="32" t="s">
        <v>11</v>
      </c>
      <c r="H51" s="81">
        <f t="shared" ref="H51:I51" si="45">H29</f>
        <v>1458.8841433297566</v>
      </c>
      <c r="I51" s="81">
        <f t="shared" si="45"/>
        <v>838.11585667024337</v>
      </c>
      <c r="J51" s="81">
        <f t="shared" si="40"/>
        <v>2297</v>
      </c>
      <c r="M51" s="5" t="s">
        <v>127</v>
      </c>
      <c r="N51" s="32" t="s">
        <v>11</v>
      </c>
      <c r="P51" s="127">
        <f t="shared" si="36"/>
        <v>174211.93145419849</v>
      </c>
      <c r="R51" s="127">
        <f t="shared" si="37"/>
        <v>89575.443899368838</v>
      </c>
      <c r="T51" s="127">
        <f t="shared" si="38"/>
        <v>263787.48</v>
      </c>
      <c r="U51" s="131">
        <f t="shared" si="42"/>
        <v>0.1046464326500427</v>
      </c>
    </row>
    <row r="52" spans="6:22">
      <c r="P52"/>
      <c r="Q52"/>
      <c r="R52"/>
      <c r="S52"/>
      <c r="T52"/>
      <c r="U52"/>
      <c r="V52"/>
    </row>
    <row r="53" spans="6:22">
      <c r="G53" t="s">
        <v>230</v>
      </c>
      <c r="H53" s="81">
        <f>SUM(H46:H51)</f>
        <v>77030.65109288349</v>
      </c>
      <c r="I53" s="81">
        <f>SUM(I46:I51)</f>
        <v>44253.418220877735</v>
      </c>
      <c r="J53" s="81">
        <f>SUM(J46:J51)</f>
        <v>121284.06931376121</v>
      </c>
      <c r="N53" s="1"/>
      <c r="O53" s="8" t="s">
        <v>228</v>
      </c>
      <c r="P53" s="87">
        <f>SUM(P46:P51)</f>
        <v>26680960.351275619</v>
      </c>
      <c r="Q53" s="1"/>
      <c r="R53" s="87">
        <f>SUM(R46:R51)</f>
        <v>19085647.647625353</v>
      </c>
      <c r="S53" s="1"/>
      <c r="T53" s="81">
        <f>SUM(T46:T51)</f>
        <v>45766610.407390483</v>
      </c>
      <c r="U53" s="131">
        <f t="shared" si="42"/>
        <v>2.4084895104169846</v>
      </c>
      <c r="V53"/>
    </row>
    <row r="54" spans="6:22">
      <c r="N54" s="1"/>
      <c r="O54" s="8" t="s">
        <v>229</v>
      </c>
      <c r="P54" s="100">
        <f>P53/H53</f>
        <v>346.3681011744759</v>
      </c>
      <c r="Q54" s="1"/>
      <c r="R54" s="100">
        <f>R53/I53</f>
        <v>431.28075558739977</v>
      </c>
      <c r="S54" s="1"/>
      <c r="T54" s="68">
        <f>T53/J53</f>
        <v>377.3505512005251</v>
      </c>
      <c r="U54"/>
      <c r="V54"/>
    </row>
    <row r="55" spans="6:22">
      <c r="N55" s="1"/>
      <c r="O55" s="8" t="s">
        <v>231</v>
      </c>
      <c r="P55" s="152">
        <f>P54/$T54</f>
        <v>0.91789477999308644</v>
      </c>
      <c r="Q55" s="1"/>
      <c r="R55" s="152">
        <f>R54/$T54</f>
        <v>1.1429180485235757</v>
      </c>
      <c r="S55" s="1"/>
      <c r="T55"/>
      <c r="U55"/>
      <c r="V55"/>
    </row>
    <row r="56" spans="6:22">
      <c r="N56" s="1"/>
      <c r="O56" s="1"/>
      <c r="P56" s="135" t="s">
        <v>232</v>
      </c>
    </row>
    <row r="57" spans="6:22">
      <c r="N57" s="1"/>
      <c r="O57" s="1"/>
      <c r="P57" s="135" t="s">
        <v>233</v>
      </c>
    </row>
    <row r="58" spans="6:22">
      <c r="N58" s="1"/>
      <c r="O58" s="1"/>
      <c r="P58" s="135">
        <f>P55*213.25347</f>
        <v>195.74424692841225</v>
      </c>
      <c r="R58" s="135">
        <f>R55*213.25347</f>
        <v>243.73123977328089</v>
      </c>
    </row>
    <row r="59" spans="6:22">
      <c r="O59" s="1"/>
      <c r="P59" s="135" t="s">
        <v>206</v>
      </c>
      <c r="R59" s="126" t="s">
        <v>236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Sources &amp; notes</vt:lpstr>
      <vt:lpstr>(1) RESULTS by sub-region</vt:lpstr>
      <vt:lpstr>(2) Deriving own-lab earnings</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Williamson</dc:creator>
  <cp:lastModifiedBy>Peter Lindert</cp:lastModifiedBy>
  <cp:lastPrinted>2010-08-11T11:52:29Z</cp:lastPrinted>
  <dcterms:created xsi:type="dcterms:W3CDTF">2010-07-19T11:17:19Z</dcterms:created>
  <dcterms:modified xsi:type="dcterms:W3CDTF">2013-11-24T22:36:10Z</dcterms:modified>
</cp:coreProperties>
</file>